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27.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trccompanies.sharepoint.com/sites/CS-P3/PSE&amp;G-New/Documents/08 - Projects/01 - Application Workbooks/"/>
    </mc:Choice>
  </mc:AlternateContent>
  <xr:revisionPtr revIDLastSave="2" documentId="13_ncr:1_{45A79699-3472-48F5-923D-7D1FC99E3356}" xr6:coauthVersionLast="47" xr6:coauthVersionMax="47" xr10:uidLastSave="{1F9B0158-4730-4990-94CB-EA7E4592C57B}"/>
  <workbookProtection workbookAlgorithmName="SHA-512" workbookHashValue="gfMS+Mvqkd01EFCnBFRXb+3q7yRqdQL55Aez9O40mbNs1bEUE61cG3PWAIFNdEDN2wj8eHWNJ8LixCV04+DIAg==" workbookSaltValue="qqi0AyNB0TRJpKl5ylRWBA==" workbookSpinCount="100000" lockStructure="1"/>
  <bookViews>
    <workbookView showSheetTabs="0" xWindow="-120" yWindow="-120" windowWidth="29040" windowHeight="15720" tabRatio="843" firstSheet="12" activeTab="1" xr2:uid="{6AC8D55D-9C06-4EE3-8B6F-88DD181AD73C}"/>
  </bookViews>
  <sheets>
    <sheet name="Changelog" sheetId="107" state="veryHidden" r:id="rId1"/>
    <sheet name="M01-S01" sheetId="8" r:id="rId2"/>
    <sheet name="M01-S02" sheetId="225" r:id="rId3"/>
    <sheet name="M01-S03" sheetId="152" r:id="rId4"/>
    <sheet name="M01-S04" sheetId="222" r:id="rId5"/>
    <sheet name="TEMPLATE" sheetId="3" state="veryHidden" r:id="rId6"/>
    <sheet name="M02-S02" sheetId="166" r:id="rId7"/>
    <sheet name="M02-S03" sheetId="147" r:id="rId8"/>
    <sheet name="M02-S04" sheetId="148" r:id="rId9"/>
    <sheet name="M03-S01" sheetId="151" r:id="rId10"/>
    <sheet name="MEASURES3_M" sheetId="106" state="veryHidden" r:id="rId11"/>
    <sheet name="DATA TABLES_Project" sheetId="109" state="veryHidden" r:id="rId12"/>
    <sheet name="M04-S02" sheetId="167" r:id="rId13"/>
    <sheet name="M04-S03" sheetId="168" r:id="rId14"/>
    <sheet name="M04-S04" sheetId="169" r:id="rId15"/>
    <sheet name="M04-S05" sheetId="170" r:id="rId16"/>
    <sheet name="M04-S06" sheetId="171" r:id="rId17"/>
    <sheet name="M04-S07" sheetId="13" r:id="rId18"/>
    <sheet name="M04-S08" sheetId="175" r:id="rId19"/>
    <sheet name="M04-S09" sheetId="176" r:id="rId20"/>
    <sheet name="M04-S10" sheetId="223" r:id="rId21"/>
    <sheet name="M04-S11" sheetId="224" r:id="rId22"/>
    <sheet name="M05-S01a" sheetId="153" r:id="rId23"/>
    <sheet name="M05-S01b" sheetId="207" r:id="rId24"/>
    <sheet name="M02-S01" sheetId="144" r:id="rId25"/>
    <sheet name="M05-S02" sheetId="154" r:id="rId26"/>
    <sheet name="M05-S02-1" sheetId="180" r:id="rId27"/>
    <sheet name="M05-S03" sheetId="14" state="veryHidden" r:id="rId28"/>
    <sheet name="M05-S04" sheetId="228" r:id="rId29"/>
    <sheet name="M05-S05" sheetId="156" r:id="rId30"/>
    <sheet name="M05-S06" sheetId="221" r:id="rId31"/>
    <sheet name="M05-S07" sheetId="81" r:id="rId32"/>
    <sheet name="M05-S08" sheetId="230" r:id="rId33"/>
    <sheet name="EXPORT" sheetId="226" state="hidden" r:id="rId34"/>
  </sheets>
  <definedNames>
    <definedName name="_xlnm._FilterDatabase" localSheetId="11" hidden="1">'DATA TABLES_Project'!$AC$39:$AC$62</definedName>
    <definedName name="ACTIVECOMPL">'M05-S07'!$AU$28</definedName>
    <definedName name="ACTIVEINSPECT">'M05-S07'!$AU$29</definedName>
    <definedName name="ACTIVEOFFER">'M05-S07'!$AU$27</definedName>
    <definedName name="Annual_therm_consumption">'M05-S07'!$AU$25</definedName>
    <definedName name="APP_TYPE">TEMPLATE!$B$3</definedName>
    <definedName name="BLOCKBIDRATE">'DATA TABLES_Project'!$D$100</definedName>
    <definedName name="BUILDING" localSheetId="28">BUILDINGTYPE[Project Level Building Type]</definedName>
    <definedName name="BUILDING" localSheetId="30">BUILDINGTYPE[Project Level Building Type]</definedName>
    <definedName name="BUILDING" localSheetId="32">BUILDINGTYPE[Project Level Building Type]</definedName>
    <definedName name="BUILDING">BUILDINGTYPE[Project Level Building Type]</definedName>
    <definedName name="BuildingInfo_Annual_Operating_Hours">'M02-S02'!$P$41</definedName>
    <definedName name="BuildingInfo_Building_Type">'DATA TABLES_Project'!$H$1</definedName>
    <definedName name="BuildingInfo_Space_Conditioning_Type">'M02-S02'!$AM$37</definedName>
    <definedName name="BuildingInfo_Space_Cooling_Type">'M02-S02'!$AM$37</definedName>
    <definedName name="BuildingInfo_Space_Heating_Type">'M02-S02'!#REF!</definedName>
    <definedName name="BuildingInfo_Water_Heating">'M02-S02'!$AM$41</definedName>
    <definedName name="BuildingInfo_Year_Built">'M02-S02'!$AG$41</definedName>
    <definedName name="BuildingType_Food" localSheetId="28">BUILDINGTYPE[Foodservice TRM Building Equivalent]</definedName>
    <definedName name="BuildingType_Food" localSheetId="30">BUILDINGTYPE[Foodservice TRM Building Equivalent]</definedName>
    <definedName name="BuildingType_Food" localSheetId="32">BUILDINGTYPE[Foodservice TRM Building Equivalent]</definedName>
    <definedName name="BuildingType_Food">BUILDINGTYPE[Foodservice TRM Building Equivalent]</definedName>
    <definedName name="BuildingType_Lighting" localSheetId="28">BUILDINGTYPE[Lighting TRM Building Equivalent]</definedName>
    <definedName name="BuildingType_Lighting" localSheetId="30">BUILDINGTYPE[Lighting TRM Building Equivalent]</definedName>
    <definedName name="BuildingType_Lighting" localSheetId="32">BUILDINGTYPE[Lighting TRM Building Equivalent]</definedName>
    <definedName name="BuildingType_Lighting">BUILDINGTYPE[Lighting TRM Building Equivalent]</definedName>
    <definedName name="BuildingType_Project_Level" localSheetId="28">BUILDINGTYPE[Project Level Building Type]</definedName>
    <definedName name="BuildingType_Project_Level" localSheetId="30">BUILDINGTYPE[Project Level Building Type]</definedName>
    <definedName name="BuildingType_Project_Level" localSheetId="32">BUILDINGTYPE[Project Level Building Type]</definedName>
    <definedName name="BuildingType_Project_Level">BUILDINGTYPE[Project Level Building Type]</definedName>
    <definedName name="BUSDEVELNAME" localSheetId="28">BUSDEVEL[Energy Efficiency Advisor]</definedName>
    <definedName name="BUSDEVELNAME" localSheetId="30">BUSDEVEL[Energy Efficiency Advisor]</definedName>
    <definedName name="BUSDEVELNAME" localSheetId="32">BUSDEVEL[Energy Efficiency Advisor]</definedName>
    <definedName name="BUSDEVELNAME">BUSDEVEL[Energy Efficiency Advisor]</definedName>
    <definedName name="CBALL">TEMPLATE!$U$22</definedName>
    <definedName name="CBCUSE">TEMPLATE!$U$21</definedName>
    <definedName name="CBPRESE">TEMPLATE!$U$20</definedName>
    <definedName name="CBREQ">'DATA TABLES_Project'!$D$94</definedName>
    <definedName name="CMECOMPAIRDESC" localSheetId="30">INDEX(#REF!,MATCH('M04-S06'!$C1,#REF!,0),1):INDEX(#REF!,MATCH('M04-S06'!$C1,#REF!,1),1)</definedName>
    <definedName name="CMECOMPAIRDESC">INDEX(#REF!,MATCH('M04-S06'!$C1,#REF!,0),1):INDEX(#REF!,MATCH('M04-S06'!$C1,#REF!,1),1)</definedName>
    <definedName name="CMECOOKDESC" localSheetId="28">INDEX(Tbl_Cust_Water[Proj Desc 1],MATCH('M04-S07'!$C1,#REF!,0),1):INDEX(Tbl_Cust_Water[Proj Desc 1],MATCH('M04-S07'!$C1,#REF!,1),1)</definedName>
    <definedName name="CMECOOKDESC" localSheetId="30">INDEX(Tbl_Cust_Water[Proj Desc 1],MATCH('M04-S07'!$C1,#REF!,0),1):INDEX(Tbl_Cust_Water[Proj Desc 1],MATCH('M04-S07'!$C1,#REF!,1),1)</definedName>
    <definedName name="CMECOOKDESC" localSheetId="32">INDEX(Tbl_Cust_Water[Proj Desc 1],MATCH('M04-S07'!$C1,#REF!,0),1):INDEX(Tbl_Cust_Water[Proj Desc 1],MATCH('M04-S07'!$C1,#REF!,1),1)</definedName>
    <definedName name="CMECOOKDESC">INDEX(Tbl_Cust_Water[Proj Desc 1],MATCH('M04-S07'!$C1,#REF!,0),1):INDEX(Tbl_Cust_Water[Proj Desc 1],MATCH('M04-S07'!$C1,#REF!,1),1)</definedName>
    <definedName name="CMEHVACDESC" localSheetId="28">INDEX(Tbl_Cust_HVAC[Proj Desc 1],MATCH('M04-S05'!$C1,#REF!,0),1):INDEX(Tbl_Cust_HVAC[Proj Desc 1],MATCH('M04-S05'!$C1,#REF!,1),1)</definedName>
    <definedName name="CMEHVACDESC" localSheetId="30">INDEX(Tbl_Cust_HVAC[Proj Desc 1],MATCH('M04-S05'!$C1,#REF!,0),1):INDEX(Tbl_Cust_HVAC[Proj Desc 1],MATCH('M04-S05'!$C1,#REF!,1),1)</definedName>
    <definedName name="CMEHVACDESC" localSheetId="32">INDEX(Tbl_Cust_HVAC[Proj Desc 1],MATCH('M04-S05'!$C1,#REF!,0),1):INDEX(Tbl_Cust_HVAC[Proj Desc 1],MATCH('M04-S05'!$C1,#REF!,1),1)</definedName>
    <definedName name="CMEHVACDESC">INDEX(Tbl_Cust_HVAC[Proj Desc 1],MATCH('M04-S05'!$C1,#REF!,0),1):INDEX(Tbl_Cust_HVAC[Proj Desc 1],MATCH('M04-S05'!$C1,#REF!,1),1)</definedName>
    <definedName name="CMELIGHTACTUALW" localSheetId="30">#REF!</definedName>
    <definedName name="CMELIGHTACTUALW">#REF!</definedName>
    <definedName name="CMELIGHTBASE1" localSheetId="30">#REF!</definedName>
    <definedName name="CMELIGHTBASE1">#REF!</definedName>
    <definedName name="CMELIGHTBASEW" localSheetId="30">#REF!</definedName>
    <definedName name="CMELIGHTBASEW">#REF!</definedName>
    <definedName name="CMELIGHTCONDESC" localSheetId="28">INDEX(Tbl_Cust_Light[Proj Desc 1],MATCH('M04-S03'!$C1,#REF!,0),1):INDEX(Tbl_Cust_Light[Proj Desc 1],MATCH('M04-S03'!$C1,#REF!,1),1)</definedName>
    <definedName name="CMELIGHTCONDESC" localSheetId="30">INDEX(Tbl_Cust_Light[Proj Desc 1],MATCH('M04-S03'!$C1,#REF!,0),1):INDEX(Tbl_Cust_Light[Proj Desc 1],MATCH('M04-S03'!$C1,#REF!,1),1)</definedName>
    <definedName name="CMELIGHTCONDESC" localSheetId="32">INDEX(Tbl_Cust_Light[Proj Desc 1],MATCH('M04-S03'!$C1,#REF!,0),1):INDEX(Tbl_Cust_Light[Proj Desc 1],MATCH('M04-S03'!$C1,#REF!,1),1)</definedName>
    <definedName name="CMELIGHTCONDESC">INDEX(Tbl_Cust_Light[Proj Desc 1],MATCH('M04-S03'!$C1,#REF!,0),1):INDEX(Tbl_Cust_Light[Proj Desc 1],MATCH('M04-S03'!$C1,#REF!,1),1)</definedName>
    <definedName name="CMELIGHTEFF1" localSheetId="30">#REF!</definedName>
    <definedName name="CMELIGHTEFF1">#REF!</definedName>
    <definedName name="CMELIGHTEFFBASEW" localSheetId="30">#REF!</definedName>
    <definedName name="CMELIGHTEFFBASEW">#REF!</definedName>
    <definedName name="CMEMISC2DESC" localSheetId="30">#REF!</definedName>
    <definedName name="CMEMISC2DESC">#REF!</definedName>
    <definedName name="CMEMISC3DESC" localSheetId="28">INDEX(Tbl_Cust_Misc[Proj Desc 1],MATCH('M04-S09'!XFC1,#REF!,0),0):INDEX(Tbl_Cust_Misc[Proj Desc 1],MATCH('M04-S09'!XFC1,#REF!,1),0)</definedName>
    <definedName name="CMEMISC3DESC" localSheetId="30">INDEX(Tbl_Cust_Misc[Proj Desc 1],MATCH('M04-S09'!XFC1,#REF!,0),0):INDEX(Tbl_Cust_Misc[Proj Desc 1],MATCH('M04-S09'!XFC1,#REF!,1),0)</definedName>
    <definedName name="CMEMISC3DESC" localSheetId="32">INDEX(Tbl_Cust_Misc[Proj Desc 1],MATCH('M04-S09'!XFC1,#REF!,0),0):INDEX(Tbl_Cust_Misc[Proj Desc 1],MATCH('M04-S09'!XFC1,#REF!,1),0)</definedName>
    <definedName name="CMEMISC3DESC">INDEX(Tbl_Cust_Misc[Proj Desc 1],MATCH('M04-S09'!XFC1,#REF!,0),0):INDEX(Tbl_Cust_Misc[Proj Desc 1],MATCH('M04-S09'!XFC1,#REF!,1),0)</definedName>
    <definedName name="CMEMISCDESC" localSheetId="30">INDEX(#REF!,MATCH('M04-S09'!XFB1,#REF!,0),1):INDEX(#REF!,MATCH('M04-S09'!XFB1,#REF!,1),1)</definedName>
    <definedName name="CMEMISCDESC">INDEX(#REF!,MATCH('M04-S09'!XFB1,#REF!,0),1):INDEX(#REF!,MATCH('M04-S09'!XFB1,#REF!,1),1)</definedName>
    <definedName name="CMEMOTORDESC" localSheetId="30">INDEX(#REF!,MATCH('M04-S08'!$C1,#REF!,0),1):INDEX(#REF!,MATCH('M04-S08'!$C1,#REF!,1),1)</definedName>
    <definedName name="CMEMOTORDESC">INDEX(#REF!,MATCH('M04-S08'!$C1,#REF!,0),1):INDEX(#REF!,MATCH('M04-S08'!$C1,#REF!,1),1)</definedName>
    <definedName name="CMEREFRIDESC" localSheetId="28">INDEX(Tbl_Cust_Refrig[Proj Desc 1],MATCH('M04-S04'!$C1,#REF!,0),1):INDEX(Tbl_Cust_Refrig[Proj Desc 1],MATCH('M04-S04'!$C1,#REF!,1),1)</definedName>
    <definedName name="CMEREFRIDESC" localSheetId="30">INDEX(Tbl_Cust_Refrig[Proj Desc 1],MATCH('M04-S04'!$C1,#REF!,0),1):INDEX(Tbl_Cust_Refrig[Proj Desc 1],MATCH('M04-S04'!$C1,#REF!,1),1)</definedName>
    <definedName name="CMEREFRIDESC" localSheetId="32">INDEX(Tbl_Cust_Refrig[Proj Desc 1],MATCH('M04-S04'!$C1,#REF!,0),1):INDEX(Tbl_Cust_Refrig[Proj Desc 1],MATCH('M04-S04'!$C1,#REF!,1),1)</definedName>
    <definedName name="CMEREFRIDESC">INDEX(Tbl_Cust_Refrig[Proj Desc 1],MATCH('M04-S04'!$C1,#REF!,0),1):INDEX(Tbl_Cust_Refrig[Proj Desc 1],MATCH('M04-S04'!$C1,#REF!,1),1)</definedName>
    <definedName name="Column_CW_BaselineMEF">#REF!</definedName>
    <definedName name="Column_CW_ProposedMEF">#REF!</definedName>
    <definedName name="COMPBUILD">TEMPLATE!$E$93</definedName>
    <definedName name="COMPCUSTOMER">TEMPLATE!$E$128</definedName>
    <definedName name="COMPINSTRUCT">TEMPLATE!$E$81</definedName>
    <definedName name="COMPMEASURE">TEMPLATE!$E$168</definedName>
    <definedName name="COMPOBR">TEMPLATE!$E$193</definedName>
    <definedName name="COMPOBRAGREEMENT">TEMPLATE!$E$230</definedName>
    <definedName name="COMPPAY">TEMPLATE!$E$173</definedName>
    <definedName name="COMPSUMMARY">TEMPLATE!$E$225</definedName>
    <definedName name="COMPTA">TEMPLATE!$E$148</definedName>
    <definedName name="COMPTERMS">TEMPLATE!$E$87</definedName>
    <definedName name="COMPUNIONINFO">TEMPLATE!$E$237</definedName>
    <definedName name="Cost_Labor_All">TEMPLATE!$Q$21</definedName>
    <definedName name="Cost_Labor_Cust">TEMPLATE!$Q$20</definedName>
    <definedName name="Cost_Labor_Presc">TEMPLATE!#REF!</definedName>
    <definedName name="Cost_Material_All">TEMPLATE!$P$21</definedName>
    <definedName name="Cost_Material_Cust">TEMPLATE!$P$20</definedName>
    <definedName name="Cost_Material_Presc">TEMPLATE!#REF!</definedName>
    <definedName name="Cost_Total_All">TEMPLATE!$R$21</definedName>
    <definedName name="Cost_Total_Cust">TEMPLATE!$R$20</definedName>
    <definedName name="Cost_Total_Cust_Final">TEMPLATE!$H$37</definedName>
    <definedName name="Cost_Total_Presc">TEMPLATE!#REF!</definedName>
    <definedName name="Cost_Total_Presc_Final">TEMPLATE!#REF!</definedName>
    <definedName name="CostCap_Cust">TEMPLATE!$H$40</definedName>
    <definedName name="CostCap_Pres">TEMPLATE!#REF!</definedName>
    <definedName name="COSTTYPELIST" localSheetId="28">COSTTYPE[Cost Type]</definedName>
    <definedName name="COSTTYPELIST" localSheetId="32">COSTTYPE[Cost Type]</definedName>
    <definedName name="COSTTYPELIST">COSTTYPE[Cost Type]</definedName>
    <definedName name="CUSTINFOLIST" localSheetId="28">CUSTINFO[Customer Info]</definedName>
    <definedName name="CUSTINFOLIST" localSheetId="32">CUSTINFO[Customer Info]</definedName>
    <definedName name="CUSTINFOLIST">CUSTINFO[Customer Info]</definedName>
    <definedName name="Custom_AG_DualInputs">'M04-S08'!$BX$18:$BZ$37</definedName>
    <definedName name="Custom_AG_Tax">'M04-S08'!$AQ$14</definedName>
    <definedName name="Custom_AG_UserInputs">'M04-S08'!$C$18:$BE$37</definedName>
    <definedName name="Custom_FS_DualInputs">'M04-S07'!$BX$18:$BZ$37</definedName>
    <definedName name="Custom_FS_Tax">'M04-S07'!$AQ$14</definedName>
    <definedName name="Custom_FS_UserInputs">'M04-S07'!$C$18:$BE$37</definedName>
    <definedName name="Custom_Heating_DualInputs">'M04-S04'!$BX$18:$BZ$37</definedName>
    <definedName name="Custom_Heating_Tax">'M04-S04'!$AQ$14</definedName>
    <definedName name="Custom_Heating_UserInputs">'M04-S04'!$C$18:$BE$37</definedName>
    <definedName name="Custom_HVAC_DualInputs">'M04-S03'!$BX$18:$BZ$37</definedName>
    <definedName name="Custom_HVAC_Tax">'M04-S03'!$AQ$14</definedName>
    <definedName name="Custom_HVAC_UserInputs">'M04-S03'!$C$18:$BE$37</definedName>
    <definedName name="Custom_Lighting_DualInputs">'M04-S02'!$BX$18:$BZ$37</definedName>
    <definedName name="Custom_Lighting_Tax">'M04-S02'!$AQ$14</definedName>
    <definedName name="Custom_Lighting_UserInputs">'M04-S02'!$C$18:$BE$37</definedName>
    <definedName name="Custom_Misc_DualInputs">'M04-S11'!$BX$18:$BZ$37</definedName>
    <definedName name="Custom_Misc_Tax">'M04-S11'!$AQ$14</definedName>
    <definedName name="Custom_Misc_UserInputs">'M04-S11'!$C$18:$BE$37</definedName>
    <definedName name="Custom_PL_DualInputs">'M04-S09'!$BX$18:$BZ$37</definedName>
    <definedName name="Custom_PL_Tax">'M04-S09'!$AQ$14</definedName>
    <definedName name="Custom_PL_UserInputs">'M04-S09'!$C$18:$BE$37</definedName>
    <definedName name="Custom_RA_DualInputs">'M04-S10'!$BX$18:$BZ$37</definedName>
    <definedName name="Custom_RA_Tax">'M04-S10'!$AQ$14</definedName>
    <definedName name="Custom_RA_UserInputs">'M04-S10'!$C$18:$BE$37</definedName>
    <definedName name="Custom_Refrig_DualInputs">'M04-S06'!$BX$18:$BZ$37</definedName>
    <definedName name="Custom_Refrig_Tax">'M04-S06'!$AQ$14</definedName>
    <definedName name="Custom_Refrig_UserInputs">'M04-S06'!$C$18:$BB$37</definedName>
    <definedName name="Custom_WH_DualInputs">'M04-S05'!$BX$18:$BZ$37</definedName>
    <definedName name="Custom_WH_Tax">'M04-S05'!$AQ$14</definedName>
    <definedName name="Custom_WH_UserInputs">'M04-S05'!$C$18:$BE$37</definedName>
    <definedName name="CUSTOMPROJECTTYPE" localSheetId="28">PROGRAMTYPE[Project Category]</definedName>
    <definedName name="CUSTOMPROJECTTYPE" localSheetId="32">PROGRAMTYPE[Project Category]</definedName>
    <definedName name="CUSTOMPROJECTTYPE">PROGRAMTYPE[Project Category]</definedName>
    <definedName name="EDR">#REF!</definedName>
    <definedName name="ELOSS">#REF!</definedName>
    <definedName name="EmailPlatformSelection">'M01-S02'!$U$15</definedName>
    <definedName name="EncryptedEmailInstructions">'DATA TABLES_Project'!$F$55</definedName>
    <definedName name="ENDUSECAT" localSheetId="30">#REF!</definedName>
    <definedName name="ENDUSECAT">#REF!</definedName>
    <definedName name="ENERGYMODELLIST">#REF!</definedName>
    <definedName name="ENGCALC">#REF!</definedName>
    <definedName name="ENGDATE">#REF!</definedName>
    <definedName name="ENGNRSNAMES" localSheetId="28">ENGNRS[Engineers]</definedName>
    <definedName name="ENGNRSNAMES" localSheetId="30">ENGNRS[Engineers]</definedName>
    <definedName name="ENGNRSNAMES" localSheetId="32">ENGNRS[Engineers]</definedName>
    <definedName name="ENGNRSNAMES">ENGNRS[Engineers]</definedName>
    <definedName name="ENGSIGN">#REF!</definedName>
    <definedName name="EXPIRATION">TEMPLATE!$B$6</definedName>
    <definedName name="EXPIRATION_DATE">TEMPLATE!$B$5</definedName>
    <definedName name="EXPNOTICE">'M01-S01'!$U$1</definedName>
    <definedName name="FOOT1">'DATA TABLES_Project'!$D$1</definedName>
    <definedName name="FOOT2">'DATA TABLES_Project'!$D$2</definedName>
    <definedName name="FOOT3">'DATA TABLES_Project'!$D$3</definedName>
    <definedName name="FOOT4">'DATA TABLES_Project'!$D$4</definedName>
    <definedName name="FOOT5">'DATA TABLES_Project'!$D$5</definedName>
    <definedName name="FOOT6">'DATA TABLES_Project'!$D$6</definedName>
    <definedName name="FOOTDISCLAIM">'DATA TABLES_Project'!$D$7</definedName>
    <definedName name="FuelType">#REF!</definedName>
    <definedName name="GDR">#REF!</definedName>
    <definedName name="GLOSS">#REF!</definedName>
    <definedName name="HVAC_Proposed_CAT" localSheetId="32">INDEX(#REF!,MATCH('M02-S02'!$AM$37,#REF!,0),1):INDEX(#REF!,MATCH('M02-S02'!$AM$37,#REF!,1),1)</definedName>
    <definedName name="IMPLSPECNAME" localSheetId="28">IMPLSPEC[Project Specialists]</definedName>
    <definedName name="IMPLSPECNAME" localSheetId="30">IMPLSPEC[Project Specialists]</definedName>
    <definedName name="IMPLSPECNAME" localSheetId="32">IMPLSPEC[Project Specialists]</definedName>
    <definedName name="IMPLSPECNAME">IMPLSPEC[Project Specialists]</definedName>
    <definedName name="Inc_Ag" localSheetId="32">'M05-S08'!#REF!</definedName>
    <definedName name="Inc_Food" localSheetId="32">'M05-S08'!#REF!</definedName>
    <definedName name="Inc_Heat" localSheetId="32">'M05-S08'!#REF!</definedName>
    <definedName name="Inc_HVAC" localSheetId="32">'M05-S08'!#REF!</definedName>
    <definedName name="Inc_Light" localSheetId="32">'M05-S08'!$F$37</definedName>
    <definedName name="Inc_LightCont" localSheetId="32">'M05-S08'!#REF!</definedName>
    <definedName name="Inc_Misc" localSheetId="32">'M05-S08'!#REF!</definedName>
    <definedName name="Inc_Refrig" localSheetId="32">'M05-S08'!#REF!</definedName>
    <definedName name="Inc_VFDs" localSheetId="32">'M05-S08'!#REF!</definedName>
    <definedName name="Inc_Water" localSheetId="32">'M05-S08'!#REF!</definedName>
    <definedName name="INCCOSTCAP">'DATA TABLES_Project'!$D$99</definedName>
    <definedName name="INCENSTATUS">TEMPLATE!$H$3</definedName>
    <definedName name="Incent_Rate_kWh">'DATA TABLES_Project'!$D$106</definedName>
    <definedName name="Incent_Rate_thm">'DATA TABLES_Project'!$D$107</definedName>
    <definedName name="Incent_Total_Cap_All">TEMPLATE!$T$21</definedName>
    <definedName name="Incent_Total_Cap_Cust">TEMPLATE!$T$20</definedName>
    <definedName name="Incent_Total_Uncap_All">TEMPLATE!$S$21</definedName>
    <definedName name="Incent_Total_Uncap_Cust">TEMPLATE!$S$20</definedName>
    <definedName name="INCENTTOCOST_CUST">TEMPLATE!$H$39</definedName>
    <definedName name="INSTALL" localSheetId="28">INSTALLER[Installer]</definedName>
    <definedName name="INSTALL" localSheetId="30">INSTALLER[Installer]</definedName>
    <definedName name="INSTALL" localSheetId="32">INSTALLER[Installer]</definedName>
    <definedName name="INSTALL">INSTALLER[Installer]</definedName>
    <definedName name="INSTALLERLIST" localSheetId="28">INSTALLER[Installer]</definedName>
    <definedName name="INSTALLERLIST" localSheetId="30">INSTALLER[Installer]</definedName>
    <definedName name="INSTALLERLIST" localSheetId="32">INSTALLER[Installer]</definedName>
    <definedName name="INSTALLERLIST">INSTALLER[Installer]</definedName>
    <definedName name="InternalLaborCost">TEMPLATE!$L$36</definedName>
    <definedName name="kW_Customer_Total_All">TEMPLATE!$N$21</definedName>
    <definedName name="kW_Customer_Total_Cust">TEMPLATE!$N$20</definedName>
    <definedName name="kW_Reported_Total_All">TEMPLATE!$K$21</definedName>
    <definedName name="kW_Reported_Total_Cust">TEMPLATE!$K$20</definedName>
    <definedName name="kWh_Customer_Total_All">TEMPLATE!$M$21</definedName>
    <definedName name="kWh_Customer_Total_Cust">TEMPLATE!$M$20</definedName>
    <definedName name="kWh_Reported_Total_All">TEMPLATE!$J$21</definedName>
    <definedName name="kWh_Reported_Total_Cust">TEMPLATE!$J$20</definedName>
    <definedName name="KWHRATEMAX">'DATA TABLES_Project'!$D$97</definedName>
    <definedName name="KWHRATEMIN">'DATA TABLES_Project'!$D$96</definedName>
    <definedName name="KWHSTATUS">TEMPLATE!$H$1</definedName>
    <definedName name="KWRATE">'DATA TABLES_Project'!$D$101</definedName>
    <definedName name="LEAKUNIT_List" localSheetId="30">INDEX(#REF!,MATCH(#REF!,#REF!,0)):INDEX(#REF!,MATCH(#REF!,#REF!,1))</definedName>
    <definedName name="Lighting_Building_Type" localSheetId="28">#REF!</definedName>
    <definedName name="Lighting_Building_Type" localSheetId="30">#REF!</definedName>
    <definedName name="Lighting_Building_Type" localSheetId="32">#REF!</definedName>
    <definedName name="Lighting_HVACd_AC_Utility" localSheetId="28">#REF!</definedName>
    <definedName name="Lighting_HVACd_AC_Utility" localSheetId="30">#REF!</definedName>
    <definedName name="Lighting_HVACd_AC_Utility" localSheetId="32">#REF!</definedName>
    <definedName name="Lighting_HVACe" localSheetId="28">#REF!</definedName>
    <definedName name="Lighting_HVACe" localSheetId="30">#REF!</definedName>
    <definedName name="Lighting_HVACe" localSheetId="32">#REF!</definedName>
    <definedName name="Lighting_HVACe_HVACTypes" localSheetId="28">#REF!</definedName>
    <definedName name="Lighting_HVACe_HVACTypes" localSheetId="30">#REF!</definedName>
    <definedName name="Lighting_HVACe_HVACTypes" localSheetId="32">#REF!:#REF!</definedName>
    <definedName name="Lighting_Only_rate">'DATA TABLES_Project'!$D$108</definedName>
    <definedName name="List_ContractorType" localSheetId="28">Tbl_ContractorType[Contractor Type]</definedName>
    <definedName name="List_ContractorType" localSheetId="32">Tbl_ContractorType[Contractor Type]</definedName>
    <definedName name="List_ContractorType">Tbl_ContractorType[Contractor Type]</definedName>
    <definedName name="List_Cust_Ag" localSheetId="28">Tbl_Cust_Ag[Proj Desc 1]</definedName>
    <definedName name="List_Cust_Ag" localSheetId="32">Tbl_Cust_Ag[Proj Desc 1]</definedName>
    <definedName name="List_Cust_Ag">Tbl_Cust_Ag[Proj Desc 1]</definedName>
    <definedName name="List_Cust_Food" localSheetId="28">Tbl_Cust_Food[Proj Desc 1]</definedName>
    <definedName name="List_Cust_Food" localSheetId="32">Tbl_Cust_Food[Proj Desc 1]</definedName>
    <definedName name="List_Cust_Food">Tbl_Cust_Food[Proj Desc 1]</definedName>
    <definedName name="List_Cust_Heat" localSheetId="28">Tbl_Cust_Heat[Proj Desc 1]</definedName>
    <definedName name="List_Cust_Heat" localSheetId="32">Tbl_Cust_Heat[Proj Desc 1]</definedName>
    <definedName name="List_Cust_Heat">Tbl_Cust_Heat[Proj Desc 1]</definedName>
    <definedName name="List_Cust_HVAC" localSheetId="28">Tbl_Cust_HVAC[Proj Desc 1]</definedName>
    <definedName name="List_Cust_HVAC" localSheetId="32">Tbl_Cust_HVAC[Proj Desc 1]</definedName>
    <definedName name="List_Cust_HVAC">Tbl_Cust_HVAC[Proj Desc 1]</definedName>
    <definedName name="List_Cust_Light" localSheetId="28">Tbl_Cust_Light[Proj Desc 1]</definedName>
    <definedName name="List_Cust_Light" localSheetId="32">Tbl_Cust_Light[Proj Desc 1]</definedName>
    <definedName name="List_Cust_Light">Tbl_Cust_Light[Proj Desc 1]</definedName>
    <definedName name="List_Cust_Misc" localSheetId="28">Tbl_Cust_Misc[Proj Desc 1]</definedName>
    <definedName name="List_Cust_Misc" localSheetId="32">Tbl_Cust_Misc[Proj Desc 1]</definedName>
    <definedName name="List_Cust_Misc">Tbl_Cust_Misc[Proj Desc 1]</definedName>
    <definedName name="List_Cust_Plug" localSheetId="28">Tbl_Cust_Plug[Proj Desc 1]</definedName>
    <definedName name="List_Cust_Plug" localSheetId="32">Tbl_Cust_Plug[Proj Desc 1]</definedName>
    <definedName name="List_Cust_Plug">Tbl_Cust_Plug[Proj Desc 1]</definedName>
    <definedName name="List_Cust_Refrig" localSheetId="28">Tbl_Cust_Refrig[Proj Desc 1]</definedName>
    <definedName name="List_Cust_Refrig" localSheetId="32">Tbl_Cust_Refrig[Proj Desc 1]</definedName>
    <definedName name="List_Cust_Refrig">Tbl_Cust_Refrig[Proj Desc 1]</definedName>
    <definedName name="List_Cust_Res" localSheetId="28">Tbl_Cust_Res[Proj Desc 1]</definedName>
    <definedName name="List_Cust_Res" localSheetId="32">Tbl_Cust_Res[Proj Desc 1]</definedName>
    <definedName name="List_Cust_Res">Tbl_Cust_Res[Proj Desc 1]</definedName>
    <definedName name="List_Cust_Water" localSheetId="28">Tbl_Cust_Water[Proj Desc 1]</definedName>
    <definedName name="List_Cust_Water" localSheetId="32">Tbl_Cust_Water[Proj Desc 1]</definedName>
    <definedName name="List_Cust_Water">Tbl_Cust_Water[Proj Desc 1]</definedName>
    <definedName name="List_CustomerType">'DATA TABLES_Project'!$F$35:$F$40</definedName>
    <definedName name="List_ELECTRICUTIL" localSheetId="28">Table_ElecUtility_AccountNum[Electric Utility Name]</definedName>
    <definedName name="List_ELECTRICUTIL" localSheetId="30">Table_ElecUtility_AccountNum[Electric Utility Name]</definedName>
    <definedName name="List_ELECTRICUTIL" localSheetId="32">Table_ElecUtility_AccountNum[Electric Utility Name]</definedName>
    <definedName name="List_ELECTRICUTIL">Table_ElecUtility_AccountNum[Electric Utility Name]</definedName>
    <definedName name="List_EmailProvider" localSheetId="28">SubmissionMethod32[Submission Method]</definedName>
    <definedName name="List_EmailProvider" localSheetId="30">SubmissionMethod32[Submission Method]</definedName>
    <definedName name="List_EmailProvider" localSheetId="32">SubmissionMethod32[Submission Method]</definedName>
    <definedName name="List_EmailProvider">SubmissionMethod32[Submission Method]</definedName>
    <definedName name="LIST_Food_Booster" localSheetId="28">#REF!</definedName>
    <definedName name="LIST_Food_Booster" localSheetId="30">#REF!</definedName>
    <definedName name="LIST_Food_Booster" localSheetId="32">#REF!</definedName>
    <definedName name="List_GASUTIL" localSheetId="28">Table_GasUtility_AccountNum[Gas Utility Name]</definedName>
    <definedName name="List_GASUTIL" localSheetId="30">Table_GasUtility_AccountNum[Gas Utility Name]</definedName>
    <definedName name="List_GASUTIL" localSheetId="32">Table_GasUtility_AccountNum[Gas Utility Name]</definedName>
    <definedName name="List_GASUTIL">Table_GasUtility_AccountNum[Gas Utility Name]</definedName>
    <definedName name="LIST_InstructionsbySubmissionMethod" localSheetId="28">LIST_SubmissionMethod[Welcome Tab Instruction]</definedName>
    <definedName name="LIST_InstructionsbySubmissionMethod" localSheetId="30">LIST_SubmissionMethod[Welcome Tab Instruction]</definedName>
    <definedName name="LIST_InstructionsbySubmissionMethod" localSheetId="32">LIST_SubmissionMethod[Welcome Tab Instruction]</definedName>
    <definedName name="LIST_InstructionsbySubmissionMethod">LIST_SubmissionMethod[Welcome Tab Instruction]</definedName>
    <definedName name="LIST_Payee_Type" localSheetId="28">Table52[]</definedName>
    <definedName name="LIST_Payee_Type" localSheetId="30">Table52[[#All],[Payee Type]]</definedName>
    <definedName name="LIST_Payee_Type" localSheetId="32">Table52[]</definedName>
    <definedName name="LIST_Payee_Type">Table52[]</definedName>
    <definedName name="LIST_Payee_Type_TA">'DATA TABLES_Project'!$A$132:$A$134</definedName>
    <definedName name="LIST_Space_Conditioning" localSheetId="28">SPACEHEAT[Space Conditioning]</definedName>
    <definedName name="LIST_Space_Conditioning" localSheetId="30">SPACEHEAT[[#All],[Space Conditioning]]</definedName>
    <definedName name="LIST_Space_Conditioning" localSheetId="32">SPACEHEAT[Space Conditioning]</definedName>
    <definedName name="LIST_Space_Conditioning">SPACEHEAT[Space Conditioning]</definedName>
    <definedName name="LIST_STD_AG_CAT" localSheetId="28">#REF!</definedName>
    <definedName name="LIST_STD_AG_CAT" localSheetId="30">#REF!</definedName>
    <definedName name="LIST_STD_AG_CAT" localSheetId="32">#REF!</definedName>
    <definedName name="LIST_STD_AG_CAT2" localSheetId="28">INDEX(#REF!,MATCH(#REF!,#REF!,0),1):INDEX(#REF!,MATCH(#REF!,#REF!,1),1)</definedName>
    <definedName name="LIST_STD_AG_CAT2" localSheetId="30">INDEX(#REF!,MATCH(#REF!,#REF!,0),1):INDEX(#REF!,MATCH(#REF!,#REF!,1),1)</definedName>
    <definedName name="LIST_STD_AG_CAT2" localSheetId="32">INDEX(#REF!,MATCH(#REF!,#REF!,0),1):INDEX(#REF!,MATCH(#REF!,#REF!,1),1)</definedName>
    <definedName name="LIST_STD_AG_MEAS" localSheetId="28">#REF!</definedName>
    <definedName name="LIST_STD_AG_MEAS" localSheetId="30">#REF!</definedName>
    <definedName name="LIST_STD_AG_MEAS" localSheetId="32">#REF!</definedName>
    <definedName name="LIST_STD_FOOD_CAT" localSheetId="28">#REF!</definedName>
    <definedName name="LIST_STD_FOOD_CAT" localSheetId="30">#REF!</definedName>
    <definedName name="LIST_STD_FOOD_CAT" localSheetId="32">#REF!</definedName>
    <definedName name="LIST_STD_FOOD_CAT2" localSheetId="28">INDEX(#REF!,MATCH(#REF!,#REF!,0),1):INDEX(#REF!,MATCH(#REF!,#REF!,1),1)</definedName>
    <definedName name="LIST_STD_FOOD_CAT2" localSheetId="30">INDEX(#REF!,MATCH(#REF!,#REF!,0),1):INDEX(#REF!,MATCH(#REF!,#REF!,1),1)</definedName>
    <definedName name="LIST_STD_FOOD_CAT2" localSheetId="32">INDEX(#REF!,MATCH(#REF!,#REF!,0),1):INDEX(#REF!,MATCH(#REF!,#REF!,1),1)</definedName>
    <definedName name="LIST_STD_FOOD_MEAS" localSheetId="28">#REF!</definedName>
    <definedName name="LIST_STD_FOOD_MEAS" localSheetId="30">#REF!</definedName>
    <definedName name="LIST_STD_FOOD_MEAS" localSheetId="32">#REF!</definedName>
    <definedName name="LIST_STD_HEAT_CAT" localSheetId="28">#REF!</definedName>
    <definedName name="LIST_STD_HEAT_CAT" localSheetId="30">#REF!</definedName>
    <definedName name="LIST_STD_HEAT_CAT" localSheetId="32">#REF!</definedName>
    <definedName name="LIST_STD_HEAT_CAT2" localSheetId="28">INDEX(#REF!,MATCH(#REF!,#REF!,0),1):INDEX(#REF!,MATCH(#REF!,#REF!,1),1)</definedName>
    <definedName name="LIST_STD_HEAT_CAT2" localSheetId="30">INDEX(#REF!,MATCH(#REF!,#REF!,0),1):INDEX(#REF!,MATCH(#REF!,#REF!,1),1)</definedName>
    <definedName name="LIST_STD_HEAT_CAT2" localSheetId="32">INDEX(#REF!,MATCH(#REF!,#REF!,0),1):INDEX(#REF!,MATCH(#REF!,#REF!,1),1)</definedName>
    <definedName name="LIST_STD_HEAT_MEAS" localSheetId="28">#REF!</definedName>
    <definedName name="LIST_STD_HEAT_MEAS" localSheetId="30">#REF!</definedName>
    <definedName name="LIST_STD_HEAT_MEAS" localSheetId="32">#REF!</definedName>
    <definedName name="LIST_STD_HVAC_CAT" localSheetId="28">#REF!</definedName>
    <definedName name="LIST_STD_HVAC_CAT" localSheetId="30">#REF!</definedName>
    <definedName name="LIST_STD_HVAC_CAT" localSheetId="32">#REF!</definedName>
    <definedName name="LIST_STD_HVAC_CAT2" localSheetId="28">INDEX(#REF!,MATCH(#REF!,#REF!,0),1):INDEX(#REF!,MATCH(#REF!,#REF!,1),1)</definedName>
    <definedName name="LIST_STD_HVAC_CAT2" localSheetId="30">INDEX(#REF!,MATCH(#REF!,#REF!,0),1):INDEX(#REF!,MATCH(#REF!,#REF!,1),1)</definedName>
    <definedName name="LIST_STD_HVAC_CAT2" localSheetId="32">INDEX(#REF!,MATCH(#REF!,#REF!,0),1):INDEX(#REF!,MATCH(#REF!,#REF!,1),1)</definedName>
    <definedName name="LIST_STD_HVAC_MEAS" localSheetId="28">#REF!</definedName>
    <definedName name="LIST_STD_HVAC_MEAS" localSheetId="30">#REF!</definedName>
    <definedName name="LIST_STD_HVAC_MEAS" localSheetId="32">#REF!</definedName>
    <definedName name="LIST_STD_HVAC_MEAS">#REF!</definedName>
    <definedName name="LIST_STD_LIGHT_MEAS" localSheetId="28">#REF!</definedName>
    <definedName name="LIST_STD_LIGHT_MEAS" localSheetId="30">#REF!</definedName>
    <definedName name="LIST_STD_LIGHT_MEAS" localSheetId="32">#REF!</definedName>
    <definedName name="LIST_STD_LIGHTCONT" localSheetId="28">#REF!</definedName>
    <definedName name="LIST_STD_LIGHTCONT" localSheetId="30">#REF!</definedName>
    <definedName name="LIST_STD_LIGHTCONT" localSheetId="32">#REF!</definedName>
    <definedName name="LIST_STD_MISC_CAT" localSheetId="28">#REF!</definedName>
    <definedName name="LIST_STD_MISC_CAT" localSheetId="30">#REF!</definedName>
    <definedName name="LIST_STD_MISC_CAT" localSheetId="32">#REF!</definedName>
    <definedName name="LIST_STD_MISC_CAT2" localSheetId="28">INDEX(#REF!,MATCH(#REF!,#REF!,0),1):INDEX(#REF!,MATCH(#REF!,#REF!,1),1)</definedName>
    <definedName name="LIST_STD_MISC_CAT2" localSheetId="30">INDEX(#REF!,MATCH(#REF!,#REF!,0),1):INDEX(#REF!,MATCH(#REF!,#REF!,1),1)</definedName>
    <definedName name="LIST_STD_MISC_CAT2" localSheetId="32">INDEX(#REF!,MATCH(#REF!,#REF!,0),1):INDEX(#REF!,MATCH(#REF!,#REF!,1),1)</definedName>
    <definedName name="LIST_STD_PLUG_CAT" localSheetId="28">#REF!</definedName>
    <definedName name="LIST_STD_PLUG_CAT" localSheetId="30">#REF!</definedName>
    <definedName name="LIST_STD_PLUG_CAT" localSheetId="32">#REF!</definedName>
    <definedName name="LIST_STD_PLUG_CAT2" localSheetId="28">INDEX(#REF!,MATCH(#REF!,#REF!,0),1):INDEX(#REF!,MATCH(#REF!,#REF!,1),1)</definedName>
    <definedName name="LIST_STD_PLUG_CAT2" localSheetId="30">INDEX(#REF!,MATCH(#REF!,#REF!,0),1):INDEX(#REF!,MATCH(#REF!,#REF!,1),1)</definedName>
    <definedName name="LIST_STD_PLUG_CAT2" localSheetId="32">INDEX(#REF!,MATCH(#REF!,#REF!,0),1):INDEX(#REF!,MATCH(#REF!,#REF!,1),1)</definedName>
    <definedName name="LIST_STD_PLUG_MEAS" localSheetId="28">#REF!</definedName>
    <definedName name="LIST_STD_PLUG_MEAS" localSheetId="30">#REF!</definedName>
    <definedName name="LIST_STD_PLUG_MEAS" localSheetId="32">#REF!</definedName>
    <definedName name="LIST_STD_REFRIG_CAT" localSheetId="28">#REF!</definedName>
    <definedName name="LIST_STD_REFRIG_CAT" localSheetId="30">#REF!</definedName>
    <definedName name="LIST_STD_REFRIG_CAT" localSheetId="32">#REF!</definedName>
    <definedName name="LIST_STD_REFRIG_CAT2" localSheetId="28">INDEX(#REF!,MATCH(#REF!,#REF!,0),1):INDEX(#REF!,MATCH(#REF!,#REF!,1),1)</definedName>
    <definedName name="LIST_STD_REFRIG_CAT2" localSheetId="30">INDEX(#REF!,MATCH(#REF!,#REF!,0),1):INDEX(#REF!,MATCH(#REF!,#REF!,1),1)</definedName>
    <definedName name="LIST_STD_REFRIG_CAT2" localSheetId="32">INDEX(#REF!,MATCH(#REF!,#REF!,0),1):INDEX(#REF!,MATCH(#REF!,#REF!,1),1)</definedName>
    <definedName name="LIST_STD_REFRIG_MEAS" localSheetId="28">#REF!</definedName>
    <definedName name="LIST_STD_REFRIG_MEAS" localSheetId="30">#REF!</definedName>
    <definedName name="LIST_STD_REFRIG_MEAS" localSheetId="32">#REF!</definedName>
    <definedName name="LIST_STD_RES_CAT" localSheetId="28">#REF!</definedName>
    <definedName name="LIST_STD_RES_CAT" localSheetId="30">#REF!</definedName>
    <definedName name="LIST_STD_RES_CAT" localSheetId="32">#REF!</definedName>
    <definedName name="LIST_STD_RES_CAT2" localSheetId="28">INDEX(#REF!,MATCH(#REF!,#REF!,0),1):INDEX(#REF!,MATCH(#REF!,#REF!,1),1)</definedName>
    <definedName name="LIST_STD_RES_CAT2" localSheetId="30">INDEX(#REF!,MATCH(#REF!,#REF!,0),1):INDEX(#REF!,MATCH(#REF!,#REF!,1),1)</definedName>
    <definedName name="LIST_STD_RES_CAT2" localSheetId="32">INDEX(#REF!,MATCH(#REF!,#REF!,0),1):INDEX(#REF!,MATCH(#REF!,#REF!,1),1)</definedName>
    <definedName name="LIST_STD_WATER_CAT" localSheetId="28">#REF!</definedName>
    <definedName name="LIST_STD_WATER_CAT" localSheetId="30">#REF!</definedName>
    <definedName name="LIST_STD_WATER_CAT" localSheetId="32">#REF!</definedName>
    <definedName name="LIST_STD_WATER_CAT2" localSheetId="28">INDEX(#REF!,MATCH(#REF!,#REF!,0),1):INDEX(#REF!,MATCH(#REF!,#REF!,1),1)</definedName>
    <definedName name="LIST_STD_WATER_CAT2" localSheetId="30">INDEX(#REF!,MATCH(#REF!,#REF!,0),1):INDEX(#REF!,MATCH(#REF!,#REF!,1),1)</definedName>
    <definedName name="LIST_STD_WATER_CAT2" localSheetId="32">INDEX(#REF!,MATCH(#REF!,#REF!,0),1):INDEX(#REF!,MATCH(#REF!,#REF!,1),1)</definedName>
    <definedName name="LIST_Step3Instruction" localSheetId="28">LIST_SubmissionMethod[Submission Instruction]</definedName>
    <definedName name="LIST_Step3Instruction" localSheetId="30">LIST_SubmissionMethod[Submission Instruction]</definedName>
    <definedName name="LIST_Step3Instruction" localSheetId="32">LIST_SubmissionMethod[Submission Instruction]</definedName>
    <definedName name="LIST_Step3Instruction">LIST_SubmissionMethod[Submission Instruction]</definedName>
    <definedName name="LIST_SubmissionMethods" localSheetId="28">LIST_SubmissionMethod[Submission Method]</definedName>
    <definedName name="LIST_SubmissionMethods" localSheetId="30">LIST_SubmissionMethod[Submission Method]</definedName>
    <definedName name="LIST_SubmissionMethods" localSheetId="32">LIST_SubmissionMethod[Submission Method]</definedName>
    <definedName name="LIST_SubmissionMethods">LIST_SubmissionMethod[Submission Method]</definedName>
    <definedName name="List_SubProgramType" localSheetId="28">Tbl_SubProgramType[SubProgram Type]</definedName>
    <definedName name="List_SubProgramType" localSheetId="32">Tbl_SubProgramType[SubProgram Type]</definedName>
    <definedName name="List_SubProgramType">Tbl_SubProgramType[SubProgram Type]</definedName>
    <definedName name="LIST_Transformer_LF" localSheetId="30">#REF!</definedName>
    <definedName name="List_WhoFilling" localSheetId="28">Tbl_WhoFilling[Who is filling out the application]</definedName>
    <definedName name="List_WhoFilling" localSheetId="32">Tbl_WhoFilling[Who is filling out the application]</definedName>
    <definedName name="List_WhoFilling">Tbl_WhoFilling[Who is filling out the application]</definedName>
    <definedName name="LOCATIONTYPELIST" localSheetId="30">#REF!</definedName>
    <definedName name="LOCATIONTYPELIST">#REF!</definedName>
    <definedName name="M01S02F01">'M01-S02'!$K$12</definedName>
    <definedName name="M01S02F01disp">TEMPLATE!$K$82</definedName>
    <definedName name="M01S02F02">'M01-S02'!$U$12</definedName>
    <definedName name="M01S02F02disp">TEMPLATE!$K$83</definedName>
    <definedName name="M01S02F03">'M01-S02'!$U$15</definedName>
    <definedName name="M01S02F03disp">TEMPLATE!$K$84</definedName>
    <definedName name="M01S04" localSheetId="32">'M05-S08'!$F$12</definedName>
    <definedName name="M01S04">'M01-S04'!$F$7</definedName>
    <definedName name="M02S01F01">'M02-S01'!$L$25</definedName>
    <definedName name="M02S01F01disp">TEMPLATE!$K$88</definedName>
    <definedName name="M02S01F02">'M02-S01'!$AD$25</definedName>
    <definedName name="M02S01F02disp">TEMPLATE!$K$89</definedName>
    <definedName name="M02S01F03">'M02-S01'!$AR$25</definedName>
    <definedName name="M02S01F03disp">TEMPLATE!$K$90</definedName>
    <definedName name="M02S02F01">'M02-S02'!$AW$14</definedName>
    <definedName name="M02S02F01disp">TEMPLATE!$K$94</definedName>
    <definedName name="M02S02F02">'M02-S02'!$P$17</definedName>
    <definedName name="M02S02F02disp">TEMPLATE!$K$95</definedName>
    <definedName name="M02S02F03">'M02-S02'!$Y$17</definedName>
    <definedName name="M02S02F03disp">TEMPLATE!$K$96</definedName>
    <definedName name="M02S02F04">'M02-S02'!$AM$17</definedName>
    <definedName name="M02S02F04disp">TEMPLATE!$K$97</definedName>
    <definedName name="M02S02F05">'M02-S02'!$H$21</definedName>
    <definedName name="M02S02F05disp">TEMPLATE!$K$98</definedName>
    <definedName name="M02S02F06">'M02-S02'!$Q$21</definedName>
    <definedName name="M02S02F06disp">TEMPLATE!$K$99</definedName>
    <definedName name="M02S02F07">'M02-S02'!$AF$21</definedName>
    <definedName name="M02S02F07disp">TEMPLATE!$K$100</definedName>
    <definedName name="M02S02F08">'M02-S02'!$AI$21</definedName>
    <definedName name="M02S02F08disp">TEMPLATE!$K$101</definedName>
    <definedName name="M02S02F09">'M02-S02'!$AM$21</definedName>
    <definedName name="M02S02F09disp">TEMPLATE!$K$102</definedName>
    <definedName name="M02S02F10">'M02-S02'!$AT$21</definedName>
    <definedName name="M02S02F10disp">TEMPLATE!$K$103</definedName>
    <definedName name="M02S02F11">'M02-S02'!$AW$21</definedName>
    <definedName name="M02S02F11disp">TEMPLATE!$K$104</definedName>
    <definedName name="M02S02F12">'M02-S02'!$P$27</definedName>
    <definedName name="M02S02F12disp">TEMPLATE!$K$105</definedName>
    <definedName name="M02S02F13">'M02-S02'!$Y$27</definedName>
    <definedName name="M02S02F13disp">TEMPLATE!$K$106</definedName>
    <definedName name="M02S02F14">'M02-S02'!$AF$27</definedName>
    <definedName name="M02S02F14disp">TEMPLATE!$K$107</definedName>
    <definedName name="M02S02F15">'M02-S02'!$Y$31</definedName>
    <definedName name="M02S02F15disp">TEMPLATE!$K$108</definedName>
    <definedName name="M02S02F16">'M02-S02'!$AF$31</definedName>
    <definedName name="M02S02F16disp">TEMPLATE!$K$109</definedName>
    <definedName name="M02S02F17">'M02-S02'!$P$37</definedName>
    <definedName name="M02S02F17disp">TEMPLATE!$K$110</definedName>
    <definedName name="M02S02F18">'M02-S02'!$AB$37</definedName>
    <definedName name="M02S02F18disp">TEMPLATE!$K$111</definedName>
    <definedName name="M02S02F19">'M02-S02'!$AM$37</definedName>
    <definedName name="M02S02F19disp">TEMPLATE!$K$112</definedName>
    <definedName name="M02S02F20">'M02-S02'!$P$41</definedName>
    <definedName name="M02S02F20disp">TEMPLATE!$K$113</definedName>
    <definedName name="M02S02F21">'M02-S02'!$W$41</definedName>
    <definedName name="M02S02F21disp">TEMPLATE!$K$114</definedName>
    <definedName name="M02S02F22">'M02-S02'!$AB$41</definedName>
    <definedName name="M02S02F22disp">TEMPLATE!$K$115</definedName>
    <definedName name="M02S02F23">'M02-S02'!$AG$41</definedName>
    <definedName name="M02S02F23disp">TEMPLATE!$K$116</definedName>
    <definedName name="M02S02F24">'M02-S02'!$AM$41</definedName>
    <definedName name="M02S02F24disp">TEMPLATE!$K$117</definedName>
    <definedName name="M02S02F25">'M02-S02'!$J$47</definedName>
    <definedName name="M02S02F25disp">TEMPLATE!$K$118</definedName>
    <definedName name="M02S02F26">'M02-S02'!$R$47</definedName>
    <definedName name="M02S02F26disp">TEMPLATE!$K$119</definedName>
    <definedName name="M02S02F27">'M02-S02'!$J$51</definedName>
    <definedName name="M02S02F27disp">TEMPLATE!$K$120</definedName>
    <definedName name="M02S02F28">'M02-S02'!$R$51</definedName>
    <definedName name="M02S02F28disp">TEMPLATE!$K$121</definedName>
    <definedName name="M02S02F29">'M02-S02'!$Y$51</definedName>
    <definedName name="M02S02F29disp">TEMPLATE!$K$122</definedName>
    <definedName name="M02S02F30">'M02-S02'!$Y$55</definedName>
    <definedName name="M02S02F30disp">TEMPLATE!$K$123</definedName>
    <definedName name="M02S02F31">'M02-S02'!$AF$46</definedName>
    <definedName name="M02S02F31disp">TEMPLATE!$K$124</definedName>
    <definedName name="M02S02F32">'M02-S02'!$AG$37</definedName>
    <definedName name="M02S02F32disp">TEMPLATE!$K$125</definedName>
    <definedName name="M02S02F33">'M02-S02'!$X$21</definedName>
    <definedName name="M02S02F33disp">TEMPLATE!$K$126</definedName>
    <definedName name="M02S03F01">'M02-S03'!$U$17</definedName>
    <definedName name="M02S03F01disp">TEMPLATE!$K$129</definedName>
    <definedName name="M02S03F02">'M02-S03'!$AQ$17</definedName>
    <definedName name="M02S03F02disp">TEMPLATE!$K$130</definedName>
    <definedName name="M02S03F03">'M02-S03'!$U$21</definedName>
    <definedName name="M02S03F03disp">TEMPLATE!$K$131</definedName>
    <definedName name="M02S03F04">'M02-S03'!$AB$21</definedName>
    <definedName name="M02S03F04disp">TEMPLATE!$K$132</definedName>
    <definedName name="M02S03F05">'M02-S03'!$AJ$21</definedName>
    <definedName name="M02S03F05disp">TEMPLATE!$K$133</definedName>
    <definedName name="M02S03F06">'M02-S03'!$N$25</definedName>
    <definedName name="M02S03F06disp">TEMPLATE!$K$134</definedName>
    <definedName name="M02S03F07">'M02-S03'!$U$25</definedName>
    <definedName name="M02S03F07disp">TEMPLATE!$K$135</definedName>
    <definedName name="M02S03F08">'M02-S03'!$AB$25</definedName>
    <definedName name="M02S03F08disp">TEMPLATE!$K$136</definedName>
    <definedName name="M02S03F09">'M02-S03'!$AJ$25</definedName>
    <definedName name="M02S03F09disp">TEMPLATE!$K$137</definedName>
    <definedName name="M02S03F10">'M02-S03'!$AQ$25</definedName>
    <definedName name="M02S03F10disp">TEMPLATE!$K$138</definedName>
    <definedName name="M02S03F11">'M02-S03'!$AT$25</definedName>
    <definedName name="M02S03F11disp">TEMPLATE!$K$139</definedName>
    <definedName name="M02S03F12">'M02-S03'!$AD$31</definedName>
    <definedName name="M02S03F12disp">TEMPLATE!$K$140</definedName>
    <definedName name="M02S03F13">'M02-S03'!$U$35</definedName>
    <definedName name="M02S03F13disp">TEMPLATE!$K$141</definedName>
    <definedName name="M02S03F14">'M02-S03'!$AB$35</definedName>
    <definedName name="M02S03F14disp">TEMPLATE!$K$142</definedName>
    <definedName name="M02S03F15">'M02-S03'!$N$39</definedName>
    <definedName name="M02S03F15disp">TEMPLATE!$K$143</definedName>
    <definedName name="M02S03F16">'M02-S03'!$U$39</definedName>
    <definedName name="M02S03F16disp">TEMPLATE!$K$144</definedName>
    <definedName name="M02S03F17">'M02-S03'!$AB$39</definedName>
    <definedName name="M02S03F17disp">TEMPLATE!$K$145</definedName>
    <definedName name="M02S04F01">'M02-S04'!$V$14</definedName>
    <definedName name="M02S04F01disp">TEMPLATE!$K$149</definedName>
    <definedName name="M02S04F02">'M02-S04'!$AD$14</definedName>
    <definedName name="M02S04F02disp">TEMPLATE!$K$150</definedName>
    <definedName name="M02S04F03">'M02-S04'!$AK$14</definedName>
    <definedName name="M02S04F03disp">TEMPLATE!$K$151</definedName>
    <definedName name="M02S04F04">'M02-S04'!$V$18</definedName>
    <definedName name="M02S04F04disp">TEMPLATE!$K$152</definedName>
    <definedName name="M02S04F05">'M02-S04'!$AK$18</definedName>
    <definedName name="M02S04F05disp">TEMPLATE!$K$153</definedName>
    <definedName name="M02S04F06">'M02-S04'!$AR$18</definedName>
    <definedName name="M02S04F06disp">TEMPLATE!$K$154</definedName>
    <definedName name="M02S04F07">'M02-S04'!$AU$18</definedName>
    <definedName name="M02S04F07disp">TEMPLATE!$K$155</definedName>
    <definedName name="M02S04F08">'M02-S04'!$AD$24</definedName>
    <definedName name="M02S04F08disp">TEMPLATE!$K$156</definedName>
    <definedName name="M02S04F09">'M02-S04'!$AK$24</definedName>
    <definedName name="M02S04F09disp">TEMPLATE!$K$157</definedName>
    <definedName name="M02S04F10">'M02-S04'!$AD$28</definedName>
    <definedName name="M02S04F10disp">TEMPLATE!$K$158</definedName>
    <definedName name="M02S04F11">'M02-S04'!$AK$28</definedName>
    <definedName name="M02S04F11disp">TEMPLATE!$K$159</definedName>
    <definedName name="M02S04F12">'M02-S04'!$AR$28</definedName>
    <definedName name="M02S04F12disp">TEMPLATE!$K$160</definedName>
    <definedName name="M02S04F13">'M02-S04'!$AD$34</definedName>
    <definedName name="M02S04F13disp">TEMPLATE!$K$161</definedName>
    <definedName name="M02S04F14">'M02-S04'!$AK$34</definedName>
    <definedName name="M02S04F14disp">TEMPLATE!$K$162</definedName>
    <definedName name="M02S04F15">'M02-S04'!$AD$37</definedName>
    <definedName name="M02S04F15disp">TEMPLATE!$K$163</definedName>
    <definedName name="M02S04F16">'M02-S04'!$AK$37</definedName>
    <definedName name="M02S04F16disp">TEMPLATE!$K$164</definedName>
    <definedName name="M02S04F17">'M02-S04'!$AR$37</definedName>
    <definedName name="M02S04F17disp">TEMPLATE!$K$165</definedName>
    <definedName name="M05S01AF01">'M05-S01a'!$AE$44</definedName>
    <definedName name="M05S01AF01disp">TEMPLATE!$K$174</definedName>
    <definedName name="M05S01AF02">'M05-S01a'!$P$50</definedName>
    <definedName name="M05S01AF02disp">TEMPLATE!$K$175</definedName>
    <definedName name="M05S01AF03">'M05-S01a'!$AE$50</definedName>
    <definedName name="M05S01AF03disp">TEMPLATE!$K$176</definedName>
    <definedName name="M05S01AF04">'M05-S01a'!$AE$54</definedName>
    <definedName name="M05S01AF04disp">TEMPLATE!$K$177</definedName>
    <definedName name="M05S01AF05">'M05-S01a'!$AG$54</definedName>
    <definedName name="M05S01AF05disp">TEMPLATE!$K$178</definedName>
    <definedName name="M05S01AF06">'M05-S01a'!$P$58</definedName>
    <definedName name="M05S01AF06disp">TEMPLATE!$K$179</definedName>
    <definedName name="M05S01AF07">'M05-S01a'!$W$58</definedName>
    <definedName name="M05S01AF07disp">TEMPLATE!$K$180</definedName>
    <definedName name="M05S01AF08">'M05-S01a'!$AE$58</definedName>
    <definedName name="M05S01AF08disp">TEMPLATE!$K$181</definedName>
    <definedName name="M05S01AF09">'M05-S01a'!$P$62</definedName>
    <definedName name="M05S01AF09disp">TEMPLATE!$K$182</definedName>
    <definedName name="M05S01AF10">'M05-S01a'!$W$62</definedName>
    <definedName name="M05S01AF10disp">TEMPLATE!$K$183</definedName>
    <definedName name="M05S01AF11">'M05-S01a'!$AE$62</definedName>
    <definedName name="M05S01AF11disp">TEMPLATE!$K$184</definedName>
    <definedName name="M05S01AF12">'M05-S01a'!$AL$62</definedName>
    <definedName name="M05S01AF12disp">TEMPLATE!$K$185</definedName>
    <definedName name="M05S01AF13">'M05-S01a'!$AO$62</definedName>
    <definedName name="M05S01AF13disp">TEMPLATE!$K$186</definedName>
    <definedName name="M05S01AF14">'M05-S01a'!$U$73</definedName>
    <definedName name="M05S01AF14disp">TEMPLATE!$K$187</definedName>
    <definedName name="M05S01AF15">'M05-S01a'!$U$77</definedName>
    <definedName name="M05S01AF15disp">TEMPLATE!$K$188</definedName>
    <definedName name="M05S01AF16">'M05-S01a'!$AI$77</definedName>
    <definedName name="M05S01AF16disp">TEMPLATE!$K$189</definedName>
    <definedName name="M05S01BF01">'M05-S01b'!$Z$53</definedName>
    <definedName name="M05S01BF01disp">TEMPLATE!$K$194</definedName>
    <definedName name="M05S01BF02">'M05-S01b'!$AJ$53</definedName>
    <definedName name="M05S01BF02disp">TEMPLATE!$K$195</definedName>
    <definedName name="M05S01BF03">'M05-S01b'!$P$61</definedName>
    <definedName name="M05S01BF03disp">TEMPLATE!$K$196</definedName>
    <definedName name="M05S01BF04">'M05-S01b'!#REF!</definedName>
    <definedName name="M05S01BF04disp">TEMPLATE!#REF!</definedName>
    <definedName name="M05S01BF05">'M05-S01b'!#REF!</definedName>
    <definedName name="M05S01BF05disp">TEMPLATE!#REF!</definedName>
    <definedName name="M05S01BF06">'M05-S01b'!#REF!</definedName>
    <definedName name="M05S01BF06disp">TEMPLATE!#REF!</definedName>
    <definedName name="M05S01BF07">'M05-S01b'!$AE$61</definedName>
    <definedName name="M05S01BF07disp">TEMPLATE!$K$197</definedName>
    <definedName name="M05S01BF08">'M05-S01b'!$P$70</definedName>
    <definedName name="M05S01BF08disp">TEMPLATE!$K$198</definedName>
    <definedName name="M05S01BF09">'M05-S01b'!$V$70</definedName>
    <definedName name="M05S01BF09disp">TEMPLATE!$K$199</definedName>
    <definedName name="M05S01BF10">'M05-S01b'!$P$76</definedName>
    <definedName name="M05S01BF10disp">TEMPLATE!$K$200</definedName>
    <definedName name="M05S01BF11">'M05-S01b'!$AE$70</definedName>
    <definedName name="M05S01BF11disp">TEMPLATE!$K$201</definedName>
    <definedName name="M05S01BF12">'M05-S01b'!$AK$70</definedName>
    <definedName name="M05S01BF12disp">TEMPLATE!$K$202</definedName>
    <definedName name="M05S01BF13">'M05-S01b'!#REF!</definedName>
    <definedName name="M05S01BF13disp">TEMPLATE!#REF!</definedName>
    <definedName name="M05S01BF14">'M05-S01b'!$P$73</definedName>
    <definedName name="M05S01BF14disp">TEMPLATE!$K$203</definedName>
    <definedName name="M05S01BF15">'M05-S01b'!$V$73</definedName>
    <definedName name="M05S01BF15disp">TEMPLATE!$K$204</definedName>
    <definedName name="M05S01BF17">'M05-S01b'!$V$76</definedName>
    <definedName name="M05S01BF17disp">TEMPLATE!$K$205</definedName>
    <definedName name="M05S01BF18">'M05-S01b'!#REF!</definedName>
    <definedName name="M05S01BF18disp">TEMPLATE!#REF!</definedName>
    <definedName name="M05S01BF19">'M05-S01b'!$AE$73</definedName>
    <definedName name="M05S01BF19disp">TEMPLATE!$K$206</definedName>
    <definedName name="M05S01BF20">'M05-S01b'!$AK$73</definedName>
    <definedName name="M05S01BF20disp">TEMPLATE!$K$207</definedName>
    <definedName name="M05S01BF21">'M05-S01b'!$P$64</definedName>
    <definedName name="M05S01BF21disp">TEMPLATE!$K$208</definedName>
    <definedName name="M05S01BF22">'M05-S01b'!$AE$64</definedName>
    <definedName name="M05S01BF22disp">TEMPLATE!$K$209</definedName>
    <definedName name="M05S01BF23">'M05-S01b'!$P$67</definedName>
    <definedName name="M05S01BF23disp">TEMPLATE!$K$210</definedName>
    <definedName name="M05S01BF24">'M05-S01b'!$W$67</definedName>
    <definedName name="M05S01BF24disp">TEMPLATE!$K$211</definedName>
    <definedName name="M05S01BF25">'M05-S01b'!$Z$67</definedName>
    <definedName name="M05S01BF25disp">TEMPLATE!$K$212</definedName>
    <definedName name="M05S01BF26">'M05-S01b'!#REF!</definedName>
    <definedName name="M05S01BF26disp">TEMPLATE!#REF!</definedName>
    <definedName name="M05S01BF27">'M05-S01b'!$AE$67</definedName>
    <definedName name="M05S01BF27disp">TEMPLATE!$K$213</definedName>
    <definedName name="M05S01BF28">'M05-S01b'!$AL$67</definedName>
    <definedName name="M05S01BF28disp">TEMPLATE!$K$214</definedName>
    <definedName name="M05S01BF29">'M05-S01b'!$AO$67</definedName>
    <definedName name="M05S01BF29disp">TEMPLATE!$K$215</definedName>
    <definedName name="M05S01BF30">'M05-S01b'!$P$109</definedName>
    <definedName name="M05S01BF30disp">TEMPLATE!$K$216</definedName>
    <definedName name="M05S01BF31">'M05-S01b'!$AC$109</definedName>
    <definedName name="M05S01BF31disp">TEMPLATE!$K$217</definedName>
    <definedName name="M05S01BF32">'M05-S01b'!$AM$109</definedName>
    <definedName name="M05S01BF32disp">TEMPLATE!$K$218</definedName>
    <definedName name="M05S01BF33">'M05-S01b'!$AE$76</definedName>
    <definedName name="M05S01BF33disp">TEMPLATE!$K$219</definedName>
    <definedName name="M05S01BF34">'M05-S01b'!$AL$76</definedName>
    <definedName name="M05S01BF34disp">TEMPLATE!$K$220</definedName>
    <definedName name="M05S01BF35">'M05-S01b'!$AN$76</definedName>
    <definedName name="M05S01BF35disp">TEMPLATE!$K$221</definedName>
    <definedName name="M05S01BF36">'M05-S01b'!#REF!</definedName>
    <definedName name="M05S01BF36disp">TEMPLATE!$K$222</definedName>
    <definedName name="M05S01F01">'M05-S01a'!$BL$26</definedName>
    <definedName name="M05S01F02" localSheetId="23">'M05-S01b'!#REF!</definedName>
    <definedName name="M05S01F02">'M05-S01a'!$P$50</definedName>
    <definedName name="M05S01F03" localSheetId="23">'M05-S01b'!#REF!</definedName>
    <definedName name="M05S01F03">'M05-S01a'!$AE$58</definedName>
    <definedName name="M05S01F04">'M05-S01a'!$AE$62</definedName>
    <definedName name="M05S01F05">'M05-S01a'!$AL$62</definedName>
    <definedName name="M05S01F06">'M05-S01a'!#REF!</definedName>
    <definedName name="M05S01F07">'M05-S01a'!$P$58</definedName>
    <definedName name="M05S01F08">'M05-S01a'!$W$58</definedName>
    <definedName name="M05S01F09">'M05-S01a'!$P$62</definedName>
    <definedName name="M05S01F10">'M05-S01a'!$W$62</definedName>
    <definedName name="M05S01F11">'M05-S01a'!$AE$50</definedName>
    <definedName name="M05S01F12">'M05-S01a'!$AE$54</definedName>
    <definedName name="M05S01F13">'M05-S01a'!$AG$54</definedName>
    <definedName name="M05S01F14">'M05-S01a'!$EF$18</definedName>
    <definedName name="M05S02F01" localSheetId="30">'M02-S02'!#REF!</definedName>
    <definedName name="M05S02F01">'M02-S02'!#REF!</definedName>
    <definedName name="M05S02F02" localSheetId="30">'M02-S02'!#REF!</definedName>
    <definedName name="M05S02F02">'M02-S02'!#REF!</definedName>
    <definedName name="M05S02HIDE">'M05-S02'!$H$6</definedName>
    <definedName name="M05S04F01">#REF!</definedName>
    <definedName name="M05S04F02">#REF!</definedName>
    <definedName name="M05S04F03">#REF!</definedName>
    <definedName name="M05S04F04">#REF!</definedName>
    <definedName name="M05S05F01" localSheetId="28">'M05-S04'!$Q$77</definedName>
    <definedName name="M05S05F01" localSheetId="30">'M05-S06'!#REF!</definedName>
    <definedName name="M05S05F01">'M05-S05'!$Q$63</definedName>
    <definedName name="M05S05F02" localSheetId="28">'M05-S04'!$Y$77</definedName>
    <definedName name="M05S05F02" localSheetId="30">'M05-S06'!#REF!</definedName>
    <definedName name="M05S05F02">'M05-S05'!$Y$63</definedName>
    <definedName name="M05S06F01">'M05-S06'!$P$201</definedName>
    <definedName name="M05S06F01disp">TEMPLATE!$K$231</definedName>
    <definedName name="M05S06F02">'M05-S06'!$AC$201</definedName>
    <definedName name="M05S06F02disp">TEMPLATE!$K$232</definedName>
    <definedName name="M05S06F03">'M05-S06'!$AC$205</definedName>
    <definedName name="M05S06F03disp">TEMPLATE!$K$233</definedName>
    <definedName name="M05S06F04">'M05-S06'!$P$205</definedName>
    <definedName name="M05S06F05">'M05-S06'!$P$209</definedName>
    <definedName name="M05S06F06">'M05-S06'!$AC$209</definedName>
    <definedName name="M05S06F07">'M05-S06'!$P$213</definedName>
    <definedName name="M05S06F08">'M05-S06'!$AC$213</definedName>
    <definedName name="M05S06F09">'M05-S06'!$W$42</definedName>
    <definedName name="M05S06F10">'M05-S06'!$AO$44</definedName>
    <definedName name="M05S06F11">'M05-S06'!$AL$43</definedName>
    <definedName name="M05S07F02">'M05-S07'!$AU$18</definedName>
    <definedName name="M05S07F03">'M05-S07'!$AU$19</definedName>
    <definedName name="M05S07F04">'M05-S07'!$AU$20</definedName>
    <definedName name="M05S07F05">'M05-S07'!$AU$21</definedName>
    <definedName name="M05S07F06">'M05-S07'!$AU$22</definedName>
    <definedName name="M05S07F07">'M05-S07'!$L$23</definedName>
    <definedName name="M05S07F08">'M05-S07'!$AF$17</definedName>
    <definedName name="M05S07F09">'M05-S07'!$AF$23</definedName>
    <definedName name="M05S07F10">'M05-S07'!$L$24</definedName>
    <definedName name="M05S07F11">'M05-S07'!$AU$23</definedName>
    <definedName name="M05S07F12C">'M05-S07'!$AU$71</definedName>
    <definedName name="M05S07F12O">'M05-S07'!$AE$71</definedName>
    <definedName name="M05S07F13C">'M05-S07'!$AU$72</definedName>
    <definedName name="M05S07F13O">'M05-S07'!$AE$72</definedName>
    <definedName name="M05S07F14C">'M05-S07'!$AU$73</definedName>
    <definedName name="M05S07F14O">'M05-S07'!$AE$73</definedName>
    <definedName name="M05S07F15C">'M05-S07'!$AU$74</definedName>
    <definedName name="M05S07F15O">'M05-S07'!$AE$74</definedName>
    <definedName name="M05S07F16C">'M05-S07'!$AU$75</definedName>
    <definedName name="M05S07F16O">'M05-S07'!$AE$75</definedName>
    <definedName name="M05S07F17C">'M05-S07'!$AU$76</definedName>
    <definedName name="M05S07F17O">'M05-S07'!$AE$76</definedName>
    <definedName name="M05S07F18C">'M05-S07'!$AU$77</definedName>
    <definedName name="M05S07F18O">'M05-S07'!$AE$77</definedName>
    <definedName name="M05S07F19C">'M05-S07'!$AU$78</definedName>
    <definedName name="M05S07F19O">'M05-S07'!$AE$78</definedName>
    <definedName name="M05S07F20">'M05-S07'!$BN$17</definedName>
    <definedName name="M05S07F20C">'M05-S07'!$AU$79</definedName>
    <definedName name="M05S07F20O">'M05-S07'!$AE$79</definedName>
    <definedName name="M05S07F21">'M05-S07'!$L$25</definedName>
    <definedName name="M05S07F21C">'M05-S07'!$AU$80</definedName>
    <definedName name="M05S07F21O">'M05-S07'!$AE$80</definedName>
    <definedName name="M05S07F22C">'M05-S07'!$AU$81</definedName>
    <definedName name="M05S07F22O">'M05-S07'!$AE$81</definedName>
    <definedName name="M05S07F23C">'M05-S07'!$AU$82</definedName>
    <definedName name="M05S07F23O">'M05-S07'!$AE$82</definedName>
    <definedName name="M05S07F24C">'M05-S07'!$AU$83</definedName>
    <definedName name="M05S07F24O">'M05-S07'!$AE$83</definedName>
    <definedName name="M05S08F01">'M05-S08'!$U$21</definedName>
    <definedName name="M05S08F03">'M05-S08'!$F$28</definedName>
    <definedName name="M05S08F04">'M05-S08'!$P$28</definedName>
    <definedName name="M05S08F05">'M05-S08'!$U$28</definedName>
    <definedName name="M05S08F06">'M05-S08'!$Z$28</definedName>
    <definedName name="M05S08F07">'M05-S08'!$AE$28</definedName>
    <definedName name="M05S08F08">'M05-S08'!$AJ$28</definedName>
    <definedName name="M05S08F09">'M05-S08'!$AO$28</definedName>
    <definedName name="M05S08F10">'M05-S08'!$BC$28</definedName>
    <definedName name="M05S08F11">'M05-S08'!$AO$21</definedName>
    <definedName name="M05S08F12">'M05-S08'!$AX$21</definedName>
    <definedName name="M05S08F13">'M05-S08'!$AO$23</definedName>
    <definedName name="M05S08F14">'M05-S08'!$AX$23</definedName>
    <definedName name="M05S08F15">'M05-S08'!$AT$28</definedName>
    <definedName name="M1S1">TEMPLATE!$B$10</definedName>
    <definedName name="M1S2">TEMPLATE!$B$11</definedName>
    <definedName name="M1S3">TEMPLATE!$B$12</definedName>
    <definedName name="M1S4">TEMPLATE!$B$13</definedName>
    <definedName name="M1S5">TEMPLATE!$B$14</definedName>
    <definedName name="M1S6">TEMPLATE!$B$15</definedName>
    <definedName name="M1S7">TEMPLATE!$B$16</definedName>
    <definedName name="M1S8">TEMPLATE!$B$17</definedName>
    <definedName name="M2S1">TEMPLATE!$B$19</definedName>
    <definedName name="M2S2">TEMPLATE!$B$20</definedName>
    <definedName name="M2S3">TEMPLATE!$B$21</definedName>
    <definedName name="M2S4">TEMPLATE!$B$22</definedName>
    <definedName name="M2S5">TEMPLATE!$B$23</definedName>
    <definedName name="M2S6">TEMPLATE!$B$24</definedName>
    <definedName name="M2S7">TEMPLATE!$B$25</definedName>
    <definedName name="M2S8">TEMPLATE!$B$26</definedName>
    <definedName name="M3S1">TEMPLATE!$B$28</definedName>
    <definedName name="M4S1">TEMPLATE!$B$40</definedName>
    <definedName name="M4S10">TEMPLATE!$B$49</definedName>
    <definedName name="M4S11">TEMPLATE!$B$50</definedName>
    <definedName name="M4S2">TEMPLATE!$B$41</definedName>
    <definedName name="M4S3">TEMPLATE!$B$42</definedName>
    <definedName name="M4S4">TEMPLATE!$B$43</definedName>
    <definedName name="M4S4UNITCHECK">'M04-S04'!$BA$200</definedName>
    <definedName name="M4S5">TEMPLATE!$B$44</definedName>
    <definedName name="M4S5UNITCHECK">'M04-S05'!$BA$200</definedName>
    <definedName name="M4S6">TEMPLATE!$B$45</definedName>
    <definedName name="M4S6UNITCHECK">'M04-S06'!$BA$200</definedName>
    <definedName name="M4S7">TEMPLATE!$B$46</definedName>
    <definedName name="M4S7UNITCHECK">'M04-S07'!$BA$200</definedName>
    <definedName name="M4S8">TEMPLATE!$B$47</definedName>
    <definedName name="M4S8UNITCHECK">'M04-S08'!$BA$200</definedName>
    <definedName name="M4S9">TEMPLATE!$B$48</definedName>
    <definedName name="M4S9UNITCHECK">'M04-S09'!$BA$200</definedName>
    <definedName name="M5S1a">TEMPLATE!$B$52</definedName>
    <definedName name="M5S1b">TEMPLATE!$B$53</definedName>
    <definedName name="M5S2">TEMPLATE!$B$54</definedName>
    <definedName name="M5S3">TEMPLATE!$B$55</definedName>
    <definedName name="M5S4">TEMPLATE!$B$56</definedName>
    <definedName name="M5S5">TEMPLATE!$B$57</definedName>
    <definedName name="M5S6">TEMPLATE!$B$58</definedName>
    <definedName name="M5S7">TEMPLATE!$B$59</definedName>
    <definedName name="M5S8">TEMPLATE!$B$60</definedName>
    <definedName name="M6S1">TEMPLATE!$B$62</definedName>
    <definedName name="M6S2">TEMPLATE!$B$63</definedName>
    <definedName name="M6S3">TEMPLATE!$B$64</definedName>
    <definedName name="M6S4">TEMPLATE!$B$65</definedName>
    <definedName name="M6S5">TEMPLATE!$B$66</definedName>
    <definedName name="M6S6">TEMPLATE!$B$67</definedName>
    <definedName name="M6S7">TEMPLATE!$B$68</definedName>
    <definedName name="M6S8">TEMPLATE!$B$69</definedName>
    <definedName name="M7S1">TEMPLATE!$B$71</definedName>
    <definedName name="M7S2">TEMPLATE!$B$72</definedName>
    <definedName name="M7S3">TEMPLATE!$B$73</definedName>
    <definedName name="M7S4">TEMPLATE!$B$74</definedName>
    <definedName name="M7S5">TEMPLATE!$B$75</definedName>
    <definedName name="M7S6">TEMPLATE!$B$76</definedName>
    <definedName name="M7S7">TEMPLATE!$B$77</definedName>
    <definedName name="M7S8">TEMPLATE!$B$78</definedName>
    <definedName name="MAIN1">TEMPLATE!$B$9</definedName>
    <definedName name="MAIN2">TEMPLATE!$B$18</definedName>
    <definedName name="MAIN3">TEMPLATE!$B$27</definedName>
    <definedName name="MAIN4">TEMPLATE!$B$39</definedName>
    <definedName name="MAIN5">TEMPLATE!$B$51</definedName>
    <definedName name="MAIN6">TEMPLATE!$B$61</definedName>
    <definedName name="MAIN7">TEMPLATE!$B$70</definedName>
    <definedName name="MEASTOTALALL">TEMPLATE!$H$21</definedName>
    <definedName name="MEASTOTALCUSE">TEMPLATE!$H$20</definedName>
    <definedName name="MEASTOTALPRESE">TEMPLATE!#REF!</definedName>
    <definedName name="MEASUREBLDG">'DATA TABLES_Project'!$C$85</definedName>
    <definedName name="MEASURECB">'DATA TABLES_Project'!$C$79</definedName>
    <definedName name="MEASUREELI">'DATA TABLES_Project'!$C$76</definedName>
    <definedName name="MEASUREINCR">'DATA TABLES_Project'!$C$89</definedName>
    <definedName name="MEASURELPD">'DATA TABLES_Project'!$C$88</definedName>
    <definedName name="MEASUREPAY">'DATA TABLES_Project'!$C$78</definedName>
    <definedName name="MEASURERATE">'DATA TABLES_Project'!$C$81</definedName>
    <definedName name="MEASURESAVE">'DATA TABLES_Project'!$C$77</definedName>
    <definedName name="MEASURESITE">'DATA TABLES_Project'!$C$86</definedName>
    <definedName name="MEASURESTEP1">'DATA TABLES_Project'!$C$87</definedName>
    <definedName name="MEASURESUBMIT">'DATA TABLES_Project'!$C$80</definedName>
    <definedName name="MS02S02F1">'M02-S02'!$P$17</definedName>
    <definedName name="MS2S2F00">'M02-S02'!$P$17</definedName>
    <definedName name="NCLIGHTINGCAP">'DATA TABLES_Project'!$D$104</definedName>
    <definedName name="NCLIGHTINGRATE">'DATA TABLES_Project'!$D$103</definedName>
    <definedName name="OBR_Amount_Requested">'M05-S01b'!$Z$56</definedName>
    <definedName name="OBR_Amount_Requested_Final">'M05-S06'!$W$43</definedName>
    <definedName name="OVERRIDETOTAL">TEMPLATE!#REF!</definedName>
    <definedName name="PAYALL">TEMPLATE!$V$22</definedName>
    <definedName name="PAYBACKREQ">'DATA TABLES_Project'!$D$95</definedName>
    <definedName name="PAYCUSE">TEMPLATE!$V$21</definedName>
    <definedName name="PayeeChckBox">TEMPLATE!$C$188</definedName>
    <definedName name="PAYMENTLIST" localSheetId="28">PAYMENT[Payment to]</definedName>
    <definedName name="PAYMENTLIST" localSheetId="30">PAYMENT[Payment to]</definedName>
    <definedName name="PAYMENTLIST" localSheetId="32">PAYMENT[Payment to]</definedName>
    <definedName name="PAYMENTLIST">PAYMENT[Payment to]</definedName>
    <definedName name="PAYPRESE">TEMPLATE!$V$20</definedName>
    <definedName name="PAYTO" localSheetId="28">PAYMENT[Payment to]</definedName>
    <definedName name="PAYTO" localSheetId="30">PAYMENT[Payment to]</definedName>
    <definedName name="PAYTO" localSheetId="32">PAYMENT[Payment to]</definedName>
    <definedName name="PAYTO">PAYMENT[Payment to]</definedName>
    <definedName name="PEAKTD">#REF!</definedName>
    <definedName name="PL_VMC_table" localSheetId="28">#REF!</definedName>
    <definedName name="PL_VMC_table" localSheetId="32">#REF!</definedName>
    <definedName name="PlugLoad_PowerStrip_table" localSheetId="28">#REF!</definedName>
    <definedName name="PlugLoad_PowerStrip_table" localSheetId="32">#REF!</definedName>
    <definedName name="PNAME">TEMPLATE!$B$2</definedName>
    <definedName name="PortalLink">'DATA TABLES_Project'!$G$4</definedName>
    <definedName name="_xlnm.Print_Area" localSheetId="1">'M01-S01'!$A$4:$BG$197</definedName>
    <definedName name="_xlnm.Print_Area" localSheetId="2">'M01-S02'!$A$4:$BG$188</definedName>
    <definedName name="_xlnm.Print_Area" localSheetId="3">'M01-S03'!$A$4:$BG$202</definedName>
    <definedName name="_xlnm.Print_Area" localSheetId="4">'M01-S04'!$A$4:$BG$75</definedName>
    <definedName name="_xlnm.Print_Area" localSheetId="24">'M02-S01'!$A$5:$BV$202</definedName>
    <definedName name="_xlnm.Print_Area" localSheetId="6">'M02-S02'!$A$5:$BP$202</definedName>
    <definedName name="_xlnm.Print_Area" localSheetId="7">'M02-S03'!$A$1:$AS$208</definedName>
    <definedName name="_xlnm.Print_Area" localSheetId="8">'M02-S04'!$A$1:$AS$213</definedName>
    <definedName name="_xlnm.Print_Area" localSheetId="9">'M03-S01'!$A$5:$BO$418</definedName>
    <definedName name="_xlnm.Print_Area" localSheetId="12">'M04-S02'!$A$5:$BV$418</definedName>
    <definedName name="_xlnm.Print_Area" localSheetId="13">'M04-S03'!$A$5:$BV$418</definedName>
    <definedName name="_xlnm.Print_Area" localSheetId="14">'M04-S04'!$A$5:$CA$418</definedName>
    <definedName name="_xlnm.Print_Area" localSheetId="15">'M04-S05'!$A$5:$CA$418</definedName>
    <definedName name="_xlnm.Print_Area" localSheetId="16">'M04-S06'!$A$5:$CA$418</definedName>
    <definedName name="_xlnm.Print_Area" localSheetId="17">'M04-S07'!$A$5:$CA$418</definedName>
    <definedName name="_xlnm.Print_Area" localSheetId="18">'M04-S08'!$A$5:$CA$418</definedName>
    <definedName name="_xlnm.Print_Area" localSheetId="19">'M04-S09'!$A$5:$CA$418</definedName>
    <definedName name="_xlnm.Print_Area" localSheetId="20">'M04-S10'!$A$5:$CA$418</definedName>
    <definedName name="_xlnm.Print_Area" localSheetId="21">'M04-S11'!$A$5:$CA$418</definedName>
    <definedName name="_xlnm.Print_Area" localSheetId="22">'M05-S01a'!$O$18:$AQ$105</definedName>
    <definedName name="_xlnm.Print_Area" localSheetId="23">'M05-S01b'!$P$30:$AP$113</definedName>
    <definedName name="_xlnm.Print_Area" localSheetId="25">'M05-S02'!$A$1:$AS$204</definedName>
    <definedName name="_xlnm.Print_Area" localSheetId="26">'M05-S02-1'!$A$5:$BJ$202</definedName>
    <definedName name="_xlnm.Print_Area" localSheetId="27">'M05-S03'!$P$16:$AP$77</definedName>
    <definedName name="_xlnm.Print_Area" localSheetId="28">'M05-S04'!$P$15:$AP$81,'M05-S04'!$O$86:$AQ$155</definedName>
    <definedName name="_xlnm.Print_Area" localSheetId="29">'M05-S05'!$P$15:$AP$85</definedName>
    <definedName name="_xlnm.Print_Area" localSheetId="30">'M05-S06'!$P$15:$AP$216</definedName>
    <definedName name="_xlnm.Print_Area" localSheetId="31">'M05-S07'!$G$9:$AZ$84</definedName>
    <definedName name="_xlnm.Print_Area" localSheetId="32">'M05-S08'!$A$9:$BG$109</definedName>
    <definedName name="PROGRAM" localSheetId="28">Tbl_ProgramType[Program Type]</definedName>
    <definedName name="PROGRAM" localSheetId="30">Tbl_ProgramType[Program Type]</definedName>
    <definedName name="PROGRAM" localSheetId="32">Tbl_ProgramType[Program Type]</definedName>
    <definedName name="PROGRAM">Tbl_ProgramType[Program Type]</definedName>
    <definedName name="PROGRESSSTATUS">TEMPLATE!$H$5</definedName>
    <definedName name="PROJECTSTATCB">'DATA TABLES_Project'!$A$61</definedName>
    <definedName name="PROJECTSTATPAYBACK">'DATA TABLES_Project'!$A$60</definedName>
    <definedName name="PROJECTSTATPAYBACKCUS">'DATA TABLES_Project'!$A$63</definedName>
    <definedName name="PROJECTSTATPAYBACKRCX">'DATA TABLES_Project'!$A$62</definedName>
    <definedName name="PROJECTTYPELIST" localSheetId="28">Tbl_ProgramType[Program Type]</definedName>
    <definedName name="PROJECTTYPELIST" localSheetId="30">Tbl_ProgramType[Program Type]</definedName>
    <definedName name="PROJECTTYPELIST" localSheetId="32">Tbl_ProgramType[Program Type]</definedName>
    <definedName name="PROJECTTYPELIST">Tbl_ProgramType[Program Type]</definedName>
    <definedName name="PROJID">'M05-S07'!$AU$17</definedName>
    <definedName name="PROJSTATELI">'DATA TABLES_Project'!$A$57</definedName>
    <definedName name="PROJSTATEXP">'DATA TABLES_Project'!$A$56</definedName>
    <definedName name="PROJSTATMEASURE">'DATA TABLES_Project'!$A$52</definedName>
    <definedName name="PROJSTATPREAPPROVE">'DATA TABLES_Project'!$A$54</definedName>
    <definedName name="PROJSTATRES">'DATA TABLES_Project'!$A$59</definedName>
    <definedName name="PROJSTATREVIEW">'DATA TABLES_Project'!$A$55</definedName>
    <definedName name="PROJSTATSTANDARD">'DATA TABLES_Project'!$A$53</definedName>
    <definedName name="PROJSTATUNDER">'DATA TABLES_Project'!$A$58</definedName>
    <definedName name="PROJSTATUS">TEMPLATE!$H$4</definedName>
    <definedName name="RATECLASSLIST" localSheetId="30">#REF!</definedName>
    <definedName name="RATECLASSLIST">#REF!</definedName>
    <definedName name="RCXTHRESH">'DATA TABLES_Project'!$D$102</definedName>
    <definedName name="SHEAT" localSheetId="28">SPACEHEAT[Space Conditioning]</definedName>
    <definedName name="SHEAT" localSheetId="30">SPACEHEAT[Space Conditioning]</definedName>
    <definedName name="SHEAT" localSheetId="32">SPACEHEAT[Space Conditioning]</definedName>
    <definedName name="SHEAT">SPACEHEAT[Space Conditioning]</definedName>
    <definedName name="SitePeakkW">'M05-S07'!$AU$24</definedName>
    <definedName name="SpaceCooling_No_AC" localSheetId="30">'DATA TABLES_Project'!#REF!</definedName>
    <definedName name="SpaceCooling_No_AC">'DATA TABLES_Project'!#REF!</definedName>
    <definedName name="SPACECOOLINGTYPE" localSheetId="30">#REF!</definedName>
    <definedName name="SPACECOOLINGTYPE">#REF!</definedName>
    <definedName name="SpaceHeating_Fossil_Fuel_Heating">'DATA TABLES_Project'!$G$48</definedName>
    <definedName name="SPACEHEATINGTYPE" localSheetId="30">#REF!</definedName>
    <definedName name="SPACEHEATINGTYPE">#REF!</definedName>
    <definedName name="SPILLOVERNUMBER">'DATA TABLES_Project'!$B$103</definedName>
    <definedName name="STATESABBREV" localSheetId="28">STATES[Abbrev]</definedName>
    <definedName name="STATESABBREV" localSheetId="30">STATES[Abbrev]</definedName>
    <definedName name="STATESABBREV" localSheetId="32">STATES[Abbrev]</definedName>
    <definedName name="STATESABBREV">STATES[Abbrev]</definedName>
    <definedName name="Status_Final">'DATA TABLES_Project'!$A$143</definedName>
    <definedName name="Status_Pre">'DATA TABLES_Project'!$A$142</definedName>
    <definedName name="STDFOODCAPMAX" localSheetId="28">#REF!</definedName>
    <definedName name="STDFOODCAPMAX" localSheetId="32">#REF!</definedName>
    <definedName name="STDFOODCAPMAX2" localSheetId="28">#REF!</definedName>
    <definedName name="STDFOODCAPMAX2" localSheetId="32">#REF!</definedName>
    <definedName name="STDFOODCAPMIN" localSheetId="28">#REF!</definedName>
    <definedName name="STDFOODCAPMIN" localSheetId="32">#REF!</definedName>
    <definedName name="STDFOODCAPMIN2" localSheetId="28">#REF!</definedName>
    <definedName name="STDFOODCAPMIN2" localSheetId="32">#REF!</definedName>
    <definedName name="STDFOODMEASLOOKUP" localSheetId="28">#REF!</definedName>
    <definedName name="STDFOODMEASLOOKUP" localSheetId="32">#REF!</definedName>
    <definedName name="STDHVACEFFMIN" localSheetId="30">#REF!</definedName>
    <definedName name="STDHVACEFFMIN2" localSheetId="30">#REF!</definedName>
    <definedName name="STDHVACMEASURES" localSheetId="30">#REF!</definedName>
    <definedName name="STDHVACTONMAX" localSheetId="30">#REF!</definedName>
    <definedName name="STDHVACTONMIN" localSheetId="30">#REF!</definedName>
    <definedName name="STDLIGHTBASEMAX" localSheetId="28">#REF!</definedName>
    <definedName name="STDLIGHTBASEMAX" localSheetId="30">#REF!</definedName>
    <definedName name="STDLIGHTBASEMAX" localSheetId="32">#REF!</definedName>
    <definedName name="STDLIGHTBASEMIN" localSheetId="28">#REF!</definedName>
    <definedName name="STDLIGHTBASEMIN" localSheetId="30">#REF!</definedName>
    <definedName name="STDLIGHTBASEMIN" localSheetId="32">#REF!</definedName>
    <definedName name="STDLIGHTCATLIST" localSheetId="28">#REF!</definedName>
    <definedName name="STDLIGHTCATLIST" localSheetId="30">#REF!</definedName>
    <definedName name="STDLIGHTCATLIST" localSheetId="32">#REF!</definedName>
    <definedName name="STDLIGHTCONMIN" localSheetId="28">INDEX(#REF!,MATCH(#REF!,#REF!,0))</definedName>
    <definedName name="STDLIGHTCONMIN" localSheetId="30">INDEX(#REF!,MATCH(#REF!,#REF!,0))</definedName>
    <definedName name="STDLIGHTCONMIN" localSheetId="32">INDEX(#REF!,MATCH(#REF!,#REF!,0))</definedName>
    <definedName name="STDLIGHTEFFMAX" localSheetId="28">#REF!</definedName>
    <definedName name="STDLIGHTEFFMAX" localSheetId="30">#REF!</definedName>
    <definedName name="STDLIGHTEFFMAX" localSheetId="32">#REF!</definedName>
    <definedName name="STDLIGHTEFFMIN" localSheetId="28">#REF!</definedName>
    <definedName name="STDLIGHTEFFMIN" localSheetId="30">#REF!</definedName>
    <definedName name="STDLIGHTEFFMIN" localSheetId="32">#REF!</definedName>
    <definedName name="STDLIGHTINEFCAT1_LIST" localSheetId="4">INDEX(#REF!,MATCH(INDEX(#REF!,MATCH(#REF!,#REF!,0)),#REF!,0),1):INDEX(#REF!,MATCH(INDEX(#REF!,MATCH(#REF!,#REF!,0)),#REF!,1),1)</definedName>
    <definedName name="STDLIGHTINEFCAT1_LIST" localSheetId="20">INDEX(#REF!,MATCH(INDEX(#REF!,MATCH(#REF!,#REF!,0)),#REF!,0),1):INDEX(#REF!,MATCH(INDEX(#REF!,MATCH(#REF!,#REF!,0)),#REF!,1),1)</definedName>
    <definedName name="STDLIGHTINEFCAT1_LIST" localSheetId="21">INDEX(#REF!,MATCH(INDEX(#REF!,MATCH(#REF!,#REF!,0)),#REF!,0),1):INDEX(#REF!,MATCH(INDEX(#REF!,MATCH(#REF!,#REF!,0)),#REF!,1),1)</definedName>
    <definedName name="STDLIGHTINEFCAT1_LIST" localSheetId="28">INDEX(#REF!,MATCH(INDEX(#REF!,MATCH(#REF!,#REF!,0)),#REF!,0),1):INDEX(#REF!,MATCH(INDEX(#REF!,MATCH(#REF!,#REF!,0)),#REF!,1),1)</definedName>
    <definedName name="STDLIGHTINEFCAT1_LIST" localSheetId="30">INDEX(#REF!,MATCH(INDEX(#REF!,MATCH(#REF!,#REF!,0)),#REF!,0),1):INDEX(#REF!,MATCH(INDEX(#REF!,MATCH(#REF!,#REF!,0)),#REF!,1),1)</definedName>
    <definedName name="STDLIGHTINEFCAT1_LIST" localSheetId="32">INDEX(#REF!,MATCH(INDEX(#REF!,MATCH(#REF!,#REF!,0)),#REF!,0),1):INDEX(#REF!,MATCH(INDEX(#REF!,MATCH(#REF!,#REF!,0)),#REF!,1),1)</definedName>
    <definedName name="STDLIGHTINEFCAT2_LIST" localSheetId="28">INDEX(#REF!,MATCH(#REF!&amp;"_"&amp;INDEX(#REF!,MATCH(#REF!,#REF!,0)),#REF!,0),1):INDEX(#REF!,MATCH(#REF!&amp;"_"&amp;INDEX(#REF!,MATCH(#REF!,#REF!,0)),#REF!,1),1)</definedName>
    <definedName name="STDLIGHTINEFCAT2_LIST" localSheetId="32">INDEX(#REF!,MATCH(#REF!&amp;"_"&amp;INDEX(#REF!,MATCH(#REF!,#REF!,0)),#REF!,0),1):INDEX(#REF!,MATCH(#REF!&amp;"_"&amp;INDEX(#REF!,MATCH(#REF!,#REF!,0)),#REF!,1),1)</definedName>
    <definedName name="STDLIGHTINEFCAT2DROP" localSheetId="4">#REF!</definedName>
    <definedName name="STDLIGHTINEFCAT2DROP" localSheetId="20">#REF!</definedName>
    <definedName name="STDLIGHTINEFCAT2DROP" localSheetId="21">#REF!</definedName>
    <definedName name="STDLIGHTINEFCAT2DROP" localSheetId="28">#REF!</definedName>
    <definedName name="STDLIGHTINEFCAT2DROP" localSheetId="30">#REF!</definedName>
    <definedName name="STDLIGHTINEFCAT2DROP" localSheetId="32">#REF!</definedName>
    <definedName name="STDLIGHTINEFCAT2NAME" localSheetId="4">#REF!</definedName>
    <definedName name="STDLIGHTINEFCAT2NAME" localSheetId="20">#REF!</definedName>
    <definedName name="STDLIGHTINEFCAT2NAME" localSheetId="21">#REF!</definedName>
    <definedName name="STDLIGHTINEFCAT2NAME" localSheetId="28">#REF!</definedName>
    <definedName name="STDLIGHTINEFCAT2NAME" localSheetId="30">#REF!</definedName>
    <definedName name="STDLIGHTINEFCAT2NAME" localSheetId="32">#REF!</definedName>
    <definedName name="STDLIGHTINEFCAT2W" localSheetId="4">#REF!</definedName>
    <definedName name="STDLIGHTINEFCAT2W" localSheetId="20">#REF!</definedName>
    <definedName name="STDLIGHTINEFCAT2W" localSheetId="21">#REF!</definedName>
    <definedName name="STDLIGHTINEFCAT2W" localSheetId="28">#REF!</definedName>
    <definedName name="STDLIGHTINEFCAT2W" localSheetId="30">#REF!</definedName>
    <definedName name="STDLIGHTINEFCAT2W" localSheetId="32">#REF!</definedName>
    <definedName name="STDLIGHTINEFF_System_Watt" localSheetId="4">#REF!</definedName>
    <definedName name="STDLIGHTINEFF_System_Watt" localSheetId="20">#REF!</definedName>
    <definedName name="STDLIGHTINEFF_System_Watt" localSheetId="21">#REF!</definedName>
    <definedName name="STDLIGHTINEFF_System_Watt" localSheetId="28">#REF!</definedName>
    <definedName name="STDLIGHTINEFF_System_Watt" localSheetId="30">#REF!</definedName>
    <definedName name="STDLIGHTINEFF_System_Watt" localSheetId="32">#REF!</definedName>
    <definedName name="STDLIGHTMEASURELIST" localSheetId="20">INDEX(#REF!,MATCH(#REF!,#REF!,0),1):INDEX(#REF!,MATCH(#REF!,#REF!,1),1)</definedName>
    <definedName name="STDLIGHTMEASURELIST" localSheetId="21">INDEX(#REF!,MATCH(#REF!,#REF!,0),1):INDEX(#REF!,MATCH(#REF!,#REF!,1),1)</definedName>
    <definedName name="STDLIGHTMEASURELIST" localSheetId="28">INDEX(#REF!,MATCH(#REF!,#REF!,0),1):INDEX(#REF!,MATCH(#REF!,#REF!,1),1)</definedName>
    <definedName name="STDLIGHTMEASURELIST" localSheetId="32">INDEX(#REF!,MATCH(#REF!,#REF!,0),1):INDEX(#REF!,MATCH(#REF!,#REF!,1),1)</definedName>
    <definedName name="STDWATERCAPMAX" localSheetId="28">#REF!</definedName>
    <definedName name="STDWATERCAPMAX" localSheetId="32">#REF!</definedName>
    <definedName name="STDWATERCAPMIN" localSheetId="28">#REF!</definedName>
    <definedName name="STDWATERCAPMIN" localSheetId="32">#REF!</definedName>
    <definedName name="STDWATEREFFMIN" localSheetId="28">#REF!</definedName>
    <definedName name="STDWATEREFFMIN" localSheetId="32">#REF!</definedName>
    <definedName name="STDWATERMEASLOOKUP" localSheetId="28">#REF!</definedName>
    <definedName name="STDWATERMEASLOOKUP" localSheetId="32">#REF!</definedName>
    <definedName name="STDWATERSTORCAPMAX" localSheetId="28">#REF!</definedName>
    <definedName name="STDWATERSTORCAPMAX" localSheetId="32">#REF!</definedName>
    <definedName name="STDWATERSTORCAPMIN" localSheetId="28">#REF!</definedName>
    <definedName name="STDWATERSTORCAPMIN" localSheetId="32">#REF!</definedName>
    <definedName name="SubmittingThrough">'M01-S02'!$U$12</definedName>
    <definedName name="Table_ECMHydro_Hours" localSheetId="28">#REF!</definedName>
    <definedName name="Table_ECMHydro_Hours" localSheetId="32">#REF!</definedName>
    <definedName name="TAXLIST" localSheetId="28">TAXENTITY[Tax Entity]</definedName>
    <definedName name="TAXLIST" localSheetId="30">TAXENTITY[Tax Entity]</definedName>
    <definedName name="TAXLIST" localSheetId="32">TAXENTITY[Tax Entity]</definedName>
    <definedName name="TAXLIST">TAXENTITY[Tax Entity]</definedName>
    <definedName name="TBL_STD_HEAT_MAX" localSheetId="28">#REF!</definedName>
    <definedName name="TBL_STD_HEAT_MAX" localSheetId="32">#REF!</definedName>
    <definedName name="TBL_STD_HEAT_MEAS" localSheetId="28">#REF!</definedName>
    <definedName name="TBL_STD_HEAT_MEAS" localSheetId="32">#REF!</definedName>
    <definedName name="TBL_STD_HEAT_MIN" localSheetId="28">#REF!</definedName>
    <definedName name="TBL_STD_HEAT_MIN" localSheetId="32">#REF!</definedName>
    <definedName name="TBL_STD_HVAC_MAX" localSheetId="28">#REF!</definedName>
    <definedName name="TBL_STD_HVAC_MAX" localSheetId="32">#REF!</definedName>
    <definedName name="TBL_STD_HVAC_MEAS" localSheetId="28">#REF!</definedName>
    <definedName name="TBL_STD_HVAC_MEAS" localSheetId="32">#REF!</definedName>
    <definedName name="TBL_STD_HVAC_MEAS2" localSheetId="32">#REF!</definedName>
    <definedName name="TBL_STD_HVAC_MIN" localSheetId="28">#REF!</definedName>
    <definedName name="TBL_STD_HVAC_MIN" localSheetId="32">#REF!</definedName>
    <definedName name="TBL_STD_RES_MAX" localSheetId="28">#REF!</definedName>
    <definedName name="TBL_STD_RES_MAX" localSheetId="32">#REF!</definedName>
    <definedName name="TBL_STD_RES_MEAS" localSheetId="28">#REF!</definedName>
    <definedName name="TBL_STD_RES_MEAS" localSheetId="32">#REF!</definedName>
    <definedName name="TBL_STD_RES_MIN" localSheetId="28">#REF!</definedName>
    <definedName name="TBL_STD_RES_MIN" localSheetId="32">#REF!</definedName>
    <definedName name="Thm_Customer_Total_All">TEMPLATE!$O$21</definedName>
    <definedName name="Thm_Customer_Total_Cust">TEMPLATE!$O$20</definedName>
    <definedName name="Thm_Customer_Total_Presc">TEMPLATE!#REF!</definedName>
    <definedName name="Thm_Reported_Total_All">TEMPLATE!$L$21</definedName>
    <definedName name="Thm_Reported_Total_Cust">TEMPLATE!$L$20</definedName>
    <definedName name="Thm_Reported_Total_Presc">TEMPLATE!#REF!</definedName>
    <definedName name="THMSTATUS">TEMPLATE!$H$2</definedName>
    <definedName name="TOTCOSTCAP">'DATA TABLES_Project'!$D$98</definedName>
    <definedName name="TRANSFERID">TEMPLATE!$B$4</definedName>
    <definedName name="TransferStatus">'M05-S07'!$AU$30</definedName>
    <definedName name="TRM_Lighting_HOU" localSheetId="28">#REF!</definedName>
    <definedName name="TRM_Lighting_HOU" localSheetId="30">#REF!</definedName>
    <definedName name="TRM_Lighting_HOU" localSheetId="32">#REF!</definedName>
    <definedName name="TRM_Lighting_HOU">#REF!</definedName>
    <definedName name="Txt_Rqd">'DATA TABLES_Project'!$G$28</definedName>
    <definedName name="Txt_SubmitOnline">'DATA TABLES_Project'!$G$29</definedName>
    <definedName name="Txt_SubMthdEmail">'DATA TABLES_Project'!$G$31</definedName>
    <definedName name="Txt_SubMthdOnline">'DATA TABLES_Project'!$G$30</definedName>
    <definedName name="Union_Info1">'M05-S08'!$F$28:$BF$35</definedName>
    <definedName name="Union_Info2">'M05-S08'!$S$39:$BF$58</definedName>
    <definedName name="Union_Info3">'M05-S08'!$F$66:$BF$73</definedName>
    <definedName name="UnionNumber">INDEX('DATA TABLES_Project'!$B$212:$B$222,MATCH('M05-S08'!$F1,'DATA TABLES_Project'!$A$212:$A$222,0),1):INDEX('DATA TABLES_Project'!$B$212:$B$222,MATCH('M05-S08'!$F1,'DATA TABLES_Project'!$A$212:$A$222,1),1)</definedName>
    <definedName name="UnionType">INDEX('DATA TABLES_Project'!#REF!,MATCH('M05-S08'!$F1,'DATA TABLES_Project'!$A$212:$A$222,0),1):INDEX('DATA TABLES_Project'!#REF!,MATCH('M05-S08'!$F1,'DATA TABLES_Project'!$A$212:$A$222,1),1)</definedName>
    <definedName name="VERSION">TEMPLATE!$B$1</definedName>
    <definedName name="WATERHEATINGTYPE" localSheetId="28">Table18[Water Heating]</definedName>
    <definedName name="WATERHEATINGTYPE" localSheetId="30">Table18[Water Heating]</definedName>
    <definedName name="WATERHEATINGTYPE" localSheetId="32">Table18[Water Heating]</definedName>
    <definedName name="WATERHEATINGTYPE">Table18[Water Heating]</definedName>
    <definedName name="WBPCAP">'DATA TABLES_Project'!$D$105</definedName>
    <definedName name="YESNOLIST" localSheetId="28">YESNO[Options]</definedName>
    <definedName name="YESNOLIST" localSheetId="30">YESNO[Options]</definedName>
    <definedName name="YESNOLIST" localSheetId="32">YESNO[Options]</definedName>
    <definedName name="YESNOLIST">YESNO[Options]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20" i="167" l="1"/>
  <c r="CB18" i="168" l="1"/>
  <c r="CB18" i="167"/>
  <c r="C247" i="109"/>
  <c r="P50" i="153"/>
  <c r="W25" i="81"/>
  <c r="W26" i="81"/>
  <c r="W27" i="81"/>
  <c r="BF109" i="230"/>
  <c r="AD109" i="230"/>
  <c r="B109" i="230"/>
  <c r="B108" i="230"/>
  <c r="BF107" i="230"/>
  <c r="B107" i="230"/>
  <c r="BF204" i="81"/>
  <c r="AD204" i="81"/>
  <c r="B204" i="81"/>
  <c r="B203" i="81"/>
  <c r="BF202" i="81"/>
  <c r="B202" i="81"/>
  <c r="BF351" i="221"/>
  <c r="AD351" i="221"/>
  <c r="B351" i="221"/>
  <c r="B350" i="221"/>
  <c r="BF349" i="221"/>
  <c r="B349" i="221"/>
  <c r="BF206" i="156"/>
  <c r="AD206" i="156"/>
  <c r="B206" i="156"/>
  <c r="B205" i="156"/>
  <c r="BF204" i="156"/>
  <c r="B204" i="156"/>
  <c r="BF203" i="228"/>
  <c r="AD203" i="228"/>
  <c r="B203" i="228"/>
  <c r="B202" i="228"/>
  <c r="BF201" i="228"/>
  <c r="B201" i="228"/>
  <c r="BF202" i="180"/>
  <c r="AD202" i="180"/>
  <c r="B202" i="180"/>
  <c r="B201" i="180"/>
  <c r="BF200" i="180"/>
  <c r="B200" i="180"/>
  <c r="BF204" i="154"/>
  <c r="AD204" i="154"/>
  <c r="B204" i="154"/>
  <c r="B203" i="154"/>
  <c r="BF202" i="154"/>
  <c r="B202" i="154"/>
  <c r="BF202" i="144"/>
  <c r="AD202" i="144"/>
  <c r="B202" i="144"/>
  <c r="B201" i="144"/>
  <c r="BF200" i="144"/>
  <c r="B200" i="144"/>
  <c r="BF202" i="207"/>
  <c r="AD202" i="207"/>
  <c r="B202" i="207"/>
  <c r="B201" i="207"/>
  <c r="BF200" i="207"/>
  <c r="B200" i="207"/>
  <c r="BF204" i="153"/>
  <c r="AD204" i="153"/>
  <c r="B204" i="153"/>
  <c r="B203" i="153"/>
  <c r="BF202" i="153"/>
  <c r="B202" i="153"/>
  <c r="BF202" i="224"/>
  <c r="AD202" i="224"/>
  <c r="B202" i="224"/>
  <c r="B201" i="224"/>
  <c r="BF200" i="224"/>
  <c r="B200" i="224"/>
  <c r="BF202" i="223"/>
  <c r="AD202" i="223"/>
  <c r="B202" i="223"/>
  <c r="B201" i="223"/>
  <c r="BF200" i="223"/>
  <c r="B200" i="223"/>
  <c r="BF202" i="176"/>
  <c r="AD202" i="176"/>
  <c r="B202" i="176"/>
  <c r="B201" i="176"/>
  <c r="BF200" i="176"/>
  <c r="B200" i="176"/>
  <c r="BF202" i="175"/>
  <c r="AD202" i="175"/>
  <c r="B202" i="175"/>
  <c r="B201" i="175"/>
  <c r="BF200" i="175"/>
  <c r="B200" i="175"/>
  <c r="BF202" i="13"/>
  <c r="AD202" i="13"/>
  <c r="B202" i="13"/>
  <c r="B201" i="13"/>
  <c r="BF200" i="13"/>
  <c r="B200" i="13"/>
  <c r="BF202" i="171"/>
  <c r="AD202" i="171"/>
  <c r="B202" i="171"/>
  <c r="B201" i="171"/>
  <c r="BF200" i="171"/>
  <c r="B200" i="171"/>
  <c r="BF202" i="170"/>
  <c r="AD202" i="170"/>
  <c r="B202" i="170"/>
  <c r="B201" i="170"/>
  <c r="BF200" i="170"/>
  <c r="B200" i="170"/>
  <c r="BF202" i="169"/>
  <c r="AD202" i="169"/>
  <c r="B202" i="169"/>
  <c r="B201" i="169"/>
  <c r="BF200" i="169"/>
  <c r="B200" i="169"/>
  <c r="BF202" i="168"/>
  <c r="AD202" i="168"/>
  <c r="B202" i="168"/>
  <c r="B201" i="168"/>
  <c r="BF200" i="168"/>
  <c r="B200" i="168"/>
  <c r="BF202" i="167"/>
  <c r="AD202" i="167"/>
  <c r="B202" i="167"/>
  <c r="B201" i="167"/>
  <c r="BF200" i="167"/>
  <c r="B200" i="167"/>
  <c r="BF202" i="151"/>
  <c r="AD202" i="151"/>
  <c r="B202" i="151"/>
  <c r="B201" i="151"/>
  <c r="BF200" i="151"/>
  <c r="B200" i="151"/>
  <c r="BF202" i="148"/>
  <c r="AD202" i="148"/>
  <c r="B202" i="148"/>
  <c r="B201" i="148"/>
  <c r="BF200" i="148"/>
  <c r="B200" i="148"/>
  <c r="BF206" i="147"/>
  <c r="AD206" i="147"/>
  <c r="B206" i="147"/>
  <c r="B205" i="147"/>
  <c r="BF204" i="147"/>
  <c r="B204" i="147"/>
  <c r="BF202" i="166"/>
  <c r="AD202" i="166"/>
  <c r="B202" i="166"/>
  <c r="B201" i="166"/>
  <c r="BF200" i="166"/>
  <c r="B200" i="166"/>
  <c r="BF75" i="222"/>
  <c r="AD75" i="222"/>
  <c r="B75" i="222"/>
  <c r="B74" i="222"/>
  <c r="BF73" i="222"/>
  <c r="B73" i="222"/>
  <c r="BF202" i="152"/>
  <c r="AD202" i="152"/>
  <c r="B202" i="152"/>
  <c r="B201" i="152"/>
  <c r="BF200" i="152"/>
  <c r="B200" i="152"/>
  <c r="BF188" i="225"/>
  <c r="AD188" i="225"/>
  <c r="B188" i="225"/>
  <c r="B187" i="225"/>
  <c r="BF186" i="225"/>
  <c r="B186" i="225"/>
  <c r="Z53" i="207"/>
  <c r="P19" i="3"/>
  <c r="P18" i="3"/>
  <c r="P17" i="3"/>
  <c r="P16" i="3"/>
  <c r="P15" i="3"/>
  <c r="P14" i="3"/>
  <c r="P13" i="3"/>
  <c r="P12" i="3"/>
  <c r="P11" i="3"/>
  <c r="P10" i="3"/>
  <c r="DF18" i="167" l="1"/>
  <c r="DU18" i="167" s="1"/>
  <c r="DR20" i="167"/>
  <c r="DX18" i="167"/>
  <c r="DJ18" i="167"/>
  <c r="DQ18" i="167"/>
  <c r="DP18" i="167"/>
  <c r="DI18" i="167"/>
  <c r="DQ18" i="168"/>
  <c r="DP18" i="168"/>
  <c r="CZ18" i="168"/>
  <c r="DI18" i="168"/>
  <c r="DJ18" i="168"/>
  <c r="DA18" i="168"/>
  <c r="DH20" i="167"/>
  <c r="DT18" i="167"/>
  <c r="DH18" i="167"/>
  <c r="DH18" i="168"/>
  <c r="DR18" i="167"/>
  <c r="DV18" i="167"/>
  <c r="DD20" i="167"/>
  <c r="DD18" i="167"/>
  <c r="DS18" i="167" s="1"/>
  <c r="D119" i="3"/>
  <c r="CB32" i="167" l="1"/>
  <c r="C126" i="3"/>
  <c r="H119" i="3"/>
  <c r="B119" i="3"/>
  <c r="H126" i="3"/>
  <c r="DP32" i="167" l="1"/>
  <c r="DJ32" i="167"/>
  <c r="DI32" i="167"/>
  <c r="DQ32" i="167"/>
  <c r="DH32" i="167"/>
  <c r="DV32" i="167"/>
  <c r="DW32" i="167"/>
  <c r="DF32" i="167"/>
  <c r="DD32" i="167"/>
  <c r="DX32" i="167"/>
  <c r="DR32" i="167"/>
  <c r="DT32" i="167"/>
  <c r="EE32" i="167"/>
  <c r="EC32" i="167"/>
  <c r="EA32" i="167"/>
  <c r="DS32" i="167"/>
  <c r="DL32" i="167"/>
  <c r="DM32" i="167"/>
  <c r="EF32" i="167"/>
  <c r="DU32" i="167"/>
  <c r="ED32" i="167"/>
  <c r="EB32" i="167"/>
  <c r="DE32" i="167"/>
  <c r="B257" i="3"/>
  <c r="EG18" i="167"/>
  <c r="B264" i="3"/>
  <c r="DN32" i="167"/>
  <c r="DO32" i="167"/>
  <c r="DG32" i="167"/>
  <c r="EH32" i="167"/>
  <c r="EJ32" i="167"/>
  <c r="EI32" i="167"/>
  <c r="EK32" i="167"/>
  <c r="EL32" i="167"/>
  <c r="DY32" i="167"/>
  <c r="EN32" i="167"/>
  <c r="EM32" i="167"/>
  <c r="EG32" i="167"/>
  <c r="I119" i="3"/>
  <c r="I126" i="3"/>
  <c r="K126" i="3" s="1"/>
  <c r="AC22" i="166" s="1"/>
  <c r="NP2" i="226"/>
  <c r="C119" i="3" l="1"/>
  <c r="K119" i="3"/>
  <c r="U27" i="230"/>
  <c r="CB20" i="224" l="1"/>
  <c r="CB22" i="224"/>
  <c r="CB24" i="224"/>
  <c r="CB26" i="224"/>
  <c r="CB28" i="224"/>
  <c r="CB30" i="224"/>
  <c r="CB32" i="224"/>
  <c r="CB34" i="224"/>
  <c r="CB36" i="224"/>
  <c r="CB18" i="224"/>
  <c r="CB20" i="223"/>
  <c r="CB22" i="223"/>
  <c r="CB24" i="223"/>
  <c r="CB26" i="223"/>
  <c r="CB28" i="223"/>
  <c r="CB30" i="223"/>
  <c r="CB32" i="223"/>
  <c r="CB34" i="223"/>
  <c r="CB36" i="223"/>
  <c r="CB18" i="223"/>
  <c r="CB20" i="176"/>
  <c r="CB22" i="176"/>
  <c r="CB24" i="176"/>
  <c r="CB26" i="176"/>
  <c r="CB28" i="176"/>
  <c r="CB30" i="176"/>
  <c r="CB32" i="176"/>
  <c r="CB34" i="176"/>
  <c r="CB36" i="176"/>
  <c r="CB18" i="176"/>
  <c r="CB20" i="175"/>
  <c r="CB22" i="175"/>
  <c r="CB24" i="175"/>
  <c r="CB26" i="175"/>
  <c r="CB28" i="175"/>
  <c r="CB30" i="175"/>
  <c r="CB32" i="175"/>
  <c r="CB34" i="175"/>
  <c r="CB36" i="175"/>
  <c r="CB18" i="175"/>
  <c r="CB20" i="13"/>
  <c r="CB22" i="13"/>
  <c r="CB24" i="13"/>
  <c r="CB26" i="13"/>
  <c r="CB28" i="13"/>
  <c r="CB30" i="13"/>
  <c r="CB32" i="13"/>
  <c r="CB34" i="13"/>
  <c r="CB36" i="13"/>
  <c r="CB18" i="13"/>
  <c r="CB20" i="171"/>
  <c r="CB22" i="171"/>
  <c r="CB24" i="171"/>
  <c r="CB26" i="171"/>
  <c r="CB28" i="171"/>
  <c r="CB30" i="171"/>
  <c r="CB32" i="171"/>
  <c r="CB34" i="171"/>
  <c r="CB36" i="171"/>
  <c r="CB18" i="171"/>
  <c r="CB20" i="170"/>
  <c r="CB22" i="170"/>
  <c r="CB24" i="170"/>
  <c r="CB26" i="170"/>
  <c r="CB28" i="170"/>
  <c r="CB30" i="170"/>
  <c r="CB32" i="170"/>
  <c r="CB34" i="170"/>
  <c r="CB36" i="170"/>
  <c r="CB18" i="170"/>
  <c r="CB20" i="169"/>
  <c r="CB22" i="169"/>
  <c r="CB24" i="169"/>
  <c r="CB26" i="169"/>
  <c r="CB28" i="169"/>
  <c r="CB30" i="169"/>
  <c r="CB32" i="169"/>
  <c r="CB34" i="169"/>
  <c r="CB36" i="169"/>
  <c r="CB18" i="169"/>
  <c r="CB20" i="168"/>
  <c r="CB22" i="168"/>
  <c r="CB24" i="168"/>
  <c r="CB26" i="168"/>
  <c r="CB28" i="168"/>
  <c r="CB30" i="168"/>
  <c r="CB32" i="168"/>
  <c r="CB34" i="168"/>
  <c r="CB36" i="168"/>
  <c r="CB22" i="167"/>
  <c r="CB24" i="167"/>
  <c r="CB26" i="167"/>
  <c r="CB28" i="167"/>
  <c r="CB30" i="167"/>
  <c r="CB34" i="167"/>
  <c r="CB36" i="167"/>
  <c r="EN28" i="169" l="1"/>
  <c r="EF28" i="169"/>
  <c r="DX28" i="169"/>
  <c r="DP28" i="169"/>
  <c r="DH28" i="169"/>
  <c r="EM28" i="169"/>
  <c r="EE28" i="169"/>
  <c r="DW28" i="169"/>
  <c r="DO28" i="169"/>
  <c r="DG28" i="169"/>
  <c r="EL28" i="169"/>
  <c r="ED28" i="169"/>
  <c r="DV28" i="169"/>
  <c r="DN28" i="169"/>
  <c r="DF28" i="169"/>
  <c r="EK28" i="169"/>
  <c r="EC28" i="169"/>
  <c r="DU28" i="169"/>
  <c r="DM28" i="169"/>
  <c r="DE28" i="169"/>
  <c r="EJ28" i="169"/>
  <c r="EB28" i="169"/>
  <c r="DT28" i="169"/>
  <c r="DL28" i="169"/>
  <c r="DD28" i="169"/>
  <c r="EI28" i="169"/>
  <c r="EA28" i="169"/>
  <c r="DS28" i="169"/>
  <c r="DK28" i="169"/>
  <c r="EH28" i="169"/>
  <c r="DZ28" i="169"/>
  <c r="DR28" i="169"/>
  <c r="DJ28" i="169"/>
  <c r="CZ28" i="169"/>
  <c r="EG28" i="169"/>
  <c r="DQ28" i="169"/>
  <c r="DA28" i="169"/>
  <c r="DY28" i="169"/>
  <c r="DI28" i="169"/>
  <c r="EH20" i="171"/>
  <c r="DZ20" i="171"/>
  <c r="DR20" i="171"/>
  <c r="DJ20" i="171"/>
  <c r="EN20" i="171"/>
  <c r="EF20" i="171"/>
  <c r="DX20" i="171"/>
  <c r="DP20" i="171"/>
  <c r="DH20" i="171"/>
  <c r="EM20" i="171"/>
  <c r="EE20" i="171"/>
  <c r="DW20" i="171"/>
  <c r="DO20" i="171"/>
  <c r="DG20" i="171"/>
  <c r="EL20" i="171"/>
  <c r="ED20" i="171"/>
  <c r="DV20" i="171"/>
  <c r="DN20" i="171"/>
  <c r="DF20" i="171"/>
  <c r="EK20" i="171"/>
  <c r="DU20" i="171"/>
  <c r="DE20" i="171"/>
  <c r="EJ20" i="171"/>
  <c r="DT20" i="171"/>
  <c r="DD20" i="171"/>
  <c r="EI20" i="171"/>
  <c r="DS20" i="171"/>
  <c r="EG20" i="171"/>
  <c r="DQ20" i="171"/>
  <c r="EC20" i="171"/>
  <c r="DM20" i="171"/>
  <c r="EB20" i="171"/>
  <c r="DL20" i="171"/>
  <c r="EA20" i="171"/>
  <c r="DK20" i="171"/>
  <c r="CZ20" i="171"/>
  <c r="DA20" i="171"/>
  <c r="DY20" i="171"/>
  <c r="DI20" i="171"/>
  <c r="EH36" i="223"/>
  <c r="DZ36" i="223"/>
  <c r="DR36" i="223"/>
  <c r="DJ36" i="223"/>
  <c r="EG36" i="223"/>
  <c r="DY36" i="223"/>
  <c r="DQ36" i="223"/>
  <c r="DI36" i="223"/>
  <c r="EN36" i="223"/>
  <c r="EF36" i="223"/>
  <c r="DX36" i="223"/>
  <c r="DP36" i="223"/>
  <c r="DH36" i="223"/>
  <c r="EM36" i="223"/>
  <c r="EE36" i="223"/>
  <c r="DW36" i="223"/>
  <c r="DO36" i="223"/>
  <c r="DG36" i="223"/>
  <c r="EL36" i="223"/>
  <c r="ED36" i="223"/>
  <c r="DV36" i="223"/>
  <c r="DN36" i="223"/>
  <c r="DF36" i="223"/>
  <c r="DT36" i="223"/>
  <c r="EJ36" i="223"/>
  <c r="DM36" i="223"/>
  <c r="EI36" i="223"/>
  <c r="DL36" i="223"/>
  <c r="EB36" i="223"/>
  <c r="DE36" i="223"/>
  <c r="DU36" i="223"/>
  <c r="DS36" i="223"/>
  <c r="DK36" i="223"/>
  <c r="DD36" i="223"/>
  <c r="EK36" i="223"/>
  <c r="EC36" i="223"/>
  <c r="EA36" i="223"/>
  <c r="CZ36" i="223"/>
  <c r="DA36" i="223"/>
  <c r="EG30" i="170"/>
  <c r="DY30" i="170"/>
  <c r="DQ30" i="170"/>
  <c r="DI30" i="170"/>
  <c r="EN30" i="170"/>
  <c r="EF30" i="170"/>
  <c r="DX30" i="170"/>
  <c r="DP30" i="170"/>
  <c r="DH30" i="170"/>
  <c r="EM30" i="170"/>
  <c r="EE30" i="170"/>
  <c r="DW30" i="170"/>
  <c r="DO30" i="170"/>
  <c r="DG30" i="170"/>
  <c r="EL30" i="170"/>
  <c r="ED30" i="170"/>
  <c r="DV30" i="170"/>
  <c r="DN30" i="170"/>
  <c r="DF30" i="170"/>
  <c r="EK30" i="170"/>
  <c r="EC30" i="170"/>
  <c r="DU30" i="170"/>
  <c r="DM30" i="170"/>
  <c r="DE30" i="170"/>
  <c r="CZ30" i="170"/>
  <c r="EJ30" i="170"/>
  <c r="EB30" i="170"/>
  <c r="DT30" i="170"/>
  <c r="DL30" i="170"/>
  <c r="DD30" i="170"/>
  <c r="DA30" i="170"/>
  <c r="EI30" i="170"/>
  <c r="EA30" i="170"/>
  <c r="DS30" i="170"/>
  <c r="DK30" i="170"/>
  <c r="EH30" i="170"/>
  <c r="DR30" i="170"/>
  <c r="DJ30" i="170"/>
  <c r="DZ30" i="170"/>
  <c r="CZ20" i="168"/>
  <c r="DP20" i="168"/>
  <c r="DJ20" i="168"/>
  <c r="DI20" i="168"/>
  <c r="DA20" i="168"/>
  <c r="DQ20" i="168"/>
  <c r="EL28" i="170"/>
  <c r="ED28" i="170"/>
  <c r="DV28" i="170"/>
  <c r="DN28" i="170"/>
  <c r="DF28" i="170"/>
  <c r="EK28" i="170"/>
  <c r="EC28" i="170"/>
  <c r="DU28" i="170"/>
  <c r="DM28" i="170"/>
  <c r="DE28" i="170"/>
  <c r="EJ28" i="170"/>
  <c r="EB28" i="170"/>
  <c r="DT28" i="170"/>
  <c r="DL28" i="170"/>
  <c r="DD28" i="170"/>
  <c r="CZ28" i="170"/>
  <c r="EI28" i="170"/>
  <c r="EA28" i="170"/>
  <c r="DS28" i="170"/>
  <c r="DK28" i="170"/>
  <c r="DA28" i="170"/>
  <c r="EH28" i="170"/>
  <c r="DZ28" i="170"/>
  <c r="DR28" i="170"/>
  <c r="DJ28" i="170"/>
  <c r="EG28" i="170"/>
  <c r="DY28" i="170"/>
  <c r="DQ28" i="170"/>
  <c r="DI28" i="170"/>
  <c r="EN28" i="170"/>
  <c r="EF28" i="170"/>
  <c r="DX28" i="170"/>
  <c r="DP28" i="170"/>
  <c r="DH28" i="170"/>
  <c r="DG28" i="170"/>
  <c r="EM28" i="170"/>
  <c r="EE28" i="170"/>
  <c r="DW28" i="170"/>
  <c r="DO28" i="170"/>
  <c r="EG36" i="13"/>
  <c r="DY36" i="13"/>
  <c r="DQ36" i="13"/>
  <c r="DI36" i="13"/>
  <c r="EN36" i="13"/>
  <c r="EF36" i="13"/>
  <c r="DX36" i="13"/>
  <c r="DP36" i="13"/>
  <c r="DH36" i="13"/>
  <c r="EM36" i="13"/>
  <c r="EE36" i="13"/>
  <c r="DW36" i="13"/>
  <c r="DO36" i="13"/>
  <c r="DG36" i="13"/>
  <c r="EL36" i="13"/>
  <c r="ED36" i="13"/>
  <c r="DV36" i="13"/>
  <c r="DN36" i="13"/>
  <c r="DF36" i="13"/>
  <c r="EK36" i="13"/>
  <c r="EC36" i="13"/>
  <c r="DU36" i="13"/>
  <c r="DM36" i="13"/>
  <c r="DE36" i="13"/>
  <c r="EJ36" i="13"/>
  <c r="EB36" i="13"/>
  <c r="DT36" i="13"/>
  <c r="DL36" i="13"/>
  <c r="DD36" i="13"/>
  <c r="EI36" i="13"/>
  <c r="EH36" i="13"/>
  <c r="EA36" i="13"/>
  <c r="CZ36" i="13"/>
  <c r="DZ36" i="13"/>
  <c r="DA36" i="13"/>
  <c r="DS36" i="13"/>
  <c r="DR36" i="13"/>
  <c r="DK36" i="13"/>
  <c r="DJ36" i="13"/>
  <c r="EI24" i="175"/>
  <c r="EA24" i="175"/>
  <c r="DS24" i="175"/>
  <c r="DK24" i="175"/>
  <c r="EG24" i="175"/>
  <c r="DY24" i="175"/>
  <c r="DQ24" i="175"/>
  <c r="DI24" i="175"/>
  <c r="EN24" i="175"/>
  <c r="EF24" i="175"/>
  <c r="DX24" i="175"/>
  <c r="DP24" i="175"/>
  <c r="DH24" i="175"/>
  <c r="EM24" i="175"/>
  <c r="EE24" i="175"/>
  <c r="DW24" i="175"/>
  <c r="DO24" i="175"/>
  <c r="DG24" i="175"/>
  <c r="EB24" i="175"/>
  <c r="DL24" i="175"/>
  <c r="DZ24" i="175"/>
  <c r="DJ24" i="175"/>
  <c r="EL24" i="175"/>
  <c r="DV24" i="175"/>
  <c r="DF24" i="175"/>
  <c r="EK24" i="175"/>
  <c r="DU24" i="175"/>
  <c r="DE24" i="175"/>
  <c r="EJ24" i="175"/>
  <c r="DT24" i="175"/>
  <c r="DD24" i="175"/>
  <c r="EH24" i="175"/>
  <c r="DR24" i="175"/>
  <c r="ED24" i="175"/>
  <c r="EC24" i="175"/>
  <c r="DN24" i="175"/>
  <c r="CZ24" i="175"/>
  <c r="DM24" i="175"/>
  <c r="DA24" i="175"/>
  <c r="EJ32" i="223"/>
  <c r="EB32" i="223"/>
  <c r="DT32" i="223"/>
  <c r="DL32" i="223"/>
  <c r="DD32" i="223"/>
  <c r="EI32" i="223"/>
  <c r="EA32" i="223"/>
  <c r="DS32" i="223"/>
  <c r="DK32" i="223"/>
  <c r="EH32" i="223"/>
  <c r="DZ32" i="223"/>
  <c r="DR32" i="223"/>
  <c r="DJ32" i="223"/>
  <c r="EG32" i="223"/>
  <c r="DY32" i="223"/>
  <c r="DQ32" i="223"/>
  <c r="DI32" i="223"/>
  <c r="EN32" i="223"/>
  <c r="EF32" i="223"/>
  <c r="DX32" i="223"/>
  <c r="DP32" i="223"/>
  <c r="DH32" i="223"/>
  <c r="ED32" i="223"/>
  <c r="DG32" i="223"/>
  <c r="DW32" i="223"/>
  <c r="DE32" i="223"/>
  <c r="DV32" i="223"/>
  <c r="EL32" i="223"/>
  <c r="DO32" i="223"/>
  <c r="DM32" i="223"/>
  <c r="DF32" i="223"/>
  <c r="EM32" i="223"/>
  <c r="EK32" i="223"/>
  <c r="EE32" i="223"/>
  <c r="EC32" i="223"/>
  <c r="DU32" i="223"/>
  <c r="DN32" i="223"/>
  <c r="CZ32" i="223"/>
  <c r="DA32" i="223"/>
  <c r="DJ36" i="167"/>
  <c r="DQ36" i="167"/>
  <c r="DP36" i="167"/>
  <c r="DI36" i="167"/>
  <c r="DP34" i="168"/>
  <c r="DJ34" i="168"/>
  <c r="DI34" i="168"/>
  <c r="DQ34" i="168"/>
  <c r="CZ34" i="168"/>
  <c r="DA34" i="168"/>
  <c r="EG18" i="169"/>
  <c r="DY18" i="169"/>
  <c r="DQ18" i="169"/>
  <c r="DI18" i="169"/>
  <c r="EN18" i="169"/>
  <c r="EF18" i="169"/>
  <c r="DX18" i="169"/>
  <c r="DP18" i="169"/>
  <c r="DH18" i="169"/>
  <c r="EM18" i="169"/>
  <c r="EE18" i="169"/>
  <c r="DW18" i="169"/>
  <c r="DO18" i="169"/>
  <c r="DG18" i="169"/>
  <c r="EL18" i="169"/>
  <c r="ED18" i="169"/>
  <c r="DV18" i="169"/>
  <c r="DN18" i="169"/>
  <c r="DF18" i="169"/>
  <c r="EK18" i="169"/>
  <c r="EC18" i="169"/>
  <c r="DU18" i="169"/>
  <c r="DM18" i="169"/>
  <c r="DE18" i="169"/>
  <c r="EJ18" i="169"/>
  <c r="EB18" i="169"/>
  <c r="DT18" i="169"/>
  <c r="DL18" i="169"/>
  <c r="DD18" i="169"/>
  <c r="EI18" i="169"/>
  <c r="EA18" i="169"/>
  <c r="DS18" i="169"/>
  <c r="DK18" i="169"/>
  <c r="DZ18" i="169"/>
  <c r="DJ18" i="169"/>
  <c r="EH18" i="169"/>
  <c r="DR18" i="169"/>
  <c r="CZ18" i="169"/>
  <c r="DA18" i="169"/>
  <c r="EM22" i="169"/>
  <c r="EE22" i="169"/>
  <c r="DW22" i="169"/>
  <c r="DO22" i="169"/>
  <c r="DG22" i="169"/>
  <c r="EL22" i="169"/>
  <c r="ED22" i="169"/>
  <c r="DV22" i="169"/>
  <c r="DN22" i="169"/>
  <c r="DF22" i="169"/>
  <c r="EK22" i="169"/>
  <c r="EC22" i="169"/>
  <c r="DU22" i="169"/>
  <c r="DM22" i="169"/>
  <c r="DE22" i="169"/>
  <c r="EJ22" i="169"/>
  <c r="EB22" i="169"/>
  <c r="DT22" i="169"/>
  <c r="DL22" i="169"/>
  <c r="DD22" i="169"/>
  <c r="EI22" i="169"/>
  <c r="EA22" i="169"/>
  <c r="DS22" i="169"/>
  <c r="DK22" i="169"/>
  <c r="EH22" i="169"/>
  <c r="DZ22" i="169"/>
  <c r="DR22" i="169"/>
  <c r="DJ22" i="169"/>
  <c r="EG22" i="169"/>
  <c r="DY22" i="169"/>
  <c r="DQ22" i="169"/>
  <c r="DI22" i="169"/>
  <c r="DX22" i="169"/>
  <c r="DP22" i="169"/>
  <c r="EN22" i="169"/>
  <c r="DH22" i="169"/>
  <c r="CZ22" i="169"/>
  <c r="EF22" i="169"/>
  <c r="DA22" i="169"/>
  <c r="EI26" i="170"/>
  <c r="EA26" i="170"/>
  <c r="DS26" i="170"/>
  <c r="DK26" i="170"/>
  <c r="CZ26" i="170"/>
  <c r="EH26" i="170"/>
  <c r="DZ26" i="170"/>
  <c r="DR26" i="170"/>
  <c r="DJ26" i="170"/>
  <c r="EG26" i="170"/>
  <c r="DY26" i="170"/>
  <c r="DQ26" i="170"/>
  <c r="DI26" i="170"/>
  <c r="EN26" i="170"/>
  <c r="EF26" i="170"/>
  <c r="DX26" i="170"/>
  <c r="DP26" i="170"/>
  <c r="DH26" i="170"/>
  <c r="EM26" i="170"/>
  <c r="EE26" i="170"/>
  <c r="DW26" i="170"/>
  <c r="DO26" i="170"/>
  <c r="DG26" i="170"/>
  <c r="EL26" i="170"/>
  <c r="ED26" i="170"/>
  <c r="DV26" i="170"/>
  <c r="DN26" i="170"/>
  <c r="DF26" i="170"/>
  <c r="EK26" i="170"/>
  <c r="EC26" i="170"/>
  <c r="DU26" i="170"/>
  <c r="DM26" i="170"/>
  <c r="DE26" i="170"/>
  <c r="DA26" i="170"/>
  <c r="DT26" i="170"/>
  <c r="EB26" i="170"/>
  <c r="DL26" i="170"/>
  <c r="DD26" i="170"/>
  <c r="EJ26" i="170"/>
  <c r="EG30" i="171"/>
  <c r="DY30" i="171"/>
  <c r="DQ30" i="171"/>
  <c r="DI30" i="171"/>
  <c r="EM30" i="171"/>
  <c r="EE30" i="171"/>
  <c r="DW30" i="171"/>
  <c r="DO30" i="171"/>
  <c r="DG30" i="171"/>
  <c r="EL30" i="171"/>
  <c r="ED30" i="171"/>
  <c r="DV30" i="171"/>
  <c r="DN30" i="171"/>
  <c r="DF30" i="171"/>
  <c r="EK30" i="171"/>
  <c r="EC30" i="171"/>
  <c r="DU30" i="171"/>
  <c r="DM30" i="171"/>
  <c r="DE30" i="171"/>
  <c r="EB30" i="171"/>
  <c r="DL30" i="171"/>
  <c r="CZ30" i="171"/>
  <c r="EA30" i="171"/>
  <c r="DK30" i="171"/>
  <c r="DZ30" i="171"/>
  <c r="DJ30" i="171"/>
  <c r="EN30" i="171"/>
  <c r="DX30" i="171"/>
  <c r="DH30" i="171"/>
  <c r="EJ30" i="171"/>
  <c r="DT30" i="171"/>
  <c r="DD30" i="171"/>
  <c r="EI30" i="171"/>
  <c r="DS30" i="171"/>
  <c r="EH30" i="171"/>
  <c r="DR30" i="171"/>
  <c r="EF30" i="171"/>
  <c r="DP30" i="171"/>
  <c r="DA30" i="171"/>
  <c r="EL34" i="13"/>
  <c r="ED34" i="13"/>
  <c r="DV34" i="13"/>
  <c r="DN34" i="13"/>
  <c r="DF34" i="13"/>
  <c r="EK34" i="13"/>
  <c r="EC34" i="13"/>
  <c r="DU34" i="13"/>
  <c r="DM34" i="13"/>
  <c r="DE34" i="13"/>
  <c r="EJ34" i="13"/>
  <c r="EB34" i="13"/>
  <c r="DT34" i="13"/>
  <c r="DL34" i="13"/>
  <c r="DD34" i="13"/>
  <c r="EI34" i="13"/>
  <c r="EA34" i="13"/>
  <c r="DS34" i="13"/>
  <c r="DK34" i="13"/>
  <c r="EH34" i="13"/>
  <c r="DZ34" i="13"/>
  <c r="DR34" i="13"/>
  <c r="DJ34" i="13"/>
  <c r="EG34" i="13"/>
  <c r="DY34" i="13"/>
  <c r="DQ34" i="13"/>
  <c r="DI34" i="13"/>
  <c r="EN34" i="13"/>
  <c r="DH34" i="13"/>
  <c r="CZ34" i="13"/>
  <c r="EM34" i="13"/>
  <c r="DG34" i="13"/>
  <c r="EF34" i="13"/>
  <c r="EE34" i="13"/>
  <c r="DX34" i="13"/>
  <c r="DW34" i="13"/>
  <c r="DP34" i="13"/>
  <c r="DO34" i="13"/>
  <c r="DA34" i="13"/>
  <c r="EJ18" i="175"/>
  <c r="EB18" i="175"/>
  <c r="DT18" i="175"/>
  <c r="DL18" i="175"/>
  <c r="DD18" i="175"/>
  <c r="EI18" i="175"/>
  <c r="EA18" i="175"/>
  <c r="DS18" i="175"/>
  <c r="DK18" i="175"/>
  <c r="EH18" i="175"/>
  <c r="DZ18" i="175"/>
  <c r="DR18" i="175"/>
  <c r="DJ18" i="175"/>
  <c r="EG18" i="175"/>
  <c r="DY18" i="175"/>
  <c r="DQ18" i="175"/>
  <c r="DI18" i="175"/>
  <c r="EN18" i="175"/>
  <c r="EF18" i="175"/>
  <c r="DX18" i="175"/>
  <c r="DP18" i="175"/>
  <c r="DH18" i="175"/>
  <c r="EM18" i="175"/>
  <c r="EE18" i="175"/>
  <c r="DW18" i="175"/>
  <c r="DO18" i="175"/>
  <c r="DG18" i="175"/>
  <c r="ED18" i="175"/>
  <c r="DA18" i="175"/>
  <c r="EC18" i="175"/>
  <c r="DV18" i="175"/>
  <c r="DU18" i="175"/>
  <c r="DN18" i="175"/>
  <c r="DM18" i="175"/>
  <c r="EL18" i="175"/>
  <c r="DF18" i="175"/>
  <c r="EK18" i="175"/>
  <c r="DE18" i="175"/>
  <c r="CZ18" i="175"/>
  <c r="EN22" i="175"/>
  <c r="EF22" i="175"/>
  <c r="DX22" i="175"/>
  <c r="DP22" i="175"/>
  <c r="DH22" i="175"/>
  <c r="EL22" i="175"/>
  <c r="ED22" i="175"/>
  <c r="DV22" i="175"/>
  <c r="DN22" i="175"/>
  <c r="DF22" i="175"/>
  <c r="EK22" i="175"/>
  <c r="EC22" i="175"/>
  <c r="DU22" i="175"/>
  <c r="DM22" i="175"/>
  <c r="DE22" i="175"/>
  <c r="EJ22" i="175"/>
  <c r="EB22" i="175"/>
  <c r="DT22" i="175"/>
  <c r="DL22" i="175"/>
  <c r="DD22" i="175"/>
  <c r="EG22" i="175"/>
  <c r="DQ22" i="175"/>
  <c r="EE22" i="175"/>
  <c r="DO22" i="175"/>
  <c r="EA22" i="175"/>
  <c r="DK22" i="175"/>
  <c r="DZ22" i="175"/>
  <c r="DJ22" i="175"/>
  <c r="DY22" i="175"/>
  <c r="DI22" i="175"/>
  <c r="EM22" i="175"/>
  <c r="DW22" i="175"/>
  <c r="DG22" i="175"/>
  <c r="CZ22" i="175"/>
  <c r="EI22" i="175"/>
  <c r="EH22" i="175"/>
  <c r="DS22" i="175"/>
  <c r="DA22" i="175"/>
  <c r="DR22" i="175"/>
  <c r="EJ26" i="176"/>
  <c r="EB26" i="176"/>
  <c r="DT26" i="176"/>
  <c r="DL26" i="176"/>
  <c r="DD26" i="176"/>
  <c r="EH26" i="176"/>
  <c r="DZ26" i="176"/>
  <c r="DR26" i="176"/>
  <c r="DJ26" i="176"/>
  <c r="EG26" i="176"/>
  <c r="DY26" i="176"/>
  <c r="DQ26" i="176"/>
  <c r="DI26" i="176"/>
  <c r="EM26" i="176"/>
  <c r="EE26" i="176"/>
  <c r="DW26" i="176"/>
  <c r="DO26" i="176"/>
  <c r="DG26" i="176"/>
  <c r="EA26" i="176"/>
  <c r="DK26" i="176"/>
  <c r="EL26" i="176"/>
  <c r="DV26" i="176"/>
  <c r="DF26" i="176"/>
  <c r="EK26" i="176"/>
  <c r="DU26" i="176"/>
  <c r="DE26" i="176"/>
  <c r="EI26" i="176"/>
  <c r="DS26" i="176"/>
  <c r="DM26" i="176"/>
  <c r="EN26" i="176"/>
  <c r="DH26" i="176"/>
  <c r="EF26" i="176"/>
  <c r="ED26" i="176"/>
  <c r="EC26" i="176"/>
  <c r="DX26" i="176"/>
  <c r="DP26" i="176"/>
  <c r="CZ26" i="176"/>
  <c r="DN26" i="176"/>
  <c r="DA26" i="176"/>
  <c r="EG30" i="223"/>
  <c r="DY30" i="223"/>
  <c r="DQ30" i="223"/>
  <c r="DI30" i="223"/>
  <c r="EN30" i="223"/>
  <c r="EF30" i="223"/>
  <c r="DX30" i="223"/>
  <c r="DP30" i="223"/>
  <c r="DH30" i="223"/>
  <c r="EM30" i="223"/>
  <c r="EE30" i="223"/>
  <c r="DW30" i="223"/>
  <c r="DO30" i="223"/>
  <c r="DG30" i="223"/>
  <c r="EL30" i="223"/>
  <c r="ED30" i="223"/>
  <c r="DV30" i="223"/>
  <c r="DN30" i="223"/>
  <c r="DF30" i="223"/>
  <c r="EK30" i="223"/>
  <c r="EC30" i="223"/>
  <c r="DU30" i="223"/>
  <c r="DM30" i="223"/>
  <c r="DE30" i="223"/>
  <c r="DZ30" i="223"/>
  <c r="DS30" i="223"/>
  <c r="EJ30" i="223"/>
  <c r="DR30" i="223"/>
  <c r="EH30" i="223"/>
  <c r="DK30" i="223"/>
  <c r="DD30" i="223"/>
  <c r="EI30" i="223"/>
  <c r="EB30" i="223"/>
  <c r="EA30" i="223"/>
  <c r="DT30" i="223"/>
  <c r="DL30" i="223"/>
  <c r="CZ30" i="223"/>
  <c r="DJ30" i="223"/>
  <c r="DA30" i="223"/>
  <c r="EK34" i="224"/>
  <c r="EC34" i="224"/>
  <c r="DU34" i="224"/>
  <c r="DM34" i="224"/>
  <c r="DE34" i="224"/>
  <c r="EJ34" i="224"/>
  <c r="EB34" i="224"/>
  <c r="DT34" i="224"/>
  <c r="DL34" i="224"/>
  <c r="DD34" i="224"/>
  <c r="EI34" i="224"/>
  <c r="EA34" i="224"/>
  <c r="DS34" i="224"/>
  <c r="DK34" i="224"/>
  <c r="EH34" i="224"/>
  <c r="DZ34" i="224"/>
  <c r="DR34" i="224"/>
  <c r="DJ34" i="224"/>
  <c r="EG34" i="224"/>
  <c r="DY34" i="224"/>
  <c r="DQ34" i="224"/>
  <c r="DI34" i="224"/>
  <c r="ED34" i="224"/>
  <c r="DG34" i="224"/>
  <c r="DW34" i="224"/>
  <c r="EN34" i="224"/>
  <c r="DV34" i="224"/>
  <c r="EL34" i="224"/>
  <c r="DO34" i="224"/>
  <c r="EE34" i="224"/>
  <c r="DX34" i="224"/>
  <c r="DP34" i="224"/>
  <c r="DN34" i="224"/>
  <c r="DH34" i="224"/>
  <c r="DF34" i="224"/>
  <c r="EM34" i="224"/>
  <c r="EF34" i="224"/>
  <c r="CZ34" i="224"/>
  <c r="DA34" i="224"/>
  <c r="DP32" i="168"/>
  <c r="DJ32" i="168"/>
  <c r="DQ32" i="168"/>
  <c r="DI32" i="168"/>
  <c r="DA32" i="168"/>
  <c r="CZ32" i="168"/>
  <c r="EI32" i="13"/>
  <c r="EA32" i="13"/>
  <c r="DS32" i="13"/>
  <c r="DK32" i="13"/>
  <c r="EH32" i="13"/>
  <c r="DZ32" i="13"/>
  <c r="DR32" i="13"/>
  <c r="DJ32" i="13"/>
  <c r="EG32" i="13"/>
  <c r="DY32" i="13"/>
  <c r="DQ32" i="13"/>
  <c r="DI32" i="13"/>
  <c r="EN32" i="13"/>
  <c r="EF32" i="13"/>
  <c r="DX32" i="13"/>
  <c r="DP32" i="13"/>
  <c r="DH32" i="13"/>
  <c r="EM32" i="13"/>
  <c r="EE32" i="13"/>
  <c r="DW32" i="13"/>
  <c r="DO32" i="13"/>
  <c r="DG32" i="13"/>
  <c r="EL32" i="13"/>
  <c r="ED32" i="13"/>
  <c r="DV32" i="13"/>
  <c r="DN32" i="13"/>
  <c r="DF32" i="13"/>
  <c r="DM32" i="13"/>
  <c r="DL32" i="13"/>
  <c r="EK32" i="13"/>
  <c r="DE32" i="13"/>
  <c r="EJ32" i="13"/>
  <c r="DD32" i="13"/>
  <c r="EC32" i="13"/>
  <c r="EB32" i="13"/>
  <c r="DU32" i="13"/>
  <c r="CZ32" i="13"/>
  <c r="DA32" i="13"/>
  <c r="DT32" i="13"/>
  <c r="EG24" i="176"/>
  <c r="DY24" i="176"/>
  <c r="DQ24" i="176"/>
  <c r="DI24" i="176"/>
  <c r="EM24" i="176"/>
  <c r="EE24" i="176"/>
  <c r="DW24" i="176"/>
  <c r="DO24" i="176"/>
  <c r="DG24" i="176"/>
  <c r="EL24" i="176"/>
  <c r="ED24" i="176"/>
  <c r="DV24" i="176"/>
  <c r="DN24" i="176"/>
  <c r="DF24" i="176"/>
  <c r="EJ24" i="176"/>
  <c r="EB24" i="176"/>
  <c r="DT24" i="176"/>
  <c r="DL24" i="176"/>
  <c r="DD24" i="176"/>
  <c r="EF24" i="176"/>
  <c r="DP24" i="176"/>
  <c r="EA24" i="176"/>
  <c r="DK24" i="176"/>
  <c r="DZ24" i="176"/>
  <c r="DJ24" i="176"/>
  <c r="EN24" i="176"/>
  <c r="DX24" i="176"/>
  <c r="DH24" i="176"/>
  <c r="DR24" i="176"/>
  <c r="DM24" i="176"/>
  <c r="EK24" i="176"/>
  <c r="DE24" i="176"/>
  <c r="EI24" i="176"/>
  <c r="EH24" i="176"/>
  <c r="EC24" i="176"/>
  <c r="DU24" i="176"/>
  <c r="DS24" i="176"/>
  <c r="CZ24" i="176"/>
  <c r="DA24" i="176"/>
  <c r="EL28" i="223"/>
  <c r="ED28" i="223"/>
  <c r="DV28" i="223"/>
  <c r="DN28" i="223"/>
  <c r="EK28" i="223"/>
  <c r="EC28" i="223"/>
  <c r="DU28" i="223"/>
  <c r="DM28" i="223"/>
  <c r="DE28" i="223"/>
  <c r="EJ28" i="223"/>
  <c r="EB28" i="223"/>
  <c r="DT28" i="223"/>
  <c r="DL28" i="223"/>
  <c r="DD28" i="223"/>
  <c r="EI28" i="223"/>
  <c r="EA28" i="223"/>
  <c r="DS28" i="223"/>
  <c r="DK28" i="223"/>
  <c r="EH28" i="223"/>
  <c r="DZ28" i="223"/>
  <c r="DR28" i="223"/>
  <c r="DJ28" i="223"/>
  <c r="EN28" i="223"/>
  <c r="DQ28" i="223"/>
  <c r="EG28" i="223"/>
  <c r="DO28" i="223"/>
  <c r="EF28" i="223"/>
  <c r="DI28" i="223"/>
  <c r="DY28" i="223"/>
  <c r="DG28" i="223"/>
  <c r="EM28" i="223"/>
  <c r="EE28" i="223"/>
  <c r="DX28" i="223"/>
  <c r="DW28" i="223"/>
  <c r="DP28" i="223"/>
  <c r="DH28" i="223"/>
  <c r="DF28" i="223"/>
  <c r="CZ28" i="223"/>
  <c r="DA28" i="223"/>
  <c r="EH32" i="224"/>
  <c r="DZ32" i="224"/>
  <c r="DR32" i="224"/>
  <c r="DJ32" i="224"/>
  <c r="EG32" i="224"/>
  <c r="DY32" i="224"/>
  <c r="DQ32" i="224"/>
  <c r="DI32" i="224"/>
  <c r="EN32" i="224"/>
  <c r="EF32" i="224"/>
  <c r="DX32" i="224"/>
  <c r="DP32" i="224"/>
  <c r="DH32" i="224"/>
  <c r="EM32" i="224"/>
  <c r="EE32" i="224"/>
  <c r="DW32" i="224"/>
  <c r="DO32" i="224"/>
  <c r="DG32" i="224"/>
  <c r="EL32" i="224"/>
  <c r="ED32" i="224"/>
  <c r="DV32" i="224"/>
  <c r="DN32" i="224"/>
  <c r="DF32" i="224"/>
  <c r="DU32" i="224"/>
  <c r="EK32" i="224"/>
  <c r="DS32" i="224"/>
  <c r="EJ32" i="224"/>
  <c r="DM32" i="224"/>
  <c r="EC32" i="224"/>
  <c r="DK32" i="224"/>
  <c r="EA32" i="224"/>
  <c r="DT32" i="224"/>
  <c r="DL32" i="224"/>
  <c r="DE32" i="224"/>
  <c r="DD32" i="224"/>
  <c r="EI32" i="224"/>
  <c r="EB32" i="224"/>
  <c r="CZ32" i="224"/>
  <c r="DA32" i="224"/>
  <c r="EJ36" i="169"/>
  <c r="EB36" i="169"/>
  <c r="DT36" i="169"/>
  <c r="DL36" i="169"/>
  <c r="DD36" i="169"/>
  <c r="EI36" i="169"/>
  <c r="EA36" i="169"/>
  <c r="DS36" i="169"/>
  <c r="DK36" i="169"/>
  <c r="EH36" i="169"/>
  <c r="DZ36" i="169"/>
  <c r="DR36" i="169"/>
  <c r="DJ36" i="169"/>
  <c r="EG36" i="169"/>
  <c r="DY36" i="169"/>
  <c r="DQ36" i="169"/>
  <c r="DI36" i="169"/>
  <c r="EN36" i="169"/>
  <c r="EF36" i="169"/>
  <c r="DX36" i="169"/>
  <c r="DP36" i="169"/>
  <c r="DH36" i="169"/>
  <c r="EM36" i="169"/>
  <c r="EE36" i="169"/>
  <c r="DW36" i="169"/>
  <c r="DO36" i="169"/>
  <c r="DG36" i="169"/>
  <c r="EL36" i="169"/>
  <c r="ED36" i="169"/>
  <c r="DV36" i="169"/>
  <c r="DN36" i="169"/>
  <c r="DF36" i="169"/>
  <c r="CZ36" i="169"/>
  <c r="EK36" i="169"/>
  <c r="DM36" i="169"/>
  <c r="DA36" i="169"/>
  <c r="DU36" i="169"/>
  <c r="DE36" i="169"/>
  <c r="EC36" i="169"/>
  <c r="EL28" i="171"/>
  <c r="ED28" i="171"/>
  <c r="DV28" i="171"/>
  <c r="DN28" i="171"/>
  <c r="DF28" i="171"/>
  <c r="EJ28" i="171"/>
  <c r="EB28" i="171"/>
  <c r="DT28" i="171"/>
  <c r="DL28" i="171"/>
  <c r="DD28" i="171"/>
  <c r="EI28" i="171"/>
  <c r="EA28" i="171"/>
  <c r="DS28" i="171"/>
  <c r="DK28" i="171"/>
  <c r="EH28" i="171"/>
  <c r="DZ28" i="171"/>
  <c r="DR28" i="171"/>
  <c r="DJ28" i="171"/>
  <c r="EG28" i="171"/>
  <c r="DQ28" i="171"/>
  <c r="EF28" i="171"/>
  <c r="DP28" i="171"/>
  <c r="EE28" i="171"/>
  <c r="DO28" i="171"/>
  <c r="EC28" i="171"/>
  <c r="DM28" i="171"/>
  <c r="DY28" i="171"/>
  <c r="DI28" i="171"/>
  <c r="EN28" i="171"/>
  <c r="DX28" i="171"/>
  <c r="DH28" i="171"/>
  <c r="EM28" i="171"/>
  <c r="DW28" i="171"/>
  <c r="DG28" i="171"/>
  <c r="CZ28" i="171"/>
  <c r="DA28" i="171"/>
  <c r="EK28" i="171"/>
  <c r="DU28" i="171"/>
  <c r="DE28" i="171"/>
  <c r="DP30" i="167"/>
  <c r="DJ30" i="167"/>
  <c r="DI30" i="167"/>
  <c r="DQ30" i="167"/>
  <c r="EK22" i="170"/>
  <c r="EC22" i="170"/>
  <c r="DU22" i="170"/>
  <c r="DM22" i="170"/>
  <c r="DE22" i="170"/>
  <c r="EJ22" i="170"/>
  <c r="EB22" i="170"/>
  <c r="DT22" i="170"/>
  <c r="DL22" i="170"/>
  <c r="DD22" i="170"/>
  <c r="EI22" i="170"/>
  <c r="EA22" i="170"/>
  <c r="DS22" i="170"/>
  <c r="DK22" i="170"/>
  <c r="EH22" i="170"/>
  <c r="DZ22" i="170"/>
  <c r="DR22" i="170"/>
  <c r="DJ22" i="170"/>
  <c r="EG22" i="170"/>
  <c r="DY22" i="170"/>
  <c r="DQ22" i="170"/>
  <c r="DI22" i="170"/>
  <c r="CZ22" i="170"/>
  <c r="EN22" i="170"/>
  <c r="EF22" i="170"/>
  <c r="DX22" i="170"/>
  <c r="DP22" i="170"/>
  <c r="DH22" i="170"/>
  <c r="DA22" i="170"/>
  <c r="EM22" i="170"/>
  <c r="EE22" i="170"/>
  <c r="DW22" i="170"/>
  <c r="DO22" i="170"/>
  <c r="DG22" i="170"/>
  <c r="ED22" i="170"/>
  <c r="EL22" i="170"/>
  <c r="DV22" i="170"/>
  <c r="DN22" i="170"/>
  <c r="DF22" i="170"/>
  <c r="EN30" i="13"/>
  <c r="EF30" i="13"/>
  <c r="DX30" i="13"/>
  <c r="DP30" i="13"/>
  <c r="DH30" i="13"/>
  <c r="EM30" i="13"/>
  <c r="EE30" i="13"/>
  <c r="DW30" i="13"/>
  <c r="DO30" i="13"/>
  <c r="DG30" i="13"/>
  <c r="EL30" i="13"/>
  <c r="ED30" i="13"/>
  <c r="DV30" i="13"/>
  <c r="DN30" i="13"/>
  <c r="DF30" i="13"/>
  <c r="EK30" i="13"/>
  <c r="EC30" i="13"/>
  <c r="DU30" i="13"/>
  <c r="DM30" i="13"/>
  <c r="DE30" i="13"/>
  <c r="EJ30" i="13"/>
  <c r="EB30" i="13"/>
  <c r="DT30" i="13"/>
  <c r="DL30" i="13"/>
  <c r="DD30" i="13"/>
  <c r="EI30" i="13"/>
  <c r="EA30" i="13"/>
  <c r="DS30" i="13"/>
  <c r="DK30" i="13"/>
  <c r="DR30" i="13"/>
  <c r="DQ30" i="13"/>
  <c r="DJ30" i="13"/>
  <c r="DI30" i="13"/>
  <c r="EH30" i="13"/>
  <c r="CZ30" i="13"/>
  <c r="EG30" i="13"/>
  <c r="DA30" i="13"/>
  <c r="DZ30" i="13"/>
  <c r="DY30" i="13"/>
  <c r="EH34" i="175"/>
  <c r="DZ34" i="175"/>
  <c r="DR34" i="175"/>
  <c r="DJ34" i="175"/>
  <c r="EN34" i="175"/>
  <c r="EF34" i="175"/>
  <c r="DX34" i="175"/>
  <c r="DP34" i="175"/>
  <c r="DH34" i="175"/>
  <c r="EM34" i="175"/>
  <c r="EE34" i="175"/>
  <c r="DW34" i="175"/>
  <c r="DO34" i="175"/>
  <c r="DG34" i="175"/>
  <c r="EL34" i="175"/>
  <c r="ED34" i="175"/>
  <c r="DV34" i="175"/>
  <c r="DN34" i="175"/>
  <c r="DF34" i="175"/>
  <c r="EI34" i="175"/>
  <c r="DS34" i="175"/>
  <c r="EG34" i="175"/>
  <c r="DQ34" i="175"/>
  <c r="EC34" i="175"/>
  <c r="DM34" i="175"/>
  <c r="EB34" i="175"/>
  <c r="DL34" i="175"/>
  <c r="EA34" i="175"/>
  <c r="DK34" i="175"/>
  <c r="DY34" i="175"/>
  <c r="DI34" i="175"/>
  <c r="EK34" i="175"/>
  <c r="DU34" i="175"/>
  <c r="DE34" i="175"/>
  <c r="EJ34" i="175"/>
  <c r="DT34" i="175"/>
  <c r="CZ34" i="175"/>
  <c r="DD34" i="175"/>
  <c r="DA34" i="175"/>
  <c r="EN18" i="176"/>
  <c r="EF18" i="176"/>
  <c r="DX18" i="176"/>
  <c r="EL18" i="176"/>
  <c r="ED18" i="176"/>
  <c r="DV18" i="176"/>
  <c r="DN18" i="176"/>
  <c r="EK18" i="176"/>
  <c r="EC18" i="176"/>
  <c r="DU18" i="176"/>
  <c r="EI18" i="176"/>
  <c r="EA18" i="176"/>
  <c r="EE18" i="176"/>
  <c r="DQ18" i="176"/>
  <c r="DH18" i="176"/>
  <c r="DZ18" i="176"/>
  <c r="DO18" i="176"/>
  <c r="DF18" i="176"/>
  <c r="DY18" i="176"/>
  <c r="DM18" i="176"/>
  <c r="DE18" i="176"/>
  <c r="EM18" i="176"/>
  <c r="DW18" i="176"/>
  <c r="DL18" i="176"/>
  <c r="DD18" i="176"/>
  <c r="EG18" i="176"/>
  <c r="DI18" i="176"/>
  <c r="EB18" i="176"/>
  <c r="DG18" i="176"/>
  <c r="DT18" i="176"/>
  <c r="DS18" i="176"/>
  <c r="DR18" i="176"/>
  <c r="DP18" i="176"/>
  <c r="EJ18" i="176"/>
  <c r="DK18" i="176"/>
  <c r="DJ18" i="176"/>
  <c r="DA18" i="176"/>
  <c r="CZ18" i="176"/>
  <c r="EH18" i="176"/>
  <c r="EL22" i="176"/>
  <c r="ED22" i="176"/>
  <c r="DV22" i="176"/>
  <c r="DN22" i="176"/>
  <c r="DF22" i="176"/>
  <c r="EJ22" i="176"/>
  <c r="EB22" i="176"/>
  <c r="DT22" i="176"/>
  <c r="DL22" i="176"/>
  <c r="DD22" i="176"/>
  <c r="EI22" i="176"/>
  <c r="EA22" i="176"/>
  <c r="DS22" i="176"/>
  <c r="DK22" i="176"/>
  <c r="EG22" i="176"/>
  <c r="DY22" i="176"/>
  <c r="DQ22" i="176"/>
  <c r="DI22" i="176"/>
  <c r="EK22" i="176"/>
  <c r="DU22" i="176"/>
  <c r="DE22" i="176"/>
  <c r="EF22" i="176"/>
  <c r="DP22" i="176"/>
  <c r="EE22" i="176"/>
  <c r="DO22" i="176"/>
  <c r="EC22" i="176"/>
  <c r="DM22" i="176"/>
  <c r="DW22" i="176"/>
  <c r="DR22" i="176"/>
  <c r="DJ22" i="176"/>
  <c r="EN22" i="176"/>
  <c r="DH22" i="176"/>
  <c r="EM22" i="176"/>
  <c r="DG22" i="176"/>
  <c r="EH22" i="176"/>
  <c r="DZ22" i="176"/>
  <c r="CZ22" i="176"/>
  <c r="DX22" i="176"/>
  <c r="DA22" i="176"/>
  <c r="EH26" i="223"/>
  <c r="DZ26" i="223"/>
  <c r="DR26" i="223"/>
  <c r="DJ26" i="223"/>
  <c r="EG26" i="223"/>
  <c r="DY26" i="223"/>
  <c r="DQ26" i="223"/>
  <c r="DI26" i="223"/>
  <c r="EN26" i="223"/>
  <c r="EF26" i="223"/>
  <c r="DX26" i="223"/>
  <c r="DP26" i="223"/>
  <c r="DH26" i="223"/>
  <c r="EM26" i="223"/>
  <c r="EE26" i="223"/>
  <c r="DW26" i="223"/>
  <c r="DO26" i="223"/>
  <c r="DG26" i="223"/>
  <c r="EK26" i="223"/>
  <c r="DU26" i="223"/>
  <c r="DE26" i="223"/>
  <c r="EI26" i="223"/>
  <c r="DS26" i="223"/>
  <c r="ED26" i="223"/>
  <c r="DN26" i="223"/>
  <c r="EB26" i="223"/>
  <c r="DL26" i="223"/>
  <c r="EL26" i="223"/>
  <c r="DF26" i="223"/>
  <c r="EJ26" i="223"/>
  <c r="DD26" i="223"/>
  <c r="EC26" i="223"/>
  <c r="EA26" i="223"/>
  <c r="DV26" i="223"/>
  <c r="DT26" i="223"/>
  <c r="DM26" i="223"/>
  <c r="DK26" i="223"/>
  <c r="CZ26" i="223"/>
  <c r="DA26" i="223"/>
  <c r="EM30" i="224"/>
  <c r="EE30" i="224"/>
  <c r="DW30" i="224"/>
  <c r="DO30" i="224"/>
  <c r="DG30" i="224"/>
  <c r="EL30" i="224"/>
  <c r="ED30" i="224"/>
  <c r="DV30" i="224"/>
  <c r="DN30" i="224"/>
  <c r="DF30" i="224"/>
  <c r="EK30" i="224"/>
  <c r="EC30" i="224"/>
  <c r="DU30" i="224"/>
  <c r="DM30" i="224"/>
  <c r="DE30" i="224"/>
  <c r="EJ30" i="224"/>
  <c r="EB30" i="224"/>
  <c r="DT30" i="224"/>
  <c r="DL30" i="224"/>
  <c r="DD30" i="224"/>
  <c r="EI30" i="224"/>
  <c r="EA30" i="224"/>
  <c r="DS30" i="224"/>
  <c r="DK30" i="224"/>
  <c r="EN30" i="224"/>
  <c r="DQ30" i="224"/>
  <c r="EG30" i="224"/>
  <c r="DJ30" i="224"/>
  <c r="EF30" i="224"/>
  <c r="DI30" i="224"/>
  <c r="DY30" i="224"/>
  <c r="DR30" i="224"/>
  <c r="DP30" i="224"/>
  <c r="DH30" i="224"/>
  <c r="EH30" i="224"/>
  <c r="DZ30" i="224"/>
  <c r="DX30" i="224"/>
  <c r="CZ30" i="224"/>
  <c r="DA30" i="224"/>
  <c r="DQ34" i="167"/>
  <c r="DP34" i="167"/>
  <c r="DJ34" i="167"/>
  <c r="DI34" i="167"/>
  <c r="EJ20" i="169"/>
  <c r="EB20" i="169"/>
  <c r="DT20" i="169"/>
  <c r="DL20" i="169"/>
  <c r="DD20" i="169"/>
  <c r="EI20" i="169"/>
  <c r="EA20" i="169"/>
  <c r="DS20" i="169"/>
  <c r="DK20" i="169"/>
  <c r="EH20" i="169"/>
  <c r="DZ20" i="169"/>
  <c r="DR20" i="169"/>
  <c r="DJ20" i="169"/>
  <c r="EG20" i="169"/>
  <c r="DY20" i="169"/>
  <c r="DQ20" i="169"/>
  <c r="DI20" i="169"/>
  <c r="EN20" i="169"/>
  <c r="EF20" i="169"/>
  <c r="DX20" i="169"/>
  <c r="DP20" i="169"/>
  <c r="DH20" i="169"/>
  <c r="EM20" i="169"/>
  <c r="EE20" i="169"/>
  <c r="DW20" i="169"/>
  <c r="DO20" i="169"/>
  <c r="DG20" i="169"/>
  <c r="EL20" i="169"/>
  <c r="ED20" i="169"/>
  <c r="DV20" i="169"/>
  <c r="DN20" i="169"/>
  <c r="DF20" i="169"/>
  <c r="CZ20" i="169"/>
  <c r="EK20" i="169"/>
  <c r="DE20" i="169"/>
  <c r="DM20" i="169"/>
  <c r="EC20" i="169"/>
  <c r="DA20" i="169"/>
  <c r="DU20" i="169"/>
  <c r="EK20" i="175"/>
  <c r="EC20" i="175"/>
  <c r="DU20" i="175"/>
  <c r="DM20" i="175"/>
  <c r="DE20" i="175"/>
  <c r="EI20" i="175"/>
  <c r="EA20" i="175"/>
  <c r="DS20" i="175"/>
  <c r="DK20" i="175"/>
  <c r="EH20" i="175"/>
  <c r="DZ20" i="175"/>
  <c r="DR20" i="175"/>
  <c r="EG20" i="175"/>
  <c r="DY20" i="175"/>
  <c r="DQ20" i="175"/>
  <c r="EL20" i="175"/>
  <c r="DV20" i="175"/>
  <c r="DH20" i="175"/>
  <c r="EJ20" i="175"/>
  <c r="DT20" i="175"/>
  <c r="DG20" i="175"/>
  <c r="EF20" i="175"/>
  <c r="DP20" i="175"/>
  <c r="DF20" i="175"/>
  <c r="EE20" i="175"/>
  <c r="DO20" i="175"/>
  <c r="DD20" i="175"/>
  <c r="ED20" i="175"/>
  <c r="DN20" i="175"/>
  <c r="EB20" i="175"/>
  <c r="DL20" i="175"/>
  <c r="EN20" i="175"/>
  <c r="EM20" i="175"/>
  <c r="DX20" i="175"/>
  <c r="DW20" i="175"/>
  <c r="DJ20" i="175"/>
  <c r="DI20" i="175"/>
  <c r="CZ20" i="175"/>
  <c r="DA20" i="175"/>
  <c r="EG34" i="169"/>
  <c r="DY34" i="169"/>
  <c r="DQ34" i="169"/>
  <c r="DI34" i="169"/>
  <c r="EN34" i="169"/>
  <c r="EF34" i="169"/>
  <c r="DX34" i="169"/>
  <c r="DP34" i="169"/>
  <c r="DH34" i="169"/>
  <c r="EM34" i="169"/>
  <c r="EE34" i="169"/>
  <c r="DW34" i="169"/>
  <c r="DO34" i="169"/>
  <c r="DG34" i="169"/>
  <c r="EL34" i="169"/>
  <c r="ED34" i="169"/>
  <c r="DV34" i="169"/>
  <c r="DN34" i="169"/>
  <c r="DF34" i="169"/>
  <c r="EK34" i="169"/>
  <c r="EC34" i="169"/>
  <c r="DU34" i="169"/>
  <c r="DM34" i="169"/>
  <c r="DE34" i="169"/>
  <c r="CZ34" i="169"/>
  <c r="EJ34" i="169"/>
  <c r="EB34" i="169"/>
  <c r="DT34" i="169"/>
  <c r="DL34" i="169"/>
  <c r="DD34" i="169"/>
  <c r="DA34" i="169"/>
  <c r="EI34" i="169"/>
  <c r="EA34" i="169"/>
  <c r="DS34" i="169"/>
  <c r="DK34" i="169"/>
  <c r="DJ34" i="169"/>
  <c r="EH34" i="169"/>
  <c r="DZ34" i="169"/>
  <c r="DR34" i="169"/>
  <c r="EI26" i="171"/>
  <c r="EA26" i="171"/>
  <c r="DS26" i="171"/>
  <c r="DK26" i="171"/>
  <c r="EG26" i="171"/>
  <c r="DY26" i="171"/>
  <c r="DQ26" i="171"/>
  <c r="DI26" i="171"/>
  <c r="EN26" i="171"/>
  <c r="EF26" i="171"/>
  <c r="DX26" i="171"/>
  <c r="DP26" i="171"/>
  <c r="DH26" i="171"/>
  <c r="EM26" i="171"/>
  <c r="EE26" i="171"/>
  <c r="DW26" i="171"/>
  <c r="DO26" i="171"/>
  <c r="DG26" i="171"/>
  <c r="EL26" i="171"/>
  <c r="DV26" i="171"/>
  <c r="DF26" i="171"/>
  <c r="EK26" i="171"/>
  <c r="DU26" i="171"/>
  <c r="DE26" i="171"/>
  <c r="EJ26" i="171"/>
  <c r="DT26" i="171"/>
  <c r="DD26" i="171"/>
  <c r="EH26" i="171"/>
  <c r="DR26" i="171"/>
  <c r="ED26" i="171"/>
  <c r="DN26" i="171"/>
  <c r="CZ26" i="171"/>
  <c r="EC26" i="171"/>
  <c r="DM26" i="171"/>
  <c r="DA26" i="171"/>
  <c r="EB26" i="171"/>
  <c r="DL26" i="171"/>
  <c r="DJ26" i="171"/>
  <c r="DZ26" i="171"/>
  <c r="EL32" i="169"/>
  <c r="ED32" i="169"/>
  <c r="DV32" i="169"/>
  <c r="DN32" i="169"/>
  <c r="DF32" i="169"/>
  <c r="EK32" i="169"/>
  <c r="EC32" i="169"/>
  <c r="DU32" i="169"/>
  <c r="DM32" i="169"/>
  <c r="DE32" i="169"/>
  <c r="EJ32" i="169"/>
  <c r="EB32" i="169"/>
  <c r="DT32" i="169"/>
  <c r="DL32" i="169"/>
  <c r="DD32" i="169"/>
  <c r="EI32" i="169"/>
  <c r="EA32" i="169"/>
  <c r="DS32" i="169"/>
  <c r="DK32" i="169"/>
  <c r="DA32" i="169"/>
  <c r="EH32" i="169"/>
  <c r="DZ32" i="169"/>
  <c r="DR32" i="169"/>
  <c r="DJ32" i="169"/>
  <c r="EG32" i="169"/>
  <c r="DY32" i="169"/>
  <c r="DQ32" i="169"/>
  <c r="DI32" i="169"/>
  <c r="EN32" i="169"/>
  <c r="EF32" i="169"/>
  <c r="DX32" i="169"/>
  <c r="DP32" i="169"/>
  <c r="DH32" i="169"/>
  <c r="EE32" i="169"/>
  <c r="DW32" i="169"/>
  <c r="DG32" i="169"/>
  <c r="DO32" i="169"/>
  <c r="CZ32" i="169"/>
  <c r="EM32" i="169"/>
  <c r="EH20" i="170"/>
  <c r="DZ20" i="170"/>
  <c r="DR20" i="170"/>
  <c r="DJ20" i="170"/>
  <c r="EG20" i="170"/>
  <c r="DY20" i="170"/>
  <c r="DQ20" i="170"/>
  <c r="DI20" i="170"/>
  <c r="EN20" i="170"/>
  <c r="EF20" i="170"/>
  <c r="DX20" i="170"/>
  <c r="DP20" i="170"/>
  <c r="DH20" i="170"/>
  <c r="CZ20" i="170"/>
  <c r="EM20" i="170"/>
  <c r="EE20" i="170"/>
  <c r="DW20" i="170"/>
  <c r="DO20" i="170"/>
  <c r="DG20" i="170"/>
  <c r="DA20" i="170"/>
  <c r="EL20" i="170"/>
  <c r="ED20" i="170"/>
  <c r="DV20" i="170"/>
  <c r="DN20" i="170"/>
  <c r="DF20" i="170"/>
  <c r="EK20" i="170"/>
  <c r="EC20" i="170"/>
  <c r="DU20" i="170"/>
  <c r="DM20" i="170"/>
  <c r="DE20" i="170"/>
  <c r="EJ20" i="170"/>
  <c r="EB20" i="170"/>
  <c r="DT20" i="170"/>
  <c r="DL20" i="170"/>
  <c r="DD20" i="170"/>
  <c r="EA20" i="170"/>
  <c r="DK20" i="170"/>
  <c r="DS20" i="170"/>
  <c r="EI20" i="170"/>
  <c r="EM32" i="175"/>
  <c r="EE32" i="175"/>
  <c r="DW32" i="175"/>
  <c r="DO32" i="175"/>
  <c r="DG32" i="175"/>
  <c r="EK32" i="175"/>
  <c r="EC32" i="175"/>
  <c r="DU32" i="175"/>
  <c r="DM32" i="175"/>
  <c r="DE32" i="175"/>
  <c r="EJ32" i="175"/>
  <c r="EB32" i="175"/>
  <c r="DT32" i="175"/>
  <c r="DL32" i="175"/>
  <c r="DD32" i="175"/>
  <c r="EI32" i="175"/>
  <c r="EA32" i="175"/>
  <c r="DS32" i="175"/>
  <c r="DK32" i="175"/>
  <c r="EN32" i="175"/>
  <c r="DX32" i="175"/>
  <c r="DH32" i="175"/>
  <c r="EL32" i="175"/>
  <c r="DV32" i="175"/>
  <c r="DF32" i="175"/>
  <c r="EH32" i="175"/>
  <c r="DR32" i="175"/>
  <c r="EG32" i="175"/>
  <c r="DQ32" i="175"/>
  <c r="EF32" i="175"/>
  <c r="DP32" i="175"/>
  <c r="ED32" i="175"/>
  <c r="DN32" i="175"/>
  <c r="DZ32" i="175"/>
  <c r="DJ32" i="175"/>
  <c r="CZ32" i="175"/>
  <c r="DA32" i="175"/>
  <c r="DY32" i="175"/>
  <c r="DI32" i="175"/>
  <c r="EI20" i="176"/>
  <c r="EA20" i="176"/>
  <c r="DS20" i="176"/>
  <c r="DK20" i="176"/>
  <c r="EG20" i="176"/>
  <c r="DY20" i="176"/>
  <c r="DQ20" i="176"/>
  <c r="DI20" i="176"/>
  <c r="EN20" i="176"/>
  <c r="EF20" i="176"/>
  <c r="DX20" i="176"/>
  <c r="DP20" i="176"/>
  <c r="DH20" i="176"/>
  <c r="EL20" i="176"/>
  <c r="ED20" i="176"/>
  <c r="DV20" i="176"/>
  <c r="DN20" i="176"/>
  <c r="DF20" i="176"/>
  <c r="DZ20" i="176"/>
  <c r="DJ20" i="176"/>
  <c r="EK20" i="176"/>
  <c r="DU20" i="176"/>
  <c r="DE20" i="176"/>
  <c r="EJ20" i="176"/>
  <c r="DT20" i="176"/>
  <c r="DD20" i="176"/>
  <c r="EH20" i="176"/>
  <c r="DR20" i="176"/>
  <c r="EB20" i="176"/>
  <c r="DW20" i="176"/>
  <c r="DO20" i="176"/>
  <c r="DM20" i="176"/>
  <c r="DL20" i="176"/>
  <c r="EM20" i="176"/>
  <c r="DG20" i="176"/>
  <c r="EE20" i="176"/>
  <c r="CZ20" i="176"/>
  <c r="DA20" i="176"/>
  <c r="EC20" i="176"/>
  <c r="EJ28" i="224"/>
  <c r="EB28" i="224"/>
  <c r="DT28" i="224"/>
  <c r="DL28" i="224"/>
  <c r="DD28" i="224"/>
  <c r="EI28" i="224"/>
  <c r="EA28" i="224"/>
  <c r="DS28" i="224"/>
  <c r="DK28" i="224"/>
  <c r="EH28" i="224"/>
  <c r="DZ28" i="224"/>
  <c r="DR28" i="224"/>
  <c r="DJ28" i="224"/>
  <c r="EG28" i="224"/>
  <c r="DY28" i="224"/>
  <c r="DQ28" i="224"/>
  <c r="DI28" i="224"/>
  <c r="EN28" i="224"/>
  <c r="EF28" i="224"/>
  <c r="DX28" i="224"/>
  <c r="DP28" i="224"/>
  <c r="DH28" i="224"/>
  <c r="EE28" i="224"/>
  <c r="DM28" i="224"/>
  <c r="EC28" i="224"/>
  <c r="DF28" i="224"/>
  <c r="DW28" i="224"/>
  <c r="DE28" i="224"/>
  <c r="EM28" i="224"/>
  <c r="DU28" i="224"/>
  <c r="DN28" i="224"/>
  <c r="DG28" i="224"/>
  <c r="EL28" i="224"/>
  <c r="EK28" i="224"/>
  <c r="ED28" i="224"/>
  <c r="DV28" i="224"/>
  <c r="DO28" i="224"/>
  <c r="CZ28" i="224"/>
  <c r="DA28" i="224"/>
  <c r="EN24" i="170"/>
  <c r="EF24" i="170"/>
  <c r="DX24" i="170"/>
  <c r="DP24" i="170"/>
  <c r="DH24" i="170"/>
  <c r="EM24" i="170"/>
  <c r="EE24" i="170"/>
  <c r="DW24" i="170"/>
  <c r="DO24" i="170"/>
  <c r="DG24" i="170"/>
  <c r="EL24" i="170"/>
  <c r="ED24" i="170"/>
  <c r="DV24" i="170"/>
  <c r="DN24" i="170"/>
  <c r="DF24" i="170"/>
  <c r="EK24" i="170"/>
  <c r="EC24" i="170"/>
  <c r="DU24" i="170"/>
  <c r="DM24" i="170"/>
  <c r="DE24" i="170"/>
  <c r="EJ24" i="170"/>
  <c r="EB24" i="170"/>
  <c r="DT24" i="170"/>
  <c r="DL24" i="170"/>
  <c r="DD24" i="170"/>
  <c r="EI24" i="170"/>
  <c r="EA24" i="170"/>
  <c r="DS24" i="170"/>
  <c r="DK24" i="170"/>
  <c r="EH24" i="170"/>
  <c r="DZ24" i="170"/>
  <c r="DR24" i="170"/>
  <c r="DJ24" i="170"/>
  <c r="CZ24" i="170"/>
  <c r="DQ24" i="170"/>
  <c r="DI24" i="170"/>
  <c r="DA24" i="170"/>
  <c r="EG24" i="170"/>
  <c r="DY24" i="170"/>
  <c r="EK36" i="175"/>
  <c r="EC36" i="175"/>
  <c r="DU36" i="175"/>
  <c r="DM36" i="175"/>
  <c r="DE36" i="175"/>
  <c r="EI36" i="175"/>
  <c r="EA36" i="175"/>
  <c r="DS36" i="175"/>
  <c r="DK36" i="175"/>
  <c r="EH36" i="175"/>
  <c r="DZ36" i="175"/>
  <c r="DR36" i="175"/>
  <c r="DJ36" i="175"/>
  <c r="EG36" i="175"/>
  <c r="DY36" i="175"/>
  <c r="DQ36" i="175"/>
  <c r="DI36" i="175"/>
  <c r="ED36" i="175"/>
  <c r="DN36" i="175"/>
  <c r="EB36" i="175"/>
  <c r="DL36" i="175"/>
  <c r="EN36" i="175"/>
  <c r="DX36" i="175"/>
  <c r="DH36" i="175"/>
  <c r="EM36" i="175"/>
  <c r="DW36" i="175"/>
  <c r="DG36" i="175"/>
  <c r="EL36" i="175"/>
  <c r="DV36" i="175"/>
  <c r="DF36" i="175"/>
  <c r="EJ36" i="175"/>
  <c r="DT36" i="175"/>
  <c r="DD36" i="175"/>
  <c r="EF36" i="175"/>
  <c r="DP36" i="175"/>
  <c r="EE36" i="175"/>
  <c r="DO36" i="175"/>
  <c r="CZ36" i="175"/>
  <c r="DA36" i="175"/>
  <c r="DP30" i="168"/>
  <c r="DJ30" i="168"/>
  <c r="DQ30" i="168"/>
  <c r="DI30" i="168"/>
  <c r="DA30" i="168"/>
  <c r="CZ30" i="168"/>
  <c r="EM18" i="170"/>
  <c r="EE18" i="170"/>
  <c r="DW18" i="170"/>
  <c r="DO18" i="170"/>
  <c r="DG18" i="170"/>
  <c r="EL18" i="170"/>
  <c r="ED18" i="170"/>
  <c r="DV18" i="170"/>
  <c r="DN18" i="170"/>
  <c r="DF18" i="170"/>
  <c r="EK18" i="170"/>
  <c r="EC18" i="170"/>
  <c r="DU18" i="170"/>
  <c r="DM18" i="170"/>
  <c r="DE18" i="170"/>
  <c r="EJ18" i="170"/>
  <c r="EB18" i="170"/>
  <c r="DT18" i="170"/>
  <c r="DL18" i="170"/>
  <c r="DD18" i="170"/>
  <c r="EI18" i="170"/>
  <c r="EA18" i="170"/>
  <c r="DS18" i="170"/>
  <c r="DK18" i="170"/>
  <c r="DA18" i="170"/>
  <c r="EH18" i="170"/>
  <c r="DZ18" i="170"/>
  <c r="DR18" i="170"/>
  <c r="DJ18" i="170"/>
  <c r="CZ18" i="170"/>
  <c r="EG18" i="170"/>
  <c r="DY18" i="170"/>
  <c r="DQ18" i="170"/>
  <c r="DI18" i="170"/>
  <c r="EN18" i="170"/>
  <c r="EF18" i="170"/>
  <c r="DX18" i="170"/>
  <c r="DP18" i="170"/>
  <c r="DH18" i="170"/>
  <c r="DJ28" i="167"/>
  <c r="DQ28" i="167"/>
  <c r="DI28" i="167"/>
  <c r="DP28" i="167"/>
  <c r="DP28" i="168"/>
  <c r="DJ28" i="168"/>
  <c r="DQ28" i="168"/>
  <c r="DA28" i="168"/>
  <c r="CZ28" i="168"/>
  <c r="DI28" i="168"/>
  <c r="EJ36" i="170"/>
  <c r="EN36" i="170"/>
  <c r="EH36" i="170"/>
  <c r="DZ36" i="170"/>
  <c r="DR36" i="170"/>
  <c r="DJ36" i="170"/>
  <c r="EG36" i="170"/>
  <c r="DY36" i="170"/>
  <c r="DQ36" i="170"/>
  <c r="DI36" i="170"/>
  <c r="EF36" i="170"/>
  <c r="DX36" i="170"/>
  <c r="DP36" i="170"/>
  <c r="DH36" i="170"/>
  <c r="CZ36" i="170"/>
  <c r="EE36" i="170"/>
  <c r="DW36" i="170"/>
  <c r="DO36" i="170"/>
  <c r="DG36" i="170"/>
  <c r="DA36" i="170"/>
  <c r="EM36" i="170"/>
  <c r="ED36" i="170"/>
  <c r="DV36" i="170"/>
  <c r="DN36" i="170"/>
  <c r="DF36" i="170"/>
  <c r="EL36" i="170"/>
  <c r="EC36" i="170"/>
  <c r="DU36" i="170"/>
  <c r="DM36" i="170"/>
  <c r="DE36" i="170"/>
  <c r="EK36" i="170"/>
  <c r="EB36" i="170"/>
  <c r="DT36" i="170"/>
  <c r="DL36" i="170"/>
  <c r="DD36" i="170"/>
  <c r="EA36" i="170"/>
  <c r="EI36" i="170"/>
  <c r="DS36" i="170"/>
  <c r="DK36" i="170"/>
  <c r="EN24" i="171"/>
  <c r="EF24" i="171"/>
  <c r="DX24" i="171"/>
  <c r="DP24" i="171"/>
  <c r="DH24" i="171"/>
  <c r="EL24" i="171"/>
  <c r="ED24" i="171"/>
  <c r="DV24" i="171"/>
  <c r="DN24" i="171"/>
  <c r="DF24" i="171"/>
  <c r="EK24" i="171"/>
  <c r="EC24" i="171"/>
  <c r="DU24" i="171"/>
  <c r="DM24" i="171"/>
  <c r="DE24" i="171"/>
  <c r="EJ24" i="171"/>
  <c r="EB24" i="171"/>
  <c r="DT24" i="171"/>
  <c r="DL24" i="171"/>
  <c r="DD24" i="171"/>
  <c r="EA24" i="171"/>
  <c r="DK24" i="171"/>
  <c r="DZ24" i="171"/>
  <c r="DJ24" i="171"/>
  <c r="DY24" i="171"/>
  <c r="DI24" i="171"/>
  <c r="CZ24" i="171"/>
  <c r="EM24" i="171"/>
  <c r="DW24" i="171"/>
  <c r="DG24" i="171"/>
  <c r="DA24" i="171"/>
  <c r="EI24" i="171"/>
  <c r="DS24" i="171"/>
  <c r="EH24" i="171"/>
  <c r="DR24" i="171"/>
  <c r="EG24" i="171"/>
  <c r="DQ24" i="171"/>
  <c r="DO24" i="171"/>
  <c r="EE24" i="171"/>
  <c r="EK28" i="13"/>
  <c r="EC28" i="13"/>
  <c r="DU28" i="13"/>
  <c r="DM28" i="13"/>
  <c r="DE28" i="13"/>
  <c r="EJ28" i="13"/>
  <c r="EB28" i="13"/>
  <c r="DT28" i="13"/>
  <c r="DL28" i="13"/>
  <c r="DD28" i="13"/>
  <c r="EI28" i="13"/>
  <c r="EA28" i="13"/>
  <c r="DS28" i="13"/>
  <c r="DK28" i="13"/>
  <c r="EH28" i="13"/>
  <c r="DZ28" i="13"/>
  <c r="DR28" i="13"/>
  <c r="DJ28" i="13"/>
  <c r="EG28" i="13"/>
  <c r="DY28" i="13"/>
  <c r="DQ28" i="13"/>
  <c r="DI28" i="13"/>
  <c r="EN28" i="13"/>
  <c r="EF28" i="13"/>
  <c r="DX28" i="13"/>
  <c r="DP28" i="13"/>
  <c r="DH28" i="13"/>
  <c r="DW28" i="13"/>
  <c r="DV28" i="13"/>
  <c r="DO28" i="13"/>
  <c r="CZ28" i="13"/>
  <c r="DN28" i="13"/>
  <c r="DA28" i="13"/>
  <c r="EM28" i="13"/>
  <c r="DG28" i="13"/>
  <c r="EL28" i="13"/>
  <c r="DF28" i="13"/>
  <c r="EE28" i="13"/>
  <c r="ED28" i="13"/>
  <c r="EI36" i="176"/>
  <c r="EA36" i="176"/>
  <c r="DS36" i="176"/>
  <c r="DK36" i="176"/>
  <c r="EG36" i="176"/>
  <c r="DY36" i="176"/>
  <c r="DQ36" i="176"/>
  <c r="DI36" i="176"/>
  <c r="EN36" i="176"/>
  <c r="EF36" i="176"/>
  <c r="DX36" i="176"/>
  <c r="DP36" i="176"/>
  <c r="DH36" i="176"/>
  <c r="EL36" i="176"/>
  <c r="ED36" i="176"/>
  <c r="DV36" i="176"/>
  <c r="DN36" i="176"/>
  <c r="DF36" i="176"/>
  <c r="EH36" i="176"/>
  <c r="DR36" i="176"/>
  <c r="EC36" i="176"/>
  <c r="DM36" i="176"/>
  <c r="EB36" i="176"/>
  <c r="DL36" i="176"/>
  <c r="DZ36" i="176"/>
  <c r="DJ36" i="176"/>
  <c r="DT36" i="176"/>
  <c r="DO36" i="176"/>
  <c r="EM36" i="176"/>
  <c r="DG36" i="176"/>
  <c r="EK36" i="176"/>
  <c r="DE36" i="176"/>
  <c r="EJ36" i="176"/>
  <c r="DD36" i="176"/>
  <c r="EE36" i="176"/>
  <c r="DW36" i="176"/>
  <c r="CZ36" i="176"/>
  <c r="DA36" i="176"/>
  <c r="DU36" i="176"/>
  <c r="EM24" i="223"/>
  <c r="EE24" i="223"/>
  <c r="DW24" i="223"/>
  <c r="DO24" i="223"/>
  <c r="DG24" i="223"/>
  <c r="EL24" i="223"/>
  <c r="ED24" i="223"/>
  <c r="DV24" i="223"/>
  <c r="DN24" i="223"/>
  <c r="DF24" i="223"/>
  <c r="EK24" i="223"/>
  <c r="EC24" i="223"/>
  <c r="DU24" i="223"/>
  <c r="DM24" i="223"/>
  <c r="DE24" i="223"/>
  <c r="EJ24" i="223"/>
  <c r="EB24" i="223"/>
  <c r="DT24" i="223"/>
  <c r="DL24" i="223"/>
  <c r="DD24" i="223"/>
  <c r="DZ24" i="223"/>
  <c r="DJ24" i="223"/>
  <c r="EN24" i="223"/>
  <c r="DX24" i="223"/>
  <c r="DH24" i="223"/>
  <c r="EI24" i="223"/>
  <c r="DS24" i="223"/>
  <c r="EG24" i="223"/>
  <c r="DQ24" i="223"/>
  <c r="DK24" i="223"/>
  <c r="DI24" i="223"/>
  <c r="EH24" i="223"/>
  <c r="EF24" i="223"/>
  <c r="EA24" i="223"/>
  <c r="DY24" i="223"/>
  <c r="DR24" i="223"/>
  <c r="DP24" i="223"/>
  <c r="CZ24" i="223"/>
  <c r="DA24" i="223"/>
  <c r="DJ26" i="167"/>
  <c r="DQ26" i="167"/>
  <c r="DI26" i="167"/>
  <c r="DP26" i="167"/>
  <c r="DP26" i="168"/>
  <c r="DJ26" i="168"/>
  <c r="DQ26" i="168"/>
  <c r="DA26" i="168"/>
  <c r="CZ26" i="168"/>
  <c r="DI26" i="168"/>
  <c r="EI30" i="169"/>
  <c r="EA30" i="169"/>
  <c r="DS30" i="169"/>
  <c r="DK30" i="169"/>
  <c r="EH30" i="169"/>
  <c r="DZ30" i="169"/>
  <c r="DR30" i="169"/>
  <c r="DJ30" i="169"/>
  <c r="EG30" i="169"/>
  <c r="DY30" i="169"/>
  <c r="DQ30" i="169"/>
  <c r="DI30" i="169"/>
  <c r="EN30" i="169"/>
  <c r="EF30" i="169"/>
  <c r="DX30" i="169"/>
  <c r="DP30" i="169"/>
  <c r="DH30" i="169"/>
  <c r="EM30" i="169"/>
  <c r="EE30" i="169"/>
  <c r="DW30" i="169"/>
  <c r="DO30" i="169"/>
  <c r="DG30" i="169"/>
  <c r="EL30" i="169"/>
  <c r="ED30" i="169"/>
  <c r="DV30" i="169"/>
  <c r="DN30" i="169"/>
  <c r="DF30" i="169"/>
  <c r="EK30" i="169"/>
  <c r="EC30" i="169"/>
  <c r="DU30" i="169"/>
  <c r="DM30" i="169"/>
  <c r="DE30" i="169"/>
  <c r="CZ30" i="169"/>
  <c r="DA30" i="169"/>
  <c r="DL30" i="169"/>
  <c r="DD30" i="169"/>
  <c r="DT30" i="169"/>
  <c r="EJ30" i="169"/>
  <c r="EB30" i="169"/>
  <c r="EM34" i="170"/>
  <c r="EE34" i="170"/>
  <c r="DW34" i="170"/>
  <c r="DO34" i="170"/>
  <c r="DG34" i="170"/>
  <c r="EL34" i="170"/>
  <c r="ED34" i="170"/>
  <c r="DV34" i="170"/>
  <c r="DN34" i="170"/>
  <c r="DF34" i="170"/>
  <c r="EK34" i="170"/>
  <c r="EC34" i="170"/>
  <c r="DU34" i="170"/>
  <c r="DM34" i="170"/>
  <c r="DE34" i="170"/>
  <c r="EJ34" i="170"/>
  <c r="EB34" i="170"/>
  <c r="DT34" i="170"/>
  <c r="DL34" i="170"/>
  <c r="DD34" i="170"/>
  <c r="EI34" i="170"/>
  <c r="EA34" i="170"/>
  <c r="DS34" i="170"/>
  <c r="DK34" i="170"/>
  <c r="EH34" i="170"/>
  <c r="DZ34" i="170"/>
  <c r="DR34" i="170"/>
  <c r="DJ34" i="170"/>
  <c r="EG34" i="170"/>
  <c r="DY34" i="170"/>
  <c r="DQ34" i="170"/>
  <c r="DI34" i="170"/>
  <c r="DX34" i="170"/>
  <c r="DH34" i="170"/>
  <c r="CZ34" i="170"/>
  <c r="DP34" i="170"/>
  <c r="DA34" i="170"/>
  <c r="EN34" i="170"/>
  <c r="EF34" i="170"/>
  <c r="EM18" i="171"/>
  <c r="EE18" i="171"/>
  <c r="DW18" i="171"/>
  <c r="DO18" i="171"/>
  <c r="DG18" i="171"/>
  <c r="EK18" i="171"/>
  <c r="EC18" i="171"/>
  <c r="DU18" i="171"/>
  <c r="DM18" i="171"/>
  <c r="DE18" i="171"/>
  <c r="EJ18" i="171"/>
  <c r="EB18" i="171"/>
  <c r="DT18" i="171"/>
  <c r="DL18" i="171"/>
  <c r="DD18" i="171"/>
  <c r="EI18" i="171"/>
  <c r="EA18" i="171"/>
  <c r="DS18" i="171"/>
  <c r="DK18" i="171"/>
  <c r="DZ18" i="171"/>
  <c r="DJ18" i="171"/>
  <c r="DA18" i="171"/>
  <c r="DY18" i="171"/>
  <c r="DI18" i="171"/>
  <c r="EN18" i="171"/>
  <c r="DX18" i="171"/>
  <c r="DH18" i="171"/>
  <c r="EL18" i="171"/>
  <c r="DV18" i="171"/>
  <c r="DF18" i="171"/>
  <c r="EH18" i="171"/>
  <c r="DR18" i="171"/>
  <c r="EG18" i="171"/>
  <c r="DQ18" i="171"/>
  <c r="EF18" i="171"/>
  <c r="DP18" i="171"/>
  <c r="ED18" i="171"/>
  <c r="DN18" i="171"/>
  <c r="CZ18" i="171"/>
  <c r="EK22" i="171"/>
  <c r="EC22" i="171"/>
  <c r="DU22" i="171"/>
  <c r="DM22" i="171"/>
  <c r="DE22" i="171"/>
  <c r="EI22" i="171"/>
  <c r="EA22" i="171"/>
  <c r="DS22" i="171"/>
  <c r="DK22" i="171"/>
  <c r="EH22" i="171"/>
  <c r="DZ22" i="171"/>
  <c r="DR22" i="171"/>
  <c r="DJ22" i="171"/>
  <c r="EG22" i="171"/>
  <c r="DY22" i="171"/>
  <c r="DQ22" i="171"/>
  <c r="DI22" i="171"/>
  <c r="EF22" i="171"/>
  <c r="DP22" i="171"/>
  <c r="CZ22" i="171"/>
  <c r="EE22" i="171"/>
  <c r="DO22" i="171"/>
  <c r="ED22" i="171"/>
  <c r="DN22" i="171"/>
  <c r="EB22" i="171"/>
  <c r="DL22" i="171"/>
  <c r="EN22" i="171"/>
  <c r="DX22" i="171"/>
  <c r="DH22" i="171"/>
  <c r="EM22" i="171"/>
  <c r="DW22" i="171"/>
  <c r="DG22" i="171"/>
  <c r="EL22" i="171"/>
  <c r="DV22" i="171"/>
  <c r="DF22" i="171"/>
  <c r="EJ22" i="171"/>
  <c r="DD22" i="171"/>
  <c r="DT22" i="171"/>
  <c r="DA22" i="171"/>
  <c r="EH26" i="13"/>
  <c r="DZ26" i="13"/>
  <c r="DR26" i="13"/>
  <c r="DJ26" i="13"/>
  <c r="EG26" i="13"/>
  <c r="DY26" i="13"/>
  <c r="DQ26" i="13"/>
  <c r="DI26" i="13"/>
  <c r="EN26" i="13"/>
  <c r="EF26" i="13"/>
  <c r="DX26" i="13"/>
  <c r="DP26" i="13"/>
  <c r="DH26" i="13"/>
  <c r="EM26" i="13"/>
  <c r="EE26" i="13"/>
  <c r="DW26" i="13"/>
  <c r="DO26" i="13"/>
  <c r="DG26" i="13"/>
  <c r="EL26" i="13"/>
  <c r="ED26" i="13"/>
  <c r="DV26" i="13"/>
  <c r="DN26" i="13"/>
  <c r="DF26" i="13"/>
  <c r="EK26" i="13"/>
  <c r="EC26" i="13"/>
  <c r="DU26" i="13"/>
  <c r="DM26" i="13"/>
  <c r="DE26" i="13"/>
  <c r="EB26" i="13"/>
  <c r="CZ26" i="13"/>
  <c r="EA26" i="13"/>
  <c r="DT26" i="13"/>
  <c r="DS26" i="13"/>
  <c r="DL26" i="13"/>
  <c r="DK26" i="13"/>
  <c r="EJ26" i="13"/>
  <c r="DD26" i="13"/>
  <c r="DA26" i="13"/>
  <c r="EI26" i="13"/>
  <c r="EJ30" i="175"/>
  <c r="EB30" i="175"/>
  <c r="DT30" i="175"/>
  <c r="DL30" i="175"/>
  <c r="DD30" i="175"/>
  <c r="EH30" i="175"/>
  <c r="DZ30" i="175"/>
  <c r="DR30" i="175"/>
  <c r="DJ30" i="175"/>
  <c r="EG30" i="175"/>
  <c r="DY30" i="175"/>
  <c r="DQ30" i="175"/>
  <c r="DI30" i="175"/>
  <c r="EN30" i="175"/>
  <c r="EF30" i="175"/>
  <c r="DX30" i="175"/>
  <c r="DP30" i="175"/>
  <c r="DH30" i="175"/>
  <c r="EC30" i="175"/>
  <c r="DM30" i="175"/>
  <c r="EA30" i="175"/>
  <c r="DK30" i="175"/>
  <c r="EM30" i="175"/>
  <c r="DW30" i="175"/>
  <c r="DG30" i="175"/>
  <c r="EL30" i="175"/>
  <c r="DV30" i="175"/>
  <c r="DF30" i="175"/>
  <c r="EK30" i="175"/>
  <c r="DU30" i="175"/>
  <c r="DE30" i="175"/>
  <c r="EI30" i="175"/>
  <c r="DS30" i="175"/>
  <c r="EE30" i="175"/>
  <c r="DO30" i="175"/>
  <c r="ED30" i="175"/>
  <c r="CZ30" i="175"/>
  <c r="DN30" i="175"/>
  <c r="DA30" i="175"/>
  <c r="EN34" i="176"/>
  <c r="EF34" i="176"/>
  <c r="DX34" i="176"/>
  <c r="DP34" i="176"/>
  <c r="DH34" i="176"/>
  <c r="EL34" i="176"/>
  <c r="ED34" i="176"/>
  <c r="DV34" i="176"/>
  <c r="DN34" i="176"/>
  <c r="DF34" i="176"/>
  <c r="EK34" i="176"/>
  <c r="EC34" i="176"/>
  <c r="DU34" i="176"/>
  <c r="DM34" i="176"/>
  <c r="DE34" i="176"/>
  <c r="EI34" i="176"/>
  <c r="EA34" i="176"/>
  <c r="DS34" i="176"/>
  <c r="DK34" i="176"/>
  <c r="EM34" i="176"/>
  <c r="DW34" i="176"/>
  <c r="DG34" i="176"/>
  <c r="EH34" i="176"/>
  <c r="DR34" i="176"/>
  <c r="EG34" i="176"/>
  <c r="DQ34" i="176"/>
  <c r="EE34" i="176"/>
  <c r="DO34" i="176"/>
  <c r="DY34" i="176"/>
  <c r="DT34" i="176"/>
  <c r="DL34" i="176"/>
  <c r="DJ34" i="176"/>
  <c r="DI34" i="176"/>
  <c r="EJ34" i="176"/>
  <c r="DD34" i="176"/>
  <c r="EB34" i="176"/>
  <c r="CZ34" i="176"/>
  <c r="DZ34" i="176"/>
  <c r="DA34" i="176"/>
  <c r="EL18" i="223"/>
  <c r="ED18" i="223"/>
  <c r="DV18" i="223"/>
  <c r="DN18" i="223"/>
  <c r="DF18" i="223"/>
  <c r="EJ18" i="223"/>
  <c r="EB18" i="223"/>
  <c r="DT18" i="223"/>
  <c r="DL18" i="223"/>
  <c r="DD18" i="223"/>
  <c r="EI18" i="223"/>
  <c r="EA18" i="223"/>
  <c r="DS18" i="223"/>
  <c r="DK18" i="223"/>
  <c r="EG18" i="223"/>
  <c r="DY18" i="223"/>
  <c r="DQ18" i="223"/>
  <c r="DI18" i="223"/>
  <c r="EE18" i="223"/>
  <c r="EC18" i="223"/>
  <c r="DM18" i="223"/>
  <c r="DZ18" i="223"/>
  <c r="EN18" i="223"/>
  <c r="DX18" i="223"/>
  <c r="DH18" i="223"/>
  <c r="EM18" i="223"/>
  <c r="DW18" i="223"/>
  <c r="DG18" i="223"/>
  <c r="EK18" i="223"/>
  <c r="DU18" i="223"/>
  <c r="DE18" i="223"/>
  <c r="DO18" i="223"/>
  <c r="DJ18" i="223"/>
  <c r="EH18" i="223"/>
  <c r="EF18" i="223"/>
  <c r="DR18" i="223"/>
  <c r="DA18" i="223"/>
  <c r="DP18" i="223"/>
  <c r="CZ18" i="223"/>
  <c r="EJ22" i="223"/>
  <c r="EB22" i="223"/>
  <c r="DT22" i="223"/>
  <c r="DL22" i="223"/>
  <c r="DD22" i="223"/>
  <c r="EI22" i="223"/>
  <c r="EA22" i="223"/>
  <c r="DS22" i="223"/>
  <c r="DK22" i="223"/>
  <c r="EH22" i="223"/>
  <c r="DZ22" i="223"/>
  <c r="DR22" i="223"/>
  <c r="DJ22" i="223"/>
  <c r="EG22" i="223"/>
  <c r="DY22" i="223"/>
  <c r="DQ22" i="223"/>
  <c r="DI22" i="223"/>
  <c r="EE22" i="223"/>
  <c r="DO22" i="223"/>
  <c r="EC22" i="223"/>
  <c r="DM22" i="223"/>
  <c r="EN22" i="223"/>
  <c r="DX22" i="223"/>
  <c r="DH22" i="223"/>
  <c r="EL22" i="223"/>
  <c r="DV22" i="223"/>
  <c r="DF22" i="223"/>
  <c r="DP22" i="223"/>
  <c r="DN22" i="223"/>
  <c r="EM22" i="223"/>
  <c r="DG22" i="223"/>
  <c r="EK22" i="223"/>
  <c r="DE22" i="223"/>
  <c r="EF22" i="223"/>
  <c r="ED22" i="223"/>
  <c r="DW22" i="223"/>
  <c r="CZ22" i="223"/>
  <c r="DA22" i="223"/>
  <c r="DU22" i="223"/>
  <c r="EG26" i="224"/>
  <c r="DY26" i="224"/>
  <c r="DQ26" i="224"/>
  <c r="DI26" i="224"/>
  <c r="EN26" i="224"/>
  <c r="EF26" i="224"/>
  <c r="DX26" i="224"/>
  <c r="DP26" i="224"/>
  <c r="DH26" i="224"/>
  <c r="EM26" i="224"/>
  <c r="EE26" i="224"/>
  <c r="DW26" i="224"/>
  <c r="DO26" i="224"/>
  <c r="DG26" i="224"/>
  <c r="EL26" i="224"/>
  <c r="ED26" i="224"/>
  <c r="DV26" i="224"/>
  <c r="DN26" i="224"/>
  <c r="DF26" i="224"/>
  <c r="EK26" i="224"/>
  <c r="EC26" i="224"/>
  <c r="DU26" i="224"/>
  <c r="DM26" i="224"/>
  <c r="DE26" i="224"/>
  <c r="EA26" i="224"/>
  <c r="DD26" i="224"/>
  <c r="DT26" i="224"/>
  <c r="DS26" i="224"/>
  <c r="EI26" i="224"/>
  <c r="DL26" i="224"/>
  <c r="DJ26" i="224"/>
  <c r="EJ26" i="224"/>
  <c r="EH26" i="224"/>
  <c r="EB26" i="224"/>
  <c r="DZ26" i="224"/>
  <c r="DR26" i="224"/>
  <c r="DK26" i="224"/>
  <c r="CZ26" i="224"/>
  <c r="DA26" i="224"/>
  <c r="DJ24" i="167"/>
  <c r="DQ24" i="167"/>
  <c r="DP24" i="167"/>
  <c r="DI24" i="167"/>
  <c r="EJ32" i="170"/>
  <c r="EB32" i="170"/>
  <c r="DT32" i="170"/>
  <c r="DL32" i="170"/>
  <c r="DD32" i="170"/>
  <c r="EI32" i="170"/>
  <c r="EA32" i="170"/>
  <c r="DS32" i="170"/>
  <c r="DK32" i="170"/>
  <c r="EH32" i="170"/>
  <c r="DZ32" i="170"/>
  <c r="DR32" i="170"/>
  <c r="DJ32" i="170"/>
  <c r="EG32" i="170"/>
  <c r="DY32" i="170"/>
  <c r="DQ32" i="170"/>
  <c r="DI32" i="170"/>
  <c r="EN32" i="170"/>
  <c r="EF32" i="170"/>
  <c r="DX32" i="170"/>
  <c r="DP32" i="170"/>
  <c r="DH32" i="170"/>
  <c r="EM32" i="170"/>
  <c r="EE32" i="170"/>
  <c r="DW32" i="170"/>
  <c r="DO32" i="170"/>
  <c r="DG32" i="170"/>
  <c r="EL32" i="170"/>
  <c r="ED32" i="170"/>
  <c r="DV32" i="170"/>
  <c r="DN32" i="170"/>
  <c r="DF32" i="170"/>
  <c r="CZ32" i="170"/>
  <c r="EK32" i="170"/>
  <c r="DA32" i="170"/>
  <c r="DU32" i="170"/>
  <c r="EC32" i="170"/>
  <c r="DM32" i="170"/>
  <c r="DE32" i="170"/>
  <c r="EK32" i="176"/>
  <c r="EC32" i="176"/>
  <c r="DU32" i="176"/>
  <c r="DM32" i="176"/>
  <c r="DE32" i="176"/>
  <c r="EI32" i="176"/>
  <c r="EA32" i="176"/>
  <c r="DS32" i="176"/>
  <c r="DK32" i="176"/>
  <c r="EH32" i="176"/>
  <c r="DZ32" i="176"/>
  <c r="DR32" i="176"/>
  <c r="DJ32" i="176"/>
  <c r="EN32" i="176"/>
  <c r="EF32" i="176"/>
  <c r="DX32" i="176"/>
  <c r="DP32" i="176"/>
  <c r="DH32" i="176"/>
  <c r="EB32" i="176"/>
  <c r="DL32" i="176"/>
  <c r="EM32" i="176"/>
  <c r="DW32" i="176"/>
  <c r="DG32" i="176"/>
  <c r="EL32" i="176"/>
  <c r="DV32" i="176"/>
  <c r="DF32" i="176"/>
  <c r="EJ32" i="176"/>
  <c r="DT32" i="176"/>
  <c r="DD32" i="176"/>
  <c r="ED32" i="176"/>
  <c r="DY32" i="176"/>
  <c r="DQ32" i="176"/>
  <c r="DO32" i="176"/>
  <c r="DN32" i="176"/>
  <c r="DI32" i="176"/>
  <c r="EG32" i="176"/>
  <c r="CZ32" i="176"/>
  <c r="EE32" i="176"/>
  <c r="DA32" i="176"/>
  <c r="EG20" i="223"/>
  <c r="EN20" i="223"/>
  <c r="EF20" i="223"/>
  <c r="DX20" i="223"/>
  <c r="EL20" i="223"/>
  <c r="ED20" i="223"/>
  <c r="EK20" i="223"/>
  <c r="DZ20" i="223"/>
  <c r="DQ20" i="223"/>
  <c r="DI20" i="223"/>
  <c r="EI20" i="223"/>
  <c r="DW20" i="223"/>
  <c r="DO20" i="223"/>
  <c r="DG20" i="223"/>
  <c r="EH20" i="223"/>
  <c r="DV20" i="223"/>
  <c r="DN20" i="223"/>
  <c r="DF20" i="223"/>
  <c r="EC20" i="223"/>
  <c r="DT20" i="223"/>
  <c r="DL20" i="223"/>
  <c r="DD20" i="223"/>
  <c r="EA20" i="223"/>
  <c r="DJ20" i="223"/>
  <c r="DY20" i="223"/>
  <c r="DH20" i="223"/>
  <c r="DU20" i="223"/>
  <c r="DE20" i="223"/>
  <c r="DS20" i="223"/>
  <c r="EM20" i="223"/>
  <c r="DR20" i="223"/>
  <c r="EJ20" i="223"/>
  <c r="DP20" i="223"/>
  <c r="EE20" i="223"/>
  <c r="EB20" i="223"/>
  <c r="DM20" i="223"/>
  <c r="DK20" i="223"/>
  <c r="CZ20" i="223"/>
  <c r="DA20" i="223"/>
  <c r="EL24" i="224"/>
  <c r="ED24" i="224"/>
  <c r="DV24" i="224"/>
  <c r="DN24" i="224"/>
  <c r="DF24" i="224"/>
  <c r="EK24" i="224"/>
  <c r="EC24" i="224"/>
  <c r="DU24" i="224"/>
  <c r="DM24" i="224"/>
  <c r="DE24" i="224"/>
  <c r="EJ24" i="224"/>
  <c r="EB24" i="224"/>
  <c r="DT24" i="224"/>
  <c r="DL24" i="224"/>
  <c r="DD24" i="224"/>
  <c r="EI24" i="224"/>
  <c r="EA24" i="224"/>
  <c r="DS24" i="224"/>
  <c r="DK24" i="224"/>
  <c r="EH24" i="224"/>
  <c r="DZ24" i="224"/>
  <c r="DR24" i="224"/>
  <c r="DJ24" i="224"/>
  <c r="DW24" i="224"/>
  <c r="EM24" i="224"/>
  <c r="DP24" i="224"/>
  <c r="EG24" i="224"/>
  <c r="DO24" i="224"/>
  <c r="EE24" i="224"/>
  <c r="DH24" i="224"/>
  <c r="EN24" i="224"/>
  <c r="EF24" i="224"/>
  <c r="DY24" i="224"/>
  <c r="DX24" i="224"/>
  <c r="DQ24" i="224"/>
  <c r="DI24" i="224"/>
  <c r="DG24" i="224"/>
  <c r="CZ24" i="224"/>
  <c r="DA24" i="224"/>
  <c r="EH36" i="171"/>
  <c r="DZ36" i="171"/>
  <c r="DR36" i="171"/>
  <c r="DJ36" i="171"/>
  <c r="EN36" i="171"/>
  <c r="EF36" i="171"/>
  <c r="DX36" i="171"/>
  <c r="DP36" i="171"/>
  <c r="DH36" i="171"/>
  <c r="EM36" i="171"/>
  <c r="EE36" i="171"/>
  <c r="DW36" i="171"/>
  <c r="DO36" i="171"/>
  <c r="DG36" i="171"/>
  <c r="EL36" i="171"/>
  <c r="ED36" i="171"/>
  <c r="DV36" i="171"/>
  <c r="DN36" i="171"/>
  <c r="DF36" i="171"/>
  <c r="EC36" i="171"/>
  <c r="DM36" i="171"/>
  <c r="EB36" i="171"/>
  <c r="DL36" i="171"/>
  <c r="EA36" i="171"/>
  <c r="DK36" i="171"/>
  <c r="DY36" i="171"/>
  <c r="DI36" i="171"/>
  <c r="EK36" i="171"/>
  <c r="DU36" i="171"/>
  <c r="DE36" i="171"/>
  <c r="EJ36" i="171"/>
  <c r="DT36" i="171"/>
  <c r="DD36" i="171"/>
  <c r="EI36" i="171"/>
  <c r="DS36" i="171"/>
  <c r="CZ36" i="171"/>
  <c r="EG36" i="171"/>
  <c r="DQ36" i="171"/>
  <c r="DA36" i="171"/>
  <c r="EG28" i="175"/>
  <c r="DY28" i="175"/>
  <c r="DQ28" i="175"/>
  <c r="DI28" i="175"/>
  <c r="EM28" i="175"/>
  <c r="EE28" i="175"/>
  <c r="DW28" i="175"/>
  <c r="DO28" i="175"/>
  <c r="DG28" i="175"/>
  <c r="EL28" i="175"/>
  <c r="ED28" i="175"/>
  <c r="DV28" i="175"/>
  <c r="DN28" i="175"/>
  <c r="DF28" i="175"/>
  <c r="EK28" i="175"/>
  <c r="EC28" i="175"/>
  <c r="DU28" i="175"/>
  <c r="DM28" i="175"/>
  <c r="DE28" i="175"/>
  <c r="EH28" i="175"/>
  <c r="DR28" i="175"/>
  <c r="EF28" i="175"/>
  <c r="DP28" i="175"/>
  <c r="EB28" i="175"/>
  <c r="DL28" i="175"/>
  <c r="EA28" i="175"/>
  <c r="DK28" i="175"/>
  <c r="DZ28" i="175"/>
  <c r="DJ28" i="175"/>
  <c r="EN28" i="175"/>
  <c r="DX28" i="175"/>
  <c r="DH28" i="175"/>
  <c r="EJ28" i="175"/>
  <c r="DT28" i="175"/>
  <c r="DD28" i="175"/>
  <c r="EI28" i="175"/>
  <c r="DS28" i="175"/>
  <c r="CZ28" i="175"/>
  <c r="DA28" i="175"/>
  <c r="EK26" i="169"/>
  <c r="EC26" i="169"/>
  <c r="DU26" i="169"/>
  <c r="DM26" i="169"/>
  <c r="DE26" i="169"/>
  <c r="EJ26" i="169"/>
  <c r="EB26" i="169"/>
  <c r="DT26" i="169"/>
  <c r="DL26" i="169"/>
  <c r="DD26" i="169"/>
  <c r="EI26" i="169"/>
  <c r="EA26" i="169"/>
  <c r="DS26" i="169"/>
  <c r="DK26" i="169"/>
  <c r="EH26" i="169"/>
  <c r="DZ26" i="169"/>
  <c r="DR26" i="169"/>
  <c r="DJ26" i="169"/>
  <c r="EG26" i="169"/>
  <c r="DY26" i="169"/>
  <c r="DQ26" i="169"/>
  <c r="DI26" i="169"/>
  <c r="CZ26" i="169"/>
  <c r="EN26" i="169"/>
  <c r="EF26" i="169"/>
  <c r="DX26" i="169"/>
  <c r="DP26" i="169"/>
  <c r="DH26" i="169"/>
  <c r="DA26" i="169"/>
  <c r="EM26" i="169"/>
  <c r="EE26" i="169"/>
  <c r="DW26" i="169"/>
  <c r="DO26" i="169"/>
  <c r="DG26" i="169"/>
  <c r="DF26" i="169"/>
  <c r="DN26" i="169"/>
  <c r="ED26" i="169"/>
  <c r="DV26" i="169"/>
  <c r="EL26" i="169"/>
  <c r="EM34" i="171"/>
  <c r="EE34" i="171"/>
  <c r="DW34" i="171"/>
  <c r="DO34" i="171"/>
  <c r="DG34" i="171"/>
  <c r="EK34" i="171"/>
  <c r="EC34" i="171"/>
  <c r="DU34" i="171"/>
  <c r="DM34" i="171"/>
  <c r="DE34" i="171"/>
  <c r="EJ34" i="171"/>
  <c r="EB34" i="171"/>
  <c r="DT34" i="171"/>
  <c r="DL34" i="171"/>
  <c r="DD34" i="171"/>
  <c r="EI34" i="171"/>
  <c r="EA34" i="171"/>
  <c r="DS34" i="171"/>
  <c r="DK34" i="171"/>
  <c r="EH34" i="171"/>
  <c r="DR34" i="171"/>
  <c r="EG34" i="171"/>
  <c r="DQ34" i="171"/>
  <c r="EF34" i="171"/>
  <c r="DP34" i="171"/>
  <c r="ED34" i="171"/>
  <c r="DN34" i="171"/>
  <c r="DZ34" i="171"/>
  <c r="DJ34" i="171"/>
  <c r="CZ34" i="171"/>
  <c r="DY34" i="171"/>
  <c r="DI34" i="171"/>
  <c r="DA34" i="171"/>
  <c r="EN34" i="171"/>
  <c r="DX34" i="171"/>
  <c r="DH34" i="171"/>
  <c r="EL34" i="171"/>
  <c r="DV34" i="171"/>
  <c r="DF34" i="171"/>
  <c r="EK18" i="13"/>
  <c r="EC18" i="13"/>
  <c r="DU18" i="13"/>
  <c r="DM18" i="13"/>
  <c r="DE18" i="13"/>
  <c r="EJ18" i="13"/>
  <c r="EB18" i="13"/>
  <c r="EI18" i="13"/>
  <c r="EA18" i="13"/>
  <c r="DS18" i="13"/>
  <c r="DK18" i="13"/>
  <c r="EH18" i="13"/>
  <c r="DZ18" i="13"/>
  <c r="DR18" i="13"/>
  <c r="DJ18" i="13"/>
  <c r="EG18" i="13"/>
  <c r="DY18" i="13"/>
  <c r="DQ18" i="13"/>
  <c r="DI18" i="13"/>
  <c r="DX18" i="13"/>
  <c r="DH18" i="13"/>
  <c r="DW18" i="13"/>
  <c r="DG18" i="13"/>
  <c r="EN18" i="13"/>
  <c r="DV18" i="13"/>
  <c r="DF18" i="13"/>
  <c r="EM18" i="13"/>
  <c r="DT18" i="13"/>
  <c r="DD18" i="13"/>
  <c r="EL18" i="13"/>
  <c r="DP18" i="13"/>
  <c r="DA18" i="13"/>
  <c r="EF18" i="13"/>
  <c r="DO18" i="13"/>
  <c r="CZ18" i="13"/>
  <c r="EE18" i="13"/>
  <c r="DN18" i="13"/>
  <c r="ED18" i="13"/>
  <c r="DL18" i="13"/>
  <c r="EJ22" i="13"/>
  <c r="EB22" i="13"/>
  <c r="DT22" i="13"/>
  <c r="DL22" i="13"/>
  <c r="DD22" i="13"/>
  <c r="EI22" i="13"/>
  <c r="EA22" i="13"/>
  <c r="DS22" i="13"/>
  <c r="DK22" i="13"/>
  <c r="EH22" i="13"/>
  <c r="DZ22" i="13"/>
  <c r="DR22" i="13"/>
  <c r="DJ22" i="13"/>
  <c r="EG22" i="13"/>
  <c r="DY22" i="13"/>
  <c r="DQ22" i="13"/>
  <c r="DI22" i="13"/>
  <c r="EN22" i="13"/>
  <c r="EF22" i="13"/>
  <c r="DX22" i="13"/>
  <c r="DP22" i="13"/>
  <c r="DH22" i="13"/>
  <c r="EM22" i="13"/>
  <c r="EE22" i="13"/>
  <c r="DW22" i="13"/>
  <c r="DO22" i="13"/>
  <c r="DG22" i="13"/>
  <c r="EL22" i="13"/>
  <c r="DF22" i="13"/>
  <c r="EK22" i="13"/>
  <c r="DE22" i="13"/>
  <c r="ED22" i="13"/>
  <c r="EC22" i="13"/>
  <c r="DV22" i="13"/>
  <c r="CZ22" i="13"/>
  <c r="DU22" i="13"/>
  <c r="DA22" i="13"/>
  <c r="DN22" i="13"/>
  <c r="DM22" i="13"/>
  <c r="EL26" i="175"/>
  <c r="ED26" i="175"/>
  <c r="DV26" i="175"/>
  <c r="DN26" i="175"/>
  <c r="DF26" i="175"/>
  <c r="EJ26" i="175"/>
  <c r="EB26" i="175"/>
  <c r="DT26" i="175"/>
  <c r="DL26" i="175"/>
  <c r="DD26" i="175"/>
  <c r="EI26" i="175"/>
  <c r="EA26" i="175"/>
  <c r="DS26" i="175"/>
  <c r="DK26" i="175"/>
  <c r="EH26" i="175"/>
  <c r="DZ26" i="175"/>
  <c r="DR26" i="175"/>
  <c r="DJ26" i="175"/>
  <c r="EM26" i="175"/>
  <c r="DW26" i="175"/>
  <c r="DG26" i="175"/>
  <c r="EK26" i="175"/>
  <c r="DU26" i="175"/>
  <c r="DE26" i="175"/>
  <c r="EG26" i="175"/>
  <c r="DQ26" i="175"/>
  <c r="EF26" i="175"/>
  <c r="DP26" i="175"/>
  <c r="EE26" i="175"/>
  <c r="DO26" i="175"/>
  <c r="EC26" i="175"/>
  <c r="DM26" i="175"/>
  <c r="DY26" i="175"/>
  <c r="EN26" i="175"/>
  <c r="CZ26" i="175"/>
  <c r="DX26" i="175"/>
  <c r="DA26" i="175"/>
  <c r="DI26" i="175"/>
  <c r="DH26" i="175"/>
  <c r="EH30" i="176"/>
  <c r="DZ30" i="176"/>
  <c r="DR30" i="176"/>
  <c r="DJ30" i="176"/>
  <c r="EN30" i="176"/>
  <c r="EF30" i="176"/>
  <c r="DX30" i="176"/>
  <c r="DP30" i="176"/>
  <c r="DH30" i="176"/>
  <c r="EM30" i="176"/>
  <c r="EE30" i="176"/>
  <c r="DW30" i="176"/>
  <c r="DO30" i="176"/>
  <c r="DG30" i="176"/>
  <c r="EK30" i="176"/>
  <c r="EC30" i="176"/>
  <c r="DU30" i="176"/>
  <c r="DM30" i="176"/>
  <c r="DE30" i="176"/>
  <c r="EG30" i="176"/>
  <c r="DQ30" i="176"/>
  <c r="EB30" i="176"/>
  <c r="DL30" i="176"/>
  <c r="EA30" i="176"/>
  <c r="DK30" i="176"/>
  <c r="DY30" i="176"/>
  <c r="DI30" i="176"/>
  <c r="EI30" i="176"/>
  <c r="ED30" i="176"/>
  <c r="DV30" i="176"/>
  <c r="DT30" i="176"/>
  <c r="DS30" i="176"/>
  <c r="DN30" i="176"/>
  <c r="EL30" i="176"/>
  <c r="DF30" i="176"/>
  <c r="EJ30" i="176"/>
  <c r="DD30" i="176"/>
  <c r="CZ30" i="176"/>
  <c r="DA30" i="176"/>
  <c r="EM34" i="223"/>
  <c r="EE34" i="223"/>
  <c r="DW34" i="223"/>
  <c r="DO34" i="223"/>
  <c r="DG34" i="223"/>
  <c r="EL34" i="223"/>
  <c r="ED34" i="223"/>
  <c r="DV34" i="223"/>
  <c r="DN34" i="223"/>
  <c r="DF34" i="223"/>
  <c r="EK34" i="223"/>
  <c r="EC34" i="223"/>
  <c r="DU34" i="223"/>
  <c r="DM34" i="223"/>
  <c r="DE34" i="223"/>
  <c r="EJ34" i="223"/>
  <c r="EB34" i="223"/>
  <c r="DT34" i="223"/>
  <c r="DL34" i="223"/>
  <c r="DD34" i="223"/>
  <c r="EI34" i="223"/>
  <c r="EA34" i="223"/>
  <c r="DS34" i="223"/>
  <c r="DK34" i="223"/>
  <c r="EH34" i="223"/>
  <c r="DP34" i="223"/>
  <c r="EF34" i="223"/>
  <c r="DI34" i="223"/>
  <c r="DZ34" i="223"/>
  <c r="DH34" i="223"/>
  <c r="DX34" i="223"/>
  <c r="DQ34" i="223"/>
  <c r="DJ34" i="223"/>
  <c r="EN34" i="223"/>
  <c r="EG34" i="223"/>
  <c r="DY34" i="223"/>
  <c r="DR34" i="223"/>
  <c r="CZ34" i="223"/>
  <c r="DA34" i="223"/>
  <c r="EK18" i="224"/>
  <c r="EC18" i="224"/>
  <c r="DU18" i="224"/>
  <c r="DM18" i="224"/>
  <c r="DE18" i="224"/>
  <c r="EJ18" i="224"/>
  <c r="EB18" i="224"/>
  <c r="DT18" i="224"/>
  <c r="DL18" i="224"/>
  <c r="DD18" i="224"/>
  <c r="EI18" i="224"/>
  <c r="EA18" i="224"/>
  <c r="DS18" i="224"/>
  <c r="DK18" i="224"/>
  <c r="EH18" i="224"/>
  <c r="DZ18" i="224"/>
  <c r="DR18" i="224"/>
  <c r="DJ18" i="224"/>
  <c r="EG18" i="224"/>
  <c r="DY18" i="224"/>
  <c r="DQ18" i="224"/>
  <c r="DI18" i="224"/>
  <c r="DX18" i="224"/>
  <c r="DF18" i="224"/>
  <c r="EN18" i="224"/>
  <c r="DV18" i="224"/>
  <c r="EM18" i="224"/>
  <c r="DP18" i="224"/>
  <c r="EF18" i="224"/>
  <c r="DN18" i="224"/>
  <c r="ED18" i="224"/>
  <c r="DW18" i="224"/>
  <c r="DO18" i="224"/>
  <c r="DH18" i="224"/>
  <c r="DG18" i="224"/>
  <c r="EL18" i="224"/>
  <c r="EE18" i="224"/>
  <c r="DA18" i="224"/>
  <c r="CZ18" i="224"/>
  <c r="EI22" i="224"/>
  <c r="EA22" i="224"/>
  <c r="DS22" i="224"/>
  <c r="DK22" i="224"/>
  <c r="EH22" i="224"/>
  <c r="DZ22" i="224"/>
  <c r="DR22" i="224"/>
  <c r="DJ22" i="224"/>
  <c r="EG22" i="224"/>
  <c r="DY22" i="224"/>
  <c r="DQ22" i="224"/>
  <c r="DI22" i="224"/>
  <c r="EN22" i="224"/>
  <c r="EF22" i="224"/>
  <c r="DX22" i="224"/>
  <c r="DP22" i="224"/>
  <c r="DH22" i="224"/>
  <c r="EM22" i="224"/>
  <c r="EE22" i="224"/>
  <c r="DW22" i="224"/>
  <c r="DO22" i="224"/>
  <c r="DG22" i="224"/>
  <c r="EK22" i="224"/>
  <c r="DN22" i="224"/>
  <c r="ED22" i="224"/>
  <c r="DL22" i="224"/>
  <c r="EC22" i="224"/>
  <c r="DF22" i="224"/>
  <c r="DV22" i="224"/>
  <c r="DD22" i="224"/>
  <c r="EL22" i="224"/>
  <c r="EJ22" i="224"/>
  <c r="EB22" i="224"/>
  <c r="DU22" i="224"/>
  <c r="DT22" i="224"/>
  <c r="DM22" i="224"/>
  <c r="DE22" i="224"/>
  <c r="CZ22" i="224"/>
  <c r="DA22" i="224"/>
  <c r="DP24" i="168"/>
  <c r="DJ24" i="168"/>
  <c r="DQ24" i="168"/>
  <c r="DA24" i="168"/>
  <c r="CZ24" i="168"/>
  <c r="DI24" i="168"/>
  <c r="EM24" i="13"/>
  <c r="EE24" i="13"/>
  <c r="DW24" i="13"/>
  <c r="DO24" i="13"/>
  <c r="DG24" i="13"/>
  <c r="EL24" i="13"/>
  <c r="ED24" i="13"/>
  <c r="DV24" i="13"/>
  <c r="DN24" i="13"/>
  <c r="DF24" i="13"/>
  <c r="EK24" i="13"/>
  <c r="EC24" i="13"/>
  <c r="DU24" i="13"/>
  <c r="DM24" i="13"/>
  <c r="DE24" i="13"/>
  <c r="EJ24" i="13"/>
  <c r="EB24" i="13"/>
  <c r="DT24" i="13"/>
  <c r="DL24" i="13"/>
  <c r="DD24" i="13"/>
  <c r="EI24" i="13"/>
  <c r="EA24" i="13"/>
  <c r="DS24" i="13"/>
  <c r="DK24" i="13"/>
  <c r="EH24" i="13"/>
  <c r="DZ24" i="13"/>
  <c r="DR24" i="13"/>
  <c r="DJ24" i="13"/>
  <c r="EG24" i="13"/>
  <c r="EF24" i="13"/>
  <c r="DY24" i="13"/>
  <c r="DX24" i="13"/>
  <c r="DQ24" i="13"/>
  <c r="DP24" i="13"/>
  <c r="DI24" i="13"/>
  <c r="CZ24" i="13"/>
  <c r="EN24" i="13"/>
  <c r="DA24" i="13"/>
  <c r="DH24" i="13"/>
  <c r="DJ22" i="167"/>
  <c r="DQ22" i="167"/>
  <c r="DP22" i="167"/>
  <c r="DI22" i="167"/>
  <c r="DQ22" i="168"/>
  <c r="DA22" i="168"/>
  <c r="CZ22" i="168"/>
  <c r="DJ22" i="168"/>
  <c r="DI22" i="168"/>
  <c r="DP22" i="168"/>
  <c r="CZ36" i="168"/>
  <c r="DP36" i="168"/>
  <c r="DJ36" i="168"/>
  <c r="DA36" i="168"/>
  <c r="DQ36" i="168"/>
  <c r="DI36" i="168"/>
  <c r="EH24" i="169"/>
  <c r="DZ24" i="169"/>
  <c r="DR24" i="169"/>
  <c r="DJ24" i="169"/>
  <c r="EG24" i="169"/>
  <c r="DY24" i="169"/>
  <c r="DQ24" i="169"/>
  <c r="DI24" i="169"/>
  <c r="EN24" i="169"/>
  <c r="EF24" i="169"/>
  <c r="DX24" i="169"/>
  <c r="DP24" i="169"/>
  <c r="DH24" i="169"/>
  <c r="CZ24" i="169"/>
  <c r="EM24" i="169"/>
  <c r="EE24" i="169"/>
  <c r="DW24" i="169"/>
  <c r="DO24" i="169"/>
  <c r="DG24" i="169"/>
  <c r="DA24" i="169"/>
  <c r="EL24" i="169"/>
  <c r="ED24" i="169"/>
  <c r="DV24" i="169"/>
  <c r="DN24" i="169"/>
  <c r="DF24" i="169"/>
  <c r="EK24" i="169"/>
  <c r="EC24" i="169"/>
  <c r="DU24" i="169"/>
  <c r="DM24" i="169"/>
  <c r="DE24" i="169"/>
  <c r="EJ24" i="169"/>
  <c r="EB24" i="169"/>
  <c r="DT24" i="169"/>
  <c r="DL24" i="169"/>
  <c r="DD24" i="169"/>
  <c r="EA24" i="169"/>
  <c r="EI24" i="169"/>
  <c r="DS24" i="169"/>
  <c r="DK24" i="169"/>
  <c r="EJ32" i="171"/>
  <c r="EB32" i="171"/>
  <c r="DT32" i="171"/>
  <c r="DL32" i="171"/>
  <c r="DD32" i="171"/>
  <c r="EH32" i="171"/>
  <c r="DZ32" i="171"/>
  <c r="DR32" i="171"/>
  <c r="DJ32" i="171"/>
  <c r="EG32" i="171"/>
  <c r="DY32" i="171"/>
  <c r="DQ32" i="171"/>
  <c r="DI32" i="171"/>
  <c r="EN32" i="171"/>
  <c r="EF32" i="171"/>
  <c r="DX32" i="171"/>
  <c r="DP32" i="171"/>
  <c r="DH32" i="171"/>
  <c r="EM32" i="171"/>
  <c r="DW32" i="171"/>
  <c r="DG32" i="171"/>
  <c r="EL32" i="171"/>
  <c r="DV32" i="171"/>
  <c r="DF32" i="171"/>
  <c r="EK32" i="171"/>
  <c r="DU32" i="171"/>
  <c r="DE32" i="171"/>
  <c r="CZ32" i="171"/>
  <c r="EI32" i="171"/>
  <c r="DS32" i="171"/>
  <c r="DA32" i="171"/>
  <c r="EE32" i="171"/>
  <c r="DO32" i="171"/>
  <c r="ED32" i="171"/>
  <c r="DN32" i="171"/>
  <c r="EC32" i="171"/>
  <c r="DM32" i="171"/>
  <c r="EA32" i="171"/>
  <c r="DK32" i="171"/>
  <c r="EG20" i="13"/>
  <c r="DY20" i="13"/>
  <c r="DQ20" i="13"/>
  <c r="DI20" i="13"/>
  <c r="EN20" i="13"/>
  <c r="EF20" i="13"/>
  <c r="DX20" i="13"/>
  <c r="DP20" i="13"/>
  <c r="DH20" i="13"/>
  <c r="EM20" i="13"/>
  <c r="EE20" i="13"/>
  <c r="DW20" i="13"/>
  <c r="DO20" i="13"/>
  <c r="DG20" i="13"/>
  <c r="EL20" i="13"/>
  <c r="ED20" i="13"/>
  <c r="DV20" i="13"/>
  <c r="DN20" i="13"/>
  <c r="DF20" i="13"/>
  <c r="EK20" i="13"/>
  <c r="EC20" i="13"/>
  <c r="DU20" i="13"/>
  <c r="DM20" i="13"/>
  <c r="DE20" i="13"/>
  <c r="EJ20" i="13"/>
  <c r="EB20" i="13"/>
  <c r="DT20" i="13"/>
  <c r="DL20" i="13"/>
  <c r="DD20" i="13"/>
  <c r="DK20" i="13"/>
  <c r="DJ20" i="13"/>
  <c r="EI20" i="13"/>
  <c r="CZ20" i="13"/>
  <c r="EH20" i="13"/>
  <c r="DA20" i="13"/>
  <c r="EA20" i="13"/>
  <c r="DZ20" i="13"/>
  <c r="DS20" i="13"/>
  <c r="DR20" i="13"/>
  <c r="EM28" i="176"/>
  <c r="EE28" i="176"/>
  <c r="DW28" i="176"/>
  <c r="DO28" i="176"/>
  <c r="DG28" i="176"/>
  <c r="EK28" i="176"/>
  <c r="EC28" i="176"/>
  <c r="DU28" i="176"/>
  <c r="DM28" i="176"/>
  <c r="DE28" i="176"/>
  <c r="EJ28" i="176"/>
  <c r="EB28" i="176"/>
  <c r="DT28" i="176"/>
  <c r="DL28" i="176"/>
  <c r="DD28" i="176"/>
  <c r="EH28" i="176"/>
  <c r="DZ28" i="176"/>
  <c r="DR28" i="176"/>
  <c r="DJ28" i="176"/>
  <c r="EL28" i="176"/>
  <c r="DV28" i="176"/>
  <c r="DF28" i="176"/>
  <c r="EG28" i="176"/>
  <c r="DQ28" i="176"/>
  <c r="EF28" i="176"/>
  <c r="DP28" i="176"/>
  <c r="ED28" i="176"/>
  <c r="DN28" i="176"/>
  <c r="EN28" i="176"/>
  <c r="DH28" i="176"/>
  <c r="EI28" i="176"/>
  <c r="EA28" i="176"/>
  <c r="DY28" i="176"/>
  <c r="DX28" i="176"/>
  <c r="DS28" i="176"/>
  <c r="DK28" i="176"/>
  <c r="DI28" i="176"/>
  <c r="CZ28" i="176"/>
  <c r="DA28" i="176"/>
  <c r="EN36" i="224"/>
  <c r="EF36" i="224"/>
  <c r="DX36" i="224"/>
  <c r="DP36" i="224"/>
  <c r="DH36" i="224"/>
  <c r="EM36" i="224"/>
  <c r="EE36" i="224"/>
  <c r="DW36" i="224"/>
  <c r="DO36" i="224"/>
  <c r="DG36" i="224"/>
  <c r="EL36" i="224"/>
  <c r="ED36" i="224"/>
  <c r="DV36" i="224"/>
  <c r="DN36" i="224"/>
  <c r="DF36" i="224"/>
  <c r="EK36" i="224"/>
  <c r="EC36" i="224"/>
  <c r="DU36" i="224"/>
  <c r="DM36" i="224"/>
  <c r="DE36" i="224"/>
  <c r="EJ36" i="224"/>
  <c r="EB36" i="224"/>
  <c r="DT36" i="224"/>
  <c r="DL36" i="224"/>
  <c r="DD36" i="224"/>
  <c r="EH36" i="224"/>
  <c r="DK36" i="224"/>
  <c r="EA36" i="224"/>
  <c r="DI36" i="224"/>
  <c r="DZ36" i="224"/>
  <c r="DS36" i="224"/>
  <c r="EI36" i="224"/>
  <c r="EG36" i="224"/>
  <c r="DY36" i="224"/>
  <c r="DR36" i="224"/>
  <c r="DQ36" i="224"/>
  <c r="DJ36" i="224"/>
  <c r="CZ36" i="224"/>
  <c r="DA36" i="224"/>
  <c r="EN20" i="224"/>
  <c r="EF20" i="224"/>
  <c r="DX20" i="224"/>
  <c r="DP20" i="224"/>
  <c r="DH20" i="224"/>
  <c r="EM20" i="224"/>
  <c r="EE20" i="224"/>
  <c r="DW20" i="224"/>
  <c r="DO20" i="224"/>
  <c r="DG20" i="224"/>
  <c r="EL20" i="224"/>
  <c r="ED20" i="224"/>
  <c r="DV20" i="224"/>
  <c r="DN20" i="224"/>
  <c r="DF20" i="224"/>
  <c r="EK20" i="224"/>
  <c r="EC20" i="224"/>
  <c r="DU20" i="224"/>
  <c r="DM20" i="224"/>
  <c r="DE20" i="224"/>
  <c r="EJ20" i="224"/>
  <c r="EB20" i="224"/>
  <c r="DT20" i="224"/>
  <c r="DL20" i="224"/>
  <c r="DD20" i="224"/>
  <c r="EG20" i="224"/>
  <c r="DJ20" i="224"/>
  <c r="DZ20" i="224"/>
  <c r="DY20" i="224"/>
  <c r="DR20" i="224"/>
  <c r="EH20" i="224"/>
  <c r="EA20" i="224"/>
  <c r="DS20" i="224"/>
  <c r="DQ20" i="224"/>
  <c r="DK20" i="224"/>
  <c r="DI20" i="224"/>
  <c r="EI20" i="224"/>
  <c r="CZ20" i="224"/>
  <c r="DA20" i="224"/>
  <c r="DH34" i="167"/>
  <c r="DH34" i="168"/>
  <c r="DH30" i="167"/>
  <c r="DH28" i="167"/>
  <c r="DH28" i="168"/>
  <c r="DH26" i="167"/>
  <c r="DH26" i="168"/>
  <c r="DH24" i="167"/>
  <c r="DH24" i="168"/>
  <c r="DH30" i="168"/>
  <c r="DH22" i="167"/>
  <c r="DH22" i="168"/>
  <c r="DH36" i="167"/>
  <c r="DH32" i="168"/>
  <c r="DH36" i="168"/>
  <c r="DH20" i="168"/>
  <c r="EK36" i="168"/>
  <c r="EC36" i="168"/>
  <c r="DU36" i="168"/>
  <c r="DM36" i="168"/>
  <c r="EJ36" i="168"/>
  <c r="EB36" i="168"/>
  <c r="DT36" i="168"/>
  <c r="EI36" i="168"/>
  <c r="EA36" i="168"/>
  <c r="DS36" i="168"/>
  <c r="DG36" i="168"/>
  <c r="EG36" i="168"/>
  <c r="DY36" i="168"/>
  <c r="DO36" i="168"/>
  <c r="DE36" i="168"/>
  <c r="EE36" i="168"/>
  <c r="DK36" i="168"/>
  <c r="EL36" i="168"/>
  <c r="ED36" i="168"/>
  <c r="DV36" i="168"/>
  <c r="DL36" i="168"/>
  <c r="DZ36" i="168"/>
  <c r="DF36" i="168"/>
  <c r="EN36" i="168"/>
  <c r="DX36" i="168"/>
  <c r="DD36" i="168"/>
  <c r="EM36" i="168"/>
  <c r="DW36" i="168"/>
  <c r="DN36" i="168"/>
  <c r="EH36" i="168"/>
  <c r="DR36" i="168"/>
  <c r="EF36" i="168"/>
  <c r="DT36" i="167"/>
  <c r="DU36" i="167"/>
  <c r="DV36" i="167"/>
  <c r="DW36" i="167"/>
  <c r="DX36" i="167"/>
  <c r="EF36" i="167"/>
  <c r="ED36" i="167"/>
  <c r="EB36" i="167"/>
  <c r="DE36" i="167"/>
  <c r="DM36" i="167"/>
  <c r="DD36" i="167"/>
  <c r="DR36" i="167"/>
  <c r="EE36" i="167"/>
  <c r="EC36" i="167"/>
  <c r="EA36" i="167"/>
  <c r="DL36" i="167"/>
  <c r="DF36" i="167"/>
  <c r="DS36" i="167"/>
  <c r="DM34" i="168"/>
  <c r="EL34" i="168"/>
  <c r="ED34" i="168"/>
  <c r="DV34" i="168"/>
  <c r="EK34" i="168"/>
  <c r="EC34" i="168"/>
  <c r="DU34" i="168"/>
  <c r="DL34" i="168"/>
  <c r="EJ34" i="168"/>
  <c r="EB34" i="168"/>
  <c r="DT34" i="168"/>
  <c r="EH34" i="168"/>
  <c r="DZ34" i="168"/>
  <c r="DR34" i="168"/>
  <c r="DF34" i="168"/>
  <c r="EF34" i="168"/>
  <c r="DN34" i="168"/>
  <c r="DW34" i="168"/>
  <c r="EE34" i="168"/>
  <c r="DK34" i="168"/>
  <c r="EA34" i="168"/>
  <c r="DG34" i="168"/>
  <c r="DY34" i="168"/>
  <c r="DE34" i="168"/>
  <c r="EM34" i="168"/>
  <c r="EN34" i="168"/>
  <c r="DX34" i="168"/>
  <c r="DD34" i="168"/>
  <c r="DO34" i="168"/>
  <c r="EI34" i="168"/>
  <c r="EG34" i="168"/>
  <c r="DS34" i="168"/>
  <c r="CH18" i="175"/>
  <c r="EM32" i="168"/>
  <c r="EE32" i="168"/>
  <c r="DW32" i="168"/>
  <c r="DK32" i="168"/>
  <c r="DE32" i="168"/>
  <c r="DL32" i="168"/>
  <c r="EL32" i="168"/>
  <c r="ED32" i="168"/>
  <c r="DV32" i="168"/>
  <c r="DD32" i="168"/>
  <c r="EK32" i="168"/>
  <c r="EC32" i="168"/>
  <c r="DU32" i="168"/>
  <c r="EI32" i="168"/>
  <c r="EA32" i="168"/>
  <c r="DS32" i="168"/>
  <c r="EG32" i="168"/>
  <c r="DO32" i="168"/>
  <c r="DF32" i="168"/>
  <c r="EF32" i="168"/>
  <c r="DN32" i="168"/>
  <c r="DX32" i="168"/>
  <c r="EB32" i="168"/>
  <c r="DZ32" i="168"/>
  <c r="EN32" i="168"/>
  <c r="DY32" i="168"/>
  <c r="DG32" i="168"/>
  <c r="DM32" i="168"/>
  <c r="DR32" i="168"/>
  <c r="EH32" i="168"/>
  <c r="DT32" i="168"/>
  <c r="EJ32" i="168"/>
  <c r="CH36" i="175"/>
  <c r="DL30" i="168"/>
  <c r="EH30" i="168"/>
  <c r="DZ30" i="168"/>
  <c r="DR30" i="168"/>
  <c r="DF30" i="168"/>
  <c r="EG30" i="168"/>
  <c r="DY30" i="168"/>
  <c r="DO30" i="168"/>
  <c r="DE30" i="168"/>
  <c r="EN30" i="168"/>
  <c r="EF30" i="168"/>
  <c r="DX30" i="168"/>
  <c r="DN30" i="168"/>
  <c r="DD30" i="168"/>
  <c r="EL30" i="168"/>
  <c r="ED30" i="168"/>
  <c r="DV30" i="168"/>
  <c r="EJ30" i="168"/>
  <c r="DT30" i="168"/>
  <c r="EI30" i="168"/>
  <c r="DS30" i="168"/>
  <c r="EE30" i="168"/>
  <c r="DK30" i="168"/>
  <c r="EC30" i="168"/>
  <c r="EA30" i="168"/>
  <c r="DM30" i="168"/>
  <c r="EB30" i="168"/>
  <c r="DG30" i="168"/>
  <c r="EM30" i="168"/>
  <c r="DU30" i="168"/>
  <c r="EK30" i="168"/>
  <c r="DW30" i="168"/>
  <c r="CH34" i="175"/>
  <c r="DF34" i="167"/>
  <c r="DD34" i="167"/>
  <c r="DT34" i="167"/>
  <c r="DU34" i="167"/>
  <c r="DV34" i="167"/>
  <c r="DW34" i="167"/>
  <c r="EF34" i="167"/>
  <c r="EE34" i="167"/>
  <c r="ED34" i="167"/>
  <c r="EC34" i="167"/>
  <c r="EB34" i="167"/>
  <c r="EA34" i="167"/>
  <c r="DM34" i="167"/>
  <c r="DR34" i="167"/>
  <c r="DX34" i="167"/>
  <c r="DS34" i="167"/>
  <c r="DL34" i="167"/>
  <c r="DE34" i="167"/>
  <c r="DX30" i="167"/>
  <c r="DF30" i="167"/>
  <c r="DD30" i="167"/>
  <c r="EF30" i="167"/>
  <c r="EE30" i="167"/>
  <c r="ED30" i="167"/>
  <c r="EC30" i="167"/>
  <c r="EB30" i="167"/>
  <c r="EA30" i="167"/>
  <c r="DM30" i="167"/>
  <c r="DL30" i="167"/>
  <c r="DE30" i="167"/>
  <c r="DR30" i="167"/>
  <c r="DS30" i="167"/>
  <c r="DT30" i="167"/>
  <c r="DV30" i="167"/>
  <c r="DU30" i="167"/>
  <c r="DW30" i="167"/>
  <c r="CH20" i="175"/>
  <c r="DX28" i="167"/>
  <c r="EF28" i="167"/>
  <c r="EE28" i="167"/>
  <c r="ED28" i="167"/>
  <c r="EC28" i="167"/>
  <c r="EB28" i="167"/>
  <c r="EA28" i="167"/>
  <c r="DM28" i="167"/>
  <c r="DL28" i="167"/>
  <c r="DE28" i="167"/>
  <c r="DT28" i="167"/>
  <c r="DW28" i="167"/>
  <c r="DV28" i="167"/>
  <c r="DD28" i="167"/>
  <c r="DS28" i="167"/>
  <c r="DU28" i="167"/>
  <c r="DF28" i="167"/>
  <c r="DR28" i="167"/>
  <c r="EF26" i="167"/>
  <c r="EE26" i="167"/>
  <c r="ED26" i="167"/>
  <c r="EC26" i="167"/>
  <c r="EB26" i="167"/>
  <c r="EA26" i="167"/>
  <c r="DM26" i="167"/>
  <c r="DL26" i="167"/>
  <c r="DE26" i="167"/>
  <c r="DR26" i="167"/>
  <c r="DS26" i="167"/>
  <c r="DF26" i="167"/>
  <c r="DD26" i="167"/>
  <c r="DT26" i="167"/>
  <c r="DU26" i="167"/>
  <c r="DV26" i="167"/>
  <c r="DX26" i="167"/>
  <c r="DW26" i="167"/>
  <c r="EI28" i="168"/>
  <c r="EA28" i="168"/>
  <c r="DS28" i="168"/>
  <c r="DG28" i="168"/>
  <c r="EH28" i="168"/>
  <c r="DZ28" i="168"/>
  <c r="DR28" i="168"/>
  <c r="DF28" i="168"/>
  <c r="EG28" i="168"/>
  <c r="DY28" i="168"/>
  <c r="DO28" i="168"/>
  <c r="DE28" i="168"/>
  <c r="EM28" i="168"/>
  <c r="EE28" i="168"/>
  <c r="DW28" i="168"/>
  <c r="DK28" i="168"/>
  <c r="EK28" i="168"/>
  <c r="DU28" i="168"/>
  <c r="EB28" i="168"/>
  <c r="DL28" i="168"/>
  <c r="EJ28" i="168"/>
  <c r="DT28" i="168"/>
  <c r="EF28" i="168"/>
  <c r="DN28" i="168"/>
  <c r="DM28" i="168"/>
  <c r="ED28" i="168"/>
  <c r="EC28" i="168"/>
  <c r="DV28" i="168"/>
  <c r="DD28" i="168"/>
  <c r="EL28" i="168"/>
  <c r="EN28" i="168"/>
  <c r="DX28" i="168"/>
  <c r="CH32" i="175"/>
  <c r="CH22" i="175"/>
  <c r="DR24" i="167"/>
  <c r="DS24" i="167"/>
  <c r="DV24" i="167"/>
  <c r="DW24" i="167"/>
  <c r="DF24" i="167"/>
  <c r="DX24" i="167"/>
  <c r="EE24" i="167"/>
  <c r="EC24" i="167"/>
  <c r="EA24" i="167"/>
  <c r="DU24" i="167"/>
  <c r="DL24" i="167"/>
  <c r="DE24" i="167"/>
  <c r="DD24" i="167"/>
  <c r="EF24" i="167"/>
  <c r="DM24" i="167"/>
  <c r="ED24" i="167"/>
  <c r="EB24" i="167"/>
  <c r="DT24" i="167"/>
  <c r="EJ26" i="168"/>
  <c r="EB26" i="168"/>
  <c r="DT26" i="168"/>
  <c r="EI26" i="168"/>
  <c r="EA26" i="168"/>
  <c r="DS26" i="168"/>
  <c r="EH26" i="168"/>
  <c r="DZ26" i="168"/>
  <c r="DR26" i="168"/>
  <c r="DG26" i="168"/>
  <c r="DM26" i="168"/>
  <c r="EN26" i="168"/>
  <c r="EF26" i="168"/>
  <c r="DX26" i="168"/>
  <c r="DN26" i="168"/>
  <c r="DE26" i="168"/>
  <c r="DL26" i="168"/>
  <c r="EL26" i="168"/>
  <c r="DV26" i="168"/>
  <c r="EK26" i="168"/>
  <c r="DU26" i="168"/>
  <c r="EG26" i="168"/>
  <c r="DO26" i="168"/>
  <c r="EE26" i="168"/>
  <c r="DK26" i="168"/>
  <c r="EC26" i="168"/>
  <c r="ED26" i="168"/>
  <c r="DY26" i="168"/>
  <c r="DF26" i="168"/>
  <c r="EM26" i="168"/>
  <c r="DW26" i="168"/>
  <c r="DD26" i="168"/>
  <c r="CH30" i="175"/>
  <c r="CH28" i="175"/>
  <c r="DR22" i="167"/>
  <c r="DS22" i="167"/>
  <c r="DT22" i="167"/>
  <c r="DU22" i="167"/>
  <c r="DX22" i="167"/>
  <c r="ED22" i="167"/>
  <c r="DM22" i="167"/>
  <c r="DF22" i="167"/>
  <c r="EE22" i="167"/>
  <c r="EC22" i="167"/>
  <c r="EA22" i="167"/>
  <c r="DL22" i="167"/>
  <c r="DW22" i="167"/>
  <c r="EF22" i="167"/>
  <c r="DE22" i="167"/>
  <c r="DD22" i="167"/>
  <c r="EB22" i="167"/>
  <c r="DV22" i="167"/>
  <c r="EL24" i="168"/>
  <c r="ED24" i="168"/>
  <c r="DV24" i="168"/>
  <c r="EK24" i="168"/>
  <c r="EC24" i="168"/>
  <c r="DU24" i="168"/>
  <c r="EJ24" i="168"/>
  <c r="EB24" i="168"/>
  <c r="DT24" i="168"/>
  <c r="EH24" i="168"/>
  <c r="DZ24" i="168"/>
  <c r="DR24" i="168"/>
  <c r="DF24" i="168"/>
  <c r="EN24" i="168"/>
  <c r="DX24" i="168"/>
  <c r="DD24" i="168"/>
  <c r="EM24" i="168"/>
  <c r="DW24" i="168"/>
  <c r="DM24" i="168"/>
  <c r="EI24" i="168"/>
  <c r="DS24" i="168"/>
  <c r="DK24" i="168"/>
  <c r="EG24" i="168"/>
  <c r="DO24" i="168"/>
  <c r="EE24" i="168"/>
  <c r="EF24" i="168"/>
  <c r="DN24" i="168"/>
  <c r="DY24" i="168"/>
  <c r="EA24" i="168"/>
  <c r="DG24" i="168"/>
  <c r="DE24" i="168"/>
  <c r="DL24" i="168"/>
  <c r="DZ18" i="168"/>
  <c r="DR18" i="168"/>
  <c r="EG18" i="168"/>
  <c r="DK18" i="168"/>
  <c r="DD18" i="168"/>
  <c r="DS18" i="168" s="1"/>
  <c r="EM22" i="168"/>
  <c r="EE22" i="168"/>
  <c r="DW22" i="168"/>
  <c r="DK22" i="168"/>
  <c r="DE22" i="168"/>
  <c r="EL22" i="168"/>
  <c r="ED22" i="168"/>
  <c r="DV22" i="168"/>
  <c r="DD22" i="168"/>
  <c r="DM22" i="168"/>
  <c r="EK22" i="168"/>
  <c r="EC22" i="168"/>
  <c r="DU22" i="168"/>
  <c r="DL22" i="168"/>
  <c r="EI22" i="168"/>
  <c r="EA22" i="168"/>
  <c r="DS22" i="168"/>
  <c r="DY22" i="168"/>
  <c r="DG22" i="168"/>
  <c r="EN22" i="168"/>
  <c r="DX22" i="168"/>
  <c r="DF22" i="168"/>
  <c r="DN22" i="168"/>
  <c r="EJ22" i="168"/>
  <c r="DT22" i="168"/>
  <c r="EH22" i="168"/>
  <c r="DR22" i="168"/>
  <c r="EG22" i="168"/>
  <c r="DO22" i="168"/>
  <c r="EF22" i="168"/>
  <c r="EB22" i="168"/>
  <c r="DZ22" i="168"/>
  <c r="CH26" i="175"/>
  <c r="EH20" i="168"/>
  <c r="DZ20" i="168"/>
  <c r="DR20" i="168"/>
  <c r="DF20" i="168"/>
  <c r="DM20" i="168"/>
  <c r="EG20" i="168"/>
  <c r="DY20" i="168"/>
  <c r="DO20" i="168"/>
  <c r="DE20" i="168"/>
  <c r="EN20" i="168"/>
  <c r="EF20" i="168"/>
  <c r="DX20" i="168"/>
  <c r="DN20" i="168"/>
  <c r="DD20" i="168"/>
  <c r="EL20" i="168"/>
  <c r="ED20" i="168"/>
  <c r="DV20" i="168"/>
  <c r="EB20" i="168"/>
  <c r="EI20" i="168"/>
  <c r="EA20" i="168"/>
  <c r="DG20" i="168"/>
  <c r="EM20" i="168"/>
  <c r="DW20" i="168"/>
  <c r="EK20" i="168"/>
  <c r="DU20" i="168"/>
  <c r="DS20" i="168"/>
  <c r="EJ20" i="168"/>
  <c r="DT20" i="168"/>
  <c r="EC20" i="168"/>
  <c r="EE20" i="168"/>
  <c r="DK20" i="168"/>
  <c r="DL20" i="168"/>
  <c r="CH24" i="175"/>
  <c r="B276" i="3"/>
  <c r="B320" i="3"/>
  <c r="B293" i="3"/>
  <c r="B274" i="3"/>
  <c r="B287" i="3"/>
  <c r="B290" i="3"/>
  <c r="B292" i="3"/>
  <c r="B305" i="3"/>
  <c r="B318" i="3"/>
  <c r="B331" i="3"/>
  <c r="B306" i="3"/>
  <c r="B260" i="3"/>
  <c r="DG24" i="167"/>
  <c r="DN24" i="167"/>
  <c r="DO24" i="167"/>
  <c r="EJ24" i="167"/>
  <c r="EN24" i="167"/>
  <c r="EK24" i="167"/>
  <c r="EL24" i="167"/>
  <c r="EG24" i="167"/>
  <c r="EM24" i="167"/>
  <c r="EH24" i="167"/>
  <c r="DY24" i="167"/>
  <c r="EI24" i="167"/>
  <c r="B273" i="3"/>
  <c r="B286" i="3"/>
  <c r="B299" i="3"/>
  <c r="B291" i="3"/>
  <c r="B304" i="3"/>
  <c r="B317" i="3"/>
  <c r="B330" i="3"/>
  <c r="B281" i="3"/>
  <c r="B325" i="3"/>
  <c r="B288" i="3"/>
  <c r="B324" i="3"/>
  <c r="B261" i="3"/>
  <c r="DG26" i="167"/>
  <c r="DN26" i="167"/>
  <c r="DO26" i="167"/>
  <c r="EM26" i="167"/>
  <c r="EI26" i="167"/>
  <c r="EK26" i="167"/>
  <c r="EH26" i="167"/>
  <c r="EN26" i="167"/>
  <c r="EJ26" i="167"/>
  <c r="EG26" i="167"/>
  <c r="DY26" i="167"/>
  <c r="EL26" i="167"/>
  <c r="B259" i="3"/>
  <c r="DO22" i="167"/>
  <c r="DG22" i="167"/>
  <c r="DN22" i="167"/>
  <c r="EM22" i="167"/>
  <c r="EG22" i="167"/>
  <c r="EN22" i="167"/>
  <c r="EH22" i="167"/>
  <c r="EI22" i="167"/>
  <c r="DY22" i="167"/>
  <c r="EJ22" i="167"/>
  <c r="EK22" i="167"/>
  <c r="EL22" i="167"/>
  <c r="B272" i="3"/>
  <c r="B285" i="3"/>
  <c r="B298" i="3"/>
  <c r="B301" i="3"/>
  <c r="B303" i="3"/>
  <c r="B316" i="3"/>
  <c r="B329" i="3"/>
  <c r="B307" i="3"/>
  <c r="B262" i="3"/>
  <c r="DN28" i="167"/>
  <c r="DG28" i="167"/>
  <c r="DO28" i="167"/>
  <c r="DY28" i="167"/>
  <c r="EJ28" i="167"/>
  <c r="EG28" i="167"/>
  <c r="EK28" i="167"/>
  <c r="EH28" i="167"/>
  <c r="EL28" i="167"/>
  <c r="EI28" i="167"/>
  <c r="EN28" i="167"/>
  <c r="EM28" i="167"/>
  <c r="B319" i="3"/>
  <c r="B271" i="3"/>
  <c r="B284" i="3"/>
  <c r="B297" i="3"/>
  <c r="B310" i="3"/>
  <c r="B302" i="3"/>
  <c r="B315" i="3"/>
  <c r="B328" i="3"/>
  <c r="B279" i="3"/>
  <c r="B323" i="3"/>
  <c r="B275" i="3"/>
  <c r="B332" i="3"/>
  <c r="B258" i="3"/>
  <c r="EG20" i="167"/>
  <c r="B268" i="3"/>
  <c r="B270" i="3"/>
  <c r="B283" i="3"/>
  <c r="B296" i="3"/>
  <c r="B309" i="3"/>
  <c r="B312" i="3"/>
  <c r="B314" i="3"/>
  <c r="B327" i="3"/>
  <c r="B263" i="3"/>
  <c r="DO30" i="167"/>
  <c r="DG30" i="167"/>
  <c r="DN30" i="167"/>
  <c r="EM30" i="167"/>
  <c r="EI30" i="167"/>
  <c r="EL30" i="167"/>
  <c r="DY30" i="167"/>
  <c r="EN30" i="167"/>
  <c r="EH30" i="167"/>
  <c r="EG30" i="167"/>
  <c r="EJ30" i="167"/>
  <c r="EK30" i="167"/>
  <c r="B294" i="3"/>
  <c r="B280" i="3"/>
  <c r="B266" i="3"/>
  <c r="DN36" i="167"/>
  <c r="DG36" i="167"/>
  <c r="DO36" i="167"/>
  <c r="EN36" i="167"/>
  <c r="DY36" i="167"/>
  <c r="EJ36" i="167"/>
  <c r="EK36" i="167"/>
  <c r="EG36" i="167"/>
  <c r="EL36" i="167"/>
  <c r="EM36" i="167"/>
  <c r="EI36" i="167"/>
  <c r="EH36" i="167"/>
  <c r="B265" i="3"/>
  <c r="DG34" i="167"/>
  <c r="DN34" i="167"/>
  <c r="DO34" i="167"/>
  <c r="EM34" i="167"/>
  <c r="EG34" i="167"/>
  <c r="EH34" i="167"/>
  <c r="EJ34" i="167"/>
  <c r="EK34" i="167"/>
  <c r="EN34" i="167"/>
  <c r="EI34" i="167"/>
  <c r="EL34" i="167"/>
  <c r="DY34" i="167"/>
  <c r="B277" i="3"/>
  <c r="B269" i="3"/>
  <c r="B282" i="3"/>
  <c r="B295" i="3"/>
  <c r="B308" i="3"/>
  <c r="B321" i="3"/>
  <c r="B313" i="3"/>
  <c r="B326" i="3"/>
  <c r="B338" i="3"/>
  <c r="B337" i="3"/>
  <c r="B350" i="3"/>
  <c r="B363" i="3"/>
  <c r="B351" i="3"/>
  <c r="B364" i="3"/>
  <c r="B334" i="3"/>
  <c r="B336" i="3"/>
  <c r="B349" i="3"/>
  <c r="B362" i="3"/>
  <c r="B343" i="3"/>
  <c r="B335" i="3"/>
  <c r="B348" i="3"/>
  <c r="B361" i="3"/>
  <c r="B342" i="3"/>
  <c r="B345" i="3"/>
  <c r="B347" i="3"/>
  <c r="B360" i="3"/>
  <c r="B341" i="3"/>
  <c r="B354" i="3"/>
  <c r="B346" i="3"/>
  <c r="B359" i="3"/>
  <c r="B340" i="3"/>
  <c r="B353" i="3"/>
  <c r="B356" i="3"/>
  <c r="B358" i="3"/>
  <c r="B339" i="3"/>
  <c r="B352" i="3"/>
  <c r="B365" i="3"/>
  <c r="B357" i="3"/>
  <c r="CZ28" i="167"/>
  <c r="DZ28" i="167"/>
  <c r="DK28" i="167"/>
  <c r="CZ18" i="167"/>
  <c r="CZ22" i="167"/>
  <c r="DK22" i="167"/>
  <c r="DZ22" i="167"/>
  <c r="CZ36" i="167"/>
  <c r="DZ36" i="167"/>
  <c r="DK36" i="167"/>
  <c r="CZ20" i="167"/>
  <c r="DK20" i="167"/>
  <c r="DZ20" i="167"/>
  <c r="CZ34" i="167"/>
  <c r="DZ34" i="167"/>
  <c r="DK34" i="167"/>
  <c r="DL18" i="168"/>
  <c r="EB18" i="168"/>
  <c r="CZ30" i="167"/>
  <c r="DK30" i="167"/>
  <c r="DZ30" i="167"/>
  <c r="CZ26" i="167"/>
  <c r="DZ26" i="167"/>
  <c r="DK26" i="167"/>
  <c r="CZ24" i="167"/>
  <c r="DK24" i="167"/>
  <c r="DZ24" i="167"/>
  <c r="CZ32" i="167"/>
  <c r="DZ32" i="167"/>
  <c r="DK32" i="167"/>
  <c r="DZ18" i="167"/>
  <c r="EH20" i="167" l="1"/>
  <c r="DS20" i="167"/>
  <c r="DJ20" i="167"/>
  <c r="DQ20" i="167"/>
  <c r="DP20" i="167"/>
  <c r="DI20" i="167"/>
  <c r="DF20" i="167"/>
  <c r="DU20" i="167" s="1"/>
  <c r="DE18" i="168"/>
  <c r="EH18" i="168"/>
  <c r="EF18" i="168"/>
  <c r="EC18" i="168"/>
  <c r="EA18" i="168"/>
  <c r="ED18" i="168"/>
  <c r="DM18" i="168"/>
  <c r="EE18" i="168"/>
  <c r="DF18" i="168"/>
  <c r="EA20" i="167"/>
  <c r="DE20" i="167"/>
  <c r="EB20" i="167"/>
  <c r="EF20" i="167"/>
  <c r="DM20" i="167"/>
  <c r="EE20" i="167"/>
  <c r="DL20" i="167"/>
  <c r="ED20" i="167"/>
  <c r="EC20" i="167"/>
  <c r="ED18" i="167"/>
  <c r="EB18" i="167"/>
  <c r="DM18" i="167"/>
  <c r="EA18" i="167"/>
  <c r="EC18" i="167"/>
  <c r="DE18" i="167"/>
  <c r="EF18" i="167"/>
  <c r="EE18" i="167"/>
  <c r="DL18" i="167"/>
  <c r="DK18" i="167"/>
  <c r="DX20" i="167" l="1"/>
  <c r="DT20" i="167"/>
  <c r="DU18" i="168"/>
  <c r="EJ18" i="168"/>
  <c r="DT18" i="168"/>
  <c r="EI18" i="168"/>
  <c r="EJ20" i="167"/>
  <c r="EI20" i="167"/>
  <c r="EI18" i="167"/>
  <c r="EH18" i="167"/>
  <c r="EJ18" i="167"/>
  <c r="NH2" i="226"/>
  <c r="MY2" i="226"/>
  <c r="MP2" i="226"/>
  <c r="MG2" i="226"/>
  <c r="LX2" i="226"/>
  <c r="LO2" i="226"/>
  <c r="LF2" i="226"/>
  <c r="KW2" i="226"/>
  <c r="AX9" i="168"/>
  <c r="AT9" i="168"/>
  <c r="AP9" i="168"/>
  <c r="AK9" i="168"/>
  <c r="AF9" i="168"/>
  <c r="AA9" i="168"/>
  <c r="W9" i="168"/>
  <c r="S9" i="168"/>
  <c r="O9" i="168"/>
  <c r="K9" i="168"/>
  <c r="P153" i="228"/>
  <c r="AC110" i="228"/>
  <c r="V110" i="228"/>
  <c r="AC109" i="228"/>
  <c r="V109" i="228"/>
  <c r="AC108" i="228"/>
  <c r="V108" i="228"/>
  <c r="AC105" i="228"/>
  <c r="AC104" i="228"/>
  <c r="AC103" i="228"/>
  <c r="AJ100" i="228"/>
  <c r="AC100" i="228"/>
  <c r="V100" i="228"/>
  <c r="V99" i="228"/>
  <c r="V98" i="228"/>
  <c r="AD94" i="228"/>
  <c r="P94" i="228"/>
  <c r="AI91" i="228"/>
  <c r="H11" i="166"/>
  <c r="G58" i="3"/>
  <c r="G57" i="3"/>
  <c r="G56" i="3"/>
  <c r="G55" i="3"/>
  <c r="G54" i="3"/>
  <c r="G53" i="3"/>
  <c r="G52" i="3"/>
  <c r="G51" i="3"/>
  <c r="U19" i="3"/>
  <c r="U18" i="3"/>
  <c r="U17" i="3"/>
  <c r="U16" i="3"/>
  <c r="U15" i="3"/>
  <c r="U14" i="3"/>
  <c r="U13" i="3"/>
  <c r="U12" i="3"/>
  <c r="U11" i="3"/>
  <c r="U10" i="3"/>
  <c r="MF2" i="226"/>
  <c r="NG2" i="226"/>
  <c r="MX2" i="226"/>
  <c r="MO2" i="226"/>
  <c r="LW2" i="226"/>
  <c r="LN2" i="226"/>
  <c r="LE2" i="226"/>
  <c r="KV2" i="226"/>
  <c r="H1" i="109"/>
  <c r="AB77" i="154"/>
  <c r="T77" i="154"/>
  <c r="AX9" i="224"/>
  <c r="AT9" i="224"/>
  <c r="AP9" i="224"/>
  <c r="AK9" i="224"/>
  <c r="AF9" i="224"/>
  <c r="AA9" i="224"/>
  <c r="W9" i="224"/>
  <c r="S9" i="224"/>
  <c r="O9" i="224"/>
  <c r="K9" i="224"/>
  <c r="AX9" i="223"/>
  <c r="AT9" i="223"/>
  <c r="AP9" i="223"/>
  <c r="AK9" i="223"/>
  <c r="AF9" i="223"/>
  <c r="AA9" i="223"/>
  <c r="W9" i="223"/>
  <c r="S9" i="223"/>
  <c r="O9" i="223"/>
  <c r="K9" i="223"/>
  <c r="AX9" i="176"/>
  <c r="AT9" i="176"/>
  <c r="AP9" i="176"/>
  <c r="AK9" i="176"/>
  <c r="AF9" i="176"/>
  <c r="AA9" i="176"/>
  <c r="W9" i="176"/>
  <c r="S9" i="176"/>
  <c r="O9" i="176"/>
  <c r="K9" i="176"/>
  <c r="AX9" i="175"/>
  <c r="AT9" i="175"/>
  <c r="AP9" i="175"/>
  <c r="AK9" i="175"/>
  <c r="AF9" i="175"/>
  <c r="AA9" i="175"/>
  <c r="W9" i="175"/>
  <c r="S9" i="175"/>
  <c r="O9" i="175"/>
  <c r="K9" i="175"/>
  <c r="AX9" i="13"/>
  <c r="AT9" i="13"/>
  <c r="AP9" i="13"/>
  <c r="AK9" i="13"/>
  <c r="AF9" i="13"/>
  <c r="AA9" i="13"/>
  <c r="W9" i="13"/>
  <c r="S9" i="13"/>
  <c r="O9" i="13"/>
  <c r="K9" i="13"/>
  <c r="AX9" i="171"/>
  <c r="AT9" i="171"/>
  <c r="AP9" i="171"/>
  <c r="AK9" i="171"/>
  <c r="AF9" i="171"/>
  <c r="AA9" i="171"/>
  <c r="W9" i="171"/>
  <c r="S9" i="171"/>
  <c r="O9" i="171"/>
  <c r="K9" i="171"/>
  <c r="AX9" i="170"/>
  <c r="AT9" i="170"/>
  <c r="AP9" i="170"/>
  <c r="AK9" i="170"/>
  <c r="AF9" i="170"/>
  <c r="AA9" i="170"/>
  <c r="W9" i="170"/>
  <c r="S9" i="170"/>
  <c r="O9" i="170"/>
  <c r="K9" i="170"/>
  <c r="AX9" i="169"/>
  <c r="AT9" i="169"/>
  <c r="AP9" i="169"/>
  <c r="AK9" i="169"/>
  <c r="AF9" i="169"/>
  <c r="AA9" i="169"/>
  <c r="W9" i="169"/>
  <c r="S9" i="169"/>
  <c r="O9" i="169"/>
  <c r="K9" i="169"/>
  <c r="AX9" i="167"/>
  <c r="AT9" i="167"/>
  <c r="AP9" i="167"/>
  <c r="AK9" i="167"/>
  <c r="AF9" i="167"/>
  <c r="AA9" i="167"/>
  <c r="W9" i="167"/>
  <c r="S9" i="167"/>
  <c r="O9" i="167"/>
  <c r="K9" i="167"/>
  <c r="AR28" i="151"/>
  <c r="AI28" i="151"/>
  <c r="Z28" i="151"/>
  <c r="Q28" i="151"/>
  <c r="H28" i="151"/>
  <c r="AR19" i="151"/>
  <c r="AI19" i="151"/>
  <c r="Z19" i="151"/>
  <c r="Q19" i="151"/>
  <c r="H19" i="151"/>
  <c r="KT2" i="226"/>
  <c r="KS2" i="226"/>
  <c r="KR2" i="226"/>
  <c r="KQ2" i="226"/>
  <c r="NM2" i="226"/>
  <c r="NL2" i="226"/>
  <c r="NK2" i="226"/>
  <c r="NJ2" i="226"/>
  <c r="NI2" i="226"/>
  <c r="NF2" i="226"/>
  <c r="NN2" i="226" s="1"/>
  <c r="ND2" i="226"/>
  <c r="NC2" i="226"/>
  <c r="NB2" i="226"/>
  <c r="NA2" i="226"/>
  <c r="MZ2" i="226"/>
  <c r="MW2" i="226"/>
  <c r="NE2" i="226" s="1"/>
  <c r="MU2" i="226"/>
  <c r="MT2" i="226"/>
  <c r="MS2" i="226"/>
  <c r="MR2" i="226"/>
  <c r="MQ2" i="226"/>
  <c r="MN2" i="226"/>
  <c r="MV2" i="226" s="1"/>
  <c r="ML2" i="226"/>
  <c r="MK2" i="226"/>
  <c r="MJ2" i="226"/>
  <c r="MI2" i="226"/>
  <c r="MH2" i="226"/>
  <c r="ME2" i="226"/>
  <c r="MM2" i="226" s="1"/>
  <c r="MC2" i="226"/>
  <c r="MB2" i="226"/>
  <c r="MA2" i="226"/>
  <c r="LZ2" i="226"/>
  <c r="LY2" i="226"/>
  <c r="LV2" i="226"/>
  <c r="MD2" i="226" s="1"/>
  <c r="LT2" i="226"/>
  <c r="LS2" i="226"/>
  <c r="LR2" i="226"/>
  <c r="LQ2" i="226"/>
  <c r="LP2" i="226"/>
  <c r="LM2" i="226"/>
  <c r="LU2" i="226" s="1"/>
  <c r="LK2" i="226"/>
  <c r="LJ2" i="226"/>
  <c r="LI2" i="226"/>
  <c r="LH2" i="226"/>
  <c r="LG2" i="226"/>
  <c r="LD2" i="226"/>
  <c r="J250" i="3"/>
  <c r="LB2" i="226" a="1"/>
  <c r="LB2" i="226" s="1"/>
  <c r="LA2" i="226"/>
  <c r="KZ2" i="226"/>
  <c r="KY2" i="226"/>
  <c r="KX2" i="226"/>
  <c r="KU2" i="226"/>
  <c r="J249" i="3"/>
  <c r="J248" i="3"/>
  <c r="J247" i="3"/>
  <c r="J246" i="3"/>
  <c r="AZ1" i="228"/>
  <c r="AV1" i="228"/>
  <c r="AR1" i="228"/>
  <c r="AN1" i="228"/>
  <c r="D82" i="3"/>
  <c r="D83" i="3"/>
  <c r="G84" i="3"/>
  <c r="D84" i="3" s="1"/>
  <c r="AM17" i="166"/>
  <c r="Y27" i="166"/>
  <c r="Y31" i="166"/>
  <c r="AM21" i="166"/>
  <c r="AT21" i="166"/>
  <c r="AW21" i="166"/>
  <c r="D94" i="3"/>
  <c r="D95" i="3"/>
  <c r="D96" i="3"/>
  <c r="D97" i="3"/>
  <c r="D98" i="3"/>
  <c r="D99" i="3"/>
  <c r="D101" i="3"/>
  <c r="D102" i="3"/>
  <c r="D103" i="3"/>
  <c r="D104" i="3"/>
  <c r="D105" i="3"/>
  <c r="D106" i="3"/>
  <c r="D108" i="3"/>
  <c r="D110" i="3"/>
  <c r="D111" i="3"/>
  <c r="D112" i="3"/>
  <c r="D113" i="3"/>
  <c r="D114" i="3"/>
  <c r="D115" i="3"/>
  <c r="D116" i="3"/>
  <c r="D117" i="3"/>
  <c r="D118" i="3"/>
  <c r="D120" i="3"/>
  <c r="G121" i="3"/>
  <c r="D121" i="3" s="1"/>
  <c r="G122" i="3"/>
  <c r="D122" i="3" s="1"/>
  <c r="G123" i="3"/>
  <c r="D123" i="3" s="1"/>
  <c r="D124" i="3"/>
  <c r="AJ21" i="147"/>
  <c r="AJ25" i="147"/>
  <c r="AQ25" i="147"/>
  <c r="AT25" i="147"/>
  <c r="U35" i="147"/>
  <c r="AB35" i="147"/>
  <c r="N39" i="147"/>
  <c r="U39" i="147"/>
  <c r="AB39" i="147"/>
  <c r="D129" i="3"/>
  <c r="D130" i="3"/>
  <c r="D131" i="3"/>
  <c r="D132" i="3"/>
  <c r="D133" i="3"/>
  <c r="D134" i="3"/>
  <c r="D135" i="3"/>
  <c r="D136" i="3"/>
  <c r="D137" i="3"/>
  <c r="D138" i="3"/>
  <c r="D139" i="3"/>
  <c r="D140" i="3"/>
  <c r="D141" i="3"/>
  <c r="D142" i="3"/>
  <c r="D143" i="3"/>
  <c r="D144" i="3"/>
  <c r="D145" i="3"/>
  <c r="D149" i="3"/>
  <c r="G150" i="3"/>
  <c r="D150" i="3" s="1"/>
  <c r="G151" i="3"/>
  <c r="D151" i="3" s="1"/>
  <c r="D152" i="3"/>
  <c r="G153" i="3"/>
  <c r="D153" i="3" s="1"/>
  <c r="G154" i="3"/>
  <c r="D154" i="3" s="1"/>
  <c r="G155" i="3"/>
  <c r="D155" i="3" s="1"/>
  <c r="G156" i="3"/>
  <c r="D156" i="3" s="1"/>
  <c r="G157" i="3"/>
  <c r="D157" i="3" s="1"/>
  <c r="G158" i="3"/>
  <c r="D158" i="3" s="1"/>
  <c r="G159" i="3"/>
  <c r="D159" i="3" s="1"/>
  <c r="G160" i="3"/>
  <c r="D160" i="3" s="1"/>
  <c r="D161" i="3"/>
  <c r="D162" i="3"/>
  <c r="D163" i="3"/>
  <c r="D164" i="3"/>
  <c r="D165" i="3"/>
  <c r="P58" i="153"/>
  <c r="W58" i="153"/>
  <c r="AE58" i="153"/>
  <c r="P62" i="153"/>
  <c r="W62" i="153"/>
  <c r="AE62" i="153"/>
  <c r="AL62" i="153"/>
  <c r="AO62" i="153"/>
  <c r="D174" i="3"/>
  <c r="D175" i="3"/>
  <c r="D176" i="3"/>
  <c r="D177" i="3"/>
  <c r="D178" i="3"/>
  <c r="D179" i="3"/>
  <c r="D180" i="3"/>
  <c r="D181" i="3"/>
  <c r="D182" i="3"/>
  <c r="D183" i="3"/>
  <c r="D184" i="3"/>
  <c r="D185" i="3"/>
  <c r="D186" i="3"/>
  <c r="G187" i="3"/>
  <c r="D187" i="3" s="1"/>
  <c r="G188" i="3"/>
  <c r="D188" i="3" s="1"/>
  <c r="G189" i="3"/>
  <c r="D189" i="3" s="1"/>
  <c r="BS76" i="207"/>
  <c r="G194" i="3"/>
  <c r="D194" i="3" s="1"/>
  <c r="D205" i="3"/>
  <c r="D216" i="3"/>
  <c r="D217" i="3"/>
  <c r="D218" i="3"/>
  <c r="G238" i="3"/>
  <c r="D238" i="3" s="1"/>
  <c r="CM18" i="167"/>
  <c r="CN18" i="167"/>
  <c r="CR18" i="167"/>
  <c r="CO18" i="167" s="1"/>
  <c r="CM20" i="167"/>
  <c r="CN20" i="167"/>
  <c r="CK20" i="167" s="1"/>
  <c r="CR20" i="167"/>
  <c r="CO20" i="167" s="1"/>
  <c r="CM22" i="167"/>
  <c r="CJ22" i="167" s="1"/>
  <c r="CN22" i="167"/>
  <c r="CQ22" i="167" s="1"/>
  <c r="CR22" i="167"/>
  <c r="CO22" i="167" s="1"/>
  <c r="CM24" i="167"/>
  <c r="CJ24" i="167" s="1"/>
  <c r="CN24" i="167"/>
  <c r="CK24" i="167" s="1"/>
  <c r="CR24" i="167"/>
  <c r="CM26" i="167"/>
  <c r="CJ26" i="167" s="1"/>
  <c r="CN26" i="167"/>
  <c r="CQ26" i="167" s="1"/>
  <c r="CR26" i="167"/>
  <c r="CO26" i="167" s="1"/>
  <c r="CM28" i="167"/>
  <c r="CN28" i="167"/>
  <c r="CK28" i="167" s="1"/>
  <c r="CR28" i="167"/>
  <c r="CO28" i="167" s="1"/>
  <c r="CM30" i="167"/>
  <c r="CN30" i="167"/>
  <c r="CR30" i="167"/>
  <c r="CO30" i="167" s="1"/>
  <c r="CM32" i="167"/>
  <c r="CJ32" i="167" s="1"/>
  <c r="CN32" i="167"/>
  <c r="CK32" i="167" s="1"/>
  <c r="CR32" i="167"/>
  <c r="CO32" i="167" s="1"/>
  <c r="CL32" i="167" s="1"/>
  <c r="CM34" i="167"/>
  <c r="CN34" i="167"/>
  <c r="CR34" i="167"/>
  <c r="CO34" i="167" s="1"/>
  <c r="CL34" i="167" s="1"/>
  <c r="CM36" i="167"/>
  <c r="CP36" i="167" s="1"/>
  <c r="CN36" i="167"/>
  <c r="CK36" i="167" s="1"/>
  <c r="CR36" i="167"/>
  <c r="CO36" i="167" s="1"/>
  <c r="BK18" i="169"/>
  <c r="CI18" i="170"/>
  <c r="CI24" i="170"/>
  <c r="BF18" i="171"/>
  <c r="CT18" i="13"/>
  <c r="CE18" i="175"/>
  <c r="CH18" i="176"/>
  <c r="CI18" i="223"/>
  <c r="CE36" i="223"/>
  <c r="AZ1" i="166"/>
  <c r="AV1" i="166"/>
  <c r="AR1" i="166"/>
  <c r="AN1" i="166"/>
  <c r="AZ1" i="147"/>
  <c r="AV1" i="147"/>
  <c r="AR1" i="147"/>
  <c r="AN1" i="147"/>
  <c r="AZ1" i="148"/>
  <c r="AV1" i="148"/>
  <c r="AR1" i="148"/>
  <c r="AN1" i="148"/>
  <c r="AZ1" i="151"/>
  <c r="AV1" i="151"/>
  <c r="AR1" i="151"/>
  <c r="AN1" i="151"/>
  <c r="AZ1" i="153"/>
  <c r="AV1" i="153"/>
  <c r="AR1" i="153"/>
  <c r="AN1" i="153"/>
  <c r="AZ1" i="207"/>
  <c r="AV1" i="207"/>
  <c r="AR1" i="207"/>
  <c r="AN1" i="207"/>
  <c r="AZ1" i="144"/>
  <c r="AV1" i="144"/>
  <c r="AR1" i="144"/>
  <c r="AN1" i="144"/>
  <c r="AZ1" i="154"/>
  <c r="AV1" i="154"/>
  <c r="AR1" i="154"/>
  <c r="AN1" i="154"/>
  <c r="AJ4" i="230"/>
  <c r="AB4" i="230"/>
  <c r="AZ1" i="180"/>
  <c r="AV1" i="180"/>
  <c r="AR1" i="180"/>
  <c r="AN1" i="180"/>
  <c r="BA1" i="230"/>
  <c r="AW1" i="230"/>
  <c r="AS1" i="230"/>
  <c r="AO1" i="230"/>
  <c r="AZ1" i="156"/>
  <c r="AV1" i="156"/>
  <c r="AR1" i="156"/>
  <c r="AN1" i="156"/>
  <c r="AZ1" i="221"/>
  <c r="AV1" i="221"/>
  <c r="AR1" i="221"/>
  <c r="AN1" i="221"/>
  <c r="AZ1" i="81"/>
  <c r="AV1" i="81"/>
  <c r="AR1" i="81"/>
  <c r="AN1" i="81"/>
  <c r="F1" i="230"/>
  <c r="J1" i="230"/>
  <c r="J239" i="3"/>
  <c r="J240" i="3"/>
  <c r="J241" i="3"/>
  <c r="J242" i="3"/>
  <c r="J243" i="3"/>
  <c r="J244" i="3"/>
  <c r="J245" i="3"/>
  <c r="J238" i="3"/>
  <c r="B236" i="3"/>
  <c r="HT2" i="226"/>
  <c r="AL43" i="221"/>
  <c r="V48" i="207"/>
  <c r="V43" i="207"/>
  <c r="V37" i="153"/>
  <c r="V32" i="153"/>
  <c r="AC47" i="207"/>
  <c r="V47" i="207"/>
  <c r="V46" i="207"/>
  <c r="AJ43" i="207"/>
  <c r="AC43" i="207"/>
  <c r="V42" i="207"/>
  <c r="V41" i="207"/>
  <c r="AD37" i="207"/>
  <c r="P37" i="207"/>
  <c r="AC36" i="153"/>
  <c r="V36" i="153"/>
  <c r="V35" i="153"/>
  <c r="AJ32" i="153"/>
  <c r="AC32" i="153"/>
  <c r="V31" i="153"/>
  <c r="V30" i="153"/>
  <c r="AD26" i="153"/>
  <c r="P26" i="153"/>
  <c r="AH54" i="156"/>
  <c r="AH49" i="156"/>
  <c r="AC32" i="156"/>
  <c r="AC37" i="156"/>
  <c r="V37" i="156"/>
  <c r="V36" i="156"/>
  <c r="AJ28" i="156"/>
  <c r="AC28" i="156"/>
  <c r="V27" i="156"/>
  <c r="V26" i="156"/>
  <c r="AD22" i="156"/>
  <c r="P22" i="156"/>
  <c r="AC32" i="221"/>
  <c r="V32" i="221"/>
  <c r="V31" i="221"/>
  <c r="AJ28" i="221"/>
  <c r="AC28" i="221"/>
  <c r="V27" i="221"/>
  <c r="V26" i="221"/>
  <c r="AD22" i="221"/>
  <c r="P22" i="221"/>
  <c r="Q39" i="109"/>
  <c r="Q44" i="109"/>
  <c r="Q81" i="109"/>
  <c r="H11" i="3"/>
  <c r="M41" i="230" s="1"/>
  <c r="P103" i="153"/>
  <c r="AC35" i="153"/>
  <c r="AC37" i="153"/>
  <c r="AI23" i="153"/>
  <c r="E138" i="109"/>
  <c r="E136" i="109"/>
  <c r="E135" i="109"/>
  <c r="E134" i="109"/>
  <c r="D137" i="109"/>
  <c r="AR98" i="81"/>
  <c r="AB98" i="81"/>
  <c r="AG67" i="156"/>
  <c r="AD59" i="156"/>
  <c r="K11" i="156"/>
  <c r="K11" i="221"/>
  <c r="L27" i="81"/>
  <c r="AL1" i="8"/>
  <c r="AL1" i="225"/>
  <c r="AL1" i="152"/>
  <c r="AL1" i="222"/>
  <c r="AP1" i="167"/>
  <c r="AP1" i="168"/>
  <c r="AP1" i="169"/>
  <c r="AP1" i="170"/>
  <c r="AP1" i="171"/>
  <c r="AP1" i="13"/>
  <c r="AP1" i="175"/>
  <c r="AP1" i="176"/>
  <c r="AP1" i="223"/>
  <c r="AP1" i="224"/>
  <c r="AL1" i="14"/>
  <c r="P19" i="228"/>
  <c r="O9" i="228"/>
  <c r="P80" i="228"/>
  <c r="AC38" i="228"/>
  <c r="V38" i="228"/>
  <c r="AC37" i="228"/>
  <c r="V37" i="228"/>
  <c r="AC36" i="228"/>
  <c r="V36" i="228"/>
  <c r="AC33" i="228"/>
  <c r="AC32" i="228"/>
  <c r="AC31" i="228"/>
  <c r="AJ28" i="228"/>
  <c r="AC28" i="228"/>
  <c r="V28" i="228"/>
  <c r="V27" i="228"/>
  <c r="V26" i="228"/>
  <c r="AD22" i="228"/>
  <c r="P22" i="228"/>
  <c r="AI19" i="228"/>
  <c r="AJ4" i="228"/>
  <c r="AB4" i="228"/>
  <c r="J1" i="228"/>
  <c r="F1" i="228"/>
  <c r="AG38" i="226" a="1"/>
  <c r="AG38" i="226" s="1"/>
  <c r="AG40" i="226" a="1"/>
  <c r="AG40" i="226" s="1"/>
  <c r="AG42" i="226" a="1"/>
  <c r="AG42" i="226" s="1"/>
  <c r="AG44" i="226" a="1"/>
  <c r="AG44" i="226" s="1"/>
  <c r="AG46" i="226" a="1"/>
  <c r="AG46" i="226" s="1"/>
  <c r="K43" i="154"/>
  <c r="U46" i="154"/>
  <c r="U47" i="154"/>
  <c r="Z46" i="154"/>
  <c r="K45" i="154"/>
  <c r="K44" i="154"/>
  <c r="B2" i="107"/>
  <c r="AC48" i="207"/>
  <c r="AC46" i="207"/>
  <c r="V33" i="221"/>
  <c r="AC33" i="221"/>
  <c r="AC31" i="221"/>
  <c r="V28" i="221"/>
  <c r="L20" i="81"/>
  <c r="CR20" i="224"/>
  <c r="CO20" i="224" s="1"/>
  <c r="CL20" i="224" s="1"/>
  <c r="CR22" i="224"/>
  <c r="CO22" i="224" s="1"/>
  <c r="CL22" i="224" s="1"/>
  <c r="CR24" i="224"/>
  <c r="CR26" i="224"/>
  <c r="CO26" i="224" s="1"/>
  <c r="CR28" i="224"/>
  <c r="CO28" i="224" s="1"/>
  <c r="CL28" i="224" s="1"/>
  <c r="CR30" i="224"/>
  <c r="CO30" i="224" s="1"/>
  <c r="CR32" i="224"/>
  <c r="CO32" i="224" s="1"/>
  <c r="CL32" i="224" s="1"/>
  <c r="CR34" i="224"/>
  <c r="CO34" i="224" s="1"/>
  <c r="CR36" i="224"/>
  <c r="CO36" i="224" s="1"/>
  <c r="CR18" i="224"/>
  <c r="CO18" i="224" s="1"/>
  <c r="CL18" i="224" s="1"/>
  <c r="CR20" i="223"/>
  <c r="CO20" i="223" s="1"/>
  <c r="CR22" i="223"/>
  <c r="CO22" i="223" s="1"/>
  <c r="CL22" i="223" s="1"/>
  <c r="CR24" i="223"/>
  <c r="CO24" i="223" s="1"/>
  <c r="CL24" i="223" s="1"/>
  <c r="CR26" i="223"/>
  <c r="CR28" i="223"/>
  <c r="CO28" i="223" s="1"/>
  <c r="CL28" i="223" s="1"/>
  <c r="CR30" i="223"/>
  <c r="CO30" i="223" s="1"/>
  <c r="CL30" i="223" s="1"/>
  <c r="CR32" i="223"/>
  <c r="CO32" i="223" s="1"/>
  <c r="CR34" i="223"/>
  <c r="CO34" i="223" s="1"/>
  <c r="CR36" i="223"/>
  <c r="CO36" i="223" s="1"/>
  <c r="CL36" i="223" s="1"/>
  <c r="CR18" i="223"/>
  <c r="CO18" i="223" s="1"/>
  <c r="CR20" i="176"/>
  <c r="CO20" i="176" s="1"/>
  <c r="CR22" i="176"/>
  <c r="CO22" i="176" s="1"/>
  <c r="CL22" i="176" s="1"/>
  <c r="CR24" i="176"/>
  <c r="CO24" i="176" s="1"/>
  <c r="CL24" i="176" s="1"/>
  <c r="CR26" i="176"/>
  <c r="CO26" i="176" s="1"/>
  <c r="CL26" i="176" s="1"/>
  <c r="CR28" i="176"/>
  <c r="CO28" i="176" s="1"/>
  <c r="CL28" i="176" s="1"/>
  <c r="CR30" i="176"/>
  <c r="CO30" i="176" s="1"/>
  <c r="CL30" i="176" s="1"/>
  <c r="CR32" i="176"/>
  <c r="CO32" i="176" s="1"/>
  <c r="CL32" i="176" s="1"/>
  <c r="CR34" i="176"/>
  <c r="CO34" i="176" s="1"/>
  <c r="CL34" i="176" s="1"/>
  <c r="CR36" i="176"/>
  <c r="CO36" i="176" s="1"/>
  <c r="CL36" i="176" s="1"/>
  <c r="CR18" i="176"/>
  <c r="CR20" i="175"/>
  <c r="CO20" i="175" s="1"/>
  <c r="CR22" i="175"/>
  <c r="CO22" i="175" s="1"/>
  <c r="CL22" i="175" s="1"/>
  <c r="CR24" i="175"/>
  <c r="CO24" i="175" s="1"/>
  <c r="CL24" i="175" s="1"/>
  <c r="CR26" i="175"/>
  <c r="CO26" i="175" s="1"/>
  <c r="CR28" i="175"/>
  <c r="CO28" i="175" s="1"/>
  <c r="CL28" i="175" s="1"/>
  <c r="CR30" i="175"/>
  <c r="CO30" i="175" s="1"/>
  <c r="CL30" i="175" s="1"/>
  <c r="CR32" i="175"/>
  <c r="CR34" i="175"/>
  <c r="CO34" i="175" s="1"/>
  <c r="CR36" i="175"/>
  <c r="CO36" i="175" s="1"/>
  <c r="CR18" i="175"/>
  <c r="CO18" i="175" s="1"/>
  <c r="CL18" i="175" s="1"/>
  <c r="CR20" i="13"/>
  <c r="CO20" i="13" s="1"/>
  <c r="CL20" i="13" s="1"/>
  <c r="CR22" i="13"/>
  <c r="CO22" i="13" s="1"/>
  <c r="CL22" i="13" s="1"/>
  <c r="CR24" i="13"/>
  <c r="CR26" i="13"/>
  <c r="CO26" i="13" s="1"/>
  <c r="CR28" i="13"/>
  <c r="CO28" i="13" s="1"/>
  <c r="CL28" i="13" s="1"/>
  <c r="CR30" i="13"/>
  <c r="CO30" i="13" s="1"/>
  <c r="CL30" i="13" s="1"/>
  <c r="CR32" i="13"/>
  <c r="CO32" i="13" s="1"/>
  <c r="CL32" i="13" s="1"/>
  <c r="CR34" i="13"/>
  <c r="CO34" i="13" s="1"/>
  <c r="CL34" i="13" s="1"/>
  <c r="CR36" i="13"/>
  <c r="CO36" i="13" s="1"/>
  <c r="CR18" i="13"/>
  <c r="CO18" i="13" s="1"/>
  <c r="CL18" i="13" s="1"/>
  <c r="CR20" i="171"/>
  <c r="CO20" i="171" s="1"/>
  <c r="CL20" i="171" s="1"/>
  <c r="CR22" i="171"/>
  <c r="CO22" i="171" s="1"/>
  <c r="CL22" i="171" s="1"/>
  <c r="CR24" i="171"/>
  <c r="CO24" i="171" s="1"/>
  <c r="CL24" i="171" s="1"/>
  <c r="CR26" i="171"/>
  <c r="CR28" i="171"/>
  <c r="CO28" i="171" s="1"/>
  <c r="CL28" i="171" s="1"/>
  <c r="CR30" i="171"/>
  <c r="CO30" i="171" s="1"/>
  <c r="CL30" i="171" s="1"/>
  <c r="CR32" i="171"/>
  <c r="CO32" i="171" s="1"/>
  <c r="CL32" i="171" s="1"/>
  <c r="CR34" i="171"/>
  <c r="CO34" i="171" s="1"/>
  <c r="CL34" i="171" s="1"/>
  <c r="CR36" i="171"/>
  <c r="CO36" i="171" s="1"/>
  <c r="CL36" i="171" s="1"/>
  <c r="CR18" i="171"/>
  <c r="CO18" i="171" s="1"/>
  <c r="CL18" i="171" s="1"/>
  <c r="CR20" i="170"/>
  <c r="CO20" i="170" s="1"/>
  <c r="CL20" i="170" s="1"/>
  <c r="CR22" i="170"/>
  <c r="CR24" i="170"/>
  <c r="CO24" i="170" s="1"/>
  <c r="CL24" i="170" s="1"/>
  <c r="CR26" i="170"/>
  <c r="CO26" i="170" s="1"/>
  <c r="CL26" i="170" s="1"/>
  <c r="CR28" i="170"/>
  <c r="CO28" i="170" s="1"/>
  <c r="CL28" i="170" s="1"/>
  <c r="CR30" i="170"/>
  <c r="CO30" i="170" s="1"/>
  <c r="CL30" i="170" s="1"/>
  <c r="CR32" i="170"/>
  <c r="CO32" i="170" s="1"/>
  <c r="CL32" i="170" s="1"/>
  <c r="CR34" i="170"/>
  <c r="CO34" i="170" s="1"/>
  <c r="CR36" i="170"/>
  <c r="CO36" i="170" s="1"/>
  <c r="CR18" i="170"/>
  <c r="CO18" i="170" s="1"/>
  <c r="CL18" i="170" s="1"/>
  <c r="CR20" i="169"/>
  <c r="CO20" i="169" s="1"/>
  <c r="CR22" i="169"/>
  <c r="CO22" i="169" s="1"/>
  <c r="CR24" i="169"/>
  <c r="CO24" i="169" s="1"/>
  <c r="CL24" i="169" s="1"/>
  <c r="CR26" i="169"/>
  <c r="CO26" i="169" s="1"/>
  <c r="CL26" i="169" s="1"/>
  <c r="CR28" i="169"/>
  <c r="CO28" i="169" s="1"/>
  <c r="CL28" i="169" s="1"/>
  <c r="CR30" i="169"/>
  <c r="CO30" i="169" s="1"/>
  <c r="CR32" i="169"/>
  <c r="CO32" i="169" s="1"/>
  <c r="CL32" i="169" s="1"/>
  <c r="CR34" i="169"/>
  <c r="CO34" i="169" s="1"/>
  <c r="CL34" i="169" s="1"/>
  <c r="CR36" i="169"/>
  <c r="CO36" i="169" s="1"/>
  <c r="CL36" i="169" s="1"/>
  <c r="CR18" i="169"/>
  <c r="CR20" i="168"/>
  <c r="CR22" i="168"/>
  <c r="CO22" i="168" s="1"/>
  <c r="CL22" i="168" s="1"/>
  <c r="CR24" i="168"/>
  <c r="CO24" i="168" s="1"/>
  <c r="CL24" i="168" s="1"/>
  <c r="CR26" i="168"/>
  <c r="CO26" i="168" s="1"/>
  <c r="CL26" i="168" s="1"/>
  <c r="CR28" i="168"/>
  <c r="CO28" i="168" s="1"/>
  <c r="CL28" i="168" s="1"/>
  <c r="CR30" i="168"/>
  <c r="CO30" i="168" s="1"/>
  <c r="CL30" i="168" s="1"/>
  <c r="CR32" i="168"/>
  <c r="CO32" i="168" s="1"/>
  <c r="CL32" i="168" s="1"/>
  <c r="CR34" i="168"/>
  <c r="CO34" i="168" s="1"/>
  <c r="CR36" i="168"/>
  <c r="CO36" i="168" s="1"/>
  <c r="CR18" i="168"/>
  <c r="CO18" i="168" s="1"/>
  <c r="CL18" i="168" s="1"/>
  <c r="JW2" i="226"/>
  <c r="JV2" i="226"/>
  <c r="K68" i="109"/>
  <c r="K62" i="109"/>
  <c r="I68" i="109"/>
  <c r="I62" i="109"/>
  <c r="I67" i="109"/>
  <c r="I59" i="109"/>
  <c r="I60" i="109"/>
  <c r="I61" i="109"/>
  <c r="K66" i="109"/>
  <c r="K67" i="109"/>
  <c r="K65" i="109"/>
  <c r="K60" i="109"/>
  <c r="K61" i="109"/>
  <c r="K59" i="109"/>
  <c r="H66" i="109"/>
  <c r="I66" i="109" s="1"/>
  <c r="I65" i="109"/>
  <c r="BM27" i="166"/>
  <c r="FO2" i="226"/>
  <c r="AP44" i="180"/>
  <c r="AP43" i="180"/>
  <c r="AP41" i="180"/>
  <c r="AP40" i="180"/>
  <c r="K33" i="154"/>
  <c r="K49" i="154"/>
  <c r="K14" i="154"/>
  <c r="K18" i="154"/>
  <c r="BM31" i="166"/>
  <c r="AC33" i="156"/>
  <c r="AC31" i="156"/>
  <c r="Q33" i="154"/>
  <c r="AB32" i="154"/>
  <c r="AB56" i="154"/>
  <c r="AB33" i="154"/>
  <c r="A14" i="226"/>
  <c r="Q58" i="154"/>
  <c r="H10" i="3"/>
  <c r="AP1" i="8"/>
  <c r="AT1" i="8"/>
  <c r="BX35" i="153"/>
  <c r="BV35" i="153"/>
  <c r="BT35" i="153"/>
  <c r="BT31" i="153"/>
  <c r="BP35" i="153"/>
  <c r="BL35" i="153"/>
  <c r="BP31" i="153"/>
  <c r="BL31" i="153"/>
  <c r="BL27" i="153"/>
  <c r="Z25" i="109"/>
  <c r="Y21" i="109"/>
  <c r="CM20" i="224"/>
  <c r="CN20" i="224"/>
  <c r="CM22" i="224"/>
  <c r="CN22" i="224"/>
  <c r="CQ22" i="224" s="1"/>
  <c r="CM24" i="224"/>
  <c r="CN24" i="224"/>
  <c r="CQ24" i="224" s="1"/>
  <c r="CM26" i="224"/>
  <c r="CN26" i="224"/>
  <c r="CM28" i="224"/>
  <c r="CN28" i="224"/>
  <c r="CK28" i="224" s="1"/>
  <c r="CM30" i="224"/>
  <c r="CJ30" i="224" s="1"/>
  <c r="CN30" i="224"/>
  <c r="CM32" i="224"/>
  <c r="CN32" i="224"/>
  <c r="CM34" i="224"/>
  <c r="CN34" i="224"/>
  <c r="CM36" i="224"/>
  <c r="CN36" i="224"/>
  <c r="CM20" i="223"/>
  <c r="CJ20" i="223" s="1"/>
  <c r="CN20" i="223"/>
  <c r="CQ20" i="223" s="1"/>
  <c r="CM22" i="223"/>
  <c r="CN22" i="223"/>
  <c r="CM24" i="223"/>
  <c r="CJ24" i="223" s="1"/>
  <c r="CN24" i="223"/>
  <c r="CM26" i="223"/>
  <c r="CN26" i="223"/>
  <c r="CM28" i="223"/>
  <c r="CP28" i="223" s="1"/>
  <c r="CN28" i="223"/>
  <c r="CM30" i="223"/>
  <c r="CN30" i="223"/>
  <c r="CK30" i="223" s="1"/>
  <c r="CM32" i="223"/>
  <c r="CP32" i="223" s="1"/>
  <c r="CN32" i="223"/>
  <c r="CM34" i="223"/>
  <c r="CJ34" i="223" s="1"/>
  <c r="CN34" i="223"/>
  <c r="CQ34" i="223" s="1"/>
  <c r="CM36" i="223"/>
  <c r="CN36" i="223"/>
  <c r="CQ36" i="223" s="1"/>
  <c r="CM20" i="176"/>
  <c r="CN20" i="176"/>
  <c r="CQ20" i="176" s="1"/>
  <c r="CM22" i="176"/>
  <c r="CN22" i="176"/>
  <c r="CM24" i="176"/>
  <c r="CN24" i="176"/>
  <c r="CM26" i="176"/>
  <c r="CJ26" i="176" s="1"/>
  <c r="CN26" i="176"/>
  <c r="CQ26" i="176" s="1"/>
  <c r="CM28" i="176"/>
  <c r="CJ28" i="176" s="1"/>
  <c r="CN28" i="176"/>
  <c r="CM30" i="176"/>
  <c r="CJ30" i="176" s="1"/>
  <c r="CN30" i="176"/>
  <c r="CQ30" i="176" s="1"/>
  <c r="CM32" i="176"/>
  <c r="CP32" i="176" s="1"/>
  <c r="CN32" i="176"/>
  <c r="CM34" i="176"/>
  <c r="CN34" i="176"/>
  <c r="CQ34" i="176" s="1"/>
  <c r="CM36" i="176"/>
  <c r="CJ36" i="176" s="1"/>
  <c r="CN36" i="176"/>
  <c r="CM20" i="175"/>
  <c r="CJ20" i="175" s="1"/>
  <c r="CN20" i="175"/>
  <c r="CM22" i="175"/>
  <c r="CJ22" i="175" s="1"/>
  <c r="CN22" i="175"/>
  <c r="CQ22" i="175" s="1"/>
  <c r="CM24" i="175"/>
  <c r="CN24" i="175"/>
  <c r="CM26" i="175"/>
  <c r="CJ26" i="175" s="1"/>
  <c r="CN26" i="175"/>
  <c r="CM28" i="175"/>
  <c r="CJ28" i="175" s="1"/>
  <c r="CN28" i="175"/>
  <c r="CQ28" i="175" s="1"/>
  <c r="CM30" i="175"/>
  <c r="CP30" i="175" s="1"/>
  <c r="CN30" i="175"/>
  <c r="CQ30" i="175" s="1"/>
  <c r="CM32" i="175"/>
  <c r="CJ32" i="175" s="1"/>
  <c r="CN32" i="175"/>
  <c r="CM34" i="175"/>
  <c r="CJ34" i="175" s="1"/>
  <c r="CN34" i="175"/>
  <c r="CM36" i="175"/>
  <c r="CP36" i="175" s="1"/>
  <c r="CN36" i="175"/>
  <c r="CK36" i="175" s="1"/>
  <c r="CM20" i="13"/>
  <c r="CP20" i="13" s="1"/>
  <c r="CN20" i="13"/>
  <c r="CM22" i="13"/>
  <c r="CN22" i="13"/>
  <c r="CM24" i="13"/>
  <c r="CN24" i="13"/>
  <c r="CK24" i="13" s="1"/>
  <c r="CM26" i="13"/>
  <c r="CP26" i="13" s="1"/>
  <c r="CN26" i="13"/>
  <c r="CQ26" i="13" s="1"/>
  <c r="CM28" i="13"/>
  <c r="CN28" i="13"/>
  <c r="CK28" i="13" s="1"/>
  <c r="CM30" i="13"/>
  <c r="CJ30" i="13" s="1"/>
  <c r="CN30" i="13"/>
  <c r="CM32" i="13"/>
  <c r="CN32" i="13"/>
  <c r="CQ32" i="13" s="1"/>
  <c r="CM34" i="13"/>
  <c r="CN34" i="13"/>
  <c r="CM36" i="13"/>
  <c r="CN36" i="13"/>
  <c r="CQ36" i="13" s="1"/>
  <c r="CM20" i="171"/>
  <c r="CP20" i="171" s="1"/>
  <c r="CN20" i="171"/>
  <c r="CM22" i="171"/>
  <c r="CJ22" i="171" s="1"/>
  <c r="CN22" i="171"/>
  <c r="CM24" i="171"/>
  <c r="CJ24" i="171" s="1"/>
  <c r="CN24" i="171"/>
  <c r="CQ24" i="171" s="1"/>
  <c r="CM26" i="171"/>
  <c r="CN26" i="171"/>
  <c r="CM28" i="171"/>
  <c r="CJ28" i="171" s="1"/>
  <c r="CN28" i="171"/>
  <c r="CM30" i="171"/>
  <c r="CN30" i="171"/>
  <c r="CM32" i="171"/>
  <c r="CN32" i="171"/>
  <c r="CK32" i="171" s="1"/>
  <c r="CM34" i="171"/>
  <c r="CN34" i="171"/>
  <c r="CQ34" i="171" s="1"/>
  <c r="CM36" i="171"/>
  <c r="CN36" i="171"/>
  <c r="CM20" i="169"/>
  <c r="CJ20" i="169" s="1"/>
  <c r="CN20" i="169"/>
  <c r="CQ20" i="169" s="1"/>
  <c r="CM22" i="169"/>
  <c r="CJ22" i="169" s="1"/>
  <c r="CN22" i="169"/>
  <c r="CK22" i="169" s="1"/>
  <c r="CM24" i="169"/>
  <c r="CJ24" i="169" s="1"/>
  <c r="CN24" i="169"/>
  <c r="CM26" i="169"/>
  <c r="CN26" i="169"/>
  <c r="CK26" i="169" s="1"/>
  <c r="CM28" i="169"/>
  <c r="CP28" i="169" s="1"/>
  <c r="CN28" i="169"/>
  <c r="CK28" i="169" s="1"/>
  <c r="CM30" i="169"/>
  <c r="CJ30" i="169" s="1"/>
  <c r="CN30" i="169"/>
  <c r="CM32" i="169"/>
  <c r="CN32" i="169"/>
  <c r="CQ32" i="169" s="1"/>
  <c r="CM34" i="169"/>
  <c r="CN34" i="169"/>
  <c r="CQ34" i="169" s="1"/>
  <c r="CM36" i="169"/>
  <c r="CN36" i="169"/>
  <c r="CK36" i="169" s="1"/>
  <c r="CM20" i="170"/>
  <c r="CP20" i="170" s="1"/>
  <c r="CN20" i="170"/>
  <c r="CQ20" i="170" s="1"/>
  <c r="CM22" i="170"/>
  <c r="CN22" i="170"/>
  <c r="CK22" i="170" s="1"/>
  <c r="CM24" i="170"/>
  <c r="CN24" i="170"/>
  <c r="CQ24" i="170" s="1"/>
  <c r="CM26" i="170"/>
  <c r="CJ26" i="170" s="1"/>
  <c r="CN26" i="170"/>
  <c r="CK26" i="170" s="1"/>
  <c r="CM28" i="170"/>
  <c r="CP28" i="170" s="1"/>
  <c r="CN28" i="170"/>
  <c r="CM30" i="170"/>
  <c r="CP30" i="170" s="1"/>
  <c r="CN30" i="170"/>
  <c r="CM32" i="170"/>
  <c r="CP32" i="170" s="1"/>
  <c r="CN32" i="170"/>
  <c r="CM34" i="170"/>
  <c r="CN34" i="170"/>
  <c r="CK34" i="170" s="1"/>
  <c r="CM36" i="170"/>
  <c r="CP36" i="170" s="1"/>
  <c r="CN36" i="170"/>
  <c r="CM20" i="168"/>
  <c r="CN20" i="168"/>
  <c r="CQ20" i="168" s="1"/>
  <c r="CM22" i="168"/>
  <c r="CN22" i="168"/>
  <c r="CQ22" i="168" s="1"/>
  <c r="CM24" i="168"/>
  <c r="CN24" i="168"/>
  <c r="CQ24" i="168" s="1"/>
  <c r="CM26" i="168"/>
  <c r="CN26" i="168"/>
  <c r="CQ26" i="168" s="1"/>
  <c r="CM28" i="168"/>
  <c r="CN28" i="168"/>
  <c r="CM30" i="168"/>
  <c r="CN30" i="168"/>
  <c r="CM32" i="168"/>
  <c r="CP32" i="168" s="1"/>
  <c r="CN32" i="168"/>
  <c r="CM34" i="168"/>
  <c r="CN34" i="168"/>
  <c r="CM36" i="168"/>
  <c r="CP36" i="168" s="1"/>
  <c r="CN36" i="168"/>
  <c r="CK36" i="168" s="1"/>
  <c r="CN18" i="224"/>
  <c r="CM18" i="224"/>
  <c r="CP18" i="224" s="1"/>
  <c r="CN18" i="223"/>
  <c r="CQ18" i="223" s="1"/>
  <c r="CM18" i="223"/>
  <c r="CJ18" i="223" s="1"/>
  <c r="CN18" i="176"/>
  <c r="CM18" i="176"/>
  <c r="CP18" i="176" s="1"/>
  <c r="CN18" i="175"/>
  <c r="CM18" i="175"/>
  <c r="CJ18" i="175" s="1"/>
  <c r="CN18" i="13"/>
  <c r="CM18" i="13"/>
  <c r="CJ18" i="13" s="1"/>
  <c r="CN18" i="171"/>
  <c r="CM18" i="171"/>
  <c r="CN18" i="170"/>
  <c r="CK18" i="170" s="1"/>
  <c r="CM18" i="170"/>
  <c r="K56" i="154"/>
  <c r="P112" i="207"/>
  <c r="AP1" i="14"/>
  <c r="AT1" i="224"/>
  <c r="AT1" i="223"/>
  <c r="AT1" i="176"/>
  <c r="AT1" i="175"/>
  <c r="AT1" i="13"/>
  <c r="AT1" i="171"/>
  <c r="AT1" i="170"/>
  <c r="AT1" i="169"/>
  <c r="AT1" i="168"/>
  <c r="AT1" i="167"/>
  <c r="AP1" i="222"/>
  <c r="AP1" i="152"/>
  <c r="AP1" i="225"/>
  <c r="J219" i="3"/>
  <c r="J220" i="3"/>
  <c r="J221" i="3"/>
  <c r="IU2" i="226"/>
  <c r="IO2" i="226"/>
  <c r="IC2" i="226"/>
  <c r="HV2" i="226"/>
  <c r="HU2" i="226"/>
  <c r="P34" i="207"/>
  <c r="CN18" i="169"/>
  <c r="CM18" i="169"/>
  <c r="KG2" i="226"/>
  <c r="KH2" i="226"/>
  <c r="AR53" i="81"/>
  <c r="AW53" i="81"/>
  <c r="A2" i="226"/>
  <c r="P215" i="221"/>
  <c r="P84" i="156"/>
  <c r="P76" i="14"/>
  <c r="Z24" i="109"/>
  <c r="K57" i="154"/>
  <c r="AI34" i="207"/>
  <c r="G9" i="207"/>
  <c r="A102" i="226"/>
  <c r="A91" i="226"/>
  <c r="B6" i="3"/>
  <c r="P57" i="8" s="1"/>
  <c r="L36" i="3"/>
  <c r="H37" i="3" s="1"/>
  <c r="H15" i="3"/>
  <c r="H18" i="3"/>
  <c r="AM26" i="154" s="1"/>
  <c r="H19" i="3"/>
  <c r="AM27" i="154" s="1"/>
  <c r="H17" i="3"/>
  <c r="H16" i="3"/>
  <c r="AM24" i="154" s="1"/>
  <c r="H14" i="3"/>
  <c r="M47" i="230" s="1"/>
  <c r="H13" i="3"/>
  <c r="M45" i="230" s="1"/>
  <c r="H12" i="3"/>
  <c r="AM20" i="154" s="1"/>
  <c r="AF27" i="154"/>
  <c r="AF26" i="154"/>
  <c r="AF19" i="154"/>
  <c r="AF18" i="154"/>
  <c r="AF20" i="154"/>
  <c r="G18" i="3"/>
  <c r="G19" i="3"/>
  <c r="G11" i="3"/>
  <c r="G12" i="3"/>
  <c r="G13" i="3"/>
  <c r="G14" i="3"/>
  <c r="G15" i="3"/>
  <c r="G16" i="3"/>
  <c r="G17" i="3"/>
  <c r="G10" i="3"/>
  <c r="CN18" i="168"/>
  <c r="CQ18" i="168" s="1"/>
  <c r="BN35" i="147"/>
  <c r="BN39" i="147"/>
  <c r="BL39" i="147"/>
  <c r="BJ39" i="147"/>
  <c r="BL35" i="147"/>
  <c r="BN25" i="147"/>
  <c r="BL25" i="147"/>
  <c r="BJ25" i="147"/>
  <c r="BJ21" i="147"/>
  <c r="KP2" i="226"/>
  <c r="KO2" i="226"/>
  <c r="JK2" i="226"/>
  <c r="JH2" i="226"/>
  <c r="JG2" i="226"/>
  <c r="IW2" i="226"/>
  <c r="IX2" i="226" s="1"/>
  <c r="IT2" i="226"/>
  <c r="IS2" i="226"/>
  <c r="IR2" i="226"/>
  <c r="IQ2" i="226"/>
  <c r="IP2" i="226"/>
  <c r="IN2" i="226"/>
  <c r="IM2" i="226"/>
  <c r="IL2" i="226"/>
  <c r="IK2" i="226"/>
  <c r="IJ2" i="226"/>
  <c r="II2" i="226"/>
  <c r="IH2" i="226"/>
  <c r="IG2" i="226"/>
  <c r="IF2" i="226"/>
  <c r="IE2" i="226"/>
  <c r="HW2" i="226"/>
  <c r="HS2" i="226"/>
  <c r="HR2" i="226"/>
  <c r="HQ2" i="226"/>
  <c r="HL2" i="226"/>
  <c r="HJ2" i="226"/>
  <c r="HI2" i="226"/>
  <c r="HH2" i="226"/>
  <c r="HG2" i="226"/>
  <c r="HF2" i="226"/>
  <c r="HE2" i="226"/>
  <c r="HD2" i="226"/>
  <c r="HC2" i="226"/>
  <c r="HB2" i="226"/>
  <c r="HA2" i="226"/>
  <c r="GZ2" i="226"/>
  <c r="GY2" i="226"/>
  <c r="GX2" i="226"/>
  <c r="GW2" i="226"/>
  <c r="GU2" i="226"/>
  <c r="GN2" i="226"/>
  <c r="GI2" i="226"/>
  <c r="GH2" i="226"/>
  <c r="GG2" i="226"/>
  <c r="GF2" i="226"/>
  <c r="GE2" i="226"/>
  <c r="GD2" i="226"/>
  <c r="GB2" i="226"/>
  <c r="FZ2" i="226"/>
  <c r="FX2" i="226"/>
  <c r="FW2" i="226"/>
  <c r="FV2" i="226"/>
  <c r="GA2" i="226"/>
  <c r="FP2" i="226"/>
  <c r="FQ2" i="226"/>
  <c r="K166" i="3"/>
  <c r="AC38" i="156"/>
  <c r="AC36" i="156"/>
  <c r="V38" i="156"/>
  <c r="V28" i="156"/>
  <c r="B230" i="3"/>
  <c r="D233" i="3"/>
  <c r="D232" i="3"/>
  <c r="D231" i="3"/>
  <c r="D90" i="3"/>
  <c r="D89" i="3"/>
  <c r="D88" i="3"/>
  <c r="J194" i="3"/>
  <c r="AQ12" i="81"/>
  <c r="G9" i="81"/>
  <c r="F9" i="221"/>
  <c r="P19" i="221"/>
  <c r="AI19" i="221"/>
  <c r="AJ4" i="180"/>
  <c r="AB4" i="180"/>
  <c r="AJ4" i="14"/>
  <c r="AB4" i="14"/>
  <c r="AJ4" i="156"/>
  <c r="AB4" i="156"/>
  <c r="AJ4" i="221"/>
  <c r="AB4" i="221"/>
  <c r="AJ4" i="81"/>
  <c r="AB4" i="81"/>
  <c r="AJ4" i="154"/>
  <c r="AB4" i="154"/>
  <c r="AM4" i="167"/>
  <c r="AD4" i="167"/>
  <c r="AM4" i="168"/>
  <c r="AD4" i="168"/>
  <c r="AM4" i="169"/>
  <c r="AD4" i="169"/>
  <c r="AM4" i="170"/>
  <c r="AD4" i="170"/>
  <c r="AM4" i="175"/>
  <c r="AD4" i="175"/>
  <c r="AK4" i="171"/>
  <c r="AD4" i="171"/>
  <c r="AM4" i="13"/>
  <c r="AD4" i="13"/>
  <c r="AM4" i="176"/>
  <c r="AD4" i="176"/>
  <c r="AM4" i="223"/>
  <c r="AD4" i="223"/>
  <c r="AM4" i="224"/>
  <c r="AD4" i="224"/>
  <c r="AJ4" i="153"/>
  <c r="AB4" i="153"/>
  <c r="AJ4" i="207"/>
  <c r="AB4" i="207"/>
  <c r="AJ4" i="144"/>
  <c r="AB4" i="144"/>
  <c r="AJ4" i="151"/>
  <c r="AB4" i="151"/>
  <c r="AJ4" i="148"/>
  <c r="AB4" i="148"/>
  <c r="AJ4" i="147"/>
  <c r="AB4" i="147"/>
  <c r="AJ4" i="166"/>
  <c r="Z44" i="221"/>
  <c r="CM18" i="168"/>
  <c r="A80" i="226"/>
  <c r="A69" i="226"/>
  <c r="A58" i="226"/>
  <c r="A47" i="226"/>
  <c r="A36" i="226"/>
  <c r="A25" i="226"/>
  <c r="A3" i="226"/>
  <c r="BJ9" i="180"/>
  <c r="U51" i="154"/>
  <c r="AB73" i="154"/>
  <c r="U73" i="154"/>
  <c r="K51" i="154"/>
  <c r="AB75" i="154"/>
  <c r="T75" i="154"/>
  <c r="K75" i="154"/>
  <c r="U56" i="154"/>
  <c r="U44" i="154"/>
  <c r="P37" i="154"/>
  <c r="K38" i="154"/>
  <c r="K37" i="154"/>
  <c r="K36" i="154"/>
  <c r="K31" i="154"/>
  <c r="U31" i="154"/>
  <c r="K32" i="154"/>
  <c r="U33" i="154"/>
  <c r="U32" i="154"/>
  <c r="U18" i="154"/>
  <c r="K19" i="154"/>
  <c r="R20" i="154"/>
  <c r="L48" i="81"/>
  <c r="AR44" i="81"/>
  <c r="AR43" i="81"/>
  <c r="AR42" i="81"/>
  <c r="AR41" i="81"/>
  <c r="AW40" i="81"/>
  <c r="AR40" i="81"/>
  <c r="AY35" i="81"/>
  <c r="AW35" i="81"/>
  <c r="AR35" i="81"/>
  <c r="AB55" i="81"/>
  <c r="AR34" i="81"/>
  <c r="AB54" i="81"/>
  <c r="AR39" i="81"/>
  <c r="AR38" i="81"/>
  <c r="AR37" i="81"/>
  <c r="AW36" i="81"/>
  <c r="AR36" i="81"/>
  <c r="L50" i="81"/>
  <c r="AR33" i="81"/>
  <c r="L68" i="81"/>
  <c r="Q67" i="81"/>
  <c r="L67" i="81"/>
  <c r="AB39" i="81"/>
  <c r="AB38" i="81"/>
  <c r="AB37" i="81"/>
  <c r="AG36" i="81"/>
  <c r="AB36" i="81"/>
  <c r="AB33" i="81"/>
  <c r="L60" i="81"/>
  <c r="S40" i="81"/>
  <c r="Q40" i="81"/>
  <c r="L40" i="81"/>
  <c r="W24" i="81"/>
  <c r="L39" i="81"/>
  <c r="W23" i="81"/>
  <c r="W22" i="81"/>
  <c r="W21" i="81"/>
  <c r="W19" i="81"/>
  <c r="L34" i="81"/>
  <c r="W18" i="81"/>
  <c r="L33" i="81"/>
  <c r="W17" i="81"/>
  <c r="X60" i="81"/>
  <c r="L29" i="81"/>
  <c r="L28" i="81"/>
  <c r="L26" i="81"/>
  <c r="L22" i="81"/>
  <c r="AR64" i="81"/>
  <c r="AR63" i="81"/>
  <c r="AR61" i="81"/>
  <c r="AR62" i="81" s="1"/>
  <c r="L72" i="81"/>
  <c r="L18" i="81"/>
  <c r="AR60" i="81"/>
  <c r="L17" i="81"/>
  <c r="P20" i="154"/>
  <c r="K20" i="154"/>
  <c r="AF25" i="154"/>
  <c r="AF24" i="154"/>
  <c r="AF23" i="154"/>
  <c r="AF22" i="154"/>
  <c r="AF21" i="154"/>
  <c r="U22" i="14"/>
  <c r="U23" i="14"/>
  <c r="BS21" i="166"/>
  <c r="BP21" i="166"/>
  <c r="BM21" i="166"/>
  <c r="BM17" i="166"/>
  <c r="BS55" i="14"/>
  <c r="BS53" i="14"/>
  <c r="AH23" i="14"/>
  <c r="AH24" i="14"/>
  <c r="U24" i="14"/>
  <c r="AX1" i="225"/>
  <c r="AT1" i="225"/>
  <c r="J1" i="225"/>
  <c r="F1" i="225"/>
  <c r="AE77" i="180"/>
  <c r="AG73" i="14"/>
  <c r="AG72" i="14"/>
  <c r="AH27" i="14"/>
  <c r="AH26" i="14"/>
  <c r="AH25" i="14"/>
  <c r="AH22" i="14"/>
  <c r="U27" i="14"/>
  <c r="U26" i="14"/>
  <c r="U25" i="14"/>
  <c r="AB4" i="166"/>
  <c r="BF202" i="14"/>
  <c r="AD202" i="14"/>
  <c r="B202" i="14"/>
  <c r="B201" i="14"/>
  <c r="BF200" i="14"/>
  <c r="B200" i="14"/>
  <c r="BB1" i="224"/>
  <c r="AX1" i="224"/>
  <c r="J1" i="224"/>
  <c r="F1" i="224"/>
  <c r="BB1" i="223"/>
  <c r="AX1" i="223"/>
  <c r="J1" i="223"/>
  <c r="F1" i="223"/>
  <c r="AF43" i="180"/>
  <c r="AE76" i="180"/>
  <c r="AE75" i="180"/>
  <c r="AT1" i="152"/>
  <c r="AT1" i="222"/>
  <c r="P19" i="156"/>
  <c r="J1" i="156"/>
  <c r="F1" i="156"/>
  <c r="J1" i="81"/>
  <c r="F1" i="81"/>
  <c r="J1" i="221"/>
  <c r="F1" i="221"/>
  <c r="AX1" i="14"/>
  <c r="AT1" i="14"/>
  <c r="J1" i="14"/>
  <c r="F1" i="14"/>
  <c r="J1" i="180"/>
  <c r="F1" i="180"/>
  <c r="J1" i="154"/>
  <c r="F1" i="154"/>
  <c r="J1" i="144"/>
  <c r="F1" i="144"/>
  <c r="J1" i="207"/>
  <c r="F1" i="207"/>
  <c r="J1" i="153"/>
  <c r="F1" i="153"/>
  <c r="BB1" i="176"/>
  <c r="AX1" i="176"/>
  <c r="J1" i="176"/>
  <c r="F1" i="176"/>
  <c r="BB1" i="13"/>
  <c r="AX1" i="13"/>
  <c r="J1" i="13"/>
  <c r="F1" i="13"/>
  <c r="BB1" i="171"/>
  <c r="AX1" i="171"/>
  <c r="J1" i="171"/>
  <c r="F1" i="171"/>
  <c r="BB1" i="175"/>
  <c r="AX1" i="175"/>
  <c r="J1" i="175"/>
  <c r="F1" i="175"/>
  <c r="BB1" i="170"/>
  <c r="AX1" i="170"/>
  <c r="J1" i="170"/>
  <c r="F1" i="170"/>
  <c r="BB1" i="169"/>
  <c r="AX1" i="169"/>
  <c r="J1" i="169"/>
  <c r="F1" i="169"/>
  <c r="BB1" i="168"/>
  <c r="AX1" i="168"/>
  <c r="J1" i="168"/>
  <c r="F1" i="168"/>
  <c r="BB1" i="167"/>
  <c r="AX1" i="167"/>
  <c r="J1" i="167"/>
  <c r="F1" i="167"/>
  <c r="J1" i="151"/>
  <c r="F1" i="151"/>
  <c r="J1" i="148"/>
  <c r="F1" i="148"/>
  <c r="J1" i="147"/>
  <c r="F1" i="147"/>
  <c r="J1" i="166"/>
  <c r="F1" i="166"/>
  <c r="AX1" i="222"/>
  <c r="J1" i="222"/>
  <c r="F1" i="222"/>
  <c r="AX1" i="152"/>
  <c r="J1" i="152"/>
  <c r="F1" i="152"/>
  <c r="AD197" i="8"/>
  <c r="BF197" i="8"/>
  <c r="BF195" i="8"/>
  <c r="J233" i="3"/>
  <c r="J231" i="3"/>
  <c r="J232" i="3"/>
  <c r="B193" i="3"/>
  <c r="J218" i="3"/>
  <c r="J217" i="3"/>
  <c r="J216" i="3"/>
  <c r="J205" i="3"/>
  <c r="J206" i="3"/>
  <c r="J207" i="3"/>
  <c r="J208" i="3"/>
  <c r="J209" i="3"/>
  <c r="J210" i="3"/>
  <c r="J211" i="3"/>
  <c r="J212" i="3"/>
  <c r="J213" i="3"/>
  <c r="J214" i="3"/>
  <c r="J215" i="3"/>
  <c r="J204" i="3"/>
  <c r="J203" i="3"/>
  <c r="J202" i="3"/>
  <c r="J201" i="3"/>
  <c r="J200" i="3"/>
  <c r="J199" i="3"/>
  <c r="J198" i="3"/>
  <c r="J197" i="3"/>
  <c r="J196" i="3"/>
  <c r="J195" i="3"/>
  <c r="B81" i="3"/>
  <c r="G31" i="109"/>
  <c r="X16" i="154" s="1"/>
  <c r="G30" i="109"/>
  <c r="A4" i="222"/>
  <c r="AX1" i="8"/>
  <c r="B197" i="8"/>
  <c r="B196" i="8"/>
  <c r="B195" i="8"/>
  <c r="G9" i="153"/>
  <c r="AH9" i="152"/>
  <c r="AH8" i="152"/>
  <c r="Y25" i="109"/>
  <c r="AF11" i="225"/>
  <c r="Z16" i="109"/>
  <c r="AA16" i="109"/>
  <c r="AB16" i="109"/>
  <c r="AC16" i="109"/>
  <c r="AD16" i="109"/>
  <c r="AE16" i="109"/>
  <c r="AF16" i="109"/>
  <c r="AG16" i="109"/>
  <c r="Y16" i="109"/>
  <c r="B87" i="3"/>
  <c r="D7" i="109"/>
  <c r="D5" i="109"/>
  <c r="I57" i="8"/>
  <c r="AA15" i="109"/>
  <c r="Z15" i="109"/>
  <c r="Y15" i="109"/>
  <c r="AC14" i="109"/>
  <c r="AB14" i="109"/>
  <c r="AA14" i="109"/>
  <c r="Z14" i="109"/>
  <c r="Y14" i="109"/>
  <c r="AE13" i="109"/>
  <c r="AD13" i="109"/>
  <c r="AB13" i="109"/>
  <c r="AA13" i="109"/>
  <c r="Z13" i="109"/>
  <c r="Y13" i="109"/>
  <c r="AE12" i="109"/>
  <c r="AD12" i="109"/>
  <c r="AC12" i="109"/>
  <c r="AB12" i="109"/>
  <c r="Z12" i="109"/>
  <c r="Y12" i="109"/>
  <c r="AC15" i="109"/>
  <c r="AB15" i="109"/>
  <c r="B93" i="3"/>
  <c r="A9" i="151"/>
  <c r="P20" i="14"/>
  <c r="F9" i="14"/>
  <c r="AN54" i="156"/>
  <c r="G9" i="154"/>
  <c r="AI19" i="156"/>
  <c r="K35" i="154"/>
  <c r="A9" i="148"/>
  <c r="A9" i="147"/>
  <c r="A9" i="166"/>
  <c r="A4" i="152"/>
  <c r="X9" i="81"/>
  <c r="F9" i="156"/>
  <c r="K48" i="154"/>
  <c r="K34" i="154"/>
  <c r="K17" i="154"/>
  <c r="K74" i="154"/>
  <c r="B173" i="3"/>
  <c r="G9" i="144"/>
  <c r="J1" i="8"/>
  <c r="F1" i="8"/>
  <c r="BS59" i="14"/>
  <c r="G8" i="3"/>
  <c r="B225" i="3"/>
  <c r="B148" i="3"/>
  <c r="B128" i="3"/>
  <c r="AG15" i="109"/>
  <c r="AG14" i="109"/>
  <c r="AD14" i="109"/>
  <c r="AD15" i="109"/>
  <c r="AF15" i="109"/>
  <c r="AF14" i="109"/>
  <c r="AE15" i="109"/>
  <c r="AE14" i="109"/>
  <c r="CW2" i="226"/>
  <c r="CV2" i="226"/>
  <c r="AH41" i="156"/>
  <c r="AD41" i="156"/>
  <c r="AL41" i="156"/>
  <c r="Z41" i="156"/>
  <c r="T4" i="230"/>
  <c r="T4" i="154"/>
  <c r="T4" i="153"/>
  <c r="U4" i="223"/>
  <c r="U4" i="168"/>
  <c r="U4" i="13"/>
  <c r="U4" i="224"/>
  <c r="U4" i="176"/>
  <c r="T4" i="148"/>
  <c r="T4" i="166"/>
  <c r="T4" i="81"/>
  <c r="U4" i="175"/>
  <c r="FR2" i="226"/>
  <c r="T4" i="14"/>
  <c r="T4" i="147"/>
  <c r="T4" i="207"/>
  <c r="T4" i="180"/>
  <c r="T4" i="221"/>
  <c r="T4" i="144"/>
  <c r="L24" i="81"/>
  <c r="T4" i="156"/>
  <c r="T4" i="151"/>
  <c r="U4" i="167"/>
  <c r="T4" i="228"/>
  <c r="U4" i="169"/>
  <c r="U4" i="170"/>
  <c r="U4" i="171"/>
  <c r="B242" i="3"/>
  <c r="B156" i="3"/>
  <c r="H242" i="3"/>
  <c r="H106" i="3"/>
  <c r="H249" i="3"/>
  <c r="H239" i="3"/>
  <c r="B247" i="3"/>
  <c r="B206" i="3"/>
  <c r="H231" i="3"/>
  <c r="H95" i="3"/>
  <c r="H104" i="3"/>
  <c r="H243" i="3"/>
  <c r="B157" i="3"/>
  <c r="B145" i="3"/>
  <c r="H132" i="3"/>
  <c r="B150" i="3"/>
  <c r="H181" i="3"/>
  <c r="B219" i="3"/>
  <c r="H125" i="3"/>
  <c r="H142" i="3"/>
  <c r="B124" i="3"/>
  <c r="B207" i="3"/>
  <c r="H186" i="3"/>
  <c r="B189" i="3"/>
  <c r="B203" i="3"/>
  <c r="B149" i="3"/>
  <c r="H82" i="3"/>
  <c r="H180" i="3"/>
  <c r="H160" i="3"/>
  <c r="B101" i="3"/>
  <c r="H135" i="3"/>
  <c r="H98" i="3"/>
  <c r="B99" i="3"/>
  <c r="B188" i="3"/>
  <c r="H97" i="3"/>
  <c r="B121" i="3"/>
  <c r="B89" i="3"/>
  <c r="H102" i="3"/>
  <c r="B187" i="3"/>
  <c r="B249" i="3"/>
  <c r="H129" i="3"/>
  <c r="B109" i="3"/>
  <c r="B159" i="3"/>
  <c r="B195" i="3"/>
  <c r="H117" i="3"/>
  <c r="B232" i="3"/>
  <c r="H111" i="3"/>
  <c r="B155" i="3"/>
  <c r="H121" i="3"/>
  <c r="B151" i="3"/>
  <c r="B152" i="3"/>
  <c r="B103" i="3"/>
  <c r="B210" i="3"/>
  <c r="B180" i="3"/>
  <c r="H101" i="3"/>
  <c r="H88" i="3"/>
  <c r="B115" i="3"/>
  <c r="B221" i="3"/>
  <c r="B201" i="3"/>
  <c r="B185" i="3"/>
  <c r="B137" i="3"/>
  <c r="H165" i="3"/>
  <c r="H247" i="3"/>
  <c r="B140" i="3"/>
  <c r="H184" i="3"/>
  <c r="H154" i="3"/>
  <c r="H107" i="3"/>
  <c r="B213" i="3"/>
  <c r="H150" i="3"/>
  <c r="H218" i="3"/>
  <c r="B123" i="3"/>
  <c r="H105" i="3"/>
  <c r="B216" i="3"/>
  <c r="H220" i="3"/>
  <c r="H120" i="3"/>
  <c r="B136" i="3"/>
  <c r="H156" i="3"/>
  <c r="H134" i="3"/>
  <c r="H108" i="3"/>
  <c r="B239" i="3"/>
  <c r="H183" i="3"/>
  <c r="H89" i="3"/>
  <c r="H200" i="3"/>
  <c r="H159" i="3"/>
  <c r="B244" i="3"/>
  <c r="H221" i="3"/>
  <c r="H110" i="3"/>
  <c r="H137" i="3"/>
  <c r="H244" i="3"/>
  <c r="B214" i="3"/>
  <c r="H163" i="3"/>
  <c r="H139" i="3"/>
  <c r="B118" i="3"/>
  <c r="H112" i="3"/>
  <c r="B162" i="3"/>
  <c r="B83" i="3"/>
  <c r="H130" i="3"/>
  <c r="B153" i="3"/>
  <c r="B132" i="3"/>
  <c r="B183" i="3"/>
  <c r="B130" i="3"/>
  <c r="B250" i="3"/>
  <c r="H113" i="3"/>
  <c r="H185" i="3"/>
  <c r="H240" i="3"/>
  <c r="B106" i="3"/>
  <c r="B182" i="3"/>
  <c r="B220" i="3"/>
  <c r="H246" i="3"/>
  <c r="H123" i="3"/>
  <c r="B217" i="3"/>
  <c r="B243" i="3"/>
  <c r="B231" i="3"/>
  <c r="B204" i="3"/>
  <c r="H144" i="3"/>
  <c r="B114" i="3"/>
  <c r="B205" i="3"/>
  <c r="H161" i="3"/>
  <c r="H238" i="3"/>
  <c r="B200" i="3"/>
  <c r="H118" i="3"/>
  <c r="H124" i="3"/>
  <c r="H158" i="3"/>
  <c r="B134" i="3"/>
  <c r="H140" i="3"/>
  <c r="H245" i="3"/>
  <c r="H141" i="3"/>
  <c r="H155" i="3"/>
  <c r="B199" i="3"/>
  <c r="B238" i="3"/>
  <c r="B97" i="3"/>
  <c r="H232" i="3"/>
  <c r="H178" i="3"/>
  <c r="B102" i="3"/>
  <c r="B215" i="3"/>
  <c r="B208" i="3"/>
  <c r="H149" i="3"/>
  <c r="H189" i="3"/>
  <c r="H143" i="3"/>
  <c r="H99" i="3"/>
  <c r="B94" i="3"/>
  <c r="B90" i="3"/>
  <c r="B107" i="3"/>
  <c r="B245" i="3"/>
  <c r="H250" i="3"/>
  <c r="H164" i="3"/>
  <c r="B211" i="3"/>
  <c r="B154" i="3"/>
  <c r="B175" i="3"/>
  <c r="H233" i="3"/>
  <c r="B160" i="3"/>
  <c r="B113" i="3"/>
  <c r="B209" i="3"/>
  <c r="B84" i="3"/>
  <c r="H131" i="3"/>
  <c r="B179" i="3"/>
  <c r="B184" i="3"/>
  <c r="B197" i="3"/>
  <c r="H162" i="3"/>
  <c r="H217" i="3"/>
  <c r="H83" i="3"/>
  <c r="B139" i="3"/>
  <c r="B104" i="3"/>
  <c r="H114" i="3"/>
  <c r="B181" i="3"/>
  <c r="B133" i="3"/>
  <c r="H145" i="3"/>
  <c r="B177" i="3"/>
  <c r="B105" i="3"/>
  <c r="B129" i="3"/>
  <c r="B120" i="3"/>
  <c r="B110" i="3"/>
  <c r="H174" i="3"/>
  <c r="B131" i="3"/>
  <c r="B164" i="3"/>
  <c r="B96" i="3"/>
  <c r="H153" i="3"/>
  <c r="B165" i="3"/>
  <c r="B116" i="3"/>
  <c r="H205" i="3"/>
  <c r="H195" i="3"/>
  <c r="B246" i="3"/>
  <c r="H94" i="3"/>
  <c r="B122" i="3"/>
  <c r="H116" i="3"/>
  <c r="B202" i="3"/>
  <c r="H187" i="3"/>
  <c r="H219" i="3"/>
  <c r="B98" i="3"/>
  <c r="B186" i="3"/>
  <c r="H90" i="3"/>
  <c r="B141" i="3"/>
  <c r="H179" i="3"/>
  <c r="B111" i="3"/>
  <c r="B248" i="3"/>
  <c r="B117" i="3"/>
  <c r="H188" i="3"/>
  <c r="H100" i="3"/>
  <c r="H136" i="3"/>
  <c r="B100" i="3"/>
  <c r="H216" i="3"/>
  <c r="B108" i="3"/>
  <c r="H122" i="3"/>
  <c r="B143" i="3"/>
  <c r="H133" i="3"/>
  <c r="H84" i="3"/>
  <c r="B212" i="3"/>
  <c r="B112" i="3"/>
  <c r="H182" i="3"/>
  <c r="H177" i="3"/>
  <c r="B158" i="3"/>
  <c r="B178" i="3"/>
  <c r="H151" i="3"/>
  <c r="H152" i="3"/>
  <c r="B135" i="3"/>
  <c r="B142" i="3"/>
  <c r="B176" i="3"/>
  <c r="H138" i="3"/>
  <c r="B174" i="3"/>
  <c r="B144" i="3"/>
  <c r="B218" i="3"/>
  <c r="B88" i="3"/>
  <c r="B95" i="3"/>
  <c r="H175" i="3"/>
  <c r="B240" i="3"/>
  <c r="B194" i="3"/>
  <c r="H248" i="3"/>
  <c r="H241" i="3"/>
  <c r="B198" i="3"/>
  <c r="B196" i="3"/>
  <c r="H96" i="3"/>
  <c r="B233" i="3"/>
  <c r="B241" i="3"/>
  <c r="B161" i="3"/>
  <c r="B163" i="3"/>
  <c r="B125" i="3"/>
  <c r="H103" i="3"/>
  <c r="H157" i="3"/>
  <c r="H115" i="3"/>
  <c r="B82" i="3"/>
  <c r="B138" i="3"/>
  <c r="H109" i="3"/>
  <c r="H176" i="3"/>
  <c r="H194" i="3"/>
  <c r="CU20" i="167" l="1"/>
  <c r="BV20" i="167" s="1"/>
  <c r="JF2" i="226"/>
  <c r="V104" i="228"/>
  <c r="IZ2" i="226"/>
  <c r="V105" i="228"/>
  <c r="R42" i="228"/>
  <c r="FS2" i="226"/>
  <c r="HX2" i="226"/>
  <c r="AG12" i="109"/>
  <c r="L62" i="81"/>
  <c r="AI35" i="81"/>
  <c r="S66" i="81"/>
  <c r="AG35" i="81"/>
  <c r="L42" i="81"/>
  <c r="HN2" i="226"/>
  <c r="AJ98" i="228"/>
  <c r="L38" i="81"/>
  <c r="AC98" i="228"/>
  <c r="CP18" i="167"/>
  <c r="G241" i="3"/>
  <c r="D241" i="3" s="1"/>
  <c r="G240" i="3"/>
  <c r="D240" i="3" s="1"/>
  <c r="G239" i="3"/>
  <c r="D239" i="3" s="1"/>
  <c r="G242" i="3"/>
  <c r="D242" i="3" s="1"/>
  <c r="G243" i="3"/>
  <c r="D243" i="3" s="1"/>
  <c r="G244" i="3"/>
  <c r="D244" i="3" s="1"/>
  <c r="G245" i="3"/>
  <c r="D245" i="3" s="1"/>
  <c r="G250" i="3"/>
  <c r="D250" i="3" s="1"/>
  <c r="LL2" i="226"/>
  <c r="CI30" i="168"/>
  <c r="BF30" i="168"/>
  <c r="BK30" i="168"/>
  <c r="BN30" i="168"/>
  <c r="BF32" i="175"/>
  <c r="BK32" i="175"/>
  <c r="BN32" i="175"/>
  <c r="CT32" i="169"/>
  <c r="BF32" i="169"/>
  <c r="BK32" i="169"/>
  <c r="BN32" i="169"/>
  <c r="CF36" i="168"/>
  <c r="BK36" i="168"/>
  <c r="BF36" i="168"/>
  <c r="BN36" i="168"/>
  <c r="CT20" i="168"/>
  <c r="BK20" i="168"/>
  <c r="BF20" i="168"/>
  <c r="BN20" i="168"/>
  <c r="BF28" i="175"/>
  <c r="BK28" i="175"/>
  <c r="BN28" i="175"/>
  <c r="BK32" i="168"/>
  <c r="BF32" i="168"/>
  <c r="BN32" i="168"/>
  <c r="CY30" i="175"/>
  <c r="BK30" i="175"/>
  <c r="BN30" i="175"/>
  <c r="BF30" i="175"/>
  <c r="CI30" i="169"/>
  <c r="BN30" i="169"/>
  <c r="BF30" i="169"/>
  <c r="BK30" i="169"/>
  <c r="CI34" i="168"/>
  <c r="BF34" i="168"/>
  <c r="BK34" i="168"/>
  <c r="BN34" i="168"/>
  <c r="CE26" i="175"/>
  <c r="BK26" i="175"/>
  <c r="BF26" i="175"/>
  <c r="BN26" i="175"/>
  <c r="CT24" i="175"/>
  <c r="BF24" i="175"/>
  <c r="BK24" i="175"/>
  <c r="BN24" i="175"/>
  <c r="BF24" i="169"/>
  <c r="BK24" i="169"/>
  <c r="BN24" i="169"/>
  <c r="CX28" i="168"/>
  <c r="BK28" i="168"/>
  <c r="BF28" i="168"/>
  <c r="BN28" i="168"/>
  <c r="BF28" i="169"/>
  <c r="BK28" i="169"/>
  <c r="BN28" i="169"/>
  <c r="BK22" i="175"/>
  <c r="BN22" i="175"/>
  <c r="BF22" i="175"/>
  <c r="BN22" i="169"/>
  <c r="BF22" i="169"/>
  <c r="BK22" i="169"/>
  <c r="BF26" i="168"/>
  <c r="BK26" i="168"/>
  <c r="BN26" i="168"/>
  <c r="CI26" i="169"/>
  <c r="BN26" i="169"/>
  <c r="BK26" i="169"/>
  <c r="BF26" i="169"/>
  <c r="BF36" i="175"/>
  <c r="BK36" i="175"/>
  <c r="BN36" i="175"/>
  <c r="BF20" i="175"/>
  <c r="BK20" i="175"/>
  <c r="BN20" i="175"/>
  <c r="CE36" i="169"/>
  <c r="BF36" i="169"/>
  <c r="BK36" i="169"/>
  <c r="BN36" i="169"/>
  <c r="CH20" i="169"/>
  <c r="BF20" i="169"/>
  <c r="BK20" i="169"/>
  <c r="BN20" i="169"/>
  <c r="CX24" i="168"/>
  <c r="BK24" i="168"/>
  <c r="BF24" i="168"/>
  <c r="BN24" i="168"/>
  <c r="CW34" i="175"/>
  <c r="BK34" i="175"/>
  <c r="BN34" i="175"/>
  <c r="BF34" i="175"/>
  <c r="CF34" i="169"/>
  <c r="BN34" i="169"/>
  <c r="BF34" i="169"/>
  <c r="BK34" i="169"/>
  <c r="BF22" i="168"/>
  <c r="BK22" i="168"/>
  <c r="BN22" i="168"/>
  <c r="BF34" i="224"/>
  <c r="BK34" i="224"/>
  <c r="BN34" i="224"/>
  <c r="BF20" i="224"/>
  <c r="BK20" i="224"/>
  <c r="BN20" i="224"/>
  <c r="CI32" i="224"/>
  <c r="BF32" i="224"/>
  <c r="BK32" i="224"/>
  <c r="BN32" i="224"/>
  <c r="CY30" i="224"/>
  <c r="BF30" i="224"/>
  <c r="BK30" i="224"/>
  <c r="BN30" i="224"/>
  <c r="CX28" i="224"/>
  <c r="BF28" i="224"/>
  <c r="BK28" i="224"/>
  <c r="BN28" i="224"/>
  <c r="BF26" i="224"/>
  <c r="BK26" i="224"/>
  <c r="BN26" i="224"/>
  <c r="BF36" i="224"/>
  <c r="BK36" i="224"/>
  <c r="BN36" i="224"/>
  <c r="CI24" i="224"/>
  <c r="BF24" i="224"/>
  <c r="BK24" i="224"/>
  <c r="BN24" i="224"/>
  <c r="CY22" i="224"/>
  <c r="BF22" i="224"/>
  <c r="BK22" i="224"/>
  <c r="BN22" i="224"/>
  <c r="CI36" i="223"/>
  <c r="BK36" i="223"/>
  <c r="BN36" i="223"/>
  <c r="BF36" i="223"/>
  <c r="CX20" i="223"/>
  <c r="BK20" i="223"/>
  <c r="BN20" i="223"/>
  <c r="BF20" i="223"/>
  <c r="CI22" i="223"/>
  <c r="BF22" i="223"/>
  <c r="BK22" i="223"/>
  <c r="BN22" i="223"/>
  <c r="CY34" i="223"/>
  <c r="BF34" i="223"/>
  <c r="BK34" i="223"/>
  <c r="BN34" i="223"/>
  <c r="BK24" i="223"/>
  <c r="BN24" i="223"/>
  <c r="BF24" i="223"/>
  <c r="BK32" i="223"/>
  <c r="BN32" i="223"/>
  <c r="BF32" i="223"/>
  <c r="BF30" i="223"/>
  <c r="BK30" i="223"/>
  <c r="BN30" i="223"/>
  <c r="BK28" i="223"/>
  <c r="BN28" i="223"/>
  <c r="BF28" i="223"/>
  <c r="CE26" i="223"/>
  <c r="BF26" i="223"/>
  <c r="BK26" i="223"/>
  <c r="BN26" i="223"/>
  <c r="CE20" i="223"/>
  <c r="CY26" i="176"/>
  <c r="BF26" i="176"/>
  <c r="BK26" i="176"/>
  <c r="BN26" i="176"/>
  <c r="CI24" i="176"/>
  <c r="BF24" i="176"/>
  <c r="BK24" i="176"/>
  <c r="BN24" i="176"/>
  <c r="CF28" i="176"/>
  <c r="BF28" i="176"/>
  <c r="BK28" i="176"/>
  <c r="BN28" i="176"/>
  <c r="BK22" i="176"/>
  <c r="BN22" i="176"/>
  <c r="BF22" i="176"/>
  <c r="BF36" i="176"/>
  <c r="BK36" i="176"/>
  <c r="BN36" i="176"/>
  <c r="BF20" i="176"/>
  <c r="BK20" i="176"/>
  <c r="BN20" i="176"/>
  <c r="CE34" i="176"/>
  <c r="BK34" i="176"/>
  <c r="BN34" i="176"/>
  <c r="BF34" i="176"/>
  <c r="BF32" i="176"/>
  <c r="BK32" i="176"/>
  <c r="BN32" i="176"/>
  <c r="BK30" i="176"/>
  <c r="BN30" i="176"/>
  <c r="BF30" i="176"/>
  <c r="CI34" i="13"/>
  <c r="BF34" i="13"/>
  <c r="BK34" i="13"/>
  <c r="BN34" i="13"/>
  <c r="BF32" i="13"/>
  <c r="BK32" i="13"/>
  <c r="BN32" i="13"/>
  <c r="BF30" i="13"/>
  <c r="BK30" i="13"/>
  <c r="BN30" i="13"/>
  <c r="CI20" i="13"/>
  <c r="BF20" i="13"/>
  <c r="BK20" i="13"/>
  <c r="BN20" i="13"/>
  <c r="CX28" i="13"/>
  <c r="BF28" i="13"/>
  <c r="BK28" i="13"/>
  <c r="BN28" i="13"/>
  <c r="CI36" i="13"/>
  <c r="BF36" i="13"/>
  <c r="BK36" i="13"/>
  <c r="BN36" i="13"/>
  <c r="BF26" i="13"/>
  <c r="BK26" i="13"/>
  <c r="BN26" i="13"/>
  <c r="CT24" i="13"/>
  <c r="BF24" i="13"/>
  <c r="BK24" i="13"/>
  <c r="BN24" i="13"/>
  <c r="BF22" i="13"/>
  <c r="BK22" i="13"/>
  <c r="BN22" i="13"/>
  <c r="BF22" i="171"/>
  <c r="BN22" i="171"/>
  <c r="BK22" i="171"/>
  <c r="CW36" i="171"/>
  <c r="BN36" i="171"/>
  <c r="BK36" i="171"/>
  <c r="BF36" i="171"/>
  <c r="CI20" i="171"/>
  <c r="BN20" i="171"/>
  <c r="BF20" i="171"/>
  <c r="BK20" i="171"/>
  <c r="BF34" i="171"/>
  <c r="BK34" i="171"/>
  <c r="BN34" i="171"/>
  <c r="CE32" i="171"/>
  <c r="BN32" i="171"/>
  <c r="BF32" i="171"/>
  <c r="BK32" i="171"/>
  <c r="CX30" i="171"/>
  <c r="BF30" i="171"/>
  <c r="BN30" i="171"/>
  <c r="BK30" i="171"/>
  <c r="CE24" i="171"/>
  <c r="BN24" i="171"/>
  <c r="BF24" i="171"/>
  <c r="BK24" i="171"/>
  <c r="CY28" i="171"/>
  <c r="BN28" i="171"/>
  <c r="BF28" i="171"/>
  <c r="BK28" i="171"/>
  <c r="CE26" i="171"/>
  <c r="BF26" i="171"/>
  <c r="BN26" i="171"/>
  <c r="BK26" i="171"/>
  <c r="CT36" i="171"/>
  <c r="CX36" i="171"/>
  <c r="CH24" i="170"/>
  <c r="BK24" i="170"/>
  <c r="BN24" i="170"/>
  <c r="BF24" i="170"/>
  <c r="BF22" i="170"/>
  <c r="BK22" i="170"/>
  <c r="BN22" i="170"/>
  <c r="CT36" i="170"/>
  <c r="BK36" i="170"/>
  <c r="BN36" i="170"/>
  <c r="BF36" i="170"/>
  <c r="CF20" i="170"/>
  <c r="BK20" i="170"/>
  <c r="BN20" i="170"/>
  <c r="BF20" i="170"/>
  <c r="CT34" i="170"/>
  <c r="BF34" i="170"/>
  <c r="BK34" i="170"/>
  <c r="BN34" i="170"/>
  <c r="BF26" i="170"/>
  <c r="BN26" i="170"/>
  <c r="BK26" i="170"/>
  <c r="CE32" i="170"/>
  <c r="BK32" i="170"/>
  <c r="BN32" i="170"/>
  <c r="BF32" i="170"/>
  <c r="CE28" i="170"/>
  <c r="BK28" i="170"/>
  <c r="BN28" i="170"/>
  <c r="BF28" i="170"/>
  <c r="BN30" i="170"/>
  <c r="BF30" i="170"/>
  <c r="BK30" i="170"/>
  <c r="BF34" i="167"/>
  <c r="BK34" i="167"/>
  <c r="BN34" i="167"/>
  <c r="BF30" i="167"/>
  <c r="BK30" i="167"/>
  <c r="BN30" i="167"/>
  <c r="CW26" i="167"/>
  <c r="BF26" i="167"/>
  <c r="BK26" i="167"/>
  <c r="BN26" i="167"/>
  <c r="CW22" i="167"/>
  <c r="BF22" i="167"/>
  <c r="BK22" i="167"/>
  <c r="BN22" i="167"/>
  <c r="BF36" i="167"/>
  <c r="BK36" i="167"/>
  <c r="BN36" i="167"/>
  <c r="BK32" i="167"/>
  <c r="BN32" i="167"/>
  <c r="BF32" i="167"/>
  <c r="BF28" i="167"/>
  <c r="BK28" i="167"/>
  <c r="BN28" i="167"/>
  <c r="CY24" i="167"/>
  <c r="BF24" i="167"/>
  <c r="BK24" i="167"/>
  <c r="BN24" i="167"/>
  <c r="BF20" i="167"/>
  <c r="BK20" i="167"/>
  <c r="BN20" i="167"/>
  <c r="CF24" i="176"/>
  <c r="CT34" i="167"/>
  <c r="CE24" i="176"/>
  <c r="CF36" i="223"/>
  <c r="CH36" i="223"/>
  <c r="CF20" i="171"/>
  <c r="CT24" i="176"/>
  <c r="CH24" i="176"/>
  <c r="CY24" i="176"/>
  <c r="V103" i="228"/>
  <c r="CE18" i="168"/>
  <c r="JC2" i="226"/>
  <c r="CX34" i="168"/>
  <c r="CT34" i="168"/>
  <c r="CT22" i="167"/>
  <c r="CE26" i="176"/>
  <c r="CX34" i="167"/>
  <c r="CY34" i="167"/>
  <c r="BK18" i="168"/>
  <c r="CX26" i="167"/>
  <c r="CY30" i="167"/>
  <c r="CH22" i="223"/>
  <c r="BN18" i="168"/>
  <c r="CT30" i="167"/>
  <c r="CX24" i="176"/>
  <c r="CT36" i="223"/>
  <c r="CH32" i="224"/>
  <c r="CF32" i="224"/>
  <c r="CE32" i="224"/>
  <c r="CT32" i="224"/>
  <c r="CY32" i="224"/>
  <c r="CW32" i="224"/>
  <c r="CW26" i="176"/>
  <c r="CE34" i="224"/>
  <c r="CX26" i="176"/>
  <c r="CT22" i="223"/>
  <c r="CF22" i="223"/>
  <c r="AL67" i="207"/>
  <c r="M35" i="180"/>
  <c r="BZ67" i="207"/>
  <c r="CH18" i="168"/>
  <c r="CW24" i="176"/>
  <c r="CW34" i="167"/>
  <c r="CY36" i="223"/>
  <c r="CH34" i="13"/>
  <c r="CX36" i="223"/>
  <c r="CX22" i="167"/>
  <c r="CX32" i="224"/>
  <c r="CW36" i="223"/>
  <c r="CE32" i="223"/>
  <c r="CW28" i="168"/>
  <c r="CY20" i="170"/>
  <c r="CW36" i="170"/>
  <c r="CK20" i="170"/>
  <c r="CQ36" i="175"/>
  <c r="CK26" i="13"/>
  <c r="CK28" i="175"/>
  <c r="CK24" i="171"/>
  <c r="CK24" i="168"/>
  <c r="CK30" i="176"/>
  <c r="CQ32" i="171"/>
  <c r="CY18" i="223"/>
  <c r="CP30" i="176"/>
  <c r="CX34" i="13"/>
  <c r="CJ18" i="167"/>
  <c r="CJ28" i="170"/>
  <c r="CH32" i="170"/>
  <c r="CT36" i="169"/>
  <c r="CK20" i="168"/>
  <c r="CQ36" i="168"/>
  <c r="CP18" i="175"/>
  <c r="CT18" i="223"/>
  <c r="CH18" i="223"/>
  <c r="CE18" i="223"/>
  <c r="BN18" i="223"/>
  <c r="BK18" i="223"/>
  <c r="CF18" i="223"/>
  <c r="CG18" i="223" s="1"/>
  <c r="CJ36" i="168"/>
  <c r="CP22" i="175"/>
  <c r="BF18" i="223"/>
  <c r="CQ28" i="167"/>
  <c r="CX18" i="223"/>
  <c r="IB2" i="226"/>
  <c r="CW18" i="223"/>
  <c r="G196" i="3"/>
  <c r="D196" i="3" s="1"/>
  <c r="GM2" i="226"/>
  <c r="Z56" i="207"/>
  <c r="AE70" i="207"/>
  <c r="BR70" i="207"/>
  <c r="L47" i="81"/>
  <c r="CE20" i="13"/>
  <c r="G212" i="3"/>
  <c r="D212" i="3" s="1"/>
  <c r="BL61" i="207"/>
  <c r="CE32" i="175"/>
  <c r="G214" i="3"/>
  <c r="D214" i="3" s="1"/>
  <c r="HP2" i="226"/>
  <c r="W67" i="207"/>
  <c r="CP26" i="176"/>
  <c r="X65" i="154"/>
  <c r="S42" i="81"/>
  <c r="CX36" i="13"/>
  <c r="BZ61" i="207"/>
  <c r="G197" i="3"/>
  <c r="D197" i="3" s="1"/>
  <c r="P67" i="207"/>
  <c r="AB65" i="154"/>
  <c r="CK18" i="223"/>
  <c r="CQ24" i="13"/>
  <c r="CJ36" i="170"/>
  <c r="AG39" i="226" a="1"/>
  <c r="AG39" i="226" s="1"/>
  <c r="CX24" i="169"/>
  <c r="CH28" i="224"/>
  <c r="CX20" i="170"/>
  <c r="CT32" i="171"/>
  <c r="CY24" i="169"/>
  <c r="CE24" i="169"/>
  <c r="CH20" i="170"/>
  <c r="CP30" i="169"/>
  <c r="CW24" i="169"/>
  <c r="CW20" i="170"/>
  <c r="CH32" i="171"/>
  <c r="CT24" i="169"/>
  <c r="CI24" i="169"/>
  <c r="CH28" i="168"/>
  <c r="CI20" i="170"/>
  <c r="CT20" i="170"/>
  <c r="CJ36" i="167"/>
  <c r="CP20" i="175"/>
  <c r="CX32" i="171"/>
  <c r="CJ32" i="223"/>
  <c r="CJ26" i="13"/>
  <c r="CH24" i="169"/>
  <c r="CF28" i="168"/>
  <c r="CE36" i="170"/>
  <c r="CE20" i="170"/>
  <c r="CJ36" i="175"/>
  <c r="CE28" i="168"/>
  <c r="CP28" i="175"/>
  <c r="CP18" i="223"/>
  <c r="CF24" i="169"/>
  <c r="CX36" i="170"/>
  <c r="CI32" i="170"/>
  <c r="CF24" i="13"/>
  <c r="AH52" i="156"/>
  <c r="CT32" i="170"/>
  <c r="CW28" i="171"/>
  <c r="CH24" i="13"/>
  <c r="CF36" i="175"/>
  <c r="CI28" i="171"/>
  <c r="CY36" i="175"/>
  <c r="CF20" i="175"/>
  <c r="CX28" i="223"/>
  <c r="CX20" i="175"/>
  <c r="CI28" i="223"/>
  <c r="CJ28" i="169"/>
  <c r="CI20" i="175"/>
  <c r="CF36" i="169"/>
  <c r="CK34" i="169"/>
  <c r="CK24" i="170"/>
  <c r="L35" i="81"/>
  <c r="CK20" i="223"/>
  <c r="CF32" i="170"/>
  <c r="CE20" i="175"/>
  <c r="CW24" i="13"/>
  <c r="CH32" i="176"/>
  <c r="CY36" i="169"/>
  <c r="CF28" i="171"/>
  <c r="CI24" i="168"/>
  <c r="CF20" i="169"/>
  <c r="AH51" i="156"/>
  <c r="CK32" i="13"/>
  <c r="CJ18" i="224"/>
  <c r="CW20" i="169"/>
  <c r="CF24" i="224"/>
  <c r="CT20" i="175"/>
  <c r="CY24" i="13"/>
  <c r="CT28" i="171"/>
  <c r="CW36" i="169"/>
  <c r="CH28" i="171"/>
  <c r="CE28" i="223"/>
  <c r="CX18" i="170"/>
  <c r="CP18" i="13"/>
  <c r="CY20" i="169"/>
  <c r="CY24" i="224"/>
  <c r="CX24" i="13"/>
  <c r="CE28" i="171"/>
  <c r="CH28" i="223"/>
  <c r="CX20" i="169"/>
  <c r="AM19" i="154"/>
  <c r="CQ36" i="169"/>
  <c r="CF28" i="223"/>
  <c r="CW32" i="170"/>
  <c r="CY20" i="175"/>
  <c r="CE24" i="13"/>
  <c r="CX36" i="169"/>
  <c r="CX28" i="171"/>
  <c r="CT28" i="223"/>
  <c r="CI20" i="169"/>
  <c r="CX32" i="170"/>
  <c r="CW24" i="224"/>
  <c r="CW20" i="175"/>
  <c r="CH36" i="169"/>
  <c r="CI24" i="13"/>
  <c r="CI36" i="169"/>
  <c r="CK20" i="169"/>
  <c r="CE20" i="169"/>
  <c r="CQ30" i="223"/>
  <c r="CP20" i="169"/>
  <c r="CY32" i="170"/>
  <c r="CJ32" i="168"/>
  <c r="CT20" i="169"/>
  <c r="CQ26" i="170"/>
  <c r="CQ28" i="168"/>
  <c r="CK28" i="168"/>
  <c r="CP24" i="170"/>
  <c r="CJ24" i="170"/>
  <c r="CP36" i="171"/>
  <c r="CJ36" i="171"/>
  <c r="CT18" i="170"/>
  <c r="CQ30" i="170"/>
  <c r="CK30" i="170"/>
  <c r="CJ34" i="169"/>
  <c r="CP34" i="169"/>
  <c r="CP34" i="176"/>
  <c r="CJ34" i="176"/>
  <c r="CJ22" i="224"/>
  <c r="CP22" i="224"/>
  <c r="CJ20" i="171"/>
  <c r="CP20" i="223"/>
  <c r="CJ28" i="223"/>
  <c r="CP28" i="171"/>
  <c r="CW34" i="176"/>
  <c r="CF34" i="176"/>
  <c r="CW28" i="167"/>
  <c r="JE2" i="226"/>
  <c r="L63" i="81"/>
  <c r="AC26" i="228"/>
  <c r="CQ32" i="170"/>
  <c r="CK32" i="170"/>
  <c r="CJ30" i="223"/>
  <c r="CP30" i="223"/>
  <c r="CP24" i="224"/>
  <c r="CJ24" i="224"/>
  <c r="Q35" i="81"/>
  <c r="AG45" i="226" a="1"/>
  <c r="AG45" i="226" s="1"/>
  <c r="CI22" i="170"/>
  <c r="AO67" i="207"/>
  <c r="AE73" i="207"/>
  <c r="G201" i="3"/>
  <c r="D201" i="3" s="1"/>
  <c r="AK70" i="207"/>
  <c r="G221" i="3"/>
  <c r="D221" i="3" s="1"/>
  <c r="CJ18" i="176"/>
  <c r="BS67" i="207"/>
  <c r="BR73" i="207"/>
  <c r="CJ67" i="207"/>
  <c r="K73" i="154"/>
  <c r="K72" i="154"/>
  <c r="JX2" i="226"/>
  <c r="CX32" i="175"/>
  <c r="CX30" i="170"/>
  <c r="CQ28" i="224"/>
  <c r="AK73" i="207"/>
  <c r="Z67" i="207"/>
  <c r="P61" i="207"/>
  <c r="G215" i="3"/>
  <c r="D215" i="3" s="1"/>
  <c r="CY30" i="170"/>
  <c r="CF70" i="207"/>
  <c r="CI76" i="207"/>
  <c r="CF73" i="207"/>
  <c r="AE64" i="207"/>
  <c r="BZ70" i="207"/>
  <c r="CW30" i="170"/>
  <c r="CT20" i="13"/>
  <c r="CW20" i="13"/>
  <c r="AE61" i="207"/>
  <c r="CJ20" i="13"/>
  <c r="CQ18" i="170"/>
  <c r="BL64" i="207"/>
  <c r="V58" i="154"/>
  <c r="BN18" i="169"/>
  <c r="CF36" i="13"/>
  <c r="CF20" i="13"/>
  <c r="CX20" i="13"/>
  <c r="P64" i="207"/>
  <c r="G208" i="3"/>
  <c r="D208" i="3" s="1"/>
  <c r="P73" i="207"/>
  <c r="G211" i="3"/>
  <c r="D211" i="3" s="1"/>
  <c r="G210" i="3"/>
  <c r="D210" i="3" s="1"/>
  <c r="V70" i="207"/>
  <c r="AG50" i="81" s="1"/>
  <c r="BZ76" i="207"/>
  <c r="M48" i="180"/>
  <c r="P70" i="207"/>
  <c r="G219" i="3"/>
  <c r="D219" i="3" s="1"/>
  <c r="G206" i="3"/>
  <c r="D206" i="3" s="1"/>
  <c r="G198" i="3"/>
  <c r="D198" i="3" s="1"/>
  <c r="CP24" i="169"/>
  <c r="G220" i="3"/>
  <c r="D220" i="3" s="1"/>
  <c r="BV67" i="207"/>
  <c r="JJ2" i="226"/>
  <c r="BL70" i="207"/>
  <c r="S72" i="154"/>
  <c r="CT36" i="13"/>
  <c r="CY20" i="13"/>
  <c r="CK34" i="223"/>
  <c r="G209" i="3"/>
  <c r="D209" i="3" s="1"/>
  <c r="AE67" i="207"/>
  <c r="G207" i="3"/>
  <c r="D207" i="3" s="1"/>
  <c r="G199" i="3"/>
  <c r="D199" i="3" s="1"/>
  <c r="CG67" i="207"/>
  <c r="BZ64" i="207"/>
  <c r="CH36" i="13"/>
  <c r="CP26" i="167"/>
  <c r="G213" i="3"/>
  <c r="D213" i="3" s="1"/>
  <c r="CP34" i="223"/>
  <c r="G204" i="3"/>
  <c r="D204" i="3" s="1"/>
  <c r="BL73" i="207"/>
  <c r="BL76" i="207"/>
  <c r="BL67" i="207"/>
  <c r="G203" i="3"/>
  <c r="D203" i="3" s="1"/>
  <c r="G202" i="3"/>
  <c r="D202" i="3" s="1"/>
  <c r="V73" i="207"/>
  <c r="G200" i="3"/>
  <c r="D200" i="3" s="1"/>
  <c r="G195" i="3"/>
  <c r="D195" i="3" s="1"/>
  <c r="BU76" i="207"/>
  <c r="CG76" i="207"/>
  <c r="BZ73" i="207"/>
  <c r="K58" i="154"/>
  <c r="CH20" i="13"/>
  <c r="CW36" i="13"/>
  <c r="CI22" i="168"/>
  <c r="CX22" i="168"/>
  <c r="CT22" i="168"/>
  <c r="CQ34" i="167"/>
  <c r="CK34" i="167"/>
  <c r="CQ30" i="167"/>
  <c r="CK30" i="167"/>
  <c r="CQ18" i="167"/>
  <c r="CK18" i="167"/>
  <c r="IY2" i="226"/>
  <c r="AH50" i="156"/>
  <c r="L61" i="81"/>
  <c r="CE22" i="224"/>
  <c r="CF30" i="176"/>
  <c r="CW30" i="176"/>
  <c r="CX34" i="175"/>
  <c r="CT34" i="175"/>
  <c r="BN18" i="175"/>
  <c r="BK18" i="175"/>
  <c r="CW18" i="175"/>
  <c r="BF18" i="175"/>
  <c r="CI18" i="175"/>
  <c r="CT26" i="171"/>
  <c r="CX26" i="171"/>
  <c r="CI26" i="171"/>
  <c r="CY26" i="171"/>
  <c r="CW26" i="171"/>
  <c r="CF26" i="171"/>
  <c r="CT30" i="170"/>
  <c r="CE30" i="170"/>
  <c r="CI30" i="170"/>
  <c r="CX18" i="175"/>
  <c r="CH26" i="171"/>
  <c r="CK26" i="167"/>
  <c r="CQ18" i="176"/>
  <c r="CK18" i="176"/>
  <c r="CQ34" i="168"/>
  <c r="CK34" i="168"/>
  <c r="CJ32" i="169"/>
  <c r="CP32" i="169"/>
  <c r="CP28" i="168"/>
  <c r="CJ28" i="168"/>
  <c r="CQ32" i="176"/>
  <c r="CK32" i="176"/>
  <c r="CH30" i="170"/>
  <c r="CF18" i="175"/>
  <c r="CQ18" i="171"/>
  <c r="CK18" i="171"/>
  <c r="CU30" i="176"/>
  <c r="CK36" i="13"/>
  <c r="CY18" i="175"/>
  <c r="CF30" i="170"/>
  <c r="CT18" i="175"/>
  <c r="K50" i="154"/>
  <c r="CU28" i="168"/>
  <c r="CK22" i="13"/>
  <c r="CQ22" i="13"/>
  <c r="CF30" i="223"/>
  <c r="CY34" i="176"/>
  <c r="CX34" i="176"/>
  <c r="CH34" i="176"/>
  <c r="CI26" i="13"/>
  <c r="CE26" i="13"/>
  <c r="CW26" i="13"/>
  <c r="CY30" i="171"/>
  <c r="CW30" i="171"/>
  <c r="CE30" i="171"/>
  <c r="CW34" i="170"/>
  <c r="CE34" i="170"/>
  <c r="CX34" i="170"/>
  <c r="CH34" i="170"/>
  <c r="CF34" i="170"/>
  <c r="BN18" i="170"/>
  <c r="CW18" i="170"/>
  <c r="CY18" i="170"/>
  <c r="CE22" i="169"/>
  <c r="CF22" i="169"/>
  <c r="CH26" i="168"/>
  <c r="CT26" i="168"/>
  <c r="CE26" i="168"/>
  <c r="CW32" i="167"/>
  <c r="CX32" i="167" s="1"/>
  <c r="CY32" i="167" s="1"/>
  <c r="CX24" i="167"/>
  <c r="CT24" i="167"/>
  <c r="CQ30" i="224"/>
  <c r="CK30" i="224"/>
  <c r="CQ22" i="169"/>
  <c r="CU34" i="167"/>
  <c r="U21" i="3"/>
  <c r="U20" i="3"/>
  <c r="CY34" i="170"/>
  <c r="CW18" i="176"/>
  <c r="CH30" i="171"/>
  <c r="BK18" i="170"/>
  <c r="CX22" i="169"/>
  <c r="CX36" i="167"/>
  <c r="CW26" i="168"/>
  <c r="CX28" i="167"/>
  <c r="CY22" i="169"/>
  <c r="CW32" i="176"/>
  <c r="CI18" i="176"/>
  <c r="CH18" i="170"/>
  <c r="BF18" i="170"/>
  <c r="CF18" i="170"/>
  <c r="CG18" i="170" s="1"/>
  <c r="CF26" i="13"/>
  <c r="CX26" i="168"/>
  <c r="CI26" i="168"/>
  <c r="CT22" i="169"/>
  <c r="CW22" i="169"/>
  <c r="CI32" i="176"/>
  <c r="CI34" i="170"/>
  <c r="CF30" i="171"/>
  <c r="CT18" i="176"/>
  <c r="CT26" i="13"/>
  <c r="CY26" i="168"/>
  <c r="CT32" i="167"/>
  <c r="CH22" i="169"/>
  <c r="CI22" i="169"/>
  <c r="CT30" i="171"/>
  <c r="CF26" i="168"/>
  <c r="CI30" i="171"/>
  <c r="CE18" i="170"/>
  <c r="CK30" i="175"/>
  <c r="CE30" i="223"/>
  <c r="CH30" i="168"/>
  <c r="CU18" i="13"/>
  <c r="CU26" i="168"/>
  <c r="CU24" i="175"/>
  <c r="CU18" i="168"/>
  <c r="CI30" i="223"/>
  <c r="CF30" i="168"/>
  <c r="CQ36" i="167"/>
  <c r="CU22" i="224"/>
  <c r="CX30" i="168"/>
  <c r="CP28" i="176"/>
  <c r="CP34" i="175"/>
  <c r="CP22" i="171"/>
  <c r="CQ24" i="167"/>
  <c r="CY30" i="168"/>
  <c r="CK26" i="168"/>
  <c r="CW30" i="168"/>
  <c r="CK32" i="169"/>
  <c r="CQ22" i="170"/>
  <c r="CE30" i="168"/>
  <c r="CU20" i="224"/>
  <c r="CU32" i="169"/>
  <c r="CK24" i="224"/>
  <c r="CT30" i="168"/>
  <c r="CU28" i="175"/>
  <c r="CU32" i="168"/>
  <c r="CW24" i="168"/>
  <c r="CY18" i="169"/>
  <c r="CT26" i="224"/>
  <c r="CE34" i="13"/>
  <c r="CF34" i="13"/>
  <c r="CT34" i="13"/>
  <c r="CT26" i="170"/>
  <c r="CH20" i="171"/>
  <c r="CP22" i="167"/>
  <c r="CY34" i="13"/>
  <c r="CW34" i="168"/>
  <c r="CI36" i="171"/>
  <c r="CI26" i="170"/>
  <c r="CK20" i="176"/>
  <c r="CP24" i="223"/>
  <c r="CU26" i="176"/>
  <c r="CY34" i="169"/>
  <c r="CY26" i="224"/>
  <c r="CE30" i="175"/>
  <c r="L65" i="81"/>
  <c r="L19" i="81"/>
  <c r="CE20" i="171"/>
  <c r="CH36" i="171"/>
  <c r="CF22" i="176"/>
  <c r="CU18" i="223"/>
  <c r="CY20" i="171"/>
  <c r="CX26" i="175"/>
  <c r="CW28" i="170"/>
  <c r="K52" i="154"/>
  <c r="CT24" i="168"/>
  <c r="CW30" i="175"/>
  <c r="CY26" i="170"/>
  <c r="CW26" i="170"/>
  <c r="L64" i="81"/>
  <c r="GQ2" i="226"/>
  <c r="D230" i="3"/>
  <c r="CT20" i="171"/>
  <c r="CE36" i="171"/>
  <c r="CW20" i="171"/>
  <c r="CY26" i="175"/>
  <c r="CX28" i="170"/>
  <c r="L25" i="81"/>
  <c r="CQ34" i="170"/>
  <c r="CH34" i="169"/>
  <c r="CH36" i="176"/>
  <c r="CF24" i="168"/>
  <c r="CY30" i="169"/>
  <c r="CE26" i="170"/>
  <c r="CE30" i="169"/>
  <c r="CW30" i="169"/>
  <c r="CT30" i="169"/>
  <c r="GO2" i="226"/>
  <c r="CH28" i="170"/>
  <c r="CX20" i="171"/>
  <c r="CX26" i="170"/>
  <c r="D81" i="3"/>
  <c r="CU24" i="170"/>
  <c r="CJ20" i="170"/>
  <c r="CT18" i="169"/>
  <c r="CW36" i="176"/>
  <c r="CY34" i="168"/>
  <c r="CF26" i="170"/>
  <c r="CH26" i="170"/>
  <c r="AC26" i="221"/>
  <c r="CH30" i="169"/>
  <c r="CF34" i="168"/>
  <c r="CT30" i="224"/>
  <c r="CH30" i="224"/>
  <c r="CY36" i="171"/>
  <c r="CK34" i="171"/>
  <c r="CU30" i="223"/>
  <c r="CP30" i="13"/>
  <c r="CH18" i="169"/>
  <c r="CF30" i="175"/>
  <c r="CX30" i="169"/>
  <c r="CH34" i="168"/>
  <c r="AC41" i="207"/>
  <c r="AC26" i="156"/>
  <c r="CF30" i="169"/>
  <c r="CF36" i="171"/>
  <c r="CU30" i="170"/>
  <c r="CW34" i="13"/>
  <c r="M43" i="230"/>
  <c r="CK28" i="171"/>
  <c r="CQ28" i="171"/>
  <c r="CQ20" i="171"/>
  <c r="CU20" i="171"/>
  <c r="CP32" i="13"/>
  <c r="CJ32" i="13"/>
  <c r="CU32" i="13"/>
  <c r="CP24" i="13"/>
  <c r="CJ24" i="13"/>
  <c r="CQ34" i="175"/>
  <c r="CK34" i="175"/>
  <c r="CK26" i="175"/>
  <c r="CQ26" i="175"/>
  <c r="CQ36" i="176"/>
  <c r="CK36" i="176"/>
  <c r="CJ28" i="224"/>
  <c r="CU28" i="224"/>
  <c r="CP28" i="224"/>
  <c r="CL34" i="168"/>
  <c r="CU34" i="168"/>
  <c r="CK20" i="171"/>
  <c r="CI20" i="176"/>
  <c r="CE20" i="176"/>
  <c r="CX20" i="176"/>
  <c r="CT20" i="176"/>
  <c r="CW20" i="176"/>
  <c r="CF20" i="176"/>
  <c r="CY20" i="176"/>
  <c r="CH20" i="176"/>
  <c r="CE24" i="175"/>
  <c r="CF24" i="175"/>
  <c r="CW24" i="175"/>
  <c r="CY24" i="175"/>
  <c r="CT28" i="13"/>
  <c r="CE28" i="13"/>
  <c r="CF28" i="13"/>
  <c r="CY28" i="13"/>
  <c r="CI28" i="13"/>
  <c r="CY34" i="171"/>
  <c r="CX24" i="170"/>
  <c r="CW24" i="170"/>
  <c r="CT24" i="170"/>
  <c r="CT28" i="169"/>
  <c r="CW32" i="168"/>
  <c r="GJ2" i="226"/>
  <c r="AA12" i="109"/>
  <c r="L41" i="81"/>
  <c r="C148" i="109"/>
  <c r="M39" i="230"/>
  <c r="CL20" i="175"/>
  <c r="CU20" i="175"/>
  <c r="CT36" i="224"/>
  <c r="CE36" i="224"/>
  <c r="CY36" i="224"/>
  <c r="CI36" i="224"/>
  <c r="CW36" i="224"/>
  <c r="CF36" i="224"/>
  <c r="CX36" i="224"/>
  <c r="CH36" i="224"/>
  <c r="CU28" i="170"/>
  <c r="CQ28" i="170"/>
  <c r="CK28" i="170"/>
  <c r="CJ20" i="224"/>
  <c r="CQ32" i="168"/>
  <c r="CK32" i="168"/>
  <c r="CP20" i="224"/>
  <c r="CJ22" i="176"/>
  <c r="CP22" i="176"/>
  <c r="CQ32" i="223"/>
  <c r="CK32" i="223"/>
  <c r="CQ24" i="223"/>
  <c r="CK24" i="223"/>
  <c r="CU24" i="223"/>
  <c r="CJ36" i="224"/>
  <c r="CP36" i="224"/>
  <c r="CQ20" i="224"/>
  <c r="CK20" i="224"/>
  <c r="CQ20" i="167"/>
  <c r="O17" i="3"/>
  <c r="CO18" i="176"/>
  <c r="CL18" i="176" s="1"/>
  <c r="CW22" i="224"/>
  <c r="CT22" i="224"/>
  <c r="CH22" i="224"/>
  <c r="CI22" i="224"/>
  <c r="CF22" i="224"/>
  <c r="CX22" i="224"/>
  <c r="CY26" i="223"/>
  <c r="CF26" i="223"/>
  <c r="CX26" i="223"/>
  <c r="CT26" i="223"/>
  <c r="CW26" i="223"/>
  <c r="CH26" i="223"/>
  <c r="CI26" i="223"/>
  <c r="CX32" i="176"/>
  <c r="CT32" i="176"/>
  <c r="CE32" i="176"/>
  <c r="CF32" i="176"/>
  <c r="CY32" i="176"/>
  <c r="CJ28" i="167"/>
  <c r="CP28" i="167"/>
  <c r="U52" i="154"/>
  <c r="Z53" i="154"/>
  <c r="AG13" i="109"/>
  <c r="HO2" i="226"/>
  <c r="CJ20" i="176"/>
  <c r="CP20" i="176"/>
  <c r="CQ22" i="223"/>
  <c r="CK22" i="223"/>
  <c r="CP34" i="224"/>
  <c r="CJ34" i="224"/>
  <c r="CQ26" i="224"/>
  <c r="CK26" i="224"/>
  <c r="K46" i="154"/>
  <c r="P46" i="154"/>
  <c r="R46" i="154"/>
  <c r="CW36" i="167"/>
  <c r="CY36" i="167"/>
  <c r="CT36" i="167"/>
  <c r="CQ30" i="168"/>
  <c r="CK30" i="168"/>
  <c r="CJ24" i="168"/>
  <c r="CP24" i="168"/>
  <c r="CU24" i="168"/>
  <c r="CQ30" i="169"/>
  <c r="CK30" i="169"/>
  <c r="CK26" i="171"/>
  <c r="CQ26" i="171"/>
  <c r="CQ24" i="175"/>
  <c r="CK24" i="175"/>
  <c r="CU34" i="176"/>
  <c r="CK34" i="176"/>
  <c r="CJ22" i="223"/>
  <c r="CP22" i="223"/>
  <c r="CU22" i="223"/>
  <c r="CQ32" i="224"/>
  <c r="CK32" i="224"/>
  <c r="CL20" i="169"/>
  <c r="CU20" i="169"/>
  <c r="CL26" i="167"/>
  <c r="CU26" i="167"/>
  <c r="CW20" i="167"/>
  <c r="CX20" i="167" s="1"/>
  <c r="CY20" i="167" s="1"/>
  <c r="U53" i="154"/>
  <c r="C153" i="109"/>
  <c r="AM23" i="154"/>
  <c r="M49" i="230"/>
  <c r="CQ18" i="169"/>
  <c r="CK18" i="169"/>
  <c r="CP18" i="170"/>
  <c r="CJ18" i="170"/>
  <c r="CU18" i="170"/>
  <c r="CP30" i="168"/>
  <c r="CJ30" i="168"/>
  <c r="CU30" i="168"/>
  <c r="CK22" i="168"/>
  <c r="K11" i="3"/>
  <c r="CJ34" i="170"/>
  <c r="CP34" i="170"/>
  <c r="CJ34" i="171"/>
  <c r="CU34" i="171"/>
  <c r="CP34" i="171"/>
  <c r="CJ26" i="171"/>
  <c r="CP26" i="171"/>
  <c r="CJ36" i="13"/>
  <c r="CP36" i="13"/>
  <c r="CJ24" i="175"/>
  <c r="CP24" i="175"/>
  <c r="CI28" i="175"/>
  <c r="CY28" i="175"/>
  <c r="CT28" i="175"/>
  <c r="CF32" i="13"/>
  <c r="CE22" i="171"/>
  <c r="CX22" i="171"/>
  <c r="CW22" i="168"/>
  <c r="CF22" i="168"/>
  <c r="CH22" i="168"/>
  <c r="CY22" i="168"/>
  <c r="CE22" i="168"/>
  <c r="CL18" i="167"/>
  <c r="CU18" i="167"/>
  <c r="AH53" i="156"/>
  <c r="CL20" i="223"/>
  <c r="CU20" i="223"/>
  <c r="CE26" i="224"/>
  <c r="CF26" i="224"/>
  <c r="CX26" i="224"/>
  <c r="CH30" i="223"/>
  <c r="CY30" i="223"/>
  <c r="CW30" i="223"/>
  <c r="CX30" i="223"/>
  <c r="CT30" i="223"/>
  <c r="CE36" i="176"/>
  <c r="CI36" i="176"/>
  <c r="CY36" i="176"/>
  <c r="CT36" i="176"/>
  <c r="CX36" i="176"/>
  <c r="CF36" i="176"/>
  <c r="CE20" i="168"/>
  <c r="CF20" i="168"/>
  <c r="CY20" i="168"/>
  <c r="CH20" i="168"/>
  <c r="CW20" i="168"/>
  <c r="CI20" i="168"/>
  <c r="CY18" i="176"/>
  <c r="CE18" i="176"/>
  <c r="CT34" i="224"/>
  <c r="CX26" i="13"/>
  <c r="CF36" i="170"/>
  <c r="CW32" i="171"/>
  <c r="CY36" i="170"/>
  <c r="CH26" i="13"/>
  <c r="CF18" i="168"/>
  <c r="CY34" i="224"/>
  <c r="AF13" i="109"/>
  <c r="BF18" i="168"/>
  <c r="CT26" i="169"/>
  <c r="M53" i="230"/>
  <c r="CI30" i="176"/>
  <c r="CY26" i="13"/>
  <c r="BK18" i="176"/>
  <c r="CK22" i="167"/>
  <c r="CH30" i="176"/>
  <c r="CY32" i="171"/>
  <c r="CI36" i="170"/>
  <c r="AB35" i="81"/>
  <c r="CT18" i="168"/>
  <c r="CE26" i="169"/>
  <c r="M55" i="230"/>
  <c r="CE30" i="176"/>
  <c r="CI32" i="171"/>
  <c r="CU34" i="169"/>
  <c r="CP30" i="224"/>
  <c r="M57" i="230"/>
  <c r="CX30" i="176"/>
  <c r="CF32" i="171"/>
  <c r="CH36" i="170"/>
  <c r="CT22" i="170"/>
  <c r="M51" i="230"/>
  <c r="G125" i="3"/>
  <c r="W20" i="81"/>
  <c r="CL36" i="13"/>
  <c r="CU36" i="13"/>
  <c r="GL2" i="226"/>
  <c r="Q42" i="81"/>
  <c r="CP28" i="13"/>
  <c r="CJ28" i="13"/>
  <c r="CQ28" i="223"/>
  <c r="CU28" i="223"/>
  <c r="CK28" i="223"/>
  <c r="K18" i="3"/>
  <c r="CJ32" i="224"/>
  <c r="CU32" i="224"/>
  <c r="CP32" i="224"/>
  <c r="K22" i="154"/>
  <c r="AJ26" i="156"/>
  <c r="AJ30" i="153"/>
  <c r="AJ41" i="207"/>
  <c r="BL31" i="166"/>
  <c r="CQ32" i="175"/>
  <c r="CK32" i="175"/>
  <c r="CL26" i="13"/>
  <c r="CU26" i="13"/>
  <c r="CP36" i="223"/>
  <c r="CU36" i="223"/>
  <c r="CJ36" i="223"/>
  <c r="CP22" i="13"/>
  <c r="CU22" i="13"/>
  <c r="CJ22" i="13"/>
  <c r="IA2" i="226"/>
  <c r="V33" i="228"/>
  <c r="V33" i="156"/>
  <c r="L37" i="81"/>
  <c r="CL20" i="167"/>
  <c r="AF12" i="109"/>
  <c r="CL34" i="170"/>
  <c r="CU34" i="170"/>
  <c r="AB34" i="81"/>
  <c r="AC13" i="109"/>
  <c r="HM2" i="226"/>
  <c r="AB37" i="154"/>
  <c r="U37" i="154"/>
  <c r="U36" i="154"/>
  <c r="Z37" i="154"/>
  <c r="CP26" i="224"/>
  <c r="CJ26" i="224"/>
  <c r="J19" i="3"/>
  <c r="CL28" i="167"/>
  <c r="CU28" i="167"/>
  <c r="CJ32" i="171"/>
  <c r="CP32" i="171"/>
  <c r="CU32" i="171"/>
  <c r="CP24" i="171"/>
  <c r="CU24" i="171"/>
  <c r="CJ32" i="170"/>
  <c r="CU32" i="170"/>
  <c r="CP36" i="169"/>
  <c r="CJ36" i="169"/>
  <c r="CK34" i="13"/>
  <c r="CQ34" i="13"/>
  <c r="CQ20" i="13"/>
  <c r="CK20" i="13"/>
  <c r="Q62" i="81"/>
  <c r="K53" i="154"/>
  <c r="JD2" i="226"/>
  <c r="CP22" i="169"/>
  <c r="CU20" i="170"/>
  <c r="CU26" i="170"/>
  <c r="K54" i="154"/>
  <c r="CK18" i="168"/>
  <c r="CP20" i="168"/>
  <c r="CJ20" i="168"/>
  <c r="CJ30" i="170"/>
  <c r="CQ26" i="169"/>
  <c r="K12" i="3"/>
  <c r="CQ24" i="176"/>
  <c r="CK24" i="176"/>
  <c r="CH24" i="168"/>
  <c r="CY24" i="168"/>
  <c r="CE24" i="168"/>
  <c r="CJ26" i="168"/>
  <c r="CP26" i="168"/>
  <c r="CK20" i="175"/>
  <c r="CQ20" i="175"/>
  <c r="CJ24" i="176"/>
  <c r="CP24" i="176"/>
  <c r="CX32" i="13"/>
  <c r="CW32" i="13"/>
  <c r="CH32" i="13"/>
  <c r="CT32" i="13"/>
  <c r="CT36" i="168"/>
  <c r="CE36" i="168"/>
  <c r="CX36" i="168"/>
  <c r="CU32" i="167"/>
  <c r="CP24" i="167"/>
  <c r="J10" i="3"/>
  <c r="J13" i="3"/>
  <c r="C149" i="109"/>
  <c r="CE24" i="224"/>
  <c r="CH24" i="224"/>
  <c r="CX24" i="224"/>
  <c r="CT24" i="224"/>
  <c r="CW28" i="223"/>
  <c r="CY28" i="223"/>
  <c r="CT34" i="176"/>
  <c r="CI34" i="176"/>
  <c r="CI26" i="175"/>
  <c r="CF26" i="175"/>
  <c r="CW26" i="175"/>
  <c r="CT26" i="175"/>
  <c r="CU20" i="13"/>
  <c r="CU36" i="169"/>
  <c r="CU28" i="171"/>
  <c r="CP32" i="167"/>
  <c r="AB53" i="154"/>
  <c r="CW28" i="13"/>
  <c r="CH28" i="13"/>
  <c r="CI18" i="171"/>
  <c r="BK18" i="171"/>
  <c r="CH18" i="171"/>
  <c r="CE18" i="171"/>
  <c r="CF18" i="171"/>
  <c r="CY18" i="171"/>
  <c r="CT18" i="171"/>
  <c r="CE24" i="170"/>
  <c r="CF24" i="170"/>
  <c r="CG24" i="170" s="1"/>
  <c r="CY24" i="170"/>
  <c r="AG43" i="226" a="1"/>
  <c r="AG43" i="226" s="1"/>
  <c r="CY28" i="169"/>
  <c r="CX28" i="169"/>
  <c r="CE28" i="169"/>
  <c r="CW28" i="169"/>
  <c r="CF28" i="169"/>
  <c r="CH28" i="169"/>
  <c r="CI32" i="168"/>
  <c r="CT32" i="168"/>
  <c r="CE32" i="168"/>
  <c r="CX32" i="168"/>
  <c r="CQ28" i="169"/>
  <c r="CP26" i="170"/>
  <c r="CI34" i="224"/>
  <c r="CH34" i="224"/>
  <c r="CW34" i="224"/>
  <c r="CX34" i="224"/>
  <c r="CF34" i="224"/>
  <c r="CI20" i="224"/>
  <c r="CW20" i="224"/>
  <c r="CF20" i="224"/>
  <c r="CI24" i="223"/>
  <c r="CF24" i="223"/>
  <c r="CY24" i="223"/>
  <c r="CH24" i="223"/>
  <c r="CT24" i="223"/>
  <c r="CT30" i="176"/>
  <c r="CY30" i="176"/>
  <c r="CF18" i="176"/>
  <c r="BN18" i="176"/>
  <c r="BF18" i="176"/>
  <c r="CX18" i="176"/>
  <c r="CU28" i="169"/>
  <c r="CX20" i="168"/>
  <c r="AC30" i="153"/>
  <c r="C87" i="3"/>
  <c r="CX26" i="169"/>
  <c r="K10" i="3"/>
  <c r="CY22" i="223"/>
  <c r="CX22" i="223"/>
  <c r="CW22" i="223"/>
  <c r="CE22" i="223"/>
  <c r="GP2" i="226"/>
  <c r="C230" i="3"/>
  <c r="CE22" i="170"/>
  <c r="CW30" i="224"/>
  <c r="CW34" i="223"/>
  <c r="BL27" i="166"/>
  <c r="CO32" i="175"/>
  <c r="CL32" i="175" s="1"/>
  <c r="O16" i="3"/>
  <c r="CK36" i="171"/>
  <c r="CU36" i="171"/>
  <c r="CQ36" i="171"/>
  <c r="CK22" i="171"/>
  <c r="CU22" i="171"/>
  <c r="CQ22" i="171"/>
  <c r="K14" i="3"/>
  <c r="CK28" i="176"/>
  <c r="CU28" i="176"/>
  <c r="CQ28" i="176"/>
  <c r="J18" i="3"/>
  <c r="CJ26" i="223"/>
  <c r="CP26" i="223"/>
  <c r="CF22" i="175"/>
  <c r="CI22" i="175"/>
  <c r="CW22" i="175"/>
  <c r="CE22" i="175"/>
  <c r="CT22" i="175"/>
  <c r="CY22" i="175"/>
  <c r="CX22" i="175"/>
  <c r="CK36" i="170"/>
  <c r="CQ36" i="170"/>
  <c r="CL30" i="169"/>
  <c r="CU30" i="169"/>
  <c r="CU18" i="224"/>
  <c r="CQ18" i="224"/>
  <c r="CK18" i="224"/>
  <c r="CQ30" i="171"/>
  <c r="CK30" i="171"/>
  <c r="CJ34" i="13"/>
  <c r="J15" i="3"/>
  <c r="CU34" i="13"/>
  <c r="CP34" i="13"/>
  <c r="CU22" i="176"/>
  <c r="CQ22" i="176"/>
  <c r="CK22" i="176"/>
  <c r="CQ36" i="224"/>
  <c r="CK36" i="224"/>
  <c r="CO20" i="168"/>
  <c r="CU20" i="168" s="1"/>
  <c r="O11" i="3"/>
  <c r="CO26" i="223"/>
  <c r="CL26" i="223" s="1"/>
  <c r="O18" i="3"/>
  <c r="CW30" i="13"/>
  <c r="CX30" i="13"/>
  <c r="CE30" i="13"/>
  <c r="CH30" i="13"/>
  <c r="CI30" i="13"/>
  <c r="CF30" i="13"/>
  <c r="CY30" i="13"/>
  <c r="CT30" i="13"/>
  <c r="D148" i="3"/>
  <c r="D128" i="3"/>
  <c r="V32" i="156"/>
  <c r="HZ2" i="226"/>
  <c r="V32" i="228"/>
  <c r="P41" i="154"/>
  <c r="L36" i="81"/>
  <c r="K42" i="154"/>
  <c r="U19" i="154"/>
  <c r="Z44" i="154"/>
  <c r="U45" i="154"/>
  <c r="GK2" i="226"/>
  <c r="Z20" i="154"/>
  <c r="U20" i="154"/>
  <c r="AB20" i="154"/>
  <c r="CP22" i="170"/>
  <c r="CJ22" i="170"/>
  <c r="CQ24" i="169"/>
  <c r="CK24" i="169"/>
  <c r="CU24" i="169"/>
  <c r="CJ30" i="171"/>
  <c r="CP30" i="171"/>
  <c r="CU30" i="171"/>
  <c r="CU36" i="176"/>
  <c r="CP36" i="176"/>
  <c r="CI28" i="176"/>
  <c r="CH28" i="176"/>
  <c r="CY28" i="176"/>
  <c r="CX28" i="176"/>
  <c r="CW28" i="176"/>
  <c r="CT28" i="176"/>
  <c r="CE28" i="176"/>
  <c r="CI36" i="175"/>
  <c r="CX36" i="175"/>
  <c r="CE36" i="175"/>
  <c r="CW36" i="175"/>
  <c r="CT36" i="175"/>
  <c r="CJ18" i="169"/>
  <c r="CP18" i="169"/>
  <c r="CQ18" i="175"/>
  <c r="K16" i="3"/>
  <c r="CU18" i="175"/>
  <c r="CK18" i="175"/>
  <c r="CL26" i="224"/>
  <c r="CU26" i="224"/>
  <c r="CL30" i="167"/>
  <c r="CU30" i="167"/>
  <c r="CL22" i="167"/>
  <c r="CU22" i="167"/>
  <c r="CT20" i="167"/>
  <c r="CP22" i="168"/>
  <c r="CJ22" i="168"/>
  <c r="CU22" i="168"/>
  <c r="J11" i="3"/>
  <c r="CQ30" i="13"/>
  <c r="K15" i="3"/>
  <c r="CK30" i="13"/>
  <c r="CU30" i="13"/>
  <c r="CL22" i="169"/>
  <c r="CU22" i="169"/>
  <c r="CL20" i="176"/>
  <c r="CU20" i="176"/>
  <c r="CW28" i="224"/>
  <c r="CF28" i="224"/>
  <c r="CY28" i="224"/>
  <c r="CE28" i="224"/>
  <c r="CI28" i="224"/>
  <c r="CT28" i="224"/>
  <c r="CF32" i="223"/>
  <c r="CT32" i="223"/>
  <c r="CX32" i="223"/>
  <c r="CI32" i="223"/>
  <c r="CY32" i="223"/>
  <c r="CH32" i="223"/>
  <c r="CW32" i="223"/>
  <c r="AM22" i="154"/>
  <c r="C151" i="109"/>
  <c r="P21" i="3"/>
  <c r="AU75" i="81" s="1"/>
  <c r="P20" i="3"/>
  <c r="CU18" i="171"/>
  <c r="J14" i="3"/>
  <c r="CL34" i="175"/>
  <c r="CU34" i="175"/>
  <c r="CL34" i="224"/>
  <c r="CU34" i="224"/>
  <c r="CO18" i="169"/>
  <c r="CU18" i="169" s="1"/>
  <c r="O12" i="3"/>
  <c r="CY20" i="223"/>
  <c r="CT20" i="223"/>
  <c r="CF20" i="223"/>
  <c r="CH20" i="223"/>
  <c r="CI26" i="176"/>
  <c r="CF26" i="176"/>
  <c r="CH26" i="176"/>
  <c r="CT26" i="176"/>
  <c r="CF34" i="175"/>
  <c r="CE34" i="175"/>
  <c r="CI34" i="175"/>
  <c r="CY34" i="175"/>
  <c r="JB2" i="226"/>
  <c r="Q66" i="81"/>
  <c r="HY2" i="226"/>
  <c r="V31" i="156"/>
  <c r="V31" i="228"/>
  <c r="K41" i="154"/>
  <c r="AJ26" i="228"/>
  <c r="L21" i="81"/>
  <c r="AJ26" i="221"/>
  <c r="GT2" i="226"/>
  <c r="K24" i="154"/>
  <c r="K23" i="154"/>
  <c r="Q23" i="154"/>
  <c r="GR2" i="226"/>
  <c r="GS2" i="226"/>
  <c r="Q24" i="154"/>
  <c r="CL18" i="223"/>
  <c r="K13" i="3"/>
  <c r="CJ30" i="175"/>
  <c r="CU30" i="175"/>
  <c r="CU22" i="175"/>
  <c r="CK22" i="175"/>
  <c r="CX34" i="223"/>
  <c r="CF34" i="223"/>
  <c r="CE34" i="223"/>
  <c r="CH34" i="223"/>
  <c r="CY28" i="167"/>
  <c r="CT28" i="167"/>
  <c r="CW24" i="167"/>
  <c r="CP20" i="167"/>
  <c r="CJ20" i="167"/>
  <c r="JA2" i="226"/>
  <c r="L66" i="81"/>
  <c r="CL32" i="223"/>
  <c r="CU32" i="223"/>
  <c r="CI26" i="224"/>
  <c r="CH26" i="224"/>
  <c r="CW26" i="224"/>
  <c r="CI28" i="168"/>
  <c r="CY28" i="168"/>
  <c r="CT28" i="168"/>
  <c r="CP34" i="167"/>
  <c r="CJ34" i="167"/>
  <c r="CQ28" i="13"/>
  <c r="CU28" i="13"/>
  <c r="CO22" i="170"/>
  <c r="CL22" i="170" s="1"/>
  <c r="O13" i="3"/>
  <c r="CI18" i="13"/>
  <c r="CW18" i="13"/>
  <c r="BK18" i="13"/>
  <c r="CX18" i="13"/>
  <c r="BF18" i="13"/>
  <c r="CF18" i="13"/>
  <c r="CH18" i="13"/>
  <c r="BN18" i="13"/>
  <c r="CE18" i="13"/>
  <c r="CY18" i="13"/>
  <c r="CI24" i="171"/>
  <c r="CT24" i="171"/>
  <c r="CY24" i="171"/>
  <c r="CH24" i="171"/>
  <c r="CF24" i="171"/>
  <c r="CI28" i="170"/>
  <c r="CT28" i="170"/>
  <c r="CF28" i="170"/>
  <c r="CY28" i="170"/>
  <c r="CE34" i="169"/>
  <c r="CT34" i="169"/>
  <c r="CI34" i="169"/>
  <c r="CW34" i="169"/>
  <c r="CX34" i="169"/>
  <c r="CJ18" i="168"/>
  <c r="CP18" i="168"/>
  <c r="C150" i="109"/>
  <c r="AM21" i="154"/>
  <c r="H20" i="3"/>
  <c r="CQ18" i="13"/>
  <c r="CK18" i="13"/>
  <c r="CQ26" i="223"/>
  <c r="CK26" i="223"/>
  <c r="CL36" i="168"/>
  <c r="CU36" i="168"/>
  <c r="CI24" i="175"/>
  <c r="CX24" i="175"/>
  <c r="CI22" i="171"/>
  <c r="CF22" i="171"/>
  <c r="CW22" i="171"/>
  <c r="CW18" i="169"/>
  <c r="CF18" i="169"/>
  <c r="CI18" i="169"/>
  <c r="CE18" i="169"/>
  <c r="CX18" i="169"/>
  <c r="BF18" i="169"/>
  <c r="CK36" i="223"/>
  <c r="AM18" i="154"/>
  <c r="CT26" i="167"/>
  <c r="CH26" i="169"/>
  <c r="CF28" i="175"/>
  <c r="CE24" i="223"/>
  <c r="CT30" i="175"/>
  <c r="CW28" i="175"/>
  <c r="CY20" i="224"/>
  <c r="CW30" i="167"/>
  <c r="CF26" i="169"/>
  <c r="CE36" i="13"/>
  <c r="CE28" i="175"/>
  <c r="CE34" i="168"/>
  <c r="CE22" i="176"/>
  <c r="CQ32" i="167"/>
  <c r="M61" i="109"/>
  <c r="M67" i="109"/>
  <c r="CX28" i="175"/>
  <c r="CX30" i="167"/>
  <c r="CI30" i="175"/>
  <c r="M65" i="109"/>
  <c r="CU24" i="176"/>
  <c r="D87" i="3"/>
  <c r="CH32" i="168"/>
  <c r="CH22" i="170"/>
  <c r="CE20" i="224"/>
  <c r="CY22" i="167"/>
  <c r="CX30" i="175"/>
  <c r="CW22" i="176"/>
  <c r="CY36" i="13"/>
  <c r="CW24" i="223"/>
  <c r="CW26" i="169"/>
  <c r="CF32" i="168"/>
  <c r="CF22" i="170"/>
  <c r="CT20" i="224"/>
  <c r="CY26" i="167"/>
  <c r="CX24" i="223"/>
  <c r="CY32" i="168"/>
  <c r="CY22" i="170"/>
  <c r="M60" i="109"/>
  <c r="M62" i="109"/>
  <c r="M59" i="109"/>
  <c r="M68" i="109"/>
  <c r="M66" i="109"/>
  <c r="AJ14" i="180"/>
  <c r="N60" i="109"/>
  <c r="I180" i="3"/>
  <c r="I109" i="3"/>
  <c r="C109" i="3" s="1"/>
  <c r="I142" i="3"/>
  <c r="I111" i="3"/>
  <c r="I135" i="3"/>
  <c r="I155" i="3"/>
  <c r="I104" i="3"/>
  <c r="I243" i="3"/>
  <c r="C243" i="3" s="1"/>
  <c r="I122" i="3"/>
  <c r="I200" i="3"/>
  <c r="I129" i="3"/>
  <c r="I185" i="3"/>
  <c r="G107" i="3"/>
  <c r="I106" i="3"/>
  <c r="I220" i="3"/>
  <c r="I123" i="3"/>
  <c r="I108" i="3"/>
  <c r="G109" i="3"/>
  <c r="I125" i="3"/>
  <c r="I160" i="3"/>
  <c r="I232" i="3"/>
  <c r="I152" i="3"/>
  <c r="I102" i="3"/>
  <c r="I176" i="3"/>
  <c r="I124" i="3"/>
  <c r="I114" i="3"/>
  <c r="I140" i="3"/>
  <c r="I113" i="3"/>
  <c r="I144" i="3"/>
  <c r="I137" i="3"/>
  <c r="G247" i="3"/>
  <c r="I246" i="3"/>
  <c r="C246" i="3" s="1"/>
  <c r="I134" i="3"/>
  <c r="I179" i="3"/>
  <c r="I89" i="3"/>
  <c r="I156" i="3"/>
  <c r="I221" i="3"/>
  <c r="I88" i="3"/>
  <c r="I184" i="3"/>
  <c r="I97" i="3"/>
  <c r="I105" i="3"/>
  <c r="I231" i="3"/>
  <c r="I98" i="3"/>
  <c r="I194" i="3"/>
  <c r="I131" i="3"/>
  <c r="I143" i="3"/>
  <c r="I82" i="3"/>
  <c r="I136" i="3"/>
  <c r="I101" i="3"/>
  <c r="I219" i="3"/>
  <c r="I178" i="3"/>
  <c r="I195" i="3"/>
  <c r="I132" i="3"/>
  <c r="I163" i="3"/>
  <c r="I130" i="3"/>
  <c r="I90" i="3"/>
  <c r="I110" i="3"/>
  <c r="I107" i="3"/>
  <c r="C107" i="3" s="1"/>
  <c r="I205" i="3"/>
  <c r="I177" i="3"/>
  <c r="I188" i="3"/>
  <c r="I181" i="3"/>
  <c r="I116" i="3"/>
  <c r="I189" i="3"/>
  <c r="I151" i="3"/>
  <c r="I162" i="3"/>
  <c r="I150" i="3"/>
  <c r="I100" i="3"/>
  <c r="I157" i="3"/>
  <c r="I96" i="3"/>
  <c r="I103" i="3"/>
  <c r="I115" i="3"/>
  <c r="I186" i="3"/>
  <c r="I145" i="3"/>
  <c r="I233" i="3"/>
  <c r="I121" i="3"/>
  <c r="I117" i="3"/>
  <c r="I159" i="3"/>
  <c r="I84" i="3"/>
  <c r="I141" i="3"/>
  <c r="I240" i="3"/>
  <c r="C240" i="3" s="1"/>
  <c r="I165" i="3"/>
  <c r="I94" i="3"/>
  <c r="I218" i="3"/>
  <c r="I158" i="3"/>
  <c r="I133" i="3"/>
  <c r="I187" i="3"/>
  <c r="I153" i="3"/>
  <c r="I183" i="3"/>
  <c r="I175" i="3"/>
  <c r="I112" i="3"/>
  <c r="I99" i="3"/>
  <c r="I216" i="3"/>
  <c r="I149" i="3"/>
  <c r="I118" i="3"/>
  <c r="I138" i="3"/>
  <c r="I238" i="3"/>
  <c r="G248" i="3"/>
  <c r="G246" i="3"/>
  <c r="I154" i="3"/>
  <c r="I164" i="3"/>
  <c r="I161" i="3"/>
  <c r="I174" i="3"/>
  <c r="I182" i="3"/>
  <c r="I120" i="3"/>
  <c r="I139" i="3"/>
  <c r="I217" i="3"/>
  <c r="I95" i="3"/>
  <c r="I250" i="3"/>
  <c r="C250" i="3" s="1"/>
  <c r="I247" i="3"/>
  <c r="C247" i="3" s="1"/>
  <c r="I245" i="3"/>
  <c r="C245" i="3" s="1"/>
  <c r="I242" i="3"/>
  <c r="C242" i="3" s="1"/>
  <c r="I248" i="3"/>
  <c r="C248" i="3" s="1"/>
  <c r="G249" i="3"/>
  <c r="I239" i="3"/>
  <c r="C239" i="3" s="1"/>
  <c r="I83" i="3"/>
  <c r="I249" i="3"/>
  <c r="C249" i="3" s="1"/>
  <c r="I244" i="3"/>
  <c r="C244" i="3" s="1"/>
  <c r="I241" i="3"/>
  <c r="C241" i="3" s="1"/>
  <c r="J12" i="3"/>
  <c r="CJ26" i="169"/>
  <c r="CP26" i="169"/>
  <c r="CU26" i="169"/>
  <c r="CL36" i="170"/>
  <c r="CU36" i="170"/>
  <c r="O14" i="3"/>
  <c r="CO26" i="171"/>
  <c r="CL26" i="175"/>
  <c r="CU26" i="175"/>
  <c r="CW18" i="224"/>
  <c r="BN18" i="224"/>
  <c r="BF18" i="224"/>
  <c r="CF18" i="224"/>
  <c r="CE18" i="224"/>
  <c r="CT18" i="224"/>
  <c r="CI18" i="224"/>
  <c r="CY18" i="224"/>
  <c r="CX18" i="224"/>
  <c r="BK18" i="224"/>
  <c r="CE22" i="13"/>
  <c r="CY22" i="13"/>
  <c r="CW22" i="13"/>
  <c r="CH22" i="13"/>
  <c r="CI22" i="13"/>
  <c r="CT22" i="13"/>
  <c r="CX22" i="13"/>
  <c r="CF22" i="13"/>
  <c r="O10" i="3"/>
  <c r="CO24" i="167"/>
  <c r="D173" i="3"/>
  <c r="CH18" i="224"/>
  <c r="CU32" i="176"/>
  <c r="J17" i="3"/>
  <c r="CJ32" i="176"/>
  <c r="CL30" i="224"/>
  <c r="CU30" i="224"/>
  <c r="CP32" i="175"/>
  <c r="CP26" i="175"/>
  <c r="J16" i="3"/>
  <c r="C152" i="109"/>
  <c r="H21" i="3"/>
  <c r="H4" i="3" s="1"/>
  <c r="AM25" i="154"/>
  <c r="CP18" i="171"/>
  <c r="CJ18" i="171"/>
  <c r="CP34" i="168"/>
  <c r="CJ34" i="168"/>
  <c r="CU36" i="175"/>
  <c r="CL36" i="175"/>
  <c r="CU36" i="224"/>
  <c r="CL36" i="224"/>
  <c r="CL34" i="223"/>
  <c r="CU34" i="223"/>
  <c r="CL36" i="167"/>
  <c r="CU36" i="167"/>
  <c r="CK26" i="176"/>
  <c r="K17" i="3"/>
  <c r="CQ34" i="224"/>
  <c r="CK34" i="224"/>
  <c r="K19" i="3"/>
  <c r="CK22" i="224"/>
  <c r="CO24" i="13"/>
  <c r="O15" i="3"/>
  <c r="O19" i="3"/>
  <c r="CO24" i="224"/>
  <c r="CY32" i="169"/>
  <c r="CX32" i="169"/>
  <c r="CF32" i="169"/>
  <c r="CH32" i="169"/>
  <c r="CI32" i="169"/>
  <c r="CW32" i="169"/>
  <c r="CE32" i="169"/>
  <c r="CI34" i="171"/>
  <c r="CF34" i="171"/>
  <c r="CW34" i="171"/>
  <c r="CE34" i="171"/>
  <c r="CX34" i="171"/>
  <c r="CT34" i="171"/>
  <c r="CH34" i="171"/>
  <c r="CI22" i="176"/>
  <c r="CY22" i="176"/>
  <c r="CT22" i="176"/>
  <c r="CX22" i="176"/>
  <c r="CH22" i="176"/>
  <c r="CW18" i="168"/>
  <c r="CX18" i="168" s="1"/>
  <c r="CY18" i="168" s="1"/>
  <c r="CI30" i="224"/>
  <c r="CX30" i="224"/>
  <c r="CF30" i="224"/>
  <c r="CE30" i="224"/>
  <c r="CI32" i="13"/>
  <c r="CY32" i="13"/>
  <c r="CE32" i="13"/>
  <c r="CW22" i="170"/>
  <c r="CX22" i="170"/>
  <c r="AG41" i="226" a="1"/>
  <c r="AG41" i="226" s="1"/>
  <c r="CI36" i="168"/>
  <c r="CY36" i="168"/>
  <c r="CW36" i="168"/>
  <c r="CH36" i="168"/>
  <c r="CI20" i="223"/>
  <c r="CW20" i="223"/>
  <c r="CP30" i="167"/>
  <c r="CJ30" i="167"/>
  <c r="CI32" i="175"/>
  <c r="CY32" i="175"/>
  <c r="CF32" i="175"/>
  <c r="CT32" i="175"/>
  <c r="CW32" i="175"/>
  <c r="CT22" i="171"/>
  <c r="CY22" i="171"/>
  <c r="CH22" i="171"/>
  <c r="GV2" i="226"/>
  <c r="R85" i="109"/>
  <c r="CT34" i="223"/>
  <c r="BN18" i="171"/>
  <c r="CY26" i="169"/>
  <c r="CH20" i="224"/>
  <c r="CX18" i="171"/>
  <c r="CW24" i="171"/>
  <c r="CW18" i="171"/>
  <c r="CX24" i="171"/>
  <c r="CI34" i="223"/>
  <c r="CI28" i="169"/>
  <c r="CX20" i="224"/>
  <c r="H212" i="3"/>
  <c r="H204" i="3"/>
  <c r="H208" i="3"/>
  <c r="H207" i="3"/>
  <c r="H202" i="3"/>
  <c r="H198" i="3"/>
  <c r="H215" i="3"/>
  <c r="H211" i="3"/>
  <c r="H209" i="3"/>
  <c r="H210" i="3"/>
  <c r="H199" i="3"/>
  <c r="H197" i="3"/>
  <c r="H203" i="3"/>
  <c r="H214" i="3"/>
  <c r="H213" i="3"/>
  <c r="H196" i="3"/>
  <c r="H201" i="3"/>
  <c r="H206" i="3"/>
  <c r="BW20" i="167" l="1"/>
  <c r="BV18" i="169"/>
  <c r="BW18" i="169"/>
  <c r="BV28" i="167"/>
  <c r="BW28" i="167"/>
  <c r="BW28" i="223"/>
  <c r="BV28" i="223"/>
  <c r="BW34" i="171"/>
  <c r="BV34" i="171"/>
  <c r="BW28" i="168"/>
  <c r="BV28" i="168"/>
  <c r="BV36" i="167"/>
  <c r="BW36" i="167"/>
  <c r="BW36" i="168"/>
  <c r="BV36" i="168"/>
  <c r="BW34" i="224"/>
  <c r="BV34" i="224"/>
  <c r="BV22" i="168"/>
  <c r="BW22" i="168"/>
  <c r="BW26" i="224"/>
  <c r="BV26" i="224"/>
  <c r="BW20" i="168"/>
  <c r="BV20" i="168"/>
  <c r="BW28" i="169"/>
  <c r="BV28" i="169"/>
  <c r="BW36" i="169"/>
  <c r="BV36" i="169"/>
  <c r="BW32" i="170"/>
  <c r="BV32" i="170"/>
  <c r="BW34" i="169"/>
  <c r="BV34" i="169"/>
  <c r="BW20" i="223"/>
  <c r="BV20" i="223"/>
  <c r="BW18" i="170"/>
  <c r="BV18" i="170"/>
  <c r="BW22" i="223"/>
  <c r="BV22" i="223"/>
  <c r="BW30" i="170"/>
  <c r="BV30" i="170"/>
  <c r="BW24" i="170"/>
  <c r="BV24" i="170"/>
  <c r="BV18" i="223"/>
  <c r="BW18" i="223"/>
  <c r="BW26" i="168"/>
  <c r="BV26" i="168"/>
  <c r="BW34" i="13"/>
  <c r="BV34" i="13"/>
  <c r="BW28" i="171"/>
  <c r="BV28" i="171"/>
  <c r="BW24" i="175"/>
  <c r="BV24" i="175"/>
  <c r="BV34" i="167"/>
  <c r="BW34" i="167"/>
  <c r="BW34" i="223"/>
  <c r="BV34" i="223"/>
  <c r="BW22" i="171"/>
  <c r="BV22" i="171"/>
  <c r="BV32" i="167"/>
  <c r="BW32" i="167"/>
  <c r="BW24" i="171"/>
  <c r="BV24" i="171"/>
  <c r="BV26" i="167"/>
  <c r="BW26" i="167"/>
  <c r="BW28" i="170"/>
  <c r="BV28" i="170"/>
  <c r="BW34" i="168"/>
  <c r="BV34" i="168"/>
  <c r="BW20" i="171"/>
  <c r="BV20" i="171"/>
  <c r="BW30" i="223"/>
  <c r="BV30" i="223"/>
  <c r="BW28" i="175"/>
  <c r="BV28" i="175"/>
  <c r="BW22" i="224"/>
  <c r="BV22" i="224"/>
  <c r="BW32" i="223"/>
  <c r="BV32" i="223"/>
  <c r="BW36" i="170"/>
  <c r="BV36" i="170"/>
  <c r="BW24" i="169"/>
  <c r="BV24" i="169"/>
  <c r="BW30" i="224"/>
  <c r="BV30" i="224"/>
  <c r="BW26" i="169"/>
  <c r="BV26" i="169"/>
  <c r="BW30" i="13"/>
  <c r="BV30" i="13"/>
  <c r="BV18" i="175"/>
  <c r="BW18" i="175"/>
  <c r="BW34" i="170"/>
  <c r="BV34" i="170"/>
  <c r="BW32" i="224"/>
  <c r="BV32" i="224"/>
  <c r="CH18" i="167"/>
  <c r="BW18" i="167"/>
  <c r="BV18" i="167"/>
  <c r="BW24" i="168"/>
  <c r="BV24" i="168"/>
  <c r="BW20" i="175"/>
  <c r="BV20" i="175"/>
  <c r="BW36" i="223"/>
  <c r="BV36" i="223"/>
  <c r="BW32" i="13"/>
  <c r="BV32" i="13"/>
  <c r="BV22" i="167"/>
  <c r="BW22" i="167"/>
  <c r="BW26" i="170"/>
  <c r="BV26" i="170"/>
  <c r="BW32" i="171"/>
  <c r="BV32" i="171"/>
  <c r="BV22" i="13"/>
  <c r="BW22" i="13"/>
  <c r="BW20" i="169"/>
  <c r="BV20" i="169"/>
  <c r="BW34" i="176"/>
  <c r="BV34" i="176"/>
  <c r="BW36" i="175"/>
  <c r="BV36" i="175"/>
  <c r="BW20" i="176"/>
  <c r="BV20" i="176"/>
  <c r="BW30" i="169"/>
  <c r="BV30" i="169"/>
  <c r="BW20" i="13"/>
  <c r="BV20" i="13"/>
  <c r="BW26" i="176"/>
  <c r="BV26" i="176"/>
  <c r="BW32" i="168"/>
  <c r="BV32" i="168"/>
  <c r="BW18" i="13"/>
  <c r="BV18" i="13"/>
  <c r="BV34" i="175"/>
  <c r="BW34" i="175"/>
  <c r="BW36" i="224"/>
  <c r="BV36" i="224"/>
  <c r="BV26" i="175"/>
  <c r="BW26" i="175"/>
  <c r="BW28" i="13"/>
  <c r="BV28" i="13"/>
  <c r="BW22" i="175"/>
  <c r="BV22" i="175"/>
  <c r="BW18" i="171"/>
  <c r="BV18" i="171"/>
  <c r="BW36" i="176"/>
  <c r="BV36" i="176"/>
  <c r="BW22" i="176"/>
  <c r="BV22" i="176"/>
  <c r="BW36" i="171"/>
  <c r="BV36" i="171"/>
  <c r="BW20" i="170"/>
  <c r="BV20" i="170"/>
  <c r="BW36" i="13"/>
  <c r="BV36" i="13"/>
  <c r="BW30" i="168"/>
  <c r="BV30" i="168"/>
  <c r="BW24" i="223"/>
  <c r="BV24" i="223"/>
  <c r="BW28" i="224"/>
  <c r="BV28" i="224"/>
  <c r="BW32" i="169"/>
  <c r="BV32" i="169"/>
  <c r="BV30" i="176"/>
  <c r="BW30" i="176"/>
  <c r="BW22" i="169"/>
  <c r="BV22" i="169"/>
  <c r="BW26" i="13"/>
  <c r="BV26" i="13"/>
  <c r="BW32" i="176"/>
  <c r="BV32" i="176"/>
  <c r="BW24" i="176"/>
  <c r="BV24" i="176"/>
  <c r="BW30" i="175"/>
  <c r="BV30" i="175"/>
  <c r="BV30" i="167"/>
  <c r="BW30" i="167"/>
  <c r="BW30" i="171"/>
  <c r="BV30" i="171"/>
  <c r="BW18" i="224"/>
  <c r="BV18" i="224"/>
  <c r="BW28" i="176"/>
  <c r="BV28" i="176"/>
  <c r="BW20" i="224"/>
  <c r="BV20" i="224"/>
  <c r="BW18" i="168"/>
  <c r="BV18" i="168"/>
  <c r="KB2" i="226"/>
  <c r="JM2" i="226"/>
  <c r="KA2" i="226"/>
  <c r="JO2" i="226"/>
  <c r="AI49" i="81"/>
  <c r="AR51" i="81"/>
  <c r="JN2" i="226"/>
  <c r="CH32" i="167"/>
  <c r="CH22" i="167"/>
  <c r="CH36" i="167"/>
  <c r="CH34" i="167"/>
  <c r="CH30" i="167"/>
  <c r="CH26" i="167"/>
  <c r="CH20" i="167"/>
  <c r="CH28" i="167"/>
  <c r="S28" i="81"/>
  <c r="W28" i="81"/>
  <c r="K70" i="154"/>
  <c r="S71" i="154" s="1"/>
  <c r="K28" i="154"/>
  <c r="D126" i="3"/>
  <c r="BH22" i="224"/>
  <c r="CC20" i="224"/>
  <c r="CV28" i="224"/>
  <c r="BH26" i="224"/>
  <c r="BH36" i="224"/>
  <c r="BH30" i="224"/>
  <c r="BH34" i="224"/>
  <c r="BH32" i="224"/>
  <c r="BH18" i="224"/>
  <c r="BH24" i="223"/>
  <c r="BH36" i="223"/>
  <c r="BH28" i="223"/>
  <c r="BH20" i="223"/>
  <c r="BH22" i="223"/>
  <c r="CC32" i="223"/>
  <c r="BH18" i="223"/>
  <c r="CV30" i="223"/>
  <c r="BH34" i="223"/>
  <c r="CC34" i="176"/>
  <c r="BH32" i="176"/>
  <c r="BH24" i="176"/>
  <c r="BH20" i="176"/>
  <c r="BH30" i="176"/>
  <c r="BH28" i="176"/>
  <c r="BH36" i="176"/>
  <c r="BH22" i="176"/>
  <c r="BH26" i="176"/>
  <c r="BH26" i="175"/>
  <c r="BH36" i="175"/>
  <c r="CC22" i="175"/>
  <c r="BH34" i="175"/>
  <c r="BH28" i="175"/>
  <c r="BH30" i="175"/>
  <c r="CV24" i="175"/>
  <c r="CV20" i="175"/>
  <c r="BH34" i="13"/>
  <c r="BH36" i="13"/>
  <c r="CV30" i="13"/>
  <c r="BH28" i="13"/>
  <c r="BH20" i="13"/>
  <c r="BH32" i="13"/>
  <c r="CV26" i="13"/>
  <c r="CC22" i="13"/>
  <c r="CC18" i="13"/>
  <c r="BH28" i="171"/>
  <c r="BH34" i="171"/>
  <c r="BH22" i="171"/>
  <c r="BH24" i="171"/>
  <c r="BH32" i="171"/>
  <c r="BH20" i="171"/>
  <c r="BH30" i="171"/>
  <c r="BH36" i="171"/>
  <c r="BH32" i="170"/>
  <c r="BH18" i="170"/>
  <c r="BH30" i="170"/>
  <c r="BH24" i="170"/>
  <c r="BH36" i="170"/>
  <c r="BH34" i="170"/>
  <c r="BH26" i="170"/>
  <c r="BH28" i="170"/>
  <c r="BH20" i="170"/>
  <c r="BH30" i="169"/>
  <c r="CV20" i="169"/>
  <c r="BH24" i="169"/>
  <c r="BH28" i="169"/>
  <c r="BH34" i="169"/>
  <c r="CC32" i="169"/>
  <c r="BH36" i="169"/>
  <c r="BH26" i="169"/>
  <c r="BH22" i="169"/>
  <c r="BH20" i="168"/>
  <c r="CC30" i="168"/>
  <c r="BH36" i="168"/>
  <c r="BH22" i="168"/>
  <c r="CV34" i="168"/>
  <c r="CC26" i="168"/>
  <c r="CC24" i="168"/>
  <c r="CC32" i="168"/>
  <c r="CV28" i="168"/>
  <c r="CC18" i="168"/>
  <c r="BH36" i="167"/>
  <c r="BH22" i="167"/>
  <c r="BH32" i="167"/>
  <c r="BH28" i="167"/>
  <c r="BH30" i="167"/>
  <c r="CC26" i="167"/>
  <c r="CV20" i="167"/>
  <c r="CG26" i="169"/>
  <c r="CG30" i="168"/>
  <c r="BH32" i="223"/>
  <c r="CG36" i="168"/>
  <c r="Y12" i="171"/>
  <c r="BH24" i="175"/>
  <c r="BH20" i="224"/>
  <c r="BH20" i="169"/>
  <c r="Y12" i="175"/>
  <c r="CG30" i="169"/>
  <c r="Y12" i="169"/>
  <c r="CG20" i="170"/>
  <c r="BH32" i="169"/>
  <c r="CG34" i="169"/>
  <c r="BH22" i="13"/>
  <c r="BH24" i="168"/>
  <c r="Y12" i="13"/>
  <c r="CG28" i="176"/>
  <c r="Y12" i="176"/>
  <c r="Y12" i="168"/>
  <c r="CG34" i="168"/>
  <c r="BH26" i="13"/>
  <c r="BH34" i="176"/>
  <c r="BH20" i="175"/>
  <c r="BH34" i="168"/>
  <c r="Y12" i="224"/>
  <c r="BH30" i="223"/>
  <c r="BH30" i="13"/>
  <c r="AG53" i="81"/>
  <c r="CG36" i="223"/>
  <c r="BH28" i="224"/>
  <c r="BH22" i="175"/>
  <c r="BH30" i="168"/>
  <c r="Y12" i="223"/>
  <c r="BH28" i="168"/>
  <c r="BH26" i="168"/>
  <c r="BH32" i="168"/>
  <c r="BC4" i="207"/>
  <c r="CG32" i="224"/>
  <c r="CG24" i="224"/>
  <c r="CG22" i="223"/>
  <c r="CG24" i="176"/>
  <c r="CG34" i="13"/>
  <c r="CG20" i="13"/>
  <c r="CG36" i="13"/>
  <c r="CG20" i="171"/>
  <c r="Y12" i="170"/>
  <c r="BH26" i="167"/>
  <c r="BH34" i="167"/>
  <c r="CG22" i="170"/>
  <c r="KE2" i="226"/>
  <c r="AW49" i="81"/>
  <c r="I214" i="3"/>
  <c r="K214" i="3" s="1"/>
  <c r="CC18" i="223"/>
  <c r="JU2" i="226"/>
  <c r="AG49" i="81"/>
  <c r="CG24" i="169"/>
  <c r="BH18" i="13"/>
  <c r="CG28" i="171"/>
  <c r="CV20" i="224"/>
  <c r="BG4" i="176"/>
  <c r="BC4" i="144"/>
  <c r="AB49" i="81"/>
  <c r="CG18" i="175"/>
  <c r="CG20" i="175"/>
  <c r="CC28" i="170"/>
  <c r="CV28" i="170"/>
  <c r="CG28" i="168"/>
  <c r="BC4" i="221"/>
  <c r="BC4" i="156"/>
  <c r="BG4" i="224"/>
  <c r="BG4" i="169"/>
  <c r="BG4" i="13"/>
  <c r="BC4" i="228"/>
  <c r="BC4" i="151"/>
  <c r="BC4" i="154"/>
  <c r="BC4" i="148"/>
  <c r="BC4" i="81"/>
  <c r="BG4" i="171"/>
  <c r="BC4" i="147"/>
  <c r="BC4" i="153"/>
  <c r="BC4" i="166"/>
  <c r="BG4" i="167"/>
  <c r="BC4" i="14"/>
  <c r="BG4" i="170"/>
  <c r="BG4" i="223"/>
  <c r="BC4" i="230"/>
  <c r="CC28" i="168"/>
  <c r="BC4" i="180"/>
  <c r="BG4" i="168"/>
  <c r="BG4" i="175"/>
  <c r="I211" i="3"/>
  <c r="C211" i="3" s="1"/>
  <c r="I210" i="3"/>
  <c r="C210" i="3" s="1"/>
  <c r="I201" i="3"/>
  <c r="C201" i="3" s="1"/>
  <c r="CG30" i="176"/>
  <c r="AR50" i="81"/>
  <c r="CG24" i="168"/>
  <c r="CG24" i="13"/>
  <c r="Q27" i="154"/>
  <c r="K26" i="154"/>
  <c r="CG22" i="169"/>
  <c r="L17" i="3"/>
  <c r="CF26" i="167"/>
  <c r="CU18" i="176"/>
  <c r="CG32" i="170"/>
  <c r="CE26" i="167"/>
  <c r="CC26" i="13"/>
  <c r="CG26" i="168"/>
  <c r="CG24" i="175"/>
  <c r="CI26" i="167"/>
  <c r="K68" i="154"/>
  <c r="CG26" i="13"/>
  <c r="CG28" i="223"/>
  <c r="CV26" i="167"/>
  <c r="CG36" i="175"/>
  <c r="CG20" i="169"/>
  <c r="CG28" i="169"/>
  <c r="CV18" i="170"/>
  <c r="K29" i="154"/>
  <c r="CG36" i="224"/>
  <c r="U26" i="154"/>
  <c r="U27" i="154"/>
  <c r="D125" i="3"/>
  <c r="CG36" i="169"/>
  <c r="CV32" i="170"/>
  <c r="AB62" i="154"/>
  <c r="S65" i="154"/>
  <c r="K62" i="154"/>
  <c r="CV20" i="171"/>
  <c r="AB52" i="81"/>
  <c r="Z62" i="154"/>
  <c r="CC30" i="223"/>
  <c r="CC20" i="171"/>
  <c r="CV32" i="169"/>
  <c r="CG34" i="176"/>
  <c r="U62" i="154"/>
  <c r="KD2" i="226"/>
  <c r="AB48" i="81"/>
  <c r="AV50" i="81"/>
  <c r="JP2" i="226"/>
  <c r="AR49" i="81"/>
  <c r="JZ2" i="226"/>
  <c r="CV32" i="168"/>
  <c r="K63" i="154"/>
  <c r="KF2" i="226"/>
  <c r="S64" i="154"/>
  <c r="CG36" i="171"/>
  <c r="CG26" i="170"/>
  <c r="AR52" i="81"/>
  <c r="CV18" i="223"/>
  <c r="N13" i="3"/>
  <c r="CG32" i="13"/>
  <c r="CV26" i="176"/>
  <c r="JY2" i="226"/>
  <c r="CG26" i="171"/>
  <c r="AY49" i="81"/>
  <c r="D193" i="3"/>
  <c r="KC2" i="226"/>
  <c r="K69" i="154"/>
  <c r="U69" i="154" s="1"/>
  <c r="CG32" i="176"/>
  <c r="N10" i="3"/>
  <c r="I199" i="3"/>
  <c r="C199" i="3" s="1"/>
  <c r="I203" i="3"/>
  <c r="C203" i="3" s="1"/>
  <c r="I196" i="3"/>
  <c r="K196" i="3" s="1"/>
  <c r="I204" i="3"/>
  <c r="K204" i="3" s="1"/>
  <c r="AA74" i="207" s="1"/>
  <c r="I212" i="3"/>
  <c r="C212" i="3" s="1"/>
  <c r="I202" i="3"/>
  <c r="K202" i="3" s="1"/>
  <c r="I213" i="3"/>
  <c r="K213" i="3" s="1"/>
  <c r="I198" i="3"/>
  <c r="C198" i="3" s="1"/>
  <c r="I208" i="3"/>
  <c r="C208" i="3" s="1"/>
  <c r="I209" i="3"/>
  <c r="C209" i="3" s="1"/>
  <c r="I207" i="3"/>
  <c r="C207" i="3" s="1"/>
  <c r="I206" i="3"/>
  <c r="K206" i="3" s="1"/>
  <c r="I197" i="3"/>
  <c r="C197" i="3" s="1"/>
  <c r="I215" i="3"/>
  <c r="K215" i="3" s="1"/>
  <c r="CV24" i="168"/>
  <c r="CG30" i="170"/>
  <c r="JT2" i="226"/>
  <c r="K65" i="154"/>
  <c r="JR2" i="226"/>
  <c r="AB51" i="81"/>
  <c r="AB47" i="81"/>
  <c r="CF20" i="167"/>
  <c r="CV18" i="13"/>
  <c r="CC34" i="168"/>
  <c r="CC28" i="175"/>
  <c r="CV26" i="168"/>
  <c r="CE34" i="167"/>
  <c r="CC24" i="175"/>
  <c r="JS2" i="226"/>
  <c r="CG34" i="170"/>
  <c r="CC20" i="167"/>
  <c r="CV34" i="167"/>
  <c r="K61" i="154"/>
  <c r="AB50" i="81"/>
  <c r="AR48" i="81"/>
  <c r="CI34" i="167"/>
  <c r="CC28" i="224"/>
  <c r="AB53" i="81"/>
  <c r="CG30" i="223"/>
  <c r="JL2" i="226"/>
  <c r="JQ2" i="226"/>
  <c r="CC32" i="170"/>
  <c r="M17" i="3"/>
  <c r="K64" i="154"/>
  <c r="CC20" i="175"/>
  <c r="CG22" i="168"/>
  <c r="CG30" i="171"/>
  <c r="AR47" i="81"/>
  <c r="CG20" i="224"/>
  <c r="CG18" i="171"/>
  <c r="CF34" i="167"/>
  <c r="CG20" i="176"/>
  <c r="CC20" i="169"/>
  <c r="CC34" i="167"/>
  <c r="CV30" i="176"/>
  <c r="CC30" i="176"/>
  <c r="N11" i="3"/>
  <c r="CV28" i="175"/>
  <c r="CG22" i="224"/>
  <c r="CG28" i="13"/>
  <c r="CG18" i="176"/>
  <c r="CV32" i="13"/>
  <c r="M18" i="3"/>
  <c r="CC26" i="176"/>
  <c r="Z27" i="154"/>
  <c r="N18" i="3"/>
  <c r="CG32" i="171"/>
  <c r="CC22" i="224"/>
  <c r="CV22" i="224"/>
  <c r="K27" i="154"/>
  <c r="CG26" i="224"/>
  <c r="U28" i="154"/>
  <c r="CG34" i="224"/>
  <c r="CG36" i="176"/>
  <c r="CG26" i="223"/>
  <c r="CV18" i="168"/>
  <c r="BH18" i="168"/>
  <c r="CG30" i="175"/>
  <c r="CC24" i="170"/>
  <c r="CV24" i="170"/>
  <c r="S13" i="3"/>
  <c r="CG36" i="170"/>
  <c r="CC30" i="170"/>
  <c r="CV30" i="170"/>
  <c r="R17" i="3"/>
  <c r="CG32" i="223"/>
  <c r="CG28" i="224"/>
  <c r="CG20" i="168"/>
  <c r="N12" i="3"/>
  <c r="CG24" i="223"/>
  <c r="CC18" i="170"/>
  <c r="CC32" i="13"/>
  <c r="CG22" i="175"/>
  <c r="CV30" i="168"/>
  <c r="CV24" i="223"/>
  <c r="CC24" i="223"/>
  <c r="Q13" i="3"/>
  <c r="S17" i="3"/>
  <c r="R18" i="3"/>
  <c r="CV22" i="13"/>
  <c r="CG28" i="175"/>
  <c r="T13" i="3"/>
  <c r="AP21" i="154" s="1"/>
  <c r="CG26" i="175"/>
  <c r="CV34" i="176"/>
  <c r="R12" i="3"/>
  <c r="M15" i="3"/>
  <c r="L11" i="3"/>
  <c r="M13" i="3"/>
  <c r="CV34" i="169"/>
  <c r="CC34" i="169"/>
  <c r="CV20" i="223"/>
  <c r="CC20" i="223"/>
  <c r="CC34" i="171"/>
  <c r="CL20" i="168"/>
  <c r="CG32" i="168"/>
  <c r="N17" i="3"/>
  <c r="CV34" i="171"/>
  <c r="N15" i="3"/>
  <c r="M19" i="3"/>
  <c r="CV22" i="223"/>
  <c r="CC22" i="223"/>
  <c r="CG26" i="176"/>
  <c r="CV28" i="169"/>
  <c r="CC28" i="169"/>
  <c r="S11" i="3"/>
  <c r="M11" i="3"/>
  <c r="NO2" i="226"/>
  <c r="CG18" i="169"/>
  <c r="CC32" i="171"/>
  <c r="CV32" i="171"/>
  <c r="CC32" i="224"/>
  <c r="CV32" i="224"/>
  <c r="CV20" i="13"/>
  <c r="CC20" i="13"/>
  <c r="Q17" i="3"/>
  <c r="R13" i="3"/>
  <c r="CV24" i="171"/>
  <c r="CC24" i="171"/>
  <c r="CC36" i="223"/>
  <c r="CV36" i="223"/>
  <c r="CU32" i="175"/>
  <c r="Q19" i="3"/>
  <c r="CV34" i="170"/>
  <c r="CC34" i="170"/>
  <c r="CG34" i="223"/>
  <c r="M16" i="3"/>
  <c r="L16" i="3"/>
  <c r="M12" i="3"/>
  <c r="CC30" i="13"/>
  <c r="CC28" i="171"/>
  <c r="CV28" i="171"/>
  <c r="CI32" i="167"/>
  <c r="CF32" i="167"/>
  <c r="CC32" i="167"/>
  <c r="CV32" i="167"/>
  <c r="CE32" i="167"/>
  <c r="CE20" i="167"/>
  <c r="CC28" i="223"/>
  <c r="CV28" i="223"/>
  <c r="CV36" i="13"/>
  <c r="CC36" i="13"/>
  <c r="CI28" i="167"/>
  <c r="CC28" i="167"/>
  <c r="CE28" i="167"/>
  <c r="CF28" i="167"/>
  <c r="CV28" i="167"/>
  <c r="CC26" i="170"/>
  <c r="CV26" i="170"/>
  <c r="S12" i="3"/>
  <c r="L18" i="3"/>
  <c r="N16" i="3"/>
  <c r="Q11" i="3"/>
  <c r="CV36" i="169"/>
  <c r="CC36" i="169"/>
  <c r="CV20" i="170"/>
  <c r="CC20" i="170"/>
  <c r="CG28" i="170"/>
  <c r="S18" i="3"/>
  <c r="BH18" i="169"/>
  <c r="CC18" i="169"/>
  <c r="CV18" i="169"/>
  <c r="CC36" i="171"/>
  <c r="CV36" i="171"/>
  <c r="CC28" i="176"/>
  <c r="CC26" i="224"/>
  <c r="CV26" i="224"/>
  <c r="M10" i="3"/>
  <c r="R11" i="3"/>
  <c r="Q12" i="3"/>
  <c r="CV30" i="175"/>
  <c r="CC30" i="175"/>
  <c r="CC18" i="171"/>
  <c r="CV18" i="171"/>
  <c r="BH18" i="171"/>
  <c r="CG24" i="171"/>
  <c r="CV24" i="169"/>
  <c r="CC24" i="169"/>
  <c r="CC22" i="176"/>
  <c r="CV22" i="176"/>
  <c r="CV22" i="175"/>
  <c r="N14" i="3"/>
  <c r="CC20" i="176"/>
  <c r="CV20" i="176"/>
  <c r="CV28" i="13"/>
  <c r="CC28" i="13"/>
  <c r="Q15" i="3"/>
  <c r="CC22" i="169"/>
  <c r="CV22" i="169"/>
  <c r="S16" i="3"/>
  <c r="N19" i="3"/>
  <c r="M14" i="3"/>
  <c r="L13" i="3"/>
  <c r="CV24" i="176"/>
  <c r="CC24" i="176"/>
  <c r="CV36" i="168"/>
  <c r="CC36" i="168"/>
  <c r="CC18" i="175"/>
  <c r="CV18" i="175"/>
  <c r="BH18" i="175"/>
  <c r="CV28" i="176"/>
  <c r="CG30" i="13"/>
  <c r="CC18" i="224"/>
  <c r="CV18" i="224"/>
  <c r="CC22" i="171"/>
  <c r="CV22" i="171"/>
  <c r="CV34" i="175"/>
  <c r="CC34" i="175"/>
  <c r="CC36" i="176"/>
  <c r="CV36" i="176"/>
  <c r="CC30" i="171"/>
  <c r="CV30" i="171"/>
  <c r="Q18" i="3"/>
  <c r="CG18" i="13"/>
  <c r="CV32" i="223"/>
  <c r="CV34" i="224"/>
  <c r="CC34" i="224"/>
  <c r="CI22" i="167"/>
  <c r="CE22" i="167"/>
  <c r="CV22" i="167"/>
  <c r="CF22" i="167"/>
  <c r="CC22" i="167"/>
  <c r="CV34" i="13"/>
  <c r="CC34" i="13"/>
  <c r="CV30" i="169"/>
  <c r="CC30" i="169"/>
  <c r="Q16" i="3"/>
  <c r="CV30" i="167"/>
  <c r="CF30" i="167"/>
  <c r="CI30" i="167"/>
  <c r="CC30" i="167"/>
  <c r="CE30" i="167"/>
  <c r="CC22" i="168"/>
  <c r="CV22" i="168"/>
  <c r="S15" i="3"/>
  <c r="R14" i="3"/>
  <c r="R16" i="3"/>
  <c r="CG32" i="169"/>
  <c r="R19" i="3"/>
  <c r="CG22" i="171"/>
  <c r="CG34" i="175"/>
  <c r="CL18" i="169"/>
  <c r="L12" i="3"/>
  <c r="CU22" i="170"/>
  <c r="CC20" i="168"/>
  <c r="CV20" i="168"/>
  <c r="CU26" i="223"/>
  <c r="S14" i="3"/>
  <c r="CL24" i="167"/>
  <c r="CU24" i="167"/>
  <c r="L10" i="3"/>
  <c r="C174" i="3"/>
  <c r="K174" i="3"/>
  <c r="AJ45" i="153" s="1"/>
  <c r="C238" i="3"/>
  <c r="K238" i="3"/>
  <c r="C110" i="3"/>
  <c r="K110" i="3"/>
  <c r="Z38" i="166" s="1"/>
  <c r="C134" i="3"/>
  <c r="K134" i="3"/>
  <c r="S26" i="147" s="1"/>
  <c r="CL24" i="13"/>
  <c r="L15" i="3"/>
  <c r="CU24" i="13"/>
  <c r="CC30" i="224"/>
  <c r="CV30" i="224"/>
  <c r="O20" i="3"/>
  <c r="AD42" i="156" s="1"/>
  <c r="O21" i="3"/>
  <c r="CV26" i="169"/>
  <c r="CC26" i="169"/>
  <c r="C161" i="3"/>
  <c r="K161" i="3"/>
  <c r="AI35" i="148" s="1"/>
  <c r="C138" i="3"/>
  <c r="K138" i="3"/>
  <c r="AR26" i="147" s="1"/>
  <c r="C153" i="3"/>
  <c r="K153" i="3"/>
  <c r="AP19" i="148" s="1"/>
  <c r="C141" i="3"/>
  <c r="K141" i="3"/>
  <c r="C115" i="3"/>
  <c r="K115" i="3"/>
  <c r="AD42" i="166" s="1"/>
  <c r="C189" i="3"/>
  <c r="K189" i="3"/>
  <c r="AL78" i="153" s="1"/>
  <c r="K90" i="3"/>
  <c r="AU26" i="144" s="1"/>
  <c r="C90" i="3"/>
  <c r="C136" i="3"/>
  <c r="K136" i="3"/>
  <c r="AG26" i="147" s="1"/>
  <c r="K97" i="3"/>
  <c r="C97" i="3"/>
  <c r="K140" i="3"/>
  <c r="AE32" i="147" s="1"/>
  <c r="C140" i="3"/>
  <c r="C125" i="3"/>
  <c r="K125" i="3"/>
  <c r="AJ38" i="166" s="1" a="1"/>
  <c r="AJ38" i="166" s="1"/>
  <c r="K122" i="3"/>
  <c r="AD52" i="166" s="1"/>
  <c r="C122" i="3"/>
  <c r="C142" i="3"/>
  <c r="K142" i="3"/>
  <c r="AG36" i="147" s="1"/>
  <c r="C183" i="3"/>
  <c r="K183" i="3"/>
  <c r="AB63" i="153" s="1"/>
  <c r="K186" i="3"/>
  <c r="AP63" i="153" s="1"/>
  <c r="C186" i="3"/>
  <c r="C151" i="3"/>
  <c r="K151" i="3"/>
  <c r="AV15" i="148" s="1"/>
  <c r="C101" i="3"/>
  <c r="K101" i="3"/>
  <c r="AJ22" i="166" s="1"/>
  <c r="C105" i="3"/>
  <c r="K105" i="3"/>
  <c r="U28" i="166" s="1"/>
  <c r="C113" i="3"/>
  <c r="K113" i="3"/>
  <c r="U42" i="166" s="1"/>
  <c r="C160" i="3"/>
  <c r="K160" i="3"/>
  <c r="AW29" i="148" s="1"/>
  <c r="C185" i="3"/>
  <c r="K185" i="3"/>
  <c r="AM63" i="153" s="1"/>
  <c r="C200" i="3"/>
  <c r="K200" i="3"/>
  <c r="T77" i="207" s="1"/>
  <c r="C111" i="3"/>
  <c r="K111" i="3"/>
  <c r="AE38" i="166" s="1"/>
  <c r="CV34" i="223"/>
  <c r="CC34" i="223"/>
  <c r="CG18" i="224"/>
  <c r="T19" i="3"/>
  <c r="AP27" i="154" s="1"/>
  <c r="CV26" i="175"/>
  <c r="CC26" i="175"/>
  <c r="C83" i="3"/>
  <c r="K83" i="3"/>
  <c r="K16" i="154" s="1"/>
  <c r="C164" i="3"/>
  <c r="K164" i="3"/>
  <c r="AP38" i="148" s="1"/>
  <c r="C118" i="3"/>
  <c r="K118" i="3"/>
  <c r="P48" i="166" s="1"/>
  <c r="K187" i="3"/>
  <c r="AL74" i="153" s="1"/>
  <c r="C187" i="3"/>
  <c r="K84" i="3"/>
  <c r="C84" i="3"/>
  <c r="C103" i="3"/>
  <c r="K103" i="3"/>
  <c r="AU22" i="166" s="1"/>
  <c r="K116" i="3"/>
  <c r="AJ42" i="166" s="1"/>
  <c r="C116" i="3"/>
  <c r="K130" i="3"/>
  <c r="AU18" i="147" s="1"/>
  <c r="C130" i="3"/>
  <c r="C82" i="3"/>
  <c r="K82" i="3"/>
  <c r="K15" i="154" s="1"/>
  <c r="C184" i="3"/>
  <c r="K184" i="3"/>
  <c r="AJ63" i="153" s="1"/>
  <c r="C114" i="3"/>
  <c r="K114" i="3"/>
  <c r="Z42" i="166" s="1"/>
  <c r="D109" i="3"/>
  <c r="K109" i="3"/>
  <c r="AK32" i="166" s="1"/>
  <c r="CG22" i="13"/>
  <c r="T15" i="3"/>
  <c r="AP23" i="154" s="1"/>
  <c r="K175" i="3"/>
  <c r="AB51" i="153" s="1"/>
  <c r="C175" i="3"/>
  <c r="C145" i="3"/>
  <c r="K145" i="3"/>
  <c r="AG40" i="147" s="1"/>
  <c r="K219" i="3"/>
  <c r="AJ77" i="207" s="1"/>
  <c r="C219" i="3"/>
  <c r="C179" i="3"/>
  <c r="K179" i="3"/>
  <c r="U59" i="153" s="1"/>
  <c r="C232" i="3"/>
  <c r="K232" i="3"/>
  <c r="D107" i="3"/>
  <c r="K107" i="3"/>
  <c r="AK28" i="166" s="1"/>
  <c r="C135" i="3"/>
  <c r="K135" i="3"/>
  <c r="Z26" i="147" s="1"/>
  <c r="CI36" i="167"/>
  <c r="CE36" i="167"/>
  <c r="CF36" i="167"/>
  <c r="CV36" i="167"/>
  <c r="CC36" i="167"/>
  <c r="R15" i="3"/>
  <c r="C95" i="3"/>
  <c r="K95" i="3"/>
  <c r="W18" i="166" s="1"/>
  <c r="C154" i="3"/>
  <c r="K154" i="3"/>
  <c r="AS19" i="148" s="1"/>
  <c r="C133" i="3"/>
  <c r="K133" i="3"/>
  <c r="C96" i="3"/>
  <c r="K96" i="3"/>
  <c r="AJ18" i="166" s="1"/>
  <c r="C163" i="3"/>
  <c r="K163" i="3"/>
  <c r="AI38" i="148" s="1"/>
  <c r="K88" i="3"/>
  <c r="AB26" i="144" s="1"/>
  <c r="C88" i="3"/>
  <c r="C124" i="3"/>
  <c r="K124" i="3"/>
  <c r="AX56" i="166" s="1"/>
  <c r="C108" i="3"/>
  <c r="K108" i="3"/>
  <c r="AD32" i="166" s="1"/>
  <c r="C104" i="3"/>
  <c r="K104" i="3"/>
  <c r="AX22" i="166" s="1"/>
  <c r="CG20" i="223"/>
  <c r="T18" i="3"/>
  <c r="AP26" i="154" s="1"/>
  <c r="CG30" i="224"/>
  <c r="CG34" i="171"/>
  <c r="T14" i="3"/>
  <c r="AP22" i="154" s="1"/>
  <c r="S19" i="3"/>
  <c r="CL26" i="171"/>
  <c r="CU26" i="171"/>
  <c r="L14" i="3"/>
  <c r="J20" i="3"/>
  <c r="J21" i="3"/>
  <c r="T12" i="3"/>
  <c r="AP20" i="154" s="1"/>
  <c r="K217" i="3"/>
  <c r="C217" i="3"/>
  <c r="D248" i="3"/>
  <c r="K248" i="3"/>
  <c r="C216" i="3"/>
  <c r="K216" i="3"/>
  <c r="C158" i="3"/>
  <c r="K158" i="3"/>
  <c r="AI29" i="148" s="1"/>
  <c r="C117" i="3"/>
  <c r="K117" i="3"/>
  <c r="AR42" i="166" s="1"/>
  <c r="C157" i="3"/>
  <c r="K157" i="3"/>
  <c r="AP25" i="148" s="1"/>
  <c r="K188" i="3"/>
  <c r="AG78" i="153" s="1"/>
  <c r="C188" i="3"/>
  <c r="K132" i="3"/>
  <c r="AG22" i="147" s="1"/>
  <c r="C132" i="3"/>
  <c r="C131" i="3"/>
  <c r="K131" i="3"/>
  <c r="Z22" i="147" s="1"/>
  <c r="C221" i="3"/>
  <c r="K221" i="3"/>
  <c r="AP77" i="207" s="1"/>
  <c r="K176" i="3"/>
  <c r="AL51" i="153" s="1"/>
  <c r="C176" i="3"/>
  <c r="C123" i="3"/>
  <c r="K123" i="3"/>
  <c r="AD56" i="166" s="1"/>
  <c r="C129" i="3"/>
  <c r="K129" i="3"/>
  <c r="AD18" i="147" s="1"/>
  <c r="C155" i="3"/>
  <c r="K155" i="3"/>
  <c r="AV19" i="148" s="1"/>
  <c r="K182" i="3"/>
  <c r="U63" i="153" s="1"/>
  <c r="C182" i="3"/>
  <c r="C165" i="3"/>
  <c r="K165" i="3"/>
  <c r="AW38" i="148" s="1"/>
  <c r="K162" i="3"/>
  <c r="AP35" i="148" s="1"/>
  <c r="C162" i="3"/>
  <c r="K231" i="3"/>
  <c r="C231" i="3"/>
  <c r="K144" i="3"/>
  <c r="Z40" i="147" s="1"/>
  <c r="C144" i="3"/>
  <c r="C149" i="3"/>
  <c r="K149" i="3"/>
  <c r="AA15" i="148" s="1"/>
  <c r="C180" i="3"/>
  <c r="K180" i="3"/>
  <c r="AB59" i="153" s="1"/>
  <c r="CG32" i="175"/>
  <c r="CV36" i="224"/>
  <c r="CC36" i="224"/>
  <c r="CC32" i="176"/>
  <c r="CV32" i="176"/>
  <c r="D249" i="3"/>
  <c r="K249" i="3"/>
  <c r="K139" i="3"/>
  <c r="AU26" i="147" s="1"/>
  <c r="C139" i="3"/>
  <c r="C99" i="3"/>
  <c r="K99" i="3"/>
  <c r="K218" i="3"/>
  <c r="C218" i="3"/>
  <c r="C121" i="3"/>
  <c r="K121" i="3"/>
  <c r="W52" i="166" s="1"/>
  <c r="C100" i="3"/>
  <c r="K100" i="3"/>
  <c r="AG22" i="166" s="1"/>
  <c r="C177" i="3"/>
  <c r="K177" i="3"/>
  <c r="AE55" i="153" s="1"/>
  <c r="K195" i="3"/>
  <c r="AK54" i="207" s="1"/>
  <c r="C195" i="3"/>
  <c r="C194" i="3"/>
  <c r="K194" i="3"/>
  <c r="AA54" i="207" s="1"/>
  <c r="C156" i="3"/>
  <c r="K156" i="3"/>
  <c r="AI25" i="148" s="1"/>
  <c r="D247" i="3"/>
  <c r="K247" i="3"/>
  <c r="C102" i="3"/>
  <c r="K102" i="3"/>
  <c r="AR22" i="166" s="1"/>
  <c r="C220" i="3"/>
  <c r="K220" i="3"/>
  <c r="AL77" i="207" s="1"/>
  <c r="AD48" i="166"/>
  <c r="CV36" i="175"/>
  <c r="CC36" i="175"/>
  <c r="D246" i="3"/>
  <c r="K246" i="3"/>
  <c r="Q14" i="3"/>
  <c r="CG22" i="176"/>
  <c r="T17" i="3"/>
  <c r="AP25" i="154" s="1"/>
  <c r="C159" i="3"/>
  <c r="K159" i="3"/>
  <c r="AP29" i="148" s="1"/>
  <c r="C181" i="3"/>
  <c r="K181" i="3"/>
  <c r="AP59" i="153" s="1"/>
  <c r="C143" i="3"/>
  <c r="K143" i="3"/>
  <c r="S40" i="147" s="1"/>
  <c r="CL24" i="224"/>
  <c r="L19" i="3"/>
  <c r="CU24" i="224"/>
  <c r="K20" i="3"/>
  <c r="K21" i="3"/>
  <c r="AU73" i="81" s="1"/>
  <c r="T16" i="3"/>
  <c r="AP24" i="154" s="1"/>
  <c r="CV36" i="170"/>
  <c r="CC36" i="170"/>
  <c r="K120" i="3"/>
  <c r="P52" i="166" s="1"/>
  <c r="C120" i="3"/>
  <c r="C112" i="3"/>
  <c r="K112" i="3"/>
  <c r="AW38" i="166" s="1"/>
  <c r="C94" i="3"/>
  <c r="K94" i="3"/>
  <c r="AX15" i="166" s="1"/>
  <c r="K233" i="3"/>
  <c r="C233" i="3"/>
  <c r="K150" i="3"/>
  <c r="AI15" i="148" s="1"/>
  <c r="C150" i="3"/>
  <c r="C205" i="3"/>
  <c r="K205" i="3"/>
  <c r="AA77" i="207" s="1"/>
  <c r="C178" i="3"/>
  <c r="K178" i="3"/>
  <c r="AJ55" i="153" s="1"/>
  <c r="C98" i="3"/>
  <c r="K98" i="3"/>
  <c r="O22" i="166" s="1"/>
  <c r="K89" i="3"/>
  <c r="AP26" i="144" s="1"/>
  <c r="C89" i="3"/>
  <c r="C137" i="3"/>
  <c r="K137" i="3"/>
  <c r="AO26" i="147" s="1"/>
  <c r="C152" i="3"/>
  <c r="K152" i="3"/>
  <c r="C106" i="3"/>
  <c r="K106" i="3"/>
  <c r="AD28" i="166" s="1"/>
  <c r="BW26" i="171" l="1"/>
  <c r="BV26" i="171"/>
  <c r="BW26" i="223"/>
  <c r="BV26" i="223"/>
  <c r="BV24" i="167"/>
  <c r="BW24" i="167"/>
  <c r="BW24" i="13"/>
  <c r="BV24" i="13"/>
  <c r="BW24" i="224"/>
  <c r="BV24" i="224"/>
  <c r="BW32" i="175"/>
  <c r="BV32" i="175"/>
  <c r="BW22" i="170"/>
  <c r="BV22" i="170"/>
  <c r="BW18" i="176"/>
  <c r="BV18" i="176"/>
  <c r="DN18" i="168"/>
  <c r="DG18" i="168"/>
  <c r="DO18" i="168"/>
  <c r="DN20" i="167"/>
  <c r="DO20" i="167"/>
  <c r="DG20" i="167"/>
  <c r="DV20" i="167" s="1"/>
  <c r="DG18" i="167"/>
  <c r="DN18" i="167"/>
  <c r="DO18" i="167"/>
  <c r="E42" i="226" a="1"/>
  <c r="E42" i="226" s="1"/>
  <c r="D42" i="226" s="1"/>
  <c r="FL42" i="226" s="1" a="1"/>
  <c r="FL42" i="226" s="1"/>
  <c r="E19" i="226" a="1"/>
  <c r="E19" i="226" s="1"/>
  <c r="D19" i="226" s="1"/>
  <c r="FF19" i="226" s="1" a="1"/>
  <c r="FF19" i="226" s="1"/>
  <c r="E8" i="226" a="1"/>
  <c r="E8" i="226" s="1"/>
  <c r="D8" i="226" s="1"/>
  <c r="FJ8" i="226" s="1" a="1"/>
  <c r="FJ8" i="226" s="1"/>
  <c r="E61" i="226" a="1"/>
  <c r="E61" i="226" s="1"/>
  <c r="D61" i="226" s="1"/>
  <c r="FF61" i="226" s="1" a="1"/>
  <c r="FF61" i="226" s="1"/>
  <c r="E20" i="226" a="1"/>
  <c r="E20" i="226" s="1"/>
  <c r="D20" i="226" s="1"/>
  <c r="FF20" i="226" s="1" a="1"/>
  <c r="FF20" i="226" s="1"/>
  <c r="E22" i="226" a="1"/>
  <c r="E22" i="226" s="1"/>
  <c r="D22" i="226" s="1"/>
  <c r="FC22" i="226" s="1" a="1"/>
  <c r="FC22" i="226" s="1"/>
  <c r="E72" i="226" a="1"/>
  <c r="E72" i="226" s="1"/>
  <c r="D72" i="226" s="1"/>
  <c r="FA72" i="226" s="1" a="1"/>
  <c r="FA72" i="226" s="1"/>
  <c r="E99" i="226" a="1"/>
  <c r="E99" i="226" s="1"/>
  <c r="D99" i="226" s="1"/>
  <c r="FM99" i="226" s="1" a="1"/>
  <c r="FM99" i="226" s="1"/>
  <c r="E89" i="226" a="1"/>
  <c r="E89" i="226" s="1"/>
  <c r="D89" i="226" s="1"/>
  <c r="FB89" i="226" s="1" a="1"/>
  <c r="FB89" i="226" s="1"/>
  <c r="E92" i="226" a="1"/>
  <c r="E92" i="226" s="1"/>
  <c r="D92" i="226" s="1"/>
  <c r="FA92" i="226" s="1" a="1"/>
  <c r="FA92" i="226" s="1"/>
  <c r="E15" i="226" a="1"/>
  <c r="E15" i="226" s="1"/>
  <c r="D15" i="226" s="1"/>
  <c r="FM15" i="226" s="1" a="1"/>
  <c r="FM15" i="226" s="1"/>
  <c r="E63" i="226" a="1"/>
  <c r="E63" i="226" s="1"/>
  <c r="D63" i="226" s="1"/>
  <c r="FF63" i="226" s="1" a="1"/>
  <c r="FF63" i="226" s="1"/>
  <c r="E33" i="226" a="1"/>
  <c r="E33" i="226" s="1"/>
  <c r="D33" i="226" s="1"/>
  <c r="FJ33" i="226" s="1" a="1"/>
  <c r="FJ33" i="226" s="1"/>
  <c r="E49" i="226" a="1"/>
  <c r="E49" i="226" s="1"/>
  <c r="D49" i="226" s="1"/>
  <c r="FE49" i="226" s="1" a="1"/>
  <c r="FE49" i="226" s="1"/>
  <c r="E18" i="226" a="1"/>
  <c r="E18" i="226" s="1"/>
  <c r="D18" i="226" s="1"/>
  <c r="FC18" i="226" s="1" a="1"/>
  <c r="FC18" i="226" s="1"/>
  <c r="E21" i="226" a="1"/>
  <c r="E21" i="226" s="1"/>
  <c r="D21" i="226" s="1"/>
  <c r="FI21" i="226" s="1" a="1"/>
  <c r="FI21" i="226" s="1"/>
  <c r="E59" i="226" a="1"/>
  <c r="E59" i="226" s="1"/>
  <c r="D59" i="226" s="1"/>
  <c r="FE59" i="226" s="1" a="1"/>
  <c r="FE59" i="226" s="1"/>
  <c r="E104" i="226" a="1"/>
  <c r="E104" i="226" s="1"/>
  <c r="D104" i="226" s="1"/>
  <c r="FD104" i="226" s="1" a="1"/>
  <c r="FD104" i="226" s="1"/>
  <c r="CH24" i="167"/>
  <c r="K71" i="154"/>
  <c r="D93" i="3"/>
  <c r="C93" i="3"/>
  <c r="BH24" i="224"/>
  <c r="AH12" i="224" s="1"/>
  <c r="BH26" i="223"/>
  <c r="AL12" i="223" s="1"/>
  <c r="CV18" i="176"/>
  <c r="BH32" i="175"/>
  <c r="AL12" i="175" s="1"/>
  <c r="BH24" i="13"/>
  <c r="AC12" i="13" s="1"/>
  <c r="BH26" i="171"/>
  <c r="AC12" i="171" s="1"/>
  <c r="BH22" i="170"/>
  <c r="AH12" i="170" s="1"/>
  <c r="BH24" i="167"/>
  <c r="AH12" i="169"/>
  <c r="AC12" i="169"/>
  <c r="AL12" i="169"/>
  <c r="AC12" i="168"/>
  <c r="AH12" i="168"/>
  <c r="AL12" i="168"/>
  <c r="AA19" i="148"/>
  <c r="V22" i="166"/>
  <c r="K201" i="3"/>
  <c r="AI71" i="207" s="1"/>
  <c r="C214" i="3"/>
  <c r="C81" i="3"/>
  <c r="E81" i="3" s="1"/>
  <c r="E87" i="3" s="1"/>
  <c r="CG26" i="167"/>
  <c r="AB69" i="154"/>
  <c r="C202" i="3"/>
  <c r="K210" i="3"/>
  <c r="BQ68" i="207" s="1"/>
  <c r="K211" i="3"/>
  <c r="BT68" i="207" s="1"/>
  <c r="BH18" i="176"/>
  <c r="Z69" i="154"/>
  <c r="CC18" i="176"/>
  <c r="C196" i="3"/>
  <c r="E98" i="226" a="1"/>
  <c r="E98" i="226" s="1"/>
  <c r="D98" i="226" s="1"/>
  <c r="K203" i="3"/>
  <c r="K209" i="3"/>
  <c r="CK65" i="207" s="1"/>
  <c r="C204" i="3"/>
  <c r="K207" i="3"/>
  <c r="CK74" i="207" s="1"/>
  <c r="CC32" i="175"/>
  <c r="K198" i="3"/>
  <c r="T71" i="207" s="1"/>
  <c r="K199" i="3"/>
  <c r="BV71" i="207" s="1"/>
  <c r="AQ22" i="230"/>
  <c r="BD24" i="230"/>
  <c r="AQ24" i="230"/>
  <c r="W22" i="230"/>
  <c r="BD22" i="230"/>
  <c r="V11" i="3"/>
  <c r="K208" i="3"/>
  <c r="BW65" i="207" s="1" a="1"/>
  <c r="BW65" i="207" s="1"/>
  <c r="CG34" i="167"/>
  <c r="E35" i="226" a="1"/>
  <c r="E35" i="226" s="1"/>
  <c r="D35" i="226" s="1"/>
  <c r="E31" i="226" a="1"/>
  <c r="E31" i="226" s="1"/>
  <c r="D31" i="226" s="1"/>
  <c r="E94" i="226" a="1"/>
  <c r="E94" i="226" s="1"/>
  <c r="D94" i="226" s="1"/>
  <c r="E43" i="226" a="1"/>
  <c r="E43" i="226" s="1"/>
  <c r="D43" i="226" s="1"/>
  <c r="E17" i="226" a="1"/>
  <c r="E17" i="226" s="1"/>
  <c r="D17" i="226" s="1"/>
  <c r="E41" i="226" a="1"/>
  <c r="E41" i="226" s="1"/>
  <c r="D41" i="226" s="1"/>
  <c r="E112" i="226" a="1"/>
  <c r="E112" i="226" s="1"/>
  <c r="D112" i="226" s="1"/>
  <c r="E13" i="226" a="1"/>
  <c r="E13" i="226" s="1"/>
  <c r="D13" i="226" s="1"/>
  <c r="E16" i="226" a="1"/>
  <c r="E16" i="226" s="1"/>
  <c r="D16" i="226" s="1"/>
  <c r="E6" i="226" a="1"/>
  <c r="E6" i="226" s="1"/>
  <c r="D6" i="226" s="1"/>
  <c r="E111" i="226" a="1"/>
  <c r="E111" i="226" s="1"/>
  <c r="D111" i="226" s="1"/>
  <c r="E28" i="226" a="1"/>
  <c r="E28" i="226" s="1"/>
  <c r="D28" i="226" s="1"/>
  <c r="E86" i="226" a="1"/>
  <c r="E86" i="226" s="1"/>
  <c r="D86" i="226" s="1"/>
  <c r="E26" i="226" a="1"/>
  <c r="E26" i="226" s="1"/>
  <c r="D26" i="226" s="1"/>
  <c r="E45" i="226" a="1"/>
  <c r="E45" i="226" s="1"/>
  <c r="D45" i="226" s="1"/>
  <c r="E101" i="226" a="1"/>
  <c r="E101" i="226" s="1"/>
  <c r="D101" i="226" s="1"/>
  <c r="E66" i="226" a="1"/>
  <c r="E66" i="226" s="1"/>
  <c r="D66" i="226" s="1"/>
  <c r="E71" i="226" a="1"/>
  <c r="E71" i="226" s="1"/>
  <c r="D71" i="226" s="1"/>
  <c r="E75" i="226" a="1"/>
  <c r="E75" i="226" s="1"/>
  <c r="D75" i="226" s="1"/>
  <c r="E10" i="226" a="1"/>
  <c r="E10" i="226" s="1"/>
  <c r="D10" i="226" s="1"/>
  <c r="E32" i="226" a="1"/>
  <c r="E32" i="226" s="1"/>
  <c r="D32" i="226" s="1"/>
  <c r="E70" i="226" a="1"/>
  <c r="E70" i="226" s="1"/>
  <c r="D70" i="226" s="1"/>
  <c r="E64" i="226" a="1"/>
  <c r="E64" i="226" s="1"/>
  <c r="D64" i="226" s="1"/>
  <c r="E48" i="226" a="1"/>
  <c r="E48" i="226" s="1"/>
  <c r="D48" i="226" s="1"/>
  <c r="E68" i="226" a="1"/>
  <c r="E68" i="226" s="1"/>
  <c r="D68" i="226" s="1"/>
  <c r="E53" i="226" a="1"/>
  <c r="E53" i="226" s="1"/>
  <c r="D53" i="226" s="1"/>
  <c r="E51" i="226" a="1"/>
  <c r="E51" i="226" s="1"/>
  <c r="D51" i="226" s="1"/>
  <c r="E60" i="226" a="1"/>
  <c r="E60" i="226" s="1"/>
  <c r="D60" i="226" s="1"/>
  <c r="E55" i="226" a="1"/>
  <c r="E55" i="226" s="1"/>
  <c r="D55" i="226" s="1"/>
  <c r="E37" i="226" a="1"/>
  <c r="E37" i="226" s="1"/>
  <c r="D37" i="226" s="1"/>
  <c r="E27" i="226" a="1"/>
  <c r="E27" i="226" s="1"/>
  <c r="D27" i="226" s="1"/>
  <c r="E108" i="226" a="1"/>
  <c r="E108" i="226" s="1"/>
  <c r="D108" i="226" s="1"/>
  <c r="E23" i="226" a="1"/>
  <c r="E23" i="226" s="1"/>
  <c r="D23" i="226" s="1"/>
  <c r="N21" i="3"/>
  <c r="E56" i="226" a="1"/>
  <c r="E56" i="226" s="1"/>
  <c r="D56" i="226" s="1"/>
  <c r="E95" i="226" a="1"/>
  <c r="E95" i="226" s="1"/>
  <c r="D95" i="226" s="1"/>
  <c r="E5" i="226" a="1"/>
  <c r="E5" i="226" s="1"/>
  <c r="D5" i="226" s="1"/>
  <c r="E50" i="226" a="1"/>
  <c r="E50" i="226" s="1"/>
  <c r="D50" i="226" s="1"/>
  <c r="E29" i="226" a="1"/>
  <c r="E29" i="226" s="1"/>
  <c r="D29" i="226" s="1"/>
  <c r="E76" i="226" a="1"/>
  <c r="E76" i="226" s="1"/>
  <c r="D76" i="226" s="1"/>
  <c r="E11" i="226" a="1"/>
  <c r="E11" i="226" s="1"/>
  <c r="D11" i="226" s="1"/>
  <c r="E46" i="226" a="1"/>
  <c r="E46" i="226" s="1"/>
  <c r="D46" i="226" s="1"/>
  <c r="E100" i="226" a="1"/>
  <c r="E100" i="226" s="1"/>
  <c r="D100" i="226" s="1"/>
  <c r="E109" i="226" a="1"/>
  <c r="E109" i="226" s="1"/>
  <c r="D109" i="226" s="1"/>
  <c r="E24" i="226" a="1"/>
  <c r="E24" i="226" s="1"/>
  <c r="D24" i="226" s="1"/>
  <c r="E93" i="226" a="1"/>
  <c r="E93" i="226" s="1"/>
  <c r="D93" i="226" s="1"/>
  <c r="E87" i="226" a="1"/>
  <c r="E87" i="226" s="1"/>
  <c r="D87" i="226" s="1"/>
  <c r="E67" i="226" a="1"/>
  <c r="E67" i="226" s="1"/>
  <c r="D67" i="226" s="1"/>
  <c r="E90" i="226" a="1"/>
  <c r="E90" i="226" s="1"/>
  <c r="D90" i="226" s="1"/>
  <c r="E103" i="226" a="1"/>
  <c r="E103" i="226" s="1"/>
  <c r="D103" i="226" s="1"/>
  <c r="E83" i="226" a="1"/>
  <c r="E83" i="226" s="1"/>
  <c r="D83" i="226" s="1"/>
  <c r="E38" i="226" a="1"/>
  <c r="E38" i="226" s="1"/>
  <c r="D38" i="226" s="1"/>
  <c r="E85" i="226" a="1"/>
  <c r="E85" i="226" s="1"/>
  <c r="D85" i="226" s="1"/>
  <c r="E44" i="226" a="1"/>
  <c r="E44" i="226" s="1"/>
  <c r="D44" i="226" s="1"/>
  <c r="E79" i="226" a="1"/>
  <c r="E79" i="226" s="1"/>
  <c r="D79" i="226" s="1"/>
  <c r="E74" i="226" a="1"/>
  <c r="E74" i="226" s="1"/>
  <c r="D74" i="226" s="1"/>
  <c r="E30" i="226" a="1"/>
  <c r="E30" i="226" s="1"/>
  <c r="D30" i="226" s="1"/>
  <c r="E54" i="226" a="1"/>
  <c r="E54" i="226" s="1"/>
  <c r="D54" i="226" s="1"/>
  <c r="E78" i="226" a="1"/>
  <c r="E78" i="226" s="1"/>
  <c r="D78" i="226" s="1"/>
  <c r="E84" i="226" a="1"/>
  <c r="E84" i="226" s="1"/>
  <c r="D84" i="226" s="1"/>
  <c r="E107" i="226" a="1"/>
  <c r="E107" i="226" s="1"/>
  <c r="D107" i="226" s="1"/>
  <c r="E97" i="226" a="1"/>
  <c r="E97" i="226" s="1"/>
  <c r="D97" i="226" s="1"/>
  <c r="E110" i="226" a="1"/>
  <c r="E110" i="226" s="1"/>
  <c r="D110" i="226" s="1"/>
  <c r="E73" i="226" a="1"/>
  <c r="E73" i="226" s="1"/>
  <c r="D73" i="226" s="1"/>
  <c r="E88" i="226" a="1"/>
  <c r="E88" i="226" s="1"/>
  <c r="D88" i="226" s="1"/>
  <c r="E82" i="226" a="1"/>
  <c r="E82" i="226" s="1"/>
  <c r="D82" i="226" s="1"/>
  <c r="E57" i="226" a="1"/>
  <c r="E57" i="226" s="1"/>
  <c r="D57" i="226" s="1"/>
  <c r="E9" i="226" a="1"/>
  <c r="E9" i="226" s="1"/>
  <c r="D9" i="226" s="1"/>
  <c r="E65" i="226" a="1"/>
  <c r="E65" i="226" s="1"/>
  <c r="D65" i="226" s="1"/>
  <c r="E34" i="226" a="1"/>
  <c r="E34" i="226" s="1"/>
  <c r="D34" i="226" s="1"/>
  <c r="E40" i="226" a="1"/>
  <c r="E40" i="226" s="1"/>
  <c r="D40" i="226" s="1"/>
  <c r="E105" i="226" a="1"/>
  <c r="E105" i="226" s="1"/>
  <c r="D105" i="226" s="1"/>
  <c r="E12" i="226" a="1"/>
  <c r="E12" i="226" s="1"/>
  <c r="D12" i="226" s="1"/>
  <c r="K197" i="3"/>
  <c r="CK62" i="207" s="1"/>
  <c r="C213" i="3"/>
  <c r="C215" i="3"/>
  <c r="N20" i="3"/>
  <c r="CV32" i="175"/>
  <c r="C206" i="3"/>
  <c r="K212" i="3"/>
  <c r="BW68" i="207" s="1"/>
  <c r="P49" i="230"/>
  <c r="V15" i="3"/>
  <c r="P43" i="230"/>
  <c r="V12" i="3"/>
  <c r="P41" i="230"/>
  <c r="P51" i="230"/>
  <c r="V16" i="3"/>
  <c r="P47" i="230"/>
  <c r="V14" i="3"/>
  <c r="P53" i="230"/>
  <c r="V17" i="3"/>
  <c r="P57" i="230"/>
  <c r="V19" i="3"/>
  <c r="P45" i="230"/>
  <c r="V13" i="3"/>
  <c r="P55" i="230"/>
  <c r="V18" i="3"/>
  <c r="M20" i="3"/>
  <c r="Z42" i="156" s="1"/>
  <c r="CG36" i="167"/>
  <c r="CG32" i="167"/>
  <c r="M21" i="3"/>
  <c r="Z43" i="156" s="1"/>
  <c r="CG28" i="167"/>
  <c r="CG30" i="167"/>
  <c r="CV22" i="170"/>
  <c r="CC22" i="170"/>
  <c r="CC26" i="223"/>
  <c r="CV26" i="223"/>
  <c r="CG22" i="167"/>
  <c r="C148" i="3"/>
  <c r="E148" i="3" s="1"/>
  <c r="U43" i="154" s="1"/>
  <c r="C173" i="3"/>
  <c r="E173" i="3" s="1"/>
  <c r="L77" i="81" s="1"/>
  <c r="Z214" i="221"/>
  <c r="Z202" i="221"/>
  <c r="Z210" i="221"/>
  <c r="AU22" i="147"/>
  <c r="BU22" i="147"/>
  <c r="AX18" i="166"/>
  <c r="CB18" i="166"/>
  <c r="CJ71" i="207"/>
  <c r="AO71" i="207"/>
  <c r="AP68" i="207"/>
  <c r="CK68" i="207"/>
  <c r="K40" i="154"/>
  <c r="Z36" i="147"/>
  <c r="BQ62" i="207"/>
  <c r="AA62" i="207"/>
  <c r="AM68" i="207"/>
  <c r="CH68" i="207"/>
  <c r="AA101" i="153"/>
  <c r="AA110" i="207"/>
  <c r="AK210" i="221"/>
  <c r="AK214" i="221"/>
  <c r="AK202" i="221"/>
  <c r="L20" i="3"/>
  <c r="L21" i="3"/>
  <c r="H2" i="3" s="1"/>
  <c r="AP110" i="207"/>
  <c r="AP101" i="153"/>
  <c r="CV24" i="13"/>
  <c r="CC24" i="13"/>
  <c r="CV24" i="167"/>
  <c r="CE24" i="167"/>
  <c r="CI24" i="167"/>
  <c r="CC24" i="167"/>
  <c r="CF24" i="167"/>
  <c r="CV26" i="171"/>
  <c r="CC26" i="171"/>
  <c r="CE68" i="207"/>
  <c r="AJ68" i="207"/>
  <c r="CV24" i="224"/>
  <c r="CC24" i="224"/>
  <c r="AP201" i="221"/>
  <c r="AP200" i="221"/>
  <c r="AP214" i="221"/>
  <c r="AP202" i="221"/>
  <c r="H1" i="3"/>
  <c r="AU72" i="81"/>
  <c r="AI74" i="207"/>
  <c r="CD74" i="207"/>
  <c r="BW74" i="207"/>
  <c r="AD43" i="156"/>
  <c r="BS56" i="14"/>
  <c r="P56" i="14"/>
  <c r="AL40" i="221"/>
  <c r="D237" i="3"/>
  <c r="C128" i="3"/>
  <c r="E128" i="3" s="1"/>
  <c r="AK101" i="153"/>
  <c r="AK110" i="207"/>
  <c r="C237" i="3"/>
  <c r="EN18" i="168" l="1"/>
  <c r="DY18" i="168"/>
  <c r="EM18" i="168"/>
  <c r="DX18" i="168"/>
  <c r="EK18" i="168"/>
  <c r="DV18" i="168"/>
  <c r="DW18" i="168"/>
  <c r="EL18" i="168"/>
  <c r="DW20" i="167"/>
  <c r="DW18" i="167"/>
  <c r="EM20" i="167"/>
  <c r="EL20" i="167"/>
  <c r="EK20" i="167"/>
  <c r="EN20" i="167"/>
  <c r="DY20" i="167"/>
  <c r="EM18" i="167"/>
  <c r="EL18" i="167"/>
  <c r="EK18" i="167"/>
  <c r="DY18" i="167"/>
  <c r="EN18" i="167"/>
  <c r="BX19" i="226"/>
  <c r="B61" i="226"/>
  <c r="CA61" i="226"/>
  <c r="CA15" i="226"/>
  <c r="BR19" i="226" a="1"/>
  <c r="BR19" i="226" s="1"/>
  <c r="AK61" i="226" a="1"/>
  <c r="AK61" i="226" s="1"/>
  <c r="AP61" i="226" a="1"/>
  <c r="AP61" i="226" s="1"/>
  <c r="ES61" i="226"/>
  <c r="AG61" i="226" a="1"/>
  <c r="AG61" i="226" s="1"/>
  <c r="DT61" i="226"/>
  <c r="DP61" i="226"/>
  <c r="DR61" i="226"/>
  <c r="BX42" i="226"/>
  <c r="DH42" i="226"/>
  <c r="AQ42" i="226" a="1"/>
  <c r="AQ42" i="226" s="1"/>
  <c r="AS42" i="226" a="1"/>
  <c r="AS42" i="226" s="1"/>
  <c r="BP42" i="226" a="1"/>
  <c r="BP42" i="226" s="1"/>
  <c r="AN42" i="226" a="1"/>
  <c r="AN42" i="226" s="1"/>
  <c r="AL42" i="226" s="1"/>
  <c r="CB42" i="226"/>
  <c r="BZ42" i="226"/>
  <c r="A42" i="226"/>
  <c r="B42" i="226"/>
  <c r="CC15" i="226"/>
  <c r="BR42" i="226" a="1"/>
  <c r="BR42" i="226" s="1"/>
  <c r="DT42" i="226"/>
  <c r="BY42" i="226" a="1"/>
  <c r="BY42" i="226" s="1"/>
  <c r="DR42" i="226"/>
  <c r="DL42" i="226"/>
  <c r="BU42" i="226" a="1"/>
  <c r="BU42" i="226" s="1"/>
  <c r="BS42" i="226" a="1"/>
  <c r="BS42" i="226" s="1"/>
  <c r="BT42" i="226" a="1"/>
  <c r="BT42" i="226" s="1"/>
  <c r="BV42" i="226" a="1"/>
  <c r="BV42" i="226" s="1"/>
  <c r="C42" i="226" a="1"/>
  <c r="C42" i="226" s="1"/>
  <c r="G42" i="226" s="1"/>
  <c r="DN42" i="226"/>
  <c r="DF42" i="226"/>
  <c r="AJ42" i="226"/>
  <c r="DP42" i="226"/>
  <c r="AI42" i="226" a="1"/>
  <c r="AI42" i="226" s="1"/>
  <c r="DJ42" i="226"/>
  <c r="CS42" i="226" a="1"/>
  <c r="CS42" i="226" s="1"/>
  <c r="CC42" i="226"/>
  <c r="DL61" i="226"/>
  <c r="AN61" i="226" a="1"/>
  <c r="AN61" i="226" s="1"/>
  <c r="AL61" i="226" s="1"/>
  <c r="CC61" i="226"/>
  <c r="CB61" i="226"/>
  <c r="BV61" i="226" a="1"/>
  <c r="BV61" i="226" s="1"/>
  <c r="DH61" i="226"/>
  <c r="AR61" i="226" a="1"/>
  <c r="AR61" i="226" s="1"/>
  <c r="CT61" i="226" a="1"/>
  <c r="CT61" i="226" s="1"/>
  <c r="AI61" i="226" a="1"/>
  <c r="AI61" i="226" s="1"/>
  <c r="W61" i="226" a="1"/>
  <c r="W61" i="226" s="1"/>
  <c r="BS61" i="226" a="1"/>
  <c r="BS61" i="226" s="1"/>
  <c r="CS61" i="226" a="1"/>
  <c r="CS61" i="226" s="1"/>
  <c r="BT61" i="226" a="1"/>
  <c r="BT61" i="226" s="1"/>
  <c r="EX61" i="226"/>
  <c r="DH15" i="226"/>
  <c r="CT15" i="226" a="1"/>
  <c r="CT15" i="226" s="1"/>
  <c r="AJ61" i="226"/>
  <c r="DF61" i="226"/>
  <c r="BP61" i="226" a="1"/>
  <c r="BP61" i="226" s="1"/>
  <c r="X61" i="226" a="1"/>
  <c r="X61" i="226" s="1"/>
  <c r="AH61" i="226" a="1"/>
  <c r="AH61" i="226" s="1"/>
  <c r="BR61" i="226" a="1"/>
  <c r="BR61" i="226" s="1"/>
  <c r="BZ61" i="226"/>
  <c r="AQ61" i="226" a="1"/>
  <c r="AQ61" i="226" s="1"/>
  <c r="EM61" i="226" a="1"/>
  <c r="EM61" i="226" s="1"/>
  <c r="DJ61" i="226"/>
  <c r="BY61" i="226" a="1"/>
  <c r="BY61" i="226" s="1"/>
  <c r="A61" i="226"/>
  <c r="EQ61" i="226" a="1"/>
  <c r="EQ61" i="226" s="1"/>
  <c r="AS61" i="226" a="1"/>
  <c r="AS61" i="226" s="1"/>
  <c r="C61" i="226" a="1"/>
  <c r="C61" i="226" s="1"/>
  <c r="H61" i="226" s="1"/>
  <c r="AO61" i="226" a="1"/>
  <c r="AO61" i="226" s="1"/>
  <c r="DN61" i="226"/>
  <c r="EE61" i="226" a="1"/>
  <c r="EE61" i="226" s="1"/>
  <c r="AK42" i="226" a="1"/>
  <c r="AK42" i="226" s="1"/>
  <c r="CT42" i="226" a="1"/>
  <c r="CT42" i="226" s="1"/>
  <c r="EP42" i="226" a="1"/>
  <c r="EP42" i="226" s="1"/>
  <c r="DX61" i="226" a="1"/>
  <c r="DX61" i="226" s="1"/>
  <c r="BW61" i="226"/>
  <c r="BU61" i="226" a="1"/>
  <c r="BU61" i="226" s="1"/>
  <c r="BX61" i="226"/>
  <c r="CD61" i="226"/>
  <c r="BY72" i="226" a="1"/>
  <c r="BY72" i="226" s="1"/>
  <c r="AO42" i="226" a="1"/>
  <c r="AO42" i="226" s="1"/>
  <c r="AM61" i="226"/>
  <c r="CU42" i="226" a="1"/>
  <c r="CU42" i="226" s="1"/>
  <c r="EG61" i="226" a="1"/>
  <c r="EG61" i="226" s="1"/>
  <c r="AH42" i="226" a="1"/>
  <c r="AH42" i="226" s="1"/>
  <c r="W42" i="226" a="1"/>
  <c r="W42" i="226" s="1"/>
  <c r="AM42" i="226"/>
  <c r="EO19" i="226" a="1"/>
  <c r="EO19" i="226" s="1"/>
  <c r="AS19" i="226" a="1"/>
  <c r="AS19" i="226" s="1"/>
  <c r="CA19" i="226"/>
  <c r="CD19" i="226"/>
  <c r="CU72" i="226" a="1"/>
  <c r="CU72" i="226" s="1"/>
  <c r="AK19" i="226" a="1"/>
  <c r="AK19" i="226" s="1"/>
  <c r="EC61" i="226" a="1"/>
  <c r="EC61" i="226" s="1"/>
  <c r="AQ15" i="226" a="1"/>
  <c r="AQ15" i="226" s="1"/>
  <c r="DT19" i="226"/>
  <c r="EJ61" i="226" a="1"/>
  <c r="EJ61" i="226" s="1"/>
  <c r="AJ15" i="226"/>
  <c r="AQ19" i="226" a="1"/>
  <c r="AQ19" i="226" s="1"/>
  <c r="BV19" i="226" a="1"/>
  <c r="BV19" i="226" s="1"/>
  <c r="DF19" i="226"/>
  <c r="CB72" i="226"/>
  <c r="CS72" i="226" a="1"/>
  <c r="CS72" i="226" s="1"/>
  <c r="DR72" i="226"/>
  <c r="AH72" i="226" a="1"/>
  <c r="AH72" i="226" s="1"/>
  <c r="AQ72" i="226" a="1"/>
  <c r="AQ72" i="226" s="1"/>
  <c r="BR72" i="226" a="1"/>
  <c r="BR72" i="226" s="1"/>
  <c r="CT72" i="226" a="1"/>
  <c r="CT72" i="226" s="1"/>
  <c r="CA72" i="226"/>
  <c r="DL72" i="226"/>
  <c r="AJ72" i="226"/>
  <c r="CC72" i="226"/>
  <c r="AO72" i="226" a="1"/>
  <c r="AO72" i="226" s="1"/>
  <c r="BX72" i="226"/>
  <c r="EQ72" i="226" a="1"/>
  <c r="EQ72" i="226" s="1"/>
  <c r="CD72" i="226"/>
  <c r="DN72" i="226"/>
  <c r="AI72" i="226" a="1"/>
  <c r="AI72" i="226" s="1"/>
  <c r="BY99" i="226" a="1"/>
  <c r="BY99" i="226" s="1"/>
  <c r="ED99" i="226" a="1"/>
  <c r="ED99" i="226" s="1"/>
  <c r="BZ72" i="226"/>
  <c r="DJ72" i="226"/>
  <c r="DY72" i="226" a="1"/>
  <c r="DY72" i="226" s="1"/>
  <c r="AG72" i="226" a="1"/>
  <c r="AG72" i="226" s="1"/>
  <c r="AK72" i="226" a="1"/>
  <c r="AK72" i="226" s="1"/>
  <c r="BT72" i="226" a="1"/>
  <c r="BT72" i="226" s="1"/>
  <c r="EU72" i="226"/>
  <c r="DP72" i="226"/>
  <c r="AR72" i="226" a="1"/>
  <c r="AR72" i="226" s="1"/>
  <c r="EG72" i="226" a="1"/>
  <c r="EG72" i="226" s="1"/>
  <c r="FK72" i="226" a="1"/>
  <c r="FK72" i="226" s="1"/>
  <c r="AP15" i="226" a="1"/>
  <c r="AP15" i="226" s="1"/>
  <c r="AT42" i="226" a="1"/>
  <c r="AT42" i="226" s="1"/>
  <c r="AT61" i="226" a="1"/>
  <c r="AT61" i="226" s="1"/>
  <c r="EB72" i="226" a="1"/>
  <c r="EB72" i="226" s="1"/>
  <c r="DV61" i="226" a="1"/>
  <c r="DV61" i="226" s="1"/>
  <c r="EL61" i="226" a="1"/>
  <c r="EL61" i="226" s="1"/>
  <c r="EN61" i="226" a="1"/>
  <c r="EN61" i="226" s="1"/>
  <c r="EY61" i="226"/>
  <c r="DZ61" i="226" a="1"/>
  <c r="DZ61" i="226" s="1"/>
  <c r="EB61" i="226" a="1"/>
  <c r="EB61" i="226" s="1"/>
  <c r="EV61" i="226"/>
  <c r="V61" i="226" a="1"/>
  <c r="V61" i="226" s="1"/>
  <c r="DY61" i="226" a="1"/>
  <c r="DY61" i="226" s="1"/>
  <c r="EI61" i="226" a="1"/>
  <c r="EI61" i="226" s="1"/>
  <c r="ER61" i="226"/>
  <c r="FG61" i="226" a="1"/>
  <c r="FG61" i="226" s="1"/>
  <c r="X19" i="226" a="1"/>
  <c r="X19" i="226" s="1"/>
  <c r="EA19" i="226" a="1"/>
  <c r="EA19" i="226" s="1"/>
  <c r="EJ19" i="226" a="1"/>
  <c r="EJ19" i="226" s="1"/>
  <c r="BR20" i="226" a="1"/>
  <c r="BR20" i="226" s="1"/>
  <c r="DP20" i="226"/>
  <c r="EL72" i="226" a="1"/>
  <c r="EL72" i="226" s="1"/>
  <c r="FG42" i="226" a="1"/>
  <c r="FG42" i="226" s="1"/>
  <c r="EN72" i="226" a="1"/>
  <c r="EN72" i="226" s="1"/>
  <c r="FL72" i="226" a="1"/>
  <c r="FL72" i="226" s="1"/>
  <c r="CD42" i="226"/>
  <c r="BW42" i="226"/>
  <c r="CA42" i="226"/>
  <c r="B72" i="226"/>
  <c r="X42" i="226" a="1"/>
  <c r="X42" i="226" s="1"/>
  <c r="AT72" i="226" a="1"/>
  <c r="AT72" i="226" s="1"/>
  <c r="DW72" i="226" a="1"/>
  <c r="DW72" i="226" s="1"/>
  <c r="EW72" i="226"/>
  <c r="V42" i="226" a="1"/>
  <c r="V42" i="226" s="1"/>
  <c r="DZ72" i="226" a="1"/>
  <c r="DZ72" i="226" s="1"/>
  <c r="ED72" i="226" a="1"/>
  <c r="ED72" i="226" s="1"/>
  <c r="EX72" i="226"/>
  <c r="DU61" i="226" a="1"/>
  <c r="DU61" i="226" s="1"/>
  <c r="EO61" i="226" a="1"/>
  <c r="EO61" i="226" s="1"/>
  <c r="ED61" i="226" a="1"/>
  <c r="ED61" i="226" s="1"/>
  <c r="ET61" i="226"/>
  <c r="EZ61" i="226" a="1"/>
  <c r="EZ61" i="226" s="1"/>
  <c r="FD61" i="226" a="1"/>
  <c r="FD61" i="226" s="1"/>
  <c r="CU61" i="226" a="1"/>
  <c r="CU61" i="226" s="1"/>
  <c r="EJ72" i="226" a="1"/>
  <c r="EJ72" i="226" s="1"/>
  <c r="ET72" i="226"/>
  <c r="EA61" i="226" a="1"/>
  <c r="EA61" i="226" s="1"/>
  <c r="DW61" i="226" a="1"/>
  <c r="DW61" i="226" s="1"/>
  <c r="EP61" i="226" a="1"/>
  <c r="EP61" i="226" s="1"/>
  <c r="EW61" i="226"/>
  <c r="EW42" i="226"/>
  <c r="FJ15" i="226" a="1"/>
  <c r="FJ15" i="226" s="1"/>
  <c r="FE61" i="226" a="1"/>
  <c r="FE61" i="226" s="1"/>
  <c r="DV72" i="226" a="1"/>
  <c r="DV72" i="226" s="1"/>
  <c r="EI72" i="226" a="1"/>
  <c r="EI72" i="226" s="1"/>
  <c r="EF61" i="226" a="1"/>
  <c r="EF61" i="226" s="1"/>
  <c r="EH61" i="226" a="1"/>
  <c r="EH61" i="226" s="1"/>
  <c r="EK61" i="226" a="1"/>
  <c r="EK61" i="226" s="1"/>
  <c r="EU61" i="226"/>
  <c r="ES19" i="226"/>
  <c r="FB61" i="226" a="1"/>
  <c r="FB61" i="226" s="1"/>
  <c r="ET42" i="226"/>
  <c r="FI42" i="226" a="1"/>
  <c r="FI42" i="226" s="1"/>
  <c r="EG20" i="226" a="1"/>
  <c r="EG20" i="226" s="1"/>
  <c r="EO42" i="226" a="1"/>
  <c r="EO42" i="226" s="1"/>
  <c r="FM42" i="226" a="1"/>
  <c r="FM42" i="226" s="1"/>
  <c r="DV42" i="226" a="1"/>
  <c r="DV42" i="226" s="1"/>
  <c r="FE42" i="226" a="1"/>
  <c r="FE42" i="226" s="1"/>
  <c r="DZ42" i="226" a="1"/>
  <c r="DZ42" i="226" s="1"/>
  <c r="DY42" i="226" a="1"/>
  <c r="DY42" i="226" s="1"/>
  <c r="DV19" i="226" a="1"/>
  <c r="DV19" i="226" s="1"/>
  <c r="EI99" i="226" a="1"/>
  <c r="EI99" i="226" s="1"/>
  <c r="EA15" i="226" a="1"/>
  <c r="EA15" i="226" s="1"/>
  <c r="FE19" i="226" a="1"/>
  <c r="FE19" i="226" s="1"/>
  <c r="BP99" i="226" a="1"/>
  <c r="BP99" i="226" s="1"/>
  <c r="BT19" i="226" a="1"/>
  <c r="BT19" i="226" s="1"/>
  <c r="DX15" i="226" a="1"/>
  <c r="DX15" i="226" s="1"/>
  <c r="FI19" i="226" a="1"/>
  <c r="FI19" i="226" s="1"/>
  <c r="X15" i="226" a="1"/>
  <c r="X15" i="226" s="1"/>
  <c r="EL19" i="226" a="1"/>
  <c r="EL19" i="226" s="1"/>
  <c r="X72" i="226" a="1"/>
  <c r="X72" i="226" s="1"/>
  <c r="DU72" i="226" a="1"/>
  <c r="DU72" i="226" s="1"/>
  <c r="EE72" i="226" a="1"/>
  <c r="EE72" i="226" s="1"/>
  <c r="EO72" i="226" a="1"/>
  <c r="EO72" i="226" s="1"/>
  <c r="DY19" i="226" a="1"/>
  <c r="DY19" i="226" s="1"/>
  <c r="ER19" i="226"/>
  <c r="FG19" i="226" a="1"/>
  <c r="FG19" i="226" s="1"/>
  <c r="DW15" i="226" a="1"/>
  <c r="DW15" i="226" s="1"/>
  <c r="FG72" i="226" a="1"/>
  <c r="FG72" i="226" s="1"/>
  <c r="BZ15" i="226"/>
  <c r="AS72" i="226" a="1"/>
  <c r="AS72" i="226" s="1"/>
  <c r="DT72" i="226"/>
  <c r="BV72" i="226" a="1"/>
  <c r="BV72" i="226" s="1"/>
  <c r="DH72" i="226"/>
  <c r="CC19" i="226"/>
  <c r="AP72" i="226" a="1"/>
  <c r="AP72" i="226" s="1"/>
  <c r="DX72" i="226" a="1"/>
  <c r="DX72" i="226" s="1"/>
  <c r="EC72" i="226" a="1"/>
  <c r="EC72" i="226" s="1"/>
  <c r="EF72" i="226" a="1"/>
  <c r="EF72" i="226" s="1"/>
  <c r="EP72" i="226" a="1"/>
  <c r="EP72" i="226" s="1"/>
  <c r="EO15" i="226" a="1"/>
  <c r="EO15" i="226" s="1"/>
  <c r="EE19" i="226" a="1"/>
  <c r="EE19" i="226" s="1"/>
  <c r="FE72" i="226" a="1"/>
  <c r="FE72" i="226" s="1"/>
  <c r="AO15" i="226" a="1"/>
  <c r="AO15" i="226" s="1"/>
  <c r="DR15" i="226"/>
  <c r="AG19" i="226" a="1"/>
  <c r="AG19" i="226" s="1"/>
  <c r="CS19" i="226" a="1"/>
  <c r="CS19" i="226" s="1"/>
  <c r="DF72" i="226"/>
  <c r="BW72" i="226"/>
  <c r="BU72" i="226" a="1"/>
  <c r="BU72" i="226" s="1"/>
  <c r="BP72" i="226" a="1"/>
  <c r="BP72" i="226" s="1"/>
  <c r="AM72" i="226"/>
  <c r="V72" i="226" a="1"/>
  <c r="V72" i="226" s="1"/>
  <c r="EK72" i="226" a="1"/>
  <c r="EK72" i="226" s="1"/>
  <c r="EA72" i="226" a="1"/>
  <c r="EA72" i="226" s="1"/>
  <c r="EM72" i="226" a="1"/>
  <c r="EM72" i="226" s="1"/>
  <c r="ES72" i="226"/>
  <c r="EH15" i="226" a="1"/>
  <c r="EH15" i="226" s="1"/>
  <c r="DW19" i="226" a="1"/>
  <c r="DW19" i="226" s="1"/>
  <c r="FL19" i="226" a="1"/>
  <c r="FL19" i="226" s="1"/>
  <c r="FM72" i="226" a="1"/>
  <c r="FM72" i="226" s="1"/>
  <c r="FG15" i="226" a="1"/>
  <c r="FG15" i="226" s="1"/>
  <c r="FF72" i="226" a="1"/>
  <c r="FF72" i="226" s="1"/>
  <c r="BS72" i="226" a="1"/>
  <c r="BS72" i="226" s="1"/>
  <c r="A72" i="226"/>
  <c r="AN72" i="226" a="1"/>
  <c r="AN72" i="226" s="1"/>
  <c r="AL72" i="226" s="1"/>
  <c r="C72" i="226" a="1"/>
  <c r="C72" i="226" s="1"/>
  <c r="L72" i="226" s="1"/>
  <c r="AR19" i="226" a="1"/>
  <c r="AR19" i="226" s="1"/>
  <c r="W72" i="226" a="1"/>
  <c r="W72" i="226" s="1"/>
  <c r="ER72" i="226"/>
  <c r="EY72" i="226"/>
  <c r="EH72" i="226" a="1"/>
  <c r="EH72" i="226" s="1"/>
  <c r="EV72" i="226"/>
  <c r="EP19" i="226" a="1"/>
  <c r="EP19" i="226" s="1"/>
  <c r="ET19" i="226"/>
  <c r="FH99" i="226" a="1"/>
  <c r="FH99" i="226" s="1"/>
  <c r="FH19" i="226" a="1"/>
  <c r="FH19" i="226" s="1"/>
  <c r="AP42" i="226" a="1"/>
  <c r="AP42" i="226" s="1"/>
  <c r="DW42" i="226" a="1"/>
  <c r="DW42" i="226" s="1"/>
  <c r="DU42" i="226" a="1"/>
  <c r="DU42" i="226" s="1"/>
  <c r="ED42" i="226" a="1"/>
  <c r="ED42" i="226" s="1"/>
  <c r="EV42" i="226"/>
  <c r="FD42" i="226" a="1"/>
  <c r="FD42" i="226" s="1"/>
  <c r="FA42" i="226" a="1"/>
  <c r="FA42" i="226" s="1"/>
  <c r="AR42" i="226" a="1"/>
  <c r="AR42" i="226" s="1"/>
  <c r="EB42" i="226" a="1"/>
  <c r="EB42" i="226" s="1"/>
  <c r="EN42" i="226" a="1"/>
  <c r="EN42" i="226" s="1"/>
  <c r="EJ42" i="226" a="1"/>
  <c r="EJ42" i="226" s="1"/>
  <c r="EU42" i="226"/>
  <c r="EZ42" i="226" a="1"/>
  <c r="EZ42" i="226" s="1"/>
  <c r="FF42" i="226" a="1"/>
  <c r="FF42" i="226" s="1"/>
  <c r="EF42" i="226" a="1"/>
  <c r="EF42" i="226" s="1"/>
  <c r="EI42" i="226" a="1"/>
  <c r="EI42" i="226" s="1"/>
  <c r="EE42" i="226" a="1"/>
  <c r="EE42" i="226" s="1"/>
  <c r="EY42" i="226"/>
  <c r="FH42" i="226" a="1"/>
  <c r="FH42" i="226" s="1"/>
  <c r="FJ42" i="226" a="1"/>
  <c r="FJ42" i="226" s="1"/>
  <c r="EA42" i="226" a="1"/>
  <c r="EA42" i="226" s="1"/>
  <c r="EQ42" i="226" a="1"/>
  <c r="EQ42" i="226" s="1"/>
  <c r="EK42" i="226" a="1"/>
  <c r="EK42" i="226" s="1"/>
  <c r="ES42" i="226"/>
  <c r="FC42" i="226" a="1"/>
  <c r="FC42" i="226" s="1"/>
  <c r="EC42" i="226" a="1"/>
  <c r="EC42" i="226" s="1"/>
  <c r="DX42" i="226" a="1"/>
  <c r="DX42" i="226" s="1"/>
  <c r="EG42" i="226" a="1"/>
  <c r="EG42" i="226" s="1"/>
  <c r="ER42" i="226"/>
  <c r="FB42" i="226" a="1"/>
  <c r="FB42" i="226" s="1"/>
  <c r="EH42" i="226" a="1"/>
  <c r="EH42" i="226" s="1"/>
  <c r="EM42" i="226" a="1"/>
  <c r="EM42" i="226" s="1"/>
  <c r="EL42" i="226" a="1"/>
  <c r="EL42" i="226" s="1"/>
  <c r="EX42" i="226"/>
  <c r="FK42" i="226" a="1"/>
  <c r="FK42" i="226" s="1"/>
  <c r="FD72" i="226" a="1"/>
  <c r="FD72" i="226" s="1"/>
  <c r="FJ72" i="226" a="1"/>
  <c r="FJ72" i="226" s="1"/>
  <c r="FH72" i="226" a="1"/>
  <c r="FH72" i="226" s="1"/>
  <c r="EZ72" i="226" a="1"/>
  <c r="EZ72" i="226" s="1"/>
  <c r="FC72" i="226" a="1"/>
  <c r="FC72" i="226" s="1"/>
  <c r="FB72" i="226" a="1"/>
  <c r="FB72" i="226" s="1"/>
  <c r="FI72" i="226" a="1"/>
  <c r="FI72" i="226" s="1"/>
  <c r="AH99" i="226" a="1"/>
  <c r="AH99" i="226" s="1"/>
  <c r="BR99" i="226" a="1"/>
  <c r="BR99" i="226" s="1"/>
  <c r="DT99" i="226"/>
  <c r="EL99" i="226" a="1"/>
  <c r="EL99" i="226" s="1"/>
  <c r="EJ99" i="226" a="1"/>
  <c r="EJ99" i="226" s="1"/>
  <c r="FF99" i="226" a="1"/>
  <c r="FF99" i="226" s="1"/>
  <c r="BW99" i="226"/>
  <c r="CA99" i="226"/>
  <c r="DL99" i="226"/>
  <c r="CB99" i="226"/>
  <c r="AM99" i="226"/>
  <c r="BT99" i="226" a="1"/>
  <c r="BT99" i="226" s="1"/>
  <c r="EM99" i="226" a="1"/>
  <c r="EM99" i="226" s="1"/>
  <c r="EQ99" i="226" a="1"/>
  <c r="EQ99" i="226" s="1"/>
  <c r="EZ99" i="226" a="1"/>
  <c r="EZ99" i="226" s="1"/>
  <c r="DH99" i="226"/>
  <c r="AQ99" i="226" a="1"/>
  <c r="AQ99" i="226" s="1"/>
  <c r="AS99" i="226" a="1"/>
  <c r="AS99" i="226" s="1"/>
  <c r="AI99" i="226" a="1"/>
  <c r="AI99" i="226" s="1"/>
  <c r="DP99" i="226"/>
  <c r="W99" i="226" a="1"/>
  <c r="W99" i="226" s="1"/>
  <c r="DX99" i="226" a="1"/>
  <c r="DX99" i="226" s="1"/>
  <c r="EC99" i="226" a="1"/>
  <c r="EC99" i="226" s="1"/>
  <c r="FK99" i="226" a="1"/>
  <c r="FK99" i="226" s="1"/>
  <c r="AJ99" i="226"/>
  <c r="BV99" i="226" a="1"/>
  <c r="BV99" i="226" s="1"/>
  <c r="BX99" i="226"/>
  <c r="AG99" i="226" a="1"/>
  <c r="AG99" i="226" s="1"/>
  <c r="AR99" i="226" a="1"/>
  <c r="AR99" i="226" s="1"/>
  <c r="EN99" i="226" a="1"/>
  <c r="EN99" i="226" s="1"/>
  <c r="EK99" i="226" a="1"/>
  <c r="EK99" i="226" s="1"/>
  <c r="FE99" i="226" a="1"/>
  <c r="FE99" i="226" s="1"/>
  <c r="CC99" i="226"/>
  <c r="DF99" i="226"/>
  <c r="BZ99" i="226"/>
  <c r="AT99" i="226" a="1"/>
  <c r="AT99" i="226" s="1"/>
  <c r="DV99" i="226" a="1"/>
  <c r="DV99" i="226" s="1"/>
  <c r="EH99" i="226" a="1"/>
  <c r="EH99" i="226" s="1"/>
  <c r="ER99" i="226"/>
  <c r="FL99" i="226" a="1"/>
  <c r="FL99" i="226" s="1"/>
  <c r="FJ99" i="226" a="1"/>
  <c r="FJ99" i="226" s="1"/>
  <c r="C99" i="226" a="1"/>
  <c r="C99" i="226" s="1"/>
  <c r="G99" i="226" s="1"/>
  <c r="CT99" i="226" a="1"/>
  <c r="CT99" i="226" s="1"/>
  <c r="X99" i="226" a="1"/>
  <c r="X99" i="226" s="1"/>
  <c r="DW99" i="226" a="1"/>
  <c r="DW99" i="226" s="1"/>
  <c r="EO99" i="226" a="1"/>
  <c r="EO99" i="226" s="1"/>
  <c r="EX99" i="226"/>
  <c r="FB99" i="226" a="1"/>
  <c r="FB99" i="226" s="1"/>
  <c r="DJ99" i="226"/>
  <c r="AN99" i="226" a="1"/>
  <c r="AN99" i="226" s="1"/>
  <c r="AL99" i="226" s="1"/>
  <c r="DY99" i="226" a="1"/>
  <c r="DY99" i="226" s="1"/>
  <c r="EW99" i="226"/>
  <c r="EY99" i="226"/>
  <c r="FI99" i="226" a="1"/>
  <c r="FI99" i="226" s="1"/>
  <c r="DL22" i="226"/>
  <c r="BT20" i="226" a="1"/>
  <c r="BT20" i="226" s="1"/>
  <c r="FI61" i="226" a="1"/>
  <c r="FI61" i="226" s="1"/>
  <c r="FK61" i="226" a="1"/>
  <c r="FK61" i="226" s="1"/>
  <c r="CT20" i="226" a="1"/>
  <c r="CT20" i="226" s="1"/>
  <c r="AT20" i="226" a="1"/>
  <c r="AT20" i="226" s="1"/>
  <c r="FH61" i="226" a="1"/>
  <c r="FH61" i="226" s="1"/>
  <c r="FM61" i="226" a="1"/>
  <c r="FM61" i="226" s="1"/>
  <c r="BV20" i="226" a="1"/>
  <c r="BV20" i="226" s="1"/>
  <c r="EW20" i="226"/>
  <c r="FK22" i="226" a="1"/>
  <c r="FK22" i="226" s="1"/>
  <c r="CA20" i="226"/>
  <c r="EB20" i="226" a="1"/>
  <c r="EB20" i="226" s="1"/>
  <c r="FL22" i="226" a="1"/>
  <c r="FL22" i="226" s="1"/>
  <c r="FA61" i="226" a="1"/>
  <c r="FA61" i="226" s="1"/>
  <c r="AH20" i="226" a="1"/>
  <c r="AH20" i="226" s="1"/>
  <c r="FJ61" i="226" a="1"/>
  <c r="FJ61" i="226" s="1"/>
  <c r="FL61" i="226" a="1"/>
  <c r="FL61" i="226" s="1"/>
  <c r="BS20" i="226" a="1"/>
  <c r="BS20" i="226" s="1"/>
  <c r="FC61" i="226" a="1"/>
  <c r="FC61" i="226" s="1"/>
  <c r="EX15" i="226"/>
  <c r="EW15" i="226"/>
  <c r="FL15" i="226" a="1"/>
  <c r="FL15" i="226" s="1"/>
  <c r="EU15" i="226"/>
  <c r="FK15" i="226" a="1"/>
  <c r="FK15" i="226" s="1"/>
  <c r="BU99" i="226" a="1"/>
  <c r="BU99" i="226" s="1"/>
  <c r="AS20" i="226" a="1"/>
  <c r="AS20" i="226" s="1"/>
  <c r="DU99" i="226" a="1"/>
  <c r="DU99" i="226" s="1"/>
  <c r="EP99" i="226" a="1"/>
  <c r="EP99" i="226" s="1"/>
  <c r="EP20" i="226" a="1"/>
  <c r="EP20" i="226" s="1"/>
  <c r="FG99" i="226" a="1"/>
  <c r="FG99" i="226" s="1"/>
  <c r="FD99" i="226" a="1"/>
  <c r="FD99" i="226" s="1"/>
  <c r="DR20" i="226"/>
  <c r="DT20" i="226"/>
  <c r="AK99" i="226" a="1"/>
  <c r="AK99" i="226" s="1"/>
  <c r="CS99" i="226" a="1"/>
  <c r="CS99" i="226" s="1"/>
  <c r="AO99" i="226" a="1"/>
  <c r="AO99" i="226" s="1"/>
  <c r="BY20" i="226" a="1"/>
  <c r="BY20" i="226" s="1"/>
  <c r="CU99" i="226" a="1"/>
  <c r="CU99" i="226" s="1"/>
  <c r="EA99" i="226" a="1"/>
  <c r="EA99" i="226" s="1"/>
  <c r="EF99" i="226" a="1"/>
  <c r="EF99" i="226" s="1"/>
  <c r="EV99" i="226"/>
  <c r="ET99" i="226"/>
  <c r="ET20" i="226"/>
  <c r="FA99" i="226" a="1"/>
  <c r="FA99" i="226" s="1"/>
  <c r="FC99" i="226" a="1"/>
  <c r="FC99" i="226" s="1"/>
  <c r="DN99" i="226"/>
  <c r="AP99" i="226" a="1"/>
  <c r="AP99" i="226" s="1"/>
  <c r="EE99" i="226" a="1"/>
  <c r="EE99" i="226" s="1"/>
  <c r="EU99" i="226"/>
  <c r="DH20" i="226"/>
  <c r="DL20" i="226"/>
  <c r="DR99" i="226"/>
  <c r="B99" i="226"/>
  <c r="CD99" i="226"/>
  <c r="BS99" i="226" a="1"/>
  <c r="BS99" i="226" s="1"/>
  <c r="A99" i="226"/>
  <c r="B20" i="226"/>
  <c r="C20" i="226" a="1"/>
  <c r="C20" i="226" s="1"/>
  <c r="G20" i="226" s="1"/>
  <c r="W20" i="226" a="1"/>
  <c r="W20" i="226" s="1"/>
  <c r="V99" i="226" a="1"/>
  <c r="V99" i="226" s="1"/>
  <c r="DZ99" i="226" a="1"/>
  <c r="DZ99" i="226" s="1"/>
  <c r="EG99" i="226" a="1"/>
  <c r="EG99" i="226" s="1"/>
  <c r="EB99" i="226" a="1"/>
  <c r="EB99" i="226" s="1"/>
  <c r="ES99" i="226"/>
  <c r="ES20" i="226"/>
  <c r="FJ63" i="226" a="1"/>
  <c r="FJ63" i="226" s="1"/>
  <c r="AQ63" i="226" a="1"/>
  <c r="AQ63" i="226" s="1"/>
  <c r="FE63" i="226" a="1"/>
  <c r="FE63" i="226" s="1"/>
  <c r="AH89" i="226" a="1"/>
  <c r="AH89" i="226" s="1"/>
  <c r="EQ89" i="226" a="1"/>
  <c r="EQ89" i="226" s="1"/>
  <c r="BV89" i="226" a="1"/>
  <c r="BV89" i="226" s="1"/>
  <c r="DY89" i="226" a="1"/>
  <c r="DY89" i="226" s="1"/>
  <c r="AQ89" i="226" a="1"/>
  <c r="AQ89" i="226" s="1"/>
  <c r="AN22" i="226" a="1"/>
  <c r="AN22" i="226" s="1"/>
  <c r="AL22" i="226" s="1"/>
  <c r="CA22" i="226"/>
  <c r="AR89" i="226" a="1"/>
  <c r="AR89" i="226" s="1"/>
  <c r="BU15" i="226" a="1"/>
  <c r="BU15" i="226" s="1"/>
  <c r="EC15" i="226" a="1"/>
  <c r="EC15" i="226" s="1"/>
  <c r="AN15" i="226" a="1"/>
  <c r="AN15" i="226" s="1"/>
  <c r="AL15" i="226" s="1"/>
  <c r="DY15" i="226" a="1"/>
  <c r="DY15" i="226" s="1"/>
  <c r="EV15" i="226"/>
  <c r="DJ15" i="226"/>
  <c r="AK15" i="226" a="1"/>
  <c r="AK15" i="226" s="1"/>
  <c r="DL15" i="226"/>
  <c r="AM15" i="226"/>
  <c r="AT15" i="226" a="1"/>
  <c r="AT15" i="226" s="1"/>
  <c r="EF15" i="226" a="1"/>
  <c r="EF15" i="226" s="1"/>
  <c r="EB15" i="226" a="1"/>
  <c r="EB15" i="226" s="1"/>
  <c r="EI15" i="226" a="1"/>
  <c r="EI15" i="226" s="1"/>
  <c r="FI15" i="226" a="1"/>
  <c r="FI15" i="226" s="1"/>
  <c r="BX15" i="226"/>
  <c r="AS15" i="226" a="1"/>
  <c r="AS15" i="226" s="1"/>
  <c r="DP15" i="226"/>
  <c r="BW15" i="226"/>
  <c r="DF15" i="226"/>
  <c r="V15" i="226" a="1"/>
  <c r="V15" i="226" s="1"/>
  <c r="DU15" i="226" a="1"/>
  <c r="DU15" i="226" s="1"/>
  <c r="EK15" i="226" a="1"/>
  <c r="EK15" i="226" s="1"/>
  <c r="EG15" i="226" a="1"/>
  <c r="EG15" i="226" s="1"/>
  <c r="EN15" i="226" a="1"/>
  <c r="EN15" i="226" s="1"/>
  <c r="FF15" i="226" a="1"/>
  <c r="FF15" i="226" s="1"/>
  <c r="FA15" i="226" a="1"/>
  <c r="FA15" i="226" s="1"/>
  <c r="BY15" i="226" a="1"/>
  <c r="BY15" i="226" s="1"/>
  <c r="AH15" i="226" a="1"/>
  <c r="AH15" i="226" s="1"/>
  <c r="DT15" i="226"/>
  <c r="BT15" i="226" a="1"/>
  <c r="BT15" i="226" s="1"/>
  <c r="DV15" i="226" a="1"/>
  <c r="DV15" i="226" s="1"/>
  <c r="EQ15" i="226" a="1"/>
  <c r="EQ15" i="226" s="1"/>
  <c r="EM15" i="226" a="1"/>
  <c r="EM15" i="226" s="1"/>
  <c r="ES15" i="226"/>
  <c r="FD15" i="226" a="1"/>
  <c r="FD15" i="226" s="1"/>
  <c r="EZ15" i="226" a="1"/>
  <c r="EZ15" i="226" s="1"/>
  <c r="W15" i="226" a="1"/>
  <c r="W15" i="226" s="1"/>
  <c r="DZ15" i="226" a="1"/>
  <c r="DZ15" i="226" s="1"/>
  <c r="FB15" i="226" a="1"/>
  <c r="FB15" i="226" s="1"/>
  <c r="BV15" i="226" a="1"/>
  <c r="BV15" i="226" s="1"/>
  <c r="CS15" i="226" a="1"/>
  <c r="CS15" i="226" s="1"/>
  <c r="DN15" i="226"/>
  <c r="BR15" i="226" a="1"/>
  <c r="BR15" i="226" s="1"/>
  <c r="A15" i="226"/>
  <c r="BS15" i="226" a="1"/>
  <c r="BS15" i="226" s="1"/>
  <c r="AI15" i="226" a="1"/>
  <c r="AI15" i="226" s="1"/>
  <c r="CB15" i="226"/>
  <c r="C15" i="226" a="1"/>
  <c r="C15" i="226" s="1"/>
  <c r="G15" i="226" s="1"/>
  <c r="AR15" i="226" a="1"/>
  <c r="AR15" i="226" s="1"/>
  <c r="EJ15" i="226" a="1"/>
  <c r="EJ15" i="226" s="1"/>
  <c r="ET15" i="226"/>
  <c r="ED15" i="226" a="1"/>
  <c r="ED15" i="226" s="1"/>
  <c r="EY15" i="226"/>
  <c r="FE15" i="226" a="1"/>
  <c r="FE15" i="226" s="1"/>
  <c r="FH15" i="226" a="1"/>
  <c r="FH15" i="226" s="1"/>
  <c r="CD15" i="226"/>
  <c r="B15" i="226"/>
  <c r="BP15" i="226" a="1"/>
  <c r="BP15" i="226" s="1"/>
  <c r="AG15" i="226" a="1"/>
  <c r="AG15" i="226" s="1"/>
  <c r="CU15" i="226" a="1"/>
  <c r="CU15" i="226" s="1"/>
  <c r="EP15" i="226" a="1"/>
  <c r="EP15" i="226" s="1"/>
  <c r="EL15" i="226" a="1"/>
  <c r="EL15" i="226" s="1"/>
  <c r="EE15" i="226" a="1"/>
  <c r="EE15" i="226" s="1"/>
  <c r="ER15" i="226"/>
  <c r="FC15" i="226" a="1"/>
  <c r="FC15" i="226" s="1"/>
  <c r="DR22" i="226"/>
  <c r="AI22" i="226" a="1"/>
  <c r="AI22" i="226" s="1"/>
  <c r="EC89" i="226" a="1"/>
  <c r="EC89" i="226" s="1"/>
  <c r="EE22" i="226" a="1"/>
  <c r="EE22" i="226" s="1"/>
  <c r="FI89" i="226" a="1"/>
  <c r="FI89" i="226" s="1"/>
  <c r="EH89" i="226" a="1"/>
  <c r="EH89" i="226" s="1"/>
  <c r="ED22" i="226" a="1"/>
  <c r="ED22" i="226" s="1"/>
  <c r="EZ89" i="226" a="1"/>
  <c r="EZ89" i="226" s="1"/>
  <c r="X89" i="226" a="1"/>
  <c r="X89" i="226" s="1"/>
  <c r="CC89" i="226"/>
  <c r="AQ22" i="226" a="1"/>
  <c r="AQ22" i="226" s="1"/>
  <c r="BS22" i="226" a="1"/>
  <c r="BS22" i="226" s="1"/>
  <c r="BR89" i="226" a="1"/>
  <c r="BR89" i="226" s="1"/>
  <c r="AS22" i="226" a="1"/>
  <c r="AS22" i="226" s="1"/>
  <c r="EO22" i="226" a="1"/>
  <c r="EO22" i="226" s="1"/>
  <c r="A89" i="226"/>
  <c r="DT22" i="226"/>
  <c r="BX89" i="226"/>
  <c r="B89" i="226"/>
  <c r="EI22" i="226" a="1"/>
  <c r="EI22" i="226" s="1"/>
  <c r="EL89" i="226" a="1"/>
  <c r="EL89" i="226" s="1"/>
  <c r="EK22" i="226" a="1"/>
  <c r="EK22" i="226" s="1"/>
  <c r="CB89" i="226"/>
  <c r="BP22" i="226" a="1"/>
  <c r="BP22" i="226" s="1"/>
  <c r="DW22" i="226" a="1"/>
  <c r="DW22" i="226" s="1"/>
  <c r="DN22" i="226"/>
  <c r="C49" i="226" a="1"/>
  <c r="C49" i="226" s="1"/>
  <c r="G49" i="226" s="1"/>
  <c r="CD89" i="226"/>
  <c r="AG89" i="226" a="1"/>
  <c r="AG89" i="226" s="1"/>
  <c r="AN89" i="226" a="1"/>
  <c r="AN89" i="226" s="1"/>
  <c r="AL89" i="226" s="1"/>
  <c r="AG22" i="226" a="1"/>
  <c r="AG22" i="226" s="1"/>
  <c r="AH22" i="226" a="1"/>
  <c r="AH22" i="226" s="1"/>
  <c r="AP89" i="226" a="1"/>
  <c r="AP89" i="226" s="1"/>
  <c r="EU89" i="226"/>
  <c r="EV89" i="226"/>
  <c r="EL22" i="226" a="1"/>
  <c r="EL22" i="226" s="1"/>
  <c r="EJ22" i="226" a="1"/>
  <c r="EJ22" i="226" s="1"/>
  <c r="AQ33" i="226" a="1"/>
  <c r="AQ33" i="226" s="1"/>
  <c r="DN104" i="226"/>
  <c r="DH22" i="226"/>
  <c r="BS89" i="226" a="1"/>
  <c r="BS89" i="226" s="1"/>
  <c r="AO89" i="226" a="1"/>
  <c r="AO89" i="226" s="1"/>
  <c r="CD22" i="226"/>
  <c r="BU22" i="226" a="1"/>
  <c r="BU22" i="226" s="1"/>
  <c r="X22" i="226" a="1"/>
  <c r="X22" i="226" s="1"/>
  <c r="EI89" i="226" a="1"/>
  <c r="EI89" i="226" s="1"/>
  <c r="ET89" i="226"/>
  <c r="DY22" i="226" a="1"/>
  <c r="DY22" i="226" s="1"/>
  <c r="EW22" i="226"/>
  <c r="FG89" i="226" a="1"/>
  <c r="FG89" i="226" s="1"/>
  <c r="FI22" i="226" a="1"/>
  <c r="FI22" i="226" s="1"/>
  <c r="AI89" i="226" a="1"/>
  <c r="AI89" i="226" s="1"/>
  <c r="AK89" i="226" a="1"/>
  <c r="AK89" i="226" s="1"/>
  <c r="A22" i="226"/>
  <c r="AM22" i="226"/>
  <c r="AP22" i="226" a="1"/>
  <c r="AP22" i="226" s="1"/>
  <c r="ED89" i="226" a="1"/>
  <c r="ED89" i="226" s="1"/>
  <c r="EF89" i="226" a="1"/>
  <c r="EF89" i="226" s="1"/>
  <c r="EG22" i="226" a="1"/>
  <c r="EG22" i="226" s="1"/>
  <c r="EV22" i="226"/>
  <c r="FK89" i="226" a="1"/>
  <c r="FK89" i="226" s="1"/>
  <c r="FE22" i="226" a="1"/>
  <c r="FE22" i="226" s="1"/>
  <c r="BU89" i="226" a="1"/>
  <c r="BU89" i="226" s="1"/>
  <c r="BW22" i="226"/>
  <c r="DJ22" i="226"/>
  <c r="CU22" i="226" a="1"/>
  <c r="CU22" i="226" s="1"/>
  <c r="ER89" i="226"/>
  <c r="EO89" i="226" a="1"/>
  <c r="EO89" i="226" s="1"/>
  <c r="EN22" i="226" a="1"/>
  <c r="EN22" i="226" s="1"/>
  <c r="EY22" i="226"/>
  <c r="FE89" i="226" a="1"/>
  <c r="FE89" i="226" s="1"/>
  <c r="FM22" i="226" a="1"/>
  <c r="FM22" i="226" s="1"/>
  <c r="AS89" i="226" a="1"/>
  <c r="AS89" i="226" s="1"/>
  <c r="DJ89" i="226"/>
  <c r="BX22" i="226"/>
  <c r="CT22" i="226" a="1"/>
  <c r="CT22" i="226" s="1"/>
  <c r="AT89" i="226" a="1"/>
  <c r="AT89" i="226" s="1"/>
  <c r="W22" i="226" a="1"/>
  <c r="W22" i="226" s="1"/>
  <c r="DV89" i="226" a="1"/>
  <c r="DV89" i="226" s="1"/>
  <c r="EY89" i="226"/>
  <c r="EQ22" i="226" a="1"/>
  <c r="EQ22" i="226" s="1"/>
  <c r="EU22" i="226"/>
  <c r="FJ89" i="226" a="1"/>
  <c r="FJ89" i="226" s="1"/>
  <c r="FD22" i="226" a="1"/>
  <c r="FD22" i="226" s="1"/>
  <c r="EL18" i="226" a="1"/>
  <c r="EL18" i="226" s="1"/>
  <c r="DJ18" i="226"/>
  <c r="DW18" i="226" a="1"/>
  <c r="DW18" i="226" s="1"/>
  <c r="FK18" i="226" a="1"/>
  <c r="FK18" i="226" s="1"/>
  <c r="FA33" i="226" a="1"/>
  <c r="FA33" i="226" s="1"/>
  <c r="FB18" i="226" a="1"/>
  <c r="FB18" i="226" s="1"/>
  <c r="FE33" i="226" a="1"/>
  <c r="FE33" i="226" s="1"/>
  <c r="AK18" i="226" a="1"/>
  <c r="AK18" i="226" s="1"/>
  <c r="DY33" i="226" a="1"/>
  <c r="DY33" i="226" s="1"/>
  <c r="EF33" i="226" a="1"/>
  <c r="EF33" i="226" s="1"/>
  <c r="EH18" i="226" a="1"/>
  <c r="EH18" i="226" s="1"/>
  <c r="ED18" i="226" a="1"/>
  <c r="ED18" i="226" s="1"/>
  <c r="AG18" i="226" a="1"/>
  <c r="AG18" i="226" s="1"/>
  <c r="FB33" i="226" a="1"/>
  <c r="FB33" i="226" s="1"/>
  <c r="DL33" i="226"/>
  <c r="DF22" i="226"/>
  <c r="BV18" i="226" a="1"/>
  <c r="BV18" i="226" s="1"/>
  <c r="CT89" i="226" a="1"/>
  <c r="CT89" i="226" s="1"/>
  <c r="CS89" i="226" a="1"/>
  <c r="CS89" i="226" s="1"/>
  <c r="DP22" i="226"/>
  <c r="B22" i="226"/>
  <c r="CC22" i="226"/>
  <c r="AK22" i="226" a="1"/>
  <c r="AK22" i="226" s="1"/>
  <c r="BR22" i="226" a="1"/>
  <c r="BR22" i="226" s="1"/>
  <c r="AM89" i="226"/>
  <c r="X18" i="226" a="1"/>
  <c r="X18" i="226" s="1"/>
  <c r="X49" i="226" a="1"/>
  <c r="X49" i="226" s="1"/>
  <c r="W89" i="226" a="1"/>
  <c r="W89" i="226" s="1"/>
  <c r="V22" i="226" a="1"/>
  <c r="V22" i="226" s="1"/>
  <c r="ET33" i="226"/>
  <c r="EM20" i="226" a="1"/>
  <c r="EM20" i="226" s="1"/>
  <c r="EA89" i="226" a="1"/>
  <c r="EA89" i="226" s="1"/>
  <c r="DW89" i="226" a="1"/>
  <c r="DW89" i="226" s="1"/>
  <c r="EM89" i="226" a="1"/>
  <c r="EM89" i="226" s="1"/>
  <c r="EP89" i="226" a="1"/>
  <c r="EP89" i="226" s="1"/>
  <c r="DZ22" i="226" a="1"/>
  <c r="DZ22" i="226" s="1"/>
  <c r="DV22" i="226" a="1"/>
  <c r="DV22" i="226" s="1"/>
  <c r="EB22" i="226" a="1"/>
  <c r="EB22" i="226" s="1"/>
  <c r="ER22" i="226"/>
  <c r="ER18" i="226"/>
  <c r="FF89" i="226" a="1"/>
  <c r="FF89" i="226" s="1"/>
  <c r="FM89" i="226" a="1"/>
  <c r="FM89" i="226" s="1"/>
  <c r="FG22" i="226" a="1"/>
  <c r="FG22" i="226" s="1"/>
  <c r="FB22" i="226" a="1"/>
  <c r="FB22" i="226" s="1"/>
  <c r="DU33" i="226" a="1"/>
  <c r="DU33" i="226" s="1"/>
  <c r="DR18" i="226"/>
  <c r="CA89" i="226"/>
  <c r="C89" i="226" a="1"/>
  <c r="C89" i="226" s="1"/>
  <c r="O89" i="226" s="1"/>
  <c r="BY89" i="226" a="1"/>
  <c r="BY89" i="226" s="1"/>
  <c r="BW20" i="226"/>
  <c r="DT89" i="226"/>
  <c r="BY22" i="226" a="1"/>
  <c r="BY22" i="226" s="1"/>
  <c r="AO22" i="226" a="1"/>
  <c r="AO22" i="226" s="1"/>
  <c r="C22" i="226" a="1"/>
  <c r="C22" i="226" s="1"/>
  <c r="G22" i="226" s="1"/>
  <c r="DN89" i="226"/>
  <c r="W18" i="226" a="1"/>
  <c r="W18" i="226" s="1"/>
  <c r="CU89" i="226" a="1"/>
  <c r="CU89" i="226" s="1"/>
  <c r="BT22" i="226" a="1"/>
  <c r="BT22" i="226" s="1"/>
  <c r="EY33" i="226"/>
  <c r="DW20" i="226" a="1"/>
  <c r="DW20" i="226" s="1"/>
  <c r="EJ89" i="226" a="1"/>
  <c r="EJ89" i="226" s="1"/>
  <c r="DX89" i="226" a="1"/>
  <c r="DX89" i="226" s="1"/>
  <c r="EG89" i="226" a="1"/>
  <c r="EG89" i="226" s="1"/>
  <c r="ES89" i="226"/>
  <c r="EF22" i="226" a="1"/>
  <c r="EF22" i="226" s="1"/>
  <c r="DU22" i="226" a="1"/>
  <c r="DU22" i="226" s="1"/>
  <c r="EP22" i="226" a="1"/>
  <c r="EP22" i="226" s="1"/>
  <c r="ET22" i="226"/>
  <c r="EX18" i="226"/>
  <c r="FM104" i="226" a="1"/>
  <c r="FM104" i="226" s="1"/>
  <c r="FD89" i="226" a="1"/>
  <c r="FD89" i="226" s="1"/>
  <c r="FH89" i="226" a="1"/>
  <c r="FH89" i="226" s="1"/>
  <c r="FA22" i="226" a="1"/>
  <c r="FA22" i="226" s="1"/>
  <c r="FJ22" i="226" a="1"/>
  <c r="FJ22" i="226" s="1"/>
  <c r="AI18" i="226" a="1"/>
  <c r="AI18" i="226" s="1"/>
  <c r="AQ18" i="226" a="1"/>
  <c r="AQ18" i="226" s="1"/>
  <c r="DL18" i="226"/>
  <c r="BZ89" i="226"/>
  <c r="BP89" i="226" a="1"/>
  <c r="BP89" i="226" s="1"/>
  <c r="DR89" i="226"/>
  <c r="DH89" i="226"/>
  <c r="AJ22" i="226"/>
  <c r="CS22" i="226" a="1"/>
  <c r="CS22" i="226" s="1"/>
  <c r="BZ22" i="226"/>
  <c r="V89" i="226" a="1"/>
  <c r="V89" i="226" s="1"/>
  <c r="X33" i="226" a="1"/>
  <c r="X33" i="226" s="1"/>
  <c r="AR22" i="226" a="1"/>
  <c r="AR22" i="226" s="1"/>
  <c r="DW33" i="226" a="1"/>
  <c r="DW33" i="226" s="1"/>
  <c r="EF20" i="226" a="1"/>
  <c r="EF20" i="226" s="1"/>
  <c r="ED20" i="226" a="1"/>
  <c r="ED20" i="226" s="1"/>
  <c r="DU89" i="226" a="1"/>
  <c r="DU89" i="226" s="1"/>
  <c r="EE89" i="226" a="1"/>
  <c r="EE89" i="226" s="1"/>
  <c r="EN89" i="226" a="1"/>
  <c r="EN89" i="226" s="1"/>
  <c r="EX89" i="226"/>
  <c r="ER63" i="226"/>
  <c r="EM22" i="226" a="1"/>
  <c r="EM22" i="226" s="1"/>
  <c r="DX22" i="226" a="1"/>
  <c r="DX22" i="226" s="1"/>
  <c r="ES22" i="226"/>
  <c r="DZ18" i="226" a="1"/>
  <c r="DZ18" i="226" s="1"/>
  <c r="FH18" i="226" a="1"/>
  <c r="FH18" i="226" s="1"/>
  <c r="FL89" i="226" a="1"/>
  <c r="FL89" i="226" s="1"/>
  <c r="FC89" i="226" a="1"/>
  <c r="FC89" i="226" s="1"/>
  <c r="FH22" i="226" a="1"/>
  <c r="FH22" i="226" s="1"/>
  <c r="EZ22" i="226" a="1"/>
  <c r="EZ22" i="226" s="1"/>
  <c r="BS33" i="226" a="1"/>
  <c r="BS33" i="226" s="1"/>
  <c r="ED33" i="226" a="1"/>
  <c r="ED33" i="226" s="1"/>
  <c r="FF33" i="226" a="1"/>
  <c r="FF33" i="226" s="1"/>
  <c r="DT33" i="226"/>
  <c r="BR18" i="226" a="1"/>
  <c r="BR18" i="226" s="1"/>
  <c r="BX18" i="226"/>
  <c r="DH33" i="226"/>
  <c r="CC33" i="226"/>
  <c r="DF89" i="226"/>
  <c r="BW89" i="226"/>
  <c r="AJ89" i="226"/>
  <c r="DP89" i="226"/>
  <c r="DL89" i="226"/>
  <c r="CB22" i="226"/>
  <c r="CB33" i="226"/>
  <c r="BV22" i="226" a="1"/>
  <c r="BV22" i="226" s="1"/>
  <c r="BT89" i="226" a="1"/>
  <c r="BT89" i="226" s="1"/>
  <c r="V33" i="226" a="1"/>
  <c r="V33" i="226" s="1"/>
  <c r="AT22" i="226" a="1"/>
  <c r="AT22" i="226" s="1"/>
  <c r="EA33" i="226" a="1"/>
  <c r="EA33" i="226" s="1"/>
  <c r="DU20" i="226" a="1"/>
  <c r="DU20" i="226" s="1"/>
  <c r="EK20" i="226" a="1"/>
  <c r="EK20" i="226" s="1"/>
  <c r="DZ89" i="226" a="1"/>
  <c r="DZ89" i="226" s="1"/>
  <c r="EK89" i="226" a="1"/>
  <c r="EK89" i="226" s="1"/>
  <c r="EB89" i="226" a="1"/>
  <c r="EB89" i="226" s="1"/>
  <c r="EW89" i="226"/>
  <c r="EA22" i="226" a="1"/>
  <c r="EA22" i="226" s="1"/>
  <c r="EC22" i="226" a="1"/>
  <c r="EC22" i="226" s="1"/>
  <c r="EH22" i="226" a="1"/>
  <c r="EH22" i="226" s="1"/>
  <c r="EX22" i="226"/>
  <c r="EP18" i="226" a="1"/>
  <c r="EP18" i="226" s="1"/>
  <c r="EZ18" i="226" a="1"/>
  <c r="EZ18" i="226" s="1"/>
  <c r="FA89" i="226" a="1"/>
  <c r="FA89" i="226" s="1"/>
  <c r="FF22" i="226" a="1"/>
  <c r="FF22" i="226" s="1"/>
  <c r="FI20" i="226" a="1"/>
  <c r="FI20" i="226" s="1"/>
  <c r="DL104" i="226"/>
  <c r="X104" i="226" a="1"/>
  <c r="X104" i="226" s="1"/>
  <c r="AS59" i="226" a="1"/>
  <c r="AS59" i="226" s="1"/>
  <c r="AI59" i="226" a="1"/>
  <c r="AI59" i="226" s="1"/>
  <c r="FC49" i="226" a="1"/>
  <c r="FC49" i="226" s="1"/>
  <c r="FJ49" i="226" a="1"/>
  <c r="FJ49" i="226" s="1"/>
  <c r="DX59" i="226" a="1"/>
  <c r="DX59" i="226" s="1"/>
  <c r="DF59" i="226"/>
  <c r="BT59" i="226" a="1"/>
  <c r="BT59" i="226" s="1"/>
  <c r="EX59" i="226"/>
  <c r="FD59" i="226" a="1"/>
  <c r="FD59" i="226" s="1"/>
  <c r="AK59" i="226" a="1"/>
  <c r="AK59" i="226" s="1"/>
  <c r="DH59" i="226"/>
  <c r="DZ21" i="226" a="1"/>
  <c r="DZ21" i="226" s="1"/>
  <c r="AS33" i="226" a="1"/>
  <c r="AS33" i="226" s="1"/>
  <c r="BP33" i="226" a="1"/>
  <c r="BP33" i="226" s="1"/>
  <c r="AJ33" i="226"/>
  <c r="DF33" i="226"/>
  <c r="DN33" i="226"/>
  <c r="CD18" i="226"/>
  <c r="AN18" i="226" a="1"/>
  <c r="AN18" i="226" s="1"/>
  <c r="AL18" i="226" s="1"/>
  <c r="AH18" i="226" a="1"/>
  <c r="AH18" i="226" s="1"/>
  <c r="DN18" i="226"/>
  <c r="DH8" i="226"/>
  <c r="BZ18" i="226"/>
  <c r="B18" i="226"/>
  <c r="CB18" i="226"/>
  <c r="CD33" i="226"/>
  <c r="CU18" i="226" a="1"/>
  <c r="CU18" i="226" s="1"/>
  <c r="V8" i="226" a="1"/>
  <c r="V8" i="226" s="1"/>
  <c r="BT33" i="226" a="1"/>
  <c r="BT33" i="226" s="1"/>
  <c r="EE33" i="226" a="1"/>
  <c r="EE33" i="226" s="1"/>
  <c r="EL33" i="226" a="1"/>
  <c r="EL33" i="226" s="1"/>
  <c r="EB33" i="226" a="1"/>
  <c r="EB33" i="226" s="1"/>
  <c r="ES33" i="226"/>
  <c r="EO18" i="226" a="1"/>
  <c r="EO18" i="226" s="1"/>
  <c r="EB18" i="226" a="1"/>
  <c r="EB18" i="226" s="1"/>
  <c r="DV18" i="226" a="1"/>
  <c r="DV18" i="226" s="1"/>
  <c r="EW18" i="226"/>
  <c r="FI18" i="226" a="1"/>
  <c r="FI18" i="226" s="1"/>
  <c r="FJ18" i="226" a="1"/>
  <c r="FJ18" i="226" s="1"/>
  <c r="FD33" i="226" a="1"/>
  <c r="FD33" i="226" s="1"/>
  <c r="BR33" i="226" a="1"/>
  <c r="BR33" i="226" s="1"/>
  <c r="DR33" i="226"/>
  <c r="BU33" i="226" a="1"/>
  <c r="BU33" i="226" s="1"/>
  <c r="C18" i="226" a="1"/>
  <c r="C18" i="226" s="1"/>
  <c r="H18" i="226" s="1"/>
  <c r="BV33" i="226" a="1"/>
  <c r="BV33" i="226" s="1"/>
  <c r="DH18" i="226"/>
  <c r="CT18" i="226" a="1"/>
  <c r="CT18" i="226" s="1"/>
  <c r="AJ18" i="226"/>
  <c r="BP18" i="226" a="1"/>
  <c r="BP18" i="226" s="1"/>
  <c r="BT18" i="226" a="1"/>
  <c r="BT18" i="226" s="1"/>
  <c r="AR33" i="226" a="1"/>
  <c r="AR33" i="226" s="1"/>
  <c r="EJ33" i="226" a="1"/>
  <c r="EJ33" i="226" s="1"/>
  <c r="EQ33" i="226" a="1"/>
  <c r="EQ33" i="226" s="1"/>
  <c r="EH33" i="226" a="1"/>
  <c r="EH33" i="226" s="1"/>
  <c r="ER33" i="226"/>
  <c r="DY18" i="226" a="1"/>
  <c r="DY18" i="226" s="1"/>
  <c r="EG18" i="226" a="1"/>
  <c r="EG18" i="226" s="1"/>
  <c r="EC18" i="226" a="1"/>
  <c r="EC18" i="226" s="1"/>
  <c r="EV18" i="226"/>
  <c r="FA18" i="226" a="1"/>
  <c r="FA18" i="226" s="1"/>
  <c r="FD18" i="226" a="1"/>
  <c r="FD18" i="226" s="1"/>
  <c r="FI33" i="226" a="1"/>
  <c r="FI33" i="226" s="1"/>
  <c r="AS8" i="226" a="1"/>
  <c r="AS8" i="226" s="1"/>
  <c r="AN33" i="226" a="1"/>
  <c r="AN33" i="226" s="1"/>
  <c r="AL33" i="226" s="1"/>
  <c r="AI33" i="226" a="1"/>
  <c r="AI33" i="226" s="1"/>
  <c r="CS18" i="226" a="1"/>
  <c r="CS18" i="226" s="1"/>
  <c r="A33" i="226"/>
  <c r="AS18" i="226" a="1"/>
  <c r="AS18" i="226" s="1"/>
  <c r="AM18" i="226"/>
  <c r="AM33" i="226"/>
  <c r="V18" i="226" a="1"/>
  <c r="V18" i="226" s="1"/>
  <c r="AP33" i="226" a="1"/>
  <c r="AP33" i="226" s="1"/>
  <c r="EN8" i="226" a="1"/>
  <c r="EN8" i="226" s="1"/>
  <c r="EP33" i="226" a="1"/>
  <c r="EP33" i="226" s="1"/>
  <c r="DV33" i="226" a="1"/>
  <c r="DV33" i="226" s="1"/>
  <c r="EM33" i="226" a="1"/>
  <c r="EM33" i="226" s="1"/>
  <c r="EX33" i="226"/>
  <c r="EF18" i="226" a="1"/>
  <c r="EF18" i="226" s="1"/>
  <c r="EM18" i="226" a="1"/>
  <c r="EM18" i="226" s="1"/>
  <c r="EI18" i="226" a="1"/>
  <c r="EI18" i="226" s="1"/>
  <c r="EU18" i="226"/>
  <c r="FG18" i="226" a="1"/>
  <c r="FG18" i="226" s="1"/>
  <c r="FM18" i="226" a="1"/>
  <c r="FM18" i="226" s="1"/>
  <c r="FL33" i="226" a="1"/>
  <c r="FL33" i="226" s="1"/>
  <c r="FH33" i="226" a="1"/>
  <c r="FH33" i="226" s="1"/>
  <c r="CA33" i="226"/>
  <c r="AH33" i="226" a="1"/>
  <c r="AH33" i="226" s="1"/>
  <c r="BS18" i="226" a="1"/>
  <c r="BS18" i="226" s="1"/>
  <c r="BX33" i="226"/>
  <c r="CA18" i="226"/>
  <c r="AO18" i="226" a="1"/>
  <c r="AO18" i="226" s="1"/>
  <c r="BZ33" i="226"/>
  <c r="DT18" i="226"/>
  <c r="AP18" i="226" a="1"/>
  <c r="AP18" i="226" s="1"/>
  <c r="W33" i="226" a="1"/>
  <c r="W33" i="226" s="1"/>
  <c r="EK8" i="226" a="1"/>
  <c r="EK8" i="226" s="1"/>
  <c r="DZ33" i="226" a="1"/>
  <c r="DZ33" i="226" s="1"/>
  <c r="DX33" i="226" a="1"/>
  <c r="DX33" i="226" s="1"/>
  <c r="EW33" i="226"/>
  <c r="EK18" i="226" a="1"/>
  <c r="EK18" i="226" s="1"/>
  <c r="EA18" i="226" a="1"/>
  <c r="EA18" i="226" s="1"/>
  <c r="EN18" i="226" a="1"/>
  <c r="EN18" i="226" s="1"/>
  <c r="ET18" i="226"/>
  <c r="FE18" i="226" a="1"/>
  <c r="FE18" i="226" s="1"/>
  <c r="FF18" i="226" a="1"/>
  <c r="FF18" i="226" s="1"/>
  <c r="FG33" i="226" a="1"/>
  <c r="FG33" i="226" s="1"/>
  <c r="FC33" i="226" a="1"/>
  <c r="FC33" i="226" s="1"/>
  <c r="BW33" i="226"/>
  <c r="BY18" i="226" a="1"/>
  <c r="BY18" i="226" s="1"/>
  <c r="DP33" i="226"/>
  <c r="CT33" i="226" a="1"/>
  <c r="CT33" i="226" s="1"/>
  <c r="AG33" i="226" a="1"/>
  <c r="AG33" i="226" s="1"/>
  <c r="CS33" i="226" a="1"/>
  <c r="CS33" i="226" s="1"/>
  <c r="BW18" i="226"/>
  <c r="DF18" i="226"/>
  <c r="AT18" i="226" a="1"/>
  <c r="AT18" i="226" s="1"/>
  <c r="CU33" i="226" a="1"/>
  <c r="CU33" i="226" s="1"/>
  <c r="EG8" i="226" a="1"/>
  <c r="EG8" i="226" s="1"/>
  <c r="EI33" i="226" a="1"/>
  <c r="EI33" i="226" s="1"/>
  <c r="EK33" i="226" a="1"/>
  <c r="EK33" i="226" s="1"/>
  <c r="EG33" i="226" a="1"/>
  <c r="EG33" i="226" s="1"/>
  <c r="EV33" i="226"/>
  <c r="EQ18" i="226" a="1"/>
  <c r="EQ18" i="226" s="1"/>
  <c r="EJ18" i="226" a="1"/>
  <c r="EJ18" i="226" s="1"/>
  <c r="ES18" i="226"/>
  <c r="FL18" i="226" a="1"/>
  <c r="FL18" i="226" s="1"/>
  <c r="FK33" i="226" a="1"/>
  <c r="FK33" i="226" s="1"/>
  <c r="FM33" i="226" a="1"/>
  <c r="FM33" i="226" s="1"/>
  <c r="B33" i="226"/>
  <c r="AK33" i="226" a="1"/>
  <c r="AK33" i="226" s="1"/>
  <c r="AJ8" i="226"/>
  <c r="A18" i="226"/>
  <c r="AO33" i="226" a="1"/>
  <c r="AO33" i="226" s="1"/>
  <c r="BY33" i="226" a="1"/>
  <c r="BY33" i="226" s="1"/>
  <c r="C33" i="226" a="1"/>
  <c r="C33" i="226" s="1"/>
  <c r="G33" i="226" s="1"/>
  <c r="CC18" i="226"/>
  <c r="BU18" i="226" a="1"/>
  <c r="BU18" i="226" s="1"/>
  <c r="DJ33" i="226"/>
  <c r="DP18" i="226"/>
  <c r="AR18" i="226" a="1"/>
  <c r="AR18" i="226" s="1"/>
  <c r="AT33" i="226" a="1"/>
  <c r="AT33" i="226" s="1"/>
  <c r="EO33" i="226" a="1"/>
  <c r="EO33" i="226" s="1"/>
  <c r="EN33" i="226" a="1"/>
  <c r="EN33" i="226" s="1"/>
  <c r="EC33" i="226" a="1"/>
  <c r="EC33" i="226" s="1"/>
  <c r="EU33" i="226"/>
  <c r="EE18" i="226" a="1"/>
  <c r="EE18" i="226" s="1"/>
  <c r="DX18" i="226" a="1"/>
  <c r="DX18" i="226" s="1"/>
  <c r="DU18" i="226" a="1"/>
  <c r="DU18" i="226" s="1"/>
  <c r="EY18" i="226"/>
  <c r="FH8" i="226" a="1"/>
  <c r="FH8" i="226" s="1"/>
  <c r="EZ33" i="226" a="1"/>
  <c r="EZ33" i="226" s="1"/>
  <c r="DP104" i="226"/>
  <c r="CB49" i="226"/>
  <c r="B63" i="226"/>
  <c r="V104" i="226" a="1"/>
  <c r="V104" i="226" s="1"/>
  <c r="AT49" i="226" a="1"/>
  <c r="AT49" i="226" s="1"/>
  <c r="FH63" i="226" a="1"/>
  <c r="FH63" i="226" s="1"/>
  <c r="CT104" i="226" a="1"/>
  <c r="CT104" i="226" s="1"/>
  <c r="DZ49" i="226" a="1"/>
  <c r="DZ49" i="226" s="1"/>
  <c r="EV104" i="226"/>
  <c r="FA20" i="226" a="1"/>
  <c r="FA20" i="226" s="1"/>
  <c r="DU49" i="226" a="1"/>
  <c r="DU49" i="226" s="1"/>
  <c r="EU104" i="226"/>
  <c r="FD20" i="226" a="1"/>
  <c r="FD20" i="226" s="1"/>
  <c r="DL63" i="226"/>
  <c r="CU63" i="226" a="1"/>
  <c r="CU63" i="226" s="1"/>
  <c r="EV49" i="226"/>
  <c r="DX63" i="226" a="1"/>
  <c r="DX63" i="226" s="1"/>
  <c r="FC20" i="226" a="1"/>
  <c r="FC20" i="226" s="1"/>
  <c r="DJ63" i="226"/>
  <c r="CC104" i="226"/>
  <c r="AO63" i="226" a="1"/>
  <c r="AO63" i="226" s="1"/>
  <c r="AT63" i="226" a="1"/>
  <c r="AT63" i="226" s="1"/>
  <c r="EU49" i="226"/>
  <c r="EK63" i="226" a="1"/>
  <c r="EK63" i="226" s="1"/>
  <c r="FK20" i="226" a="1"/>
  <c r="FK20" i="226" s="1"/>
  <c r="CA59" i="226"/>
  <c r="CD59" i="226"/>
  <c r="AQ59" i="226" a="1"/>
  <c r="AQ59" i="226" s="1"/>
  <c r="FA59" i="226" a="1"/>
  <c r="FA59" i="226" s="1"/>
  <c r="DT59" i="226"/>
  <c r="DL59" i="226"/>
  <c r="AG59" i="226" a="1"/>
  <c r="AG59" i="226" s="1"/>
  <c r="EC59" i="226" a="1"/>
  <c r="EC59" i="226" s="1"/>
  <c r="BX59" i="226"/>
  <c r="BS59" i="226" a="1"/>
  <c r="BS59" i="226" s="1"/>
  <c r="CC59" i="226"/>
  <c r="BZ59" i="226"/>
  <c r="CU59" i="226" a="1"/>
  <c r="CU59" i="226" s="1"/>
  <c r="DU59" i="226" a="1"/>
  <c r="DU59" i="226" s="1"/>
  <c r="AH59" i="226" a="1"/>
  <c r="AH59" i="226" s="1"/>
  <c r="BP59" i="226" a="1"/>
  <c r="BP59" i="226" s="1"/>
  <c r="V59" i="226" a="1"/>
  <c r="V59" i="226" s="1"/>
  <c r="EN59" i="226" a="1"/>
  <c r="EN59" i="226" s="1"/>
  <c r="FF59" i="226" a="1"/>
  <c r="FF59" i="226" s="1"/>
  <c r="DX92" i="226" a="1"/>
  <c r="DX92" i="226" s="1"/>
  <c r="AO104" i="226" a="1"/>
  <c r="AO104" i="226" s="1"/>
  <c r="BV63" i="226" a="1"/>
  <c r="BV63" i="226" s="1"/>
  <c r="CB21" i="226"/>
  <c r="DU63" i="226" a="1"/>
  <c r="DU63" i="226" s="1"/>
  <c r="FE8" i="226" a="1"/>
  <c r="FE8" i="226" s="1"/>
  <c r="FM63" i="226" a="1"/>
  <c r="FM63" i="226" s="1"/>
  <c r="AQ104" i="226" a="1"/>
  <c r="AQ104" i="226" s="1"/>
  <c r="BU104" i="226" a="1"/>
  <c r="BU104" i="226" s="1"/>
  <c r="AH104" i="226" a="1"/>
  <c r="AH104" i="226" s="1"/>
  <c r="CA49" i="226"/>
  <c r="CD63" i="226"/>
  <c r="CT63" i="226" a="1"/>
  <c r="CT63" i="226" s="1"/>
  <c r="AM63" i="226"/>
  <c r="ES49" i="226"/>
  <c r="EY63" i="226"/>
  <c r="ET59" i="226"/>
  <c r="FB59" i="226" a="1"/>
  <c r="FB59" i="226" s="1"/>
  <c r="EQ104" i="226" a="1"/>
  <c r="EQ104" i="226" s="1"/>
  <c r="EN63" i="226" a="1"/>
  <c r="EN63" i="226" s="1"/>
  <c r="A104" i="226"/>
  <c r="BW104" i="226"/>
  <c r="BR63" i="226" a="1"/>
  <c r="BR63" i="226" s="1"/>
  <c r="EH49" i="226" a="1"/>
  <c r="EH49" i="226" s="1"/>
  <c r="AG49" i="226" a="1"/>
  <c r="AG49" i="226" s="1"/>
  <c r="AO49" i="226" a="1"/>
  <c r="AO49" i="226" s="1"/>
  <c r="EI49" i="226" a="1"/>
  <c r="EI49" i="226" s="1"/>
  <c r="EB104" i="226" a="1"/>
  <c r="EB104" i="226" s="1"/>
  <c r="EP63" i="226" a="1"/>
  <c r="EP63" i="226" s="1"/>
  <c r="AQ8" i="226" a="1"/>
  <c r="AQ8" i="226" s="1"/>
  <c r="CT8" i="226" a="1"/>
  <c r="CT8" i="226" s="1"/>
  <c r="BW8" i="226"/>
  <c r="CB8" i="226"/>
  <c r="A8" i="226"/>
  <c r="AO8" i="226" a="1"/>
  <c r="AO8" i="226" s="1"/>
  <c r="BT8" i="226" a="1"/>
  <c r="BT8" i="226" s="1"/>
  <c r="AT92" i="226" a="1"/>
  <c r="AT92" i="226" s="1"/>
  <c r="EU8" i="226"/>
  <c r="ER8" i="226"/>
  <c r="EQ8" i="226" a="1"/>
  <c r="EQ8" i="226" s="1"/>
  <c r="EM8" i="226" a="1"/>
  <c r="EM8" i="226" s="1"/>
  <c r="EU92" i="226"/>
  <c r="FA8" i="226" a="1"/>
  <c r="FA8" i="226" s="1"/>
  <c r="FL92" i="226" a="1"/>
  <c r="FL92" i="226" s="1"/>
  <c r="BS8" i="226" a="1"/>
  <c r="BS8" i="226" s="1"/>
  <c r="CS8" i="226" a="1"/>
  <c r="CS8" i="226" s="1"/>
  <c r="EY8" i="226"/>
  <c r="B8" i="226"/>
  <c r="BX8" i="226"/>
  <c r="AP8" i="226" a="1"/>
  <c r="AP8" i="226" s="1"/>
  <c r="EE8" i="226" a="1"/>
  <c r="EE8" i="226" s="1"/>
  <c r="DX8" i="226" a="1"/>
  <c r="DX8" i="226" s="1"/>
  <c r="DV8" i="226" a="1"/>
  <c r="DV8" i="226" s="1"/>
  <c r="EC8" i="226" a="1"/>
  <c r="EC8" i="226" s="1"/>
  <c r="FL8" i="226" a="1"/>
  <c r="FL8" i="226" s="1"/>
  <c r="FM8" i="226" a="1"/>
  <c r="FM8" i="226" s="1"/>
  <c r="BR8" i="226" a="1"/>
  <c r="BR8" i="226" s="1"/>
  <c r="CC8" i="226"/>
  <c r="AH8" i="226" a="1"/>
  <c r="AH8" i="226" s="1"/>
  <c r="BV8" i="226" a="1"/>
  <c r="BV8" i="226" s="1"/>
  <c r="AG92" i="226" a="1"/>
  <c r="AG92" i="226" s="1"/>
  <c r="CU8" i="226" a="1"/>
  <c r="CU8" i="226" s="1"/>
  <c r="DY8" i="226" a="1"/>
  <c r="DY8" i="226" s="1"/>
  <c r="BU8" i="226" a="1"/>
  <c r="BU8" i="226" s="1"/>
  <c r="AG8" i="226" a="1"/>
  <c r="AG8" i="226" s="1"/>
  <c r="CB92" i="226"/>
  <c r="AR8" i="226" a="1"/>
  <c r="AR8" i="226" s="1"/>
  <c r="EJ8" i="226" a="1"/>
  <c r="EJ8" i="226" s="1"/>
  <c r="EP8" i="226" a="1"/>
  <c r="EP8" i="226" s="1"/>
  <c r="EL8" i="226" a="1"/>
  <c r="EL8" i="226" s="1"/>
  <c r="ED8" i="226" a="1"/>
  <c r="ED8" i="226" s="1"/>
  <c r="FB8" i="226" a="1"/>
  <c r="FB8" i="226" s="1"/>
  <c r="FF8" i="226" a="1"/>
  <c r="FF8" i="226" s="1"/>
  <c r="EX8" i="226"/>
  <c r="EY92" i="226"/>
  <c r="DL8" i="226"/>
  <c r="DN8" i="226"/>
  <c r="BP8" i="226" a="1"/>
  <c r="BP8" i="226" s="1"/>
  <c r="DT8" i="226"/>
  <c r="DP8" i="226"/>
  <c r="AI8" i="226" a="1"/>
  <c r="AI8" i="226" s="1"/>
  <c r="BX92" i="226"/>
  <c r="AK8" i="226" a="1"/>
  <c r="AK8" i="226" s="1"/>
  <c r="AM8" i="226"/>
  <c r="W8" i="226" a="1"/>
  <c r="W8" i="226" s="1"/>
  <c r="EO8" i="226" a="1"/>
  <c r="EO8" i="226" s="1"/>
  <c r="ES8" i="226"/>
  <c r="DU8" i="226" a="1"/>
  <c r="DU8" i="226" s="1"/>
  <c r="EA8" i="226" a="1"/>
  <c r="EA8" i="226" s="1"/>
  <c r="FK8" i="226" a="1"/>
  <c r="FK8" i="226" s="1"/>
  <c r="EZ8" i="226" a="1"/>
  <c r="EZ8" i="226" s="1"/>
  <c r="EV8" i="226"/>
  <c r="FG8" i="226" a="1"/>
  <c r="FG8" i="226" s="1"/>
  <c r="CD8" i="226"/>
  <c r="AN8" i="226" a="1"/>
  <c r="AN8" i="226" s="1"/>
  <c r="AL8" i="226" s="1"/>
  <c r="BZ8" i="226"/>
  <c r="BY8" i="226" a="1"/>
  <c r="BY8" i="226" s="1"/>
  <c r="DF8" i="226"/>
  <c r="X8" i="226" a="1"/>
  <c r="X8" i="226" s="1"/>
  <c r="ET8" i="226"/>
  <c r="DW8" i="226" a="1"/>
  <c r="DW8" i="226" s="1"/>
  <c r="EI8" i="226" a="1"/>
  <c r="EI8" i="226" s="1"/>
  <c r="EH8" i="226" a="1"/>
  <c r="EH8" i="226" s="1"/>
  <c r="FD8" i="226" a="1"/>
  <c r="FD8" i="226" s="1"/>
  <c r="FC8" i="226" a="1"/>
  <c r="FC8" i="226" s="1"/>
  <c r="DR8" i="226"/>
  <c r="DJ8" i="226"/>
  <c r="CA8" i="226"/>
  <c r="C8" i="226" a="1"/>
  <c r="C8" i="226" s="1"/>
  <c r="O8" i="226" s="1"/>
  <c r="AT8" i="226" a="1"/>
  <c r="AT8" i="226" s="1"/>
  <c r="DZ8" i="226" a="1"/>
  <c r="DZ8" i="226" s="1"/>
  <c r="EF8" i="226" a="1"/>
  <c r="EF8" i="226" s="1"/>
  <c r="EB8" i="226" a="1"/>
  <c r="EB8" i="226" s="1"/>
  <c r="EW8" i="226"/>
  <c r="FI8" i="226" a="1"/>
  <c r="FI8" i="226" s="1"/>
  <c r="DL92" i="226"/>
  <c r="CA92" i="226"/>
  <c r="CU92" i="226" a="1"/>
  <c r="CU92" i="226" s="1"/>
  <c r="DZ92" i="226" a="1"/>
  <c r="DZ92" i="226" s="1"/>
  <c r="EZ92" i="226" a="1"/>
  <c r="EZ92" i="226" s="1"/>
  <c r="DP92" i="226"/>
  <c r="DR21" i="226"/>
  <c r="CC92" i="226"/>
  <c r="EO92" i="226" a="1"/>
  <c r="EO92" i="226" s="1"/>
  <c r="AQ21" i="226" a="1"/>
  <c r="AQ21" i="226" s="1"/>
  <c r="AI92" i="226" a="1"/>
  <c r="AI92" i="226" s="1"/>
  <c r="EJ92" i="226" a="1"/>
  <c r="EJ92" i="226" s="1"/>
  <c r="BR21" i="226" a="1"/>
  <c r="BR21" i="226" s="1"/>
  <c r="AJ92" i="226"/>
  <c r="EL92" i="226" a="1"/>
  <c r="EL92" i="226" s="1"/>
  <c r="BX21" i="226"/>
  <c r="BU21" i="226" a="1"/>
  <c r="BU21" i="226" s="1"/>
  <c r="EE92" i="226" a="1"/>
  <c r="EE92" i="226" s="1"/>
  <c r="FH92" i="226" a="1"/>
  <c r="FH92" i="226" s="1"/>
  <c r="AK21" i="226" a="1"/>
  <c r="AK21" i="226" s="1"/>
  <c r="AJ21" i="226"/>
  <c r="DV21" i="226" a="1"/>
  <c r="DV21" i="226" s="1"/>
  <c r="B59" i="226"/>
  <c r="DR49" i="226"/>
  <c r="DP21" i="226"/>
  <c r="C104" i="226" a="1"/>
  <c r="C104" i="226" s="1"/>
  <c r="O104" i="226" s="1"/>
  <c r="AS49" i="226" a="1"/>
  <c r="AS49" i="226" s="1"/>
  <c r="CA21" i="226"/>
  <c r="CS21" i="226" a="1"/>
  <c r="CS21" i="226" s="1"/>
  <c r="AI21" i="226" a="1"/>
  <c r="AI21" i="226" s="1"/>
  <c r="AS63" i="226" a="1"/>
  <c r="AS63" i="226" s="1"/>
  <c r="DT49" i="226"/>
  <c r="DR59" i="226"/>
  <c r="CS59" i="226" a="1"/>
  <c r="CS59" i="226" s="1"/>
  <c r="V49" i="226" a="1"/>
  <c r="V49" i="226" s="1"/>
  <c r="X59" i="226" a="1"/>
  <c r="X59" i="226" s="1"/>
  <c r="EE21" i="226" a="1"/>
  <c r="EE21" i="226" s="1"/>
  <c r="DY49" i="226" a="1"/>
  <c r="DY49" i="226" s="1"/>
  <c r="EQ49" i="226" a="1"/>
  <c r="EQ49" i="226" s="1"/>
  <c r="DW104" i="226" a="1"/>
  <c r="DW104" i="226" s="1"/>
  <c r="EQ63" i="226" a="1"/>
  <c r="EQ63" i="226" s="1"/>
  <c r="EH63" i="226" a="1"/>
  <c r="EH63" i="226" s="1"/>
  <c r="EM59" i="226" a="1"/>
  <c r="EM59" i="226" s="1"/>
  <c r="FC59" i="226" a="1"/>
  <c r="FC59" i="226" s="1"/>
  <c r="AP21" i="226" a="1"/>
  <c r="AP21" i="226" s="1"/>
  <c r="EI21" i="226" a="1"/>
  <c r="EI21" i="226" s="1"/>
  <c r="DP59" i="226"/>
  <c r="DF21" i="226"/>
  <c r="BW49" i="226"/>
  <c r="CS104" i="226" a="1"/>
  <c r="CS104" i="226" s="1"/>
  <c r="AO21" i="226" a="1"/>
  <c r="AO21" i="226" s="1"/>
  <c r="DH21" i="226"/>
  <c r="DT63" i="226"/>
  <c r="BU63" i="226" a="1"/>
  <c r="BU63" i="226" s="1"/>
  <c r="BV59" i="226" a="1"/>
  <c r="BV59" i="226" s="1"/>
  <c r="BU59" i="226" a="1"/>
  <c r="BU59" i="226" s="1"/>
  <c r="DN59" i="226"/>
  <c r="AM104" i="226"/>
  <c r="W21" i="226" a="1"/>
  <c r="W21" i="226" s="1"/>
  <c r="AT59" i="226" a="1"/>
  <c r="AT59" i="226" s="1"/>
  <c r="EP21" i="226" a="1"/>
  <c r="EP21" i="226" s="1"/>
  <c r="EF49" i="226" a="1"/>
  <c r="EF49" i="226" s="1"/>
  <c r="ER49" i="226"/>
  <c r="DY104" i="226" a="1"/>
  <c r="DY104" i="226" s="1"/>
  <c r="EJ63" i="226" a="1"/>
  <c r="EJ63" i="226" s="1"/>
  <c r="ES63" i="226"/>
  <c r="EI59" i="226" a="1"/>
  <c r="EI59" i="226" s="1"/>
  <c r="FH104" i="226" a="1"/>
  <c r="FH104" i="226" s="1"/>
  <c r="FE21" i="226" a="1"/>
  <c r="FE21" i="226" s="1"/>
  <c r="EZ63" i="226" a="1"/>
  <c r="EZ63" i="226" s="1"/>
  <c r="A21" i="226"/>
  <c r="C21" i="226" a="1"/>
  <c r="C21" i="226" s="1"/>
  <c r="L21" i="226" s="1"/>
  <c r="AR21" i="226" a="1"/>
  <c r="AR21" i="226" s="1"/>
  <c r="FA104" i="226" a="1"/>
  <c r="FA104" i="226" s="1"/>
  <c r="FA21" i="226" a="1"/>
  <c r="FA21" i="226" s="1"/>
  <c r="CT21" i="226" a="1"/>
  <c r="CT21" i="226" s="1"/>
  <c r="DN21" i="226"/>
  <c r="AM21" i="226"/>
  <c r="EK21" i="226" a="1"/>
  <c r="EK21" i="226" s="1"/>
  <c r="EF104" i="226" a="1"/>
  <c r="EF104" i="226" s="1"/>
  <c r="DJ49" i="226"/>
  <c r="CD104" i="226"/>
  <c r="BZ104" i="226"/>
  <c r="BP21" i="226" a="1"/>
  <c r="BP21" i="226" s="1"/>
  <c r="BS63" i="226" a="1"/>
  <c r="BS63" i="226" s="1"/>
  <c r="BX63" i="226"/>
  <c r="BS21" i="226" a="1"/>
  <c r="BS21" i="226" s="1"/>
  <c r="AO59" i="226" a="1"/>
  <c r="AO59" i="226" s="1"/>
  <c r="AP104" i="226" a="1"/>
  <c r="AP104" i="226" s="1"/>
  <c r="AT21" i="226" a="1"/>
  <c r="AT21" i="226" s="1"/>
  <c r="AP63" i="226" a="1"/>
  <c r="AP63" i="226" s="1"/>
  <c r="EX21" i="226"/>
  <c r="EG49" i="226" a="1"/>
  <c r="EG49" i="226" s="1"/>
  <c r="EG104" i="226" a="1"/>
  <c r="EG104" i="226" s="1"/>
  <c r="ED63" i="226" a="1"/>
  <c r="ED63" i="226" s="1"/>
  <c r="EJ59" i="226" a="1"/>
  <c r="EJ59" i="226" s="1"/>
  <c r="FK104" i="226" a="1"/>
  <c r="FK104" i="226" s="1"/>
  <c r="FH21" i="226" a="1"/>
  <c r="FH21" i="226" s="1"/>
  <c r="FD63" i="226" a="1"/>
  <c r="FD63" i="226" s="1"/>
  <c r="EK104" i="226" a="1"/>
  <c r="EK104" i="226" s="1"/>
  <c r="EM104" i="226" a="1"/>
  <c r="EM104" i="226" s="1"/>
  <c r="EI104" i="226" a="1"/>
  <c r="EI104" i="226" s="1"/>
  <c r="FL104" i="226" a="1"/>
  <c r="FL104" i="226" s="1"/>
  <c r="FL49" i="226" a="1"/>
  <c r="FL49" i="226" s="1"/>
  <c r="FM49" i="226" a="1"/>
  <c r="FM49" i="226" s="1"/>
  <c r="DH92" i="226"/>
  <c r="AJ19" i="226"/>
  <c r="BW19" i="226"/>
  <c r="AO19" i="226" a="1"/>
  <c r="AO19" i="226" s="1"/>
  <c r="AG104" i="226" a="1"/>
  <c r="AG104" i="226" s="1"/>
  <c r="B49" i="226"/>
  <c r="BY104" i="226" a="1"/>
  <c r="BY104" i="226" s="1"/>
  <c r="AI104" i="226" a="1"/>
  <c r="AI104" i="226" s="1"/>
  <c r="DJ104" i="226"/>
  <c r="CT49" i="226" a="1"/>
  <c r="CT49" i="226" s="1"/>
  <c r="DJ20" i="226"/>
  <c r="BU20" i="226" a="1"/>
  <c r="BU20" i="226" s="1"/>
  <c r="CS20" i="226" a="1"/>
  <c r="CS20" i="226" s="1"/>
  <c r="DR63" i="226"/>
  <c r="CA63" i="226"/>
  <c r="BZ63" i="226"/>
  <c r="BW63" i="226"/>
  <c r="AN63" i="226" a="1"/>
  <c r="AN63" i="226" s="1"/>
  <c r="AL63" i="226" s="1"/>
  <c r="BV49" i="226" a="1"/>
  <c r="BV49" i="226" s="1"/>
  <c r="DN92" i="226"/>
  <c r="AN20" i="226" a="1"/>
  <c r="AN20" i="226" s="1"/>
  <c r="AL20" i="226" s="1"/>
  <c r="CT92" i="226" a="1"/>
  <c r="CT92" i="226" s="1"/>
  <c r="BV92" i="226" a="1"/>
  <c r="BV92" i="226" s="1"/>
  <c r="DR104" i="226"/>
  <c r="AT104" i="226" a="1"/>
  <c r="AT104" i="226" s="1"/>
  <c r="AT19" i="226" a="1"/>
  <c r="AT19" i="226" s="1"/>
  <c r="V20" i="226" a="1"/>
  <c r="V20" i="226" s="1"/>
  <c r="W49" i="226" a="1"/>
  <c r="W49" i="226" s="1"/>
  <c r="X63" i="226" a="1"/>
  <c r="X63" i="226" s="1"/>
  <c r="DY92" i="226" a="1"/>
  <c r="DY92" i="226" s="1"/>
  <c r="EK92" i="226" a="1"/>
  <c r="EK92" i="226" s="1"/>
  <c r="ES92" i="226"/>
  <c r="EV20" i="226"/>
  <c r="DY20" i="226" a="1"/>
  <c r="DY20" i="226" s="1"/>
  <c r="ER20" i="226"/>
  <c r="EU20" i="226"/>
  <c r="EL49" i="226" a="1"/>
  <c r="EL49" i="226" s="1"/>
  <c r="EM49" i="226" a="1"/>
  <c r="EM49" i="226" s="1"/>
  <c r="EP49" i="226" a="1"/>
  <c r="EP49" i="226" s="1"/>
  <c r="EY49" i="226"/>
  <c r="DU104" i="226" a="1"/>
  <c r="DU104" i="226" s="1"/>
  <c r="DZ104" i="226" a="1"/>
  <c r="DZ104" i="226" s="1"/>
  <c r="ER104" i="226"/>
  <c r="EP104" i="226" a="1"/>
  <c r="EP104" i="226" s="1"/>
  <c r="DY63" i="226" a="1"/>
  <c r="DY63" i="226" s="1"/>
  <c r="DZ63" i="226" a="1"/>
  <c r="DZ63" i="226" s="1"/>
  <c r="EG63" i="226" a="1"/>
  <c r="EG63" i="226" s="1"/>
  <c r="ET63" i="226"/>
  <c r="DV59" i="226" a="1"/>
  <c r="DV59" i="226" s="1"/>
  <c r="EU59" i="226"/>
  <c r="EW59" i="226"/>
  <c r="DZ19" i="226" a="1"/>
  <c r="DZ19" i="226" s="1"/>
  <c r="DU19" i="226" a="1"/>
  <c r="DU19" i="226" s="1"/>
  <c r="EH19" i="226" a="1"/>
  <c r="EH19" i="226" s="1"/>
  <c r="EY19" i="226"/>
  <c r="FG104" i="226" a="1"/>
  <c r="FG104" i="226" s="1"/>
  <c r="FK59" i="226" a="1"/>
  <c r="FK59" i="226" s="1"/>
  <c r="FC63" i="226" a="1"/>
  <c r="FC63" i="226" s="1"/>
  <c r="FI63" i="226" a="1"/>
  <c r="FI63" i="226" s="1"/>
  <c r="FF92" i="226" a="1"/>
  <c r="FF92" i="226" s="1"/>
  <c r="FK49" i="226" a="1"/>
  <c r="FK49" i="226" s="1"/>
  <c r="FG49" i="226" a="1"/>
  <c r="FG49" i="226" s="1"/>
  <c r="FA19" i="226" a="1"/>
  <c r="FA19" i="226" s="1"/>
  <c r="EZ20" i="226" a="1"/>
  <c r="EZ20" i="226" s="1"/>
  <c r="DJ19" i="226"/>
  <c r="AN19" i="226" a="1"/>
  <c r="AN19" i="226" s="1"/>
  <c r="AL19" i="226" s="1"/>
  <c r="AI19" i="226" a="1"/>
  <c r="AI19" i="226" s="1"/>
  <c r="DP63" i="226"/>
  <c r="A49" i="226"/>
  <c r="DN49" i="226"/>
  <c r="BS49" i="226" a="1"/>
  <c r="BS49" i="226" s="1"/>
  <c r="AJ104" i="226"/>
  <c r="CA104" i="226"/>
  <c r="DF104" i="226"/>
  <c r="BX49" i="226"/>
  <c r="AS104" i="226" a="1"/>
  <c r="AS104" i="226" s="1"/>
  <c r="BX104" i="226"/>
  <c r="B104" i="226"/>
  <c r="AK20" i="226" a="1"/>
  <c r="AK20" i="226" s="1"/>
  <c r="BX20" i="226"/>
  <c r="CD20" i="226"/>
  <c r="AG20" i="226" a="1"/>
  <c r="AG20" i="226" s="1"/>
  <c r="DH63" i="226"/>
  <c r="BV104" i="226" a="1"/>
  <c r="BV104" i="226" s="1"/>
  <c r="AK63" i="226" a="1"/>
  <c r="AK63" i="226" s="1"/>
  <c r="C63" i="226" a="1"/>
  <c r="C63" i="226" s="1"/>
  <c r="O63" i="226" s="1"/>
  <c r="A63" i="226"/>
  <c r="DN63" i="226"/>
  <c r="AK49" i="226" a="1"/>
  <c r="AK49" i="226" s="1"/>
  <c r="BZ92" i="226"/>
  <c r="AK92" i="226" a="1"/>
  <c r="AK92" i="226" s="1"/>
  <c r="BW92" i="226"/>
  <c r="AM19" i="226"/>
  <c r="BT104" i="226" a="1"/>
  <c r="BT104" i="226" s="1"/>
  <c r="W19" i="226" a="1"/>
  <c r="W19" i="226" s="1"/>
  <c r="X20" i="226" a="1"/>
  <c r="X20" i="226" s="1"/>
  <c r="BT49" i="226" a="1"/>
  <c r="BT49" i="226" s="1"/>
  <c r="W63" i="226" a="1"/>
  <c r="W63" i="226" s="1"/>
  <c r="AP92" i="226" a="1"/>
  <c r="AP92" i="226" s="1"/>
  <c r="EP92" i="226" a="1"/>
  <c r="EP92" i="226" s="1"/>
  <c r="ER92" i="226"/>
  <c r="EN20" i="226" a="1"/>
  <c r="EN20" i="226" s="1"/>
  <c r="DX20" i="226" a="1"/>
  <c r="DX20" i="226" s="1"/>
  <c r="EJ20" i="226" a="1"/>
  <c r="EJ20" i="226" s="1"/>
  <c r="EX20" i="226"/>
  <c r="DW49" i="226" a="1"/>
  <c r="DW49" i="226" s="1"/>
  <c r="EN49" i="226" a="1"/>
  <c r="EN49" i="226" s="1"/>
  <c r="ED49" i="226" a="1"/>
  <c r="ED49" i="226" s="1"/>
  <c r="ET49" i="226"/>
  <c r="DX104" i="226" a="1"/>
  <c r="DX104" i="226" s="1"/>
  <c r="EC104" i="226" a="1"/>
  <c r="EC104" i="226" s="1"/>
  <c r="EN104" i="226" a="1"/>
  <c r="EN104" i="226" s="1"/>
  <c r="ET104" i="226"/>
  <c r="DW63" i="226" a="1"/>
  <c r="DW63" i="226" s="1"/>
  <c r="EE63" i="226" a="1"/>
  <c r="EE63" i="226" s="1"/>
  <c r="EO63" i="226" a="1"/>
  <c r="EO63" i="226" s="1"/>
  <c r="EX63" i="226"/>
  <c r="DY59" i="226" a="1"/>
  <c r="DY59" i="226" s="1"/>
  <c r="EO59" i="226" a="1"/>
  <c r="EO59" i="226" s="1"/>
  <c r="EF19" i="226" a="1"/>
  <c r="EF19" i="226" s="1"/>
  <c r="DX19" i="226" a="1"/>
  <c r="DX19" i="226" s="1"/>
  <c r="EC19" i="226" a="1"/>
  <c r="EC19" i="226" s="1"/>
  <c r="EX19" i="226"/>
  <c r="FF104" i="226" a="1"/>
  <c r="FF104" i="226" s="1"/>
  <c r="FE104" i="226" a="1"/>
  <c r="FE104" i="226" s="1"/>
  <c r="FL59" i="226" a="1"/>
  <c r="FL59" i="226" s="1"/>
  <c r="FA63" i="226" a="1"/>
  <c r="FA63" i="226" s="1"/>
  <c r="FK63" i="226" a="1"/>
  <c r="FK63" i="226" s="1"/>
  <c r="FI92" i="226" a="1"/>
  <c r="FI92" i="226" s="1"/>
  <c r="FH49" i="226" a="1"/>
  <c r="FH49" i="226" s="1"/>
  <c r="FB49" i="226" a="1"/>
  <c r="FB49" i="226" s="1"/>
  <c r="FC19" i="226" a="1"/>
  <c r="FC19" i="226" s="1"/>
  <c r="FJ19" i="226" a="1"/>
  <c r="FJ19" i="226" s="1"/>
  <c r="FH20" i="226" a="1"/>
  <c r="FH20" i="226" s="1"/>
  <c r="FB20" i="226" a="1"/>
  <c r="FB20" i="226" s="1"/>
  <c r="B92" i="226"/>
  <c r="BS19" i="226" a="1"/>
  <c r="BS19" i="226" s="1"/>
  <c r="CB19" i="226"/>
  <c r="DL19" i="226"/>
  <c r="AH19" i="226" a="1"/>
  <c r="AH19" i="226" s="1"/>
  <c r="DH19" i="226"/>
  <c r="DP49" i="226"/>
  <c r="BU49" i="226" a="1"/>
  <c r="BU49" i="226" s="1"/>
  <c r="BP104" i="226" a="1"/>
  <c r="BP104" i="226" s="1"/>
  <c r="AH49" i="226" a="1"/>
  <c r="AH49" i="226" s="1"/>
  <c r="DT104" i="226"/>
  <c r="BR104" i="226" a="1"/>
  <c r="BR104" i="226" s="1"/>
  <c r="BP20" i="226" a="1"/>
  <c r="BP20" i="226" s="1"/>
  <c r="BZ20" i="226"/>
  <c r="AJ20" i="226"/>
  <c r="CB20" i="226"/>
  <c r="AJ63" i="226"/>
  <c r="BP63" i="226" a="1"/>
  <c r="BP63" i="226" s="1"/>
  <c r="BY63" i="226" a="1"/>
  <c r="BY63" i="226" s="1"/>
  <c r="AI49" i="226" a="1"/>
  <c r="AI49" i="226" s="1"/>
  <c r="BY49" i="226" a="1"/>
  <c r="BY49" i="226" s="1"/>
  <c r="BU92" i="226" a="1"/>
  <c r="BU92" i="226" s="1"/>
  <c r="AO92" i="226" a="1"/>
  <c r="AO92" i="226" s="1"/>
  <c r="AQ92" i="226" a="1"/>
  <c r="AQ92" i="226" s="1"/>
  <c r="BR92" i="226" a="1"/>
  <c r="BR92" i="226" s="1"/>
  <c r="DN19" i="226"/>
  <c r="W104" i="226" a="1"/>
  <c r="W104" i="226" s="1"/>
  <c r="CU19" i="226" a="1"/>
  <c r="CU19" i="226" s="1"/>
  <c r="AP20" i="226" a="1"/>
  <c r="AP20" i="226" s="1"/>
  <c r="AM20" i="226"/>
  <c r="AR49" i="226" a="1"/>
  <c r="AR49" i="226" s="1"/>
  <c r="V63" i="226" a="1"/>
  <c r="V63" i="226" s="1"/>
  <c r="V92" i="226" a="1"/>
  <c r="V92" i="226" s="1"/>
  <c r="DV92" i="226" a="1"/>
  <c r="DV92" i="226" s="1"/>
  <c r="EF92" i="226" a="1"/>
  <c r="EF92" i="226" s="1"/>
  <c r="DZ20" i="226" a="1"/>
  <c r="DZ20" i="226" s="1"/>
  <c r="EC20" i="226" a="1"/>
  <c r="EC20" i="226" s="1"/>
  <c r="DV20" i="226" a="1"/>
  <c r="DV20" i="226" s="1"/>
  <c r="EY20" i="226"/>
  <c r="EE49" i="226" a="1"/>
  <c r="EE49" i="226" s="1"/>
  <c r="EB49" i="226" a="1"/>
  <c r="EB49" i="226" s="1"/>
  <c r="EJ49" i="226" a="1"/>
  <c r="EJ49" i="226" s="1"/>
  <c r="EJ104" i="226" a="1"/>
  <c r="EJ104" i="226" s="1"/>
  <c r="ED104" i="226" a="1"/>
  <c r="ED104" i="226" s="1"/>
  <c r="EH104" i="226" a="1"/>
  <c r="EH104" i="226" s="1"/>
  <c r="EY104" i="226"/>
  <c r="EC63" i="226" a="1"/>
  <c r="EC63" i="226" s="1"/>
  <c r="EL63" i="226" a="1"/>
  <c r="EL63" i="226" s="1"/>
  <c r="EU63" i="226"/>
  <c r="EW63" i="226"/>
  <c r="EK19" i="226" a="1"/>
  <c r="EK19" i="226" s="1"/>
  <c r="EB19" i="226" a="1"/>
  <c r="EB19" i="226" s="1"/>
  <c r="EI19" i="226" a="1"/>
  <c r="EI19" i="226" s="1"/>
  <c r="EW19" i="226"/>
  <c r="FC104" i="226" a="1"/>
  <c r="FC104" i="226" s="1"/>
  <c r="FJ104" i="226" a="1"/>
  <c r="FJ104" i="226" s="1"/>
  <c r="FG63" i="226" a="1"/>
  <c r="FG63" i="226" s="1"/>
  <c r="FB63" i="226" a="1"/>
  <c r="FB63" i="226" s="1"/>
  <c r="FD92" i="226" a="1"/>
  <c r="FD92" i="226" s="1"/>
  <c r="FF49" i="226" a="1"/>
  <c r="FF49" i="226" s="1"/>
  <c r="FI49" i="226" a="1"/>
  <c r="FI49" i="226" s="1"/>
  <c r="FM19" i="226" a="1"/>
  <c r="FM19" i="226" s="1"/>
  <c r="FD19" i="226" a="1"/>
  <c r="FD19" i="226" s="1"/>
  <c r="FG20" i="226" a="1"/>
  <c r="FG20" i="226" s="1"/>
  <c r="FJ20" i="226" a="1"/>
  <c r="FJ20" i="226" s="1"/>
  <c r="C19" i="226" a="1"/>
  <c r="C19" i="226" s="1"/>
  <c r="L19" i="226" s="1"/>
  <c r="BP19" i="226" a="1"/>
  <c r="BP19" i="226" s="1"/>
  <c r="BU19" i="226" a="1"/>
  <c r="BU19" i="226" s="1"/>
  <c r="DR19" i="226"/>
  <c r="AN49" i="226" a="1"/>
  <c r="AN49" i="226" s="1"/>
  <c r="AL49" i="226" s="1"/>
  <c r="CC49" i="226"/>
  <c r="CS49" i="226" a="1"/>
  <c r="CS49" i="226" s="1"/>
  <c r="AQ49" i="226" a="1"/>
  <c r="AQ49" i="226" s="1"/>
  <c r="BS104" i="226" a="1"/>
  <c r="BS104" i="226" s="1"/>
  <c r="DN20" i="226"/>
  <c r="DF20" i="226"/>
  <c r="AI20" i="226" a="1"/>
  <c r="AI20" i="226" s="1"/>
  <c r="DF63" i="226"/>
  <c r="AN104" i="226" a="1"/>
  <c r="AN104" i="226" s="1"/>
  <c r="AL104" i="226" s="1"/>
  <c r="AH63" i="226" a="1"/>
  <c r="AH63" i="226" s="1"/>
  <c r="CB63" i="226"/>
  <c r="AG63" i="226" a="1"/>
  <c r="AG63" i="226" s="1"/>
  <c r="DL49" i="226"/>
  <c r="DH49" i="226"/>
  <c r="A19" i="226"/>
  <c r="BS92" i="226" a="1"/>
  <c r="BS92" i="226" s="1"/>
  <c r="CD92" i="226"/>
  <c r="AN92" i="226" a="1"/>
  <c r="AN92" i="226" s="1"/>
  <c r="AL92" i="226" s="1"/>
  <c r="CS92" i="226" a="1"/>
  <c r="CS92" i="226" s="1"/>
  <c r="BY92" i="226" a="1"/>
  <c r="BY92" i="226" s="1"/>
  <c r="AM92" i="226"/>
  <c r="CU104" i="226" a="1"/>
  <c r="CU104" i="226" s="1"/>
  <c r="AP19" i="226" a="1"/>
  <c r="AP19" i="226" s="1"/>
  <c r="AR20" i="226" a="1"/>
  <c r="AR20" i="226" s="1"/>
  <c r="AP49" i="226" a="1"/>
  <c r="AP49" i="226" s="1"/>
  <c r="AM49" i="226"/>
  <c r="BT63" i="226" a="1"/>
  <c r="BT63" i="226" s="1"/>
  <c r="BT92" i="226" a="1"/>
  <c r="BT92" i="226" s="1"/>
  <c r="EI92" i="226" a="1"/>
  <c r="EI92" i="226" s="1"/>
  <c r="EX92" i="226"/>
  <c r="EH20" i="226" a="1"/>
  <c r="EH20" i="226" s="1"/>
  <c r="EI20" i="226" a="1"/>
  <c r="EI20" i="226" s="1"/>
  <c r="EE20" i="226" a="1"/>
  <c r="EE20" i="226" s="1"/>
  <c r="DX49" i="226" a="1"/>
  <c r="DX49" i="226" s="1"/>
  <c r="EA49" i="226" a="1"/>
  <c r="EA49" i="226" s="1"/>
  <c r="EO49" i="226" a="1"/>
  <c r="EO49" i="226" s="1"/>
  <c r="EX49" i="226"/>
  <c r="EA104" i="226" a="1"/>
  <c r="EA104" i="226" s="1"/>
  <c r="EL104" i="226" a="1"/>
  <c r="EL104" i="226" s="1"/>
  <c r="EO104" i="226" a="1"/>
  <c r="EO104" i="226" s="1"/>
  <c r="ES104" i="226"/>
  <c r="DV63" i="226" a="1"/>
  <c r="DV63" i="226" s="1"/>
  <c r="EF63" i="226" a="1"/>
  <c r="EF63" i="226" s="1"/>
  <c r="EB63" i="226" a="1"/>
  <c r="EB63" i="226" s="1"/>
  <c r="EV63" i="226"/>
  <c r="ED59" i="226" a="1"/>
  <c r="ED59" i="226" s="1"/>
  <c r="EP59" i="226" a="1"/>
  <c r="EP59" i="226" s="1"/>
  <c r="EQ19" i="226" a="1"/>
  <c r="EQ19" i="226" s="1"/>
  <c r="EG19" i="226" a="1"/>
  <c r="EG19" i="226" s="1"/>
  <c r="EN19" i="226" a="1"/>
  <c r="EN19" i="226" s="1"/>
  <c r="EV19" i="226"/>
  <c r="EZ104" i="226" a="1"/>
  <c r="EZ104" i="226" s="1"/>
  <c r="FI104" i="226" a="1"/>
  <c r="FI104" i="226" s="1"/>
  <c r="FM59" i="226" a="1"/>
  <c r="FM59" i="226" s="1"/>
  <c r="FL63" i="226" a="1"/>
  <c r="FL63" i="226" s="1"/>
  <c r="FM92" i="226" a="1"/>
  <c r="FM92" i="226" s="1"/>
  <c r="EZ49" i="226" a="1"/>
  <c r="EZ49" i="226" s="1"/>
  <c r="FA49" i="226" a="1"/>
  <c r="FA49" i="226" s="1"/>
  <c r="FK19" i="226" a="1"/>
  <c r="FK19" i="226" s="1"/>
  <c r="EZ19" i="226" a="1"/>
  <c r="EZ19" i="226" s="1"/>
  <c r="FE20" i="226" a="1"/>
  <c r="FE20" i="226" s="1"/>
  <c r="FL20" i="226" a="1"/>
  <c r="FL20" i="226" s="1"/>
  <c r="DJ92" i="226"/>
  <c r="DT92" i="226"/>
  <c r="DR92" i="226"/>
  <c r="BZ19" i="226"/>
  <c r="BY19" i="226" a="1"/>
  <c r="BY19" i="226" s="1"/>
  <c r="DP19" i="226"/>
  <c r="CT19" i="226" a="1"/>
  <c r="CT19" i="226" s="1"/>
  <c r="B19" i="226"/>
  <c r="AK104" i="226" a="1"/>
  <c r="AK104" i="226" s="1"/>
  <c r="BP49" i="226" a="1"/>
  <c r="BP49" i="226" s="1"/>
  <c r="CD49" i="226"/>
  <c r="DH104" i="226"/>
  <c r="AJ49" i="226"/>
  <c r="BZ49" i="226"/>
  <c r="CB104" i="226"/>
  <c r="CC20" i="226"/>
  <c r="AQ20" i="226" a="1"/>
  <c r="AQ20" i="226" s="1"/>
  <c r="AO20" i="226" a="1"/>
  <c r="AO20" i="226" s="1"/>
  <c r="A20" i="226"/>
  <c r="AI63" i="226" a="1"/>
  <c r="AI63" i="226" s="1"/>
  <c r="CC63" i="226"/>
  <c r="CS63" i="226" a="1"/>
  <c r="CS63" i="226" s="1"/>
  <c r="BR49" i="226" a="1"/>
  <c r="BR49" i="226" s="1"/>
  <c r="DF49" i="226"/>
  <c r="A92" i="226"/>
  <c r="C92" i="226" a="1"/>
  <c r="C92" i="226" s="1"/>
  <c r="O92" i="226" s="1"/>
  <c r="BP92" i="226" a="1"/>
  <c r="BP92" i="226" s="1"/>
  <c r="AS92" i="226" a="1"/>
  <c r="AS92" i="226" s="1"/>
  <c r="AH92" i="226" a="1"/>
  <c r="AH92" i="226" s="1"/>
  <c r="DF92" i="226"/>
  <c r="AR104" i="226" a="1"/>
  <c r="AR104" i="226" s="1"/>
  <c r="V19" i="226" a="1"/>
  <c r="V19" i="226" s="1"/>
  <c r="CU20" i="226" a="1"/>
  <c r="CU20" i="226" s="1"/>
  <c r="CU49" i="226" a="1"/>
  <c r="CU49" i="226" s="1"/>
  <c r="AR63" i="226" a="1"/>
  <c r="AR63" i="226" s="1"/>
  <c r="AR92" i="226" a="1"/>
  <c r="AR92" i="226" s="1"/>
  <c r="EG92" i="226" a="1"/>
  <c r="EG92" i="226" s="1"/>
  <c r="EB92" i="226" a="1"/>
  <c r="EB92" i="226" s="1"/>
  <c r="EV92" i="226"/>
  <c r="EL20" i="226" a="1"/>
  <c r="EL20" i="226" s="1"/>
  <c r="EO20" i="226" a="1"/>
  <c r="EO20" i="226" s="1"/>
  <c r="EQ20" i="226" a="1"/>
  <c r="EQ20" i="226" s="1"/>
  <c r="EA20" i="226" a="1"/>
  <c r="EA20" i="226" s="1"/>
  <c r="EK49" i="226" a="1"/>
  <c r="EK49" i="226" s="1"/>
  <c r="DV49" i="226" a="1"/>
  <c r="DV49" i="226" s="1"/>
  <c r="EC49" i="226" a="1"/>
  <c r="EC49" i="226" s="1"/>
  <c r="EW49" i="226"/>
  <c r="DV104" i="226" a="1"/>
  <c r="DV104" i="226" s="1"/>
  <c r="EE104" i="226" a="1"/>
  <c r="EE104" i="226" s="1"/>
  <c r="EW104" i="226"/>
  <c r="EX104" i="226"/>
  <c r="EA63" i="226" a="1"/>
  <c r="EA63" i="226" s="1"/>
  <c r="EM63" i="226" a="1"/>
  <c r="EM63" i="226" s="1"/>
  <c r="EI63" i="226" a="1"/>
  <c r="EI63" i="226" s="1"/>
  <c r="DW59" i="226" a="1"/>
  <c r="DW59" i="226" s="1"/>
  <c r="EL59" i="226" a="1"/>
  <c r="EL59" i="226" s="1"/>
  <c r="EY59" i="226"/>
  <c r="ED19" i="226" a="1"/>
  <c r="ED19" i="226" s="1"/>
  <c r="EM19" i="226" a="1"/>
  <c r="EM19" i="226" s="1"/>
  <c r="EU19" i="226"/>
  <c r="FB104" i="226" a="1"/>
  <c r="FB104" i="226" s="1"/>
  <c r="FI59" i="226" a="1"/>
  <c r="FI59" i="226" s="1"/>
  <c r="FB92" i="226" a="1"/>
  <c r="FB92" i="226" s="1"/>
  <c r="FD49" i="226" a="1"/>
  <c r="FD49" i="226" s="1"/>
  <c r="FB19" i="226" a="1"/>
  <c r="FB19" i="226" s="1"/>
  <c r="FM20" i="226" a="1"/>
  <c r="FM20" i="226" s="1"/>
  <c r="X21" i="226" a="1"/>
  <c r="X21" i="226" s="1"/>
  <c r="AR59" i="226" a="1"/>
  <c r="AR59" i="226" s="1"/>
  <c r="DW92" i="226" a="1"/>
  <c r="DW92" i="226" s="1"/>
  <c r="EC92" i="226" a="1"/>
  <c r="EC92" i="226" s="1"/>
  <c r="EN92" i="226" a="1"/>
  <c r="EN92" i="226" s="1"/>
  <c r="EA21" i="226" a="1"/>
  <c r="EA21" i="226" s="1"/>
  <c r="EG21" i="226" a="1"/>
  <c r="EG21" i="226" s="1"/>
  <c r="DX21" i="226" a="1"/>
  <c r="DX21" i="226" s="1"/>
  <c r="EW21" i="226"/>
  <c r="DZ59" i="226" a="1"/>
  <c r="DZ59" i="226" s="1"/>
  <c r="EE59" i="226" a="1"/>
  <c r="EE59" i="226" s="1"/>
  <c r="EH59" i="226" a="1"/>
  <c r="EH59" i="226" s="1"/>
  <c r="ER59" i="226"/>
  <c r="FH59" i="226" a="1"/>
  <c r="FH59" i="226" s="1"/>
  <c r="FK21" i="226" a="1"/>
  <c r="FK21" i="226" s="1"/>
  <c r="FG21" i="226" a="1"/>
  <c r="FG21" i="226" s="1"/>
  <c r="FC92" i="226" a="1"/>
  <c r="FC92" i="226" s="1"/>
  <c r="FE92" i="226" a="1"/>
  <c r="FE92" i="226" s="1"/>
  <c r="EF21" i="226" a="1"/>
  <c r="EF21" i="226" s="1"/>
  <c r="EN21" i="226" a="1"/>
  <c r="EN21" i="226" s="1"/>
  <c r="EB21" i="226" a="1"/>
  <c r="EB21" i="226" s="1"/>
  <c r="EV21" i="226"/>
  <c r="FM21" i="226" a="1"/>
  <c r="FM21" i="226" s="1"/>
  <c r="FJ21" i="226" a="1"/>
  <c r="FJ21" i="226" s="1"/>
  <c r="CT59" i="226" a="1"/>
  <c r="CT59" i="226" s="1"/>
  <c r="DJ59" i="226"/>
  <c r="AG21" i="226" a="1"/>
  <c r="AG21" i="226" s="1"/>
  <c r="BY21" i="226" a="1"/>
  <c r="BY21" i="226" s="1"/>
  <c r="CD21" i="226"/>
  <c r="BV21" i="226" a="1"/>
  <c r="BV21" i="226" s="1"/>
  <c r="DJ21" i="226"/>
  <c r="BY59" i="226" a="1"/>
  <c r="BY59" i="226" s="1"/>
  <c r="CB59" i="226"/>
  <c r="A59" i="226"/>
  <c r="AJ59" i="226"/>
  <c r="C59" i="226" a="1"/>
  <c r="C59" i="226" s="1"/>
  <c r="H59" i="226" s="1"/>
  <c r="AM59" i="226"/>
  <c r="CU21" i="226" a="1"/>
  <c r="CU21" i="226" s="1"/>
  <c r="AP59" i="226" a="1"/>
  <c r="AP59" i="226" s="1"/>
  <c r="X92" i="226" a="1"/>
  <c r="X92" i="226" s="1"/>
  <c r="EA92" i="226" a="1"/>
  <c r="EA92" i="226" s="1"/>
  <c r="DU92" i="226" a="1"/>
  <c r="DU92" i="226" s="1"/>
  <c r="ED92" i="226" a="1"/>
  <c r="ED92" i="226" s="1"/>
  <c r="EW92" i="226"/>
  <c r="EM21" i="226" a="1"/>
  <c r="EM21" i="226" s="1"/>
  <c r="EL21" i="226" a="1"/>
  <c r="EL21" i="226" s="1"/>
  <c r="EJ21" i="226" a="1"/>
  <c r="EJ21" i="226" s="1"/>
  <c r="EU21" i="226"/>
  <c r="EK59" i="226" a="1"/>
  <c r="EK59" i="226" s="1"/>
  <c r="EF59" i="226" a="1"/>
  <c r="EF59" i="226" s="1"/>
  <c r="EB59" i="226" a="1"/>
  <c r="EB59" i="226" s="1"/>
  <c r="EV59" i="226"/>
  <c r="FG59" i="226" a="1"/>
  <c r="FG59" i="226" s="1"/>
  <c r="EZ59" i="226" a="1"/>
  <c r="EZ59" i="226" s="1"/>
  <c r="FD21" i="226" a="1"/>
  <c r="FD21" i="226" s="1"/>
  <c r="FC21" i="226" a="1"/>
  <c r="FC21" i="226" s="1"/>
  <c r="FG92" i="226" a="1"/>
  <c r="FG92" i="226" s="1"/>
  <c r="FK92" i="226" a="1"/>
  <c r="FK92" i="226" s="1"/>
  <c r="DU21" i="226" a="1"/>
  <c r="DU21" i="226" s="1"/>
  <c r="DY21" i="226" a="1"/>
  <c r="DY21" i="226" s="1"/>
  <c r="EQ21" i="226" a="1"/>
  <c r="EQ21" i="226" s="1"/>
  <c r="ET21" i="226"/>
  <c r="FB21" i="226" a="1"/>
  <c r="FB21" i="226" s="1"/>
  <c r="FL21" i="226" a="1"/>
  <c r="FL21" i="226" s="1"/>
  <c r="AS21" i="226" a="1"/>
  <c r="AS21" i="226" s="1"/>
  <c r="CC21" i="226"/>
  <c r="BW21" i="226"/>
  <c r="DT21" i="226"/>
  <c r="ED21" i="226" a="1"/>
  <c r="ED21" i="226" s="1"/>
  <c r="EH21" i="226" a="1"/>
  <c r="EH21" i="226" s="1"/>
  <c r="DW21" i="226" a="1"/>
  <c r="DW21" i="226" s="1"/>
  <c r="ES21" i="226"/>
  <c r="FF21" i="226" a="1"/>
  <c r="FF21" i="226" s="1"/>
  <c r="E81" i="226" a="1"/>
  <c r="E81" i="226" s="1"/>
  <c r="D81" i="226" s="1"/>
  <c r="FL81" i="226" s="1" a="1"/>
  <c r="FL81" i="226" s="1"/>
  <c r="B21" i="226"/>
  <c r="DL21" i="226"/>
  <c r="V21" i="226" a="1"/>
  <c r="V21" i="226" s="1"/>
  <c r="EZ21" i="226" a="1"/>
  <c r="EZ21" i="226" s="1"/>
  <c r="BW59" i="226"/>
  <c r="BZ21" i="226"/>
  <c r="AN21" i="226" a="1"/>
  <c r="AN21" i="226" s="1"/>
  <c r="AL21" i="226" s="1"/>
  <c r="AH21" i="226" a="1"/>
  <c r="AH21" i="226" s="1"/>
  <c r="AN59" i="226" a="1"/>
  <c r="AN59" i="226" s="1"/>
  <c r="AL59" i="226" s="1"/>
  <c r="BR59" i="226" a="1"/>
  <c r="BR59" i="226" s="1"/>
  <c r="BT21" i="226" a="1"/>
  <c r="BT21" i="226" s="1"/>
  <c r="W59" i="226" a="1"/>
  <c r="W59" i="226" s="1"/>
  <c r="W92" i="226" a="1"/>
  <c r="W92" i="226" s="1"/>
  <c r="EH92" i="226" a="1"/>
  <c r="EH92" i="226" s="1"/>
  <c r="EQ92" i="226" a="1"/>
  <c r="EQ92" i="226" s="1"/>
  <c r="EM92" i="226" a="1"/>
  <c r="EM92" i="226" s="1"/>
  <c r="ET92" i="226"/>
  <c r="ER21" i="226"/>
  <c r="EO21" i="226" a="1"/>
  <c r="EO21" i="226" s="1"/>
  <c r="EC21" i="226" a="1"/>
  <c r="EC21" i="226" s="1"/>
  <c r="EY21" i="226"/>
  <c r="EA59" i="226" a="1"/>
  <c r="EA59" i="226" s="1"/>
  <c r="EQ59" i="226" a="1"/>
  <c r="EQ59" i="226" s="1"/>
  <c r="EG59" i="226" a="1"/>
  <c r="EG59" i="226" s="1"/>
  <c r="ES59" i="226"/>
  <c r="FJ59" i="226" a="1"/>
  <c r="FJ59" i="226" s="1"/>
  <c r="FJ92" i="226" a="1"/>
  <c r="FJ92" i="226" s="1"/>
  <c r="FA68" i="226" a="1"/>
  <c r="FA68" i="226" s="1"/>
  <c r="FE68" i="226" a="1"/>
  <c r="FE68" i="226" s="1"/>
  <c r="FD68" i="226" a="1"/>
  <c r="FD68" i="226" s="1"/>
  <c r="FL68" i="226" a="1"/>
  <c r="FL68" i="226" s="1"/>
  <c r="FF68" i="226" a="1"/>
  <c r="FF68" i="226" s="1"/>
  <c r="FM68" i="226" a="1"/>
  <c r="FM68" i="226" s="1"/>
  <c r="FG68" i="226" a="1"/>
  <c r="FG68" i="226" s="1"/>
  <c r="EZ68" i="226" a="1"/>
  <c r="EZ68" i="226" s="1"/>
  <c r="FB68" i="226" a="1"/>
  <c r="FB68" i="226" s="1"/>
  <c r="FH68" i="226" a="1"/>
  <c r="FH68" i="226" s="1"/>
  <c r="FI68" i="226" a="1"/>
  <c r="FI68" i="226" s="1"/>
  <c r="FC68" i="226" a="1"/>
  <c r="FC68" i="226" s="1"/>
  <c r="FJ68" i="226" a="1"/>
  <c r="FJ68" i="226" s="1"/>
  <c r="FK68" i="226" a="1"/>
  <c r="FK68" i="226" s="1"/>
  <c r="FG48" i="226" a="1"/>
  <c r="FG48" i="226" s="1"/>
  <c r="FM48" i="226" a="1"/>
  <c r="FM48" i="226" s="1"/>
  <c r="FE48" i="226" a="1"/>
  <c r="FE48" i="226" s="1"/>
  <c r="FL48" i="226" a="1"/>
  <c r="FL48" i="226" s="1"/>
  <c r="FF48" i="226" a="1"/>
  <c r="FF48" i="226" s="1"/>
  <c r="FH48" i="226" a="1"/>
  <c r="FH48" i="226" s="1"/>
  <c r="FA48" i="226" a="1"/>
  <c r="FA48" i="226" s="1"/>
  <c r="FI48" i="226" a="1"/>
  <c r="FI48" i="226" s="1"/>
  <c r="FB48" i="226" a="1"/>
  <c r="FB48" i="226" s="1"/>
  <c r="FJ48" i="226" a="1"/>
  <c r="FJ48" i="226" s="1"/>
  <c r="FC48" i="226" a="1"/>
  <c r="FC48" i="226" s="1"/>
  <c r="FD48" i="226" a="1"/>
  <c r="FD48" i="226" s="1"/>
  <c r="FK48" i="226" a="1"/>
  <c r="FK48" i="226" s="1"/>
  <c r="EZ48" i="226" a="1"/>
  <c r="EZ48" i="226" s="1"/>
  <c r="FC11" i="226" a="1"/>
  <c r="FC11" i="226" s="1"/>
  <c r="FI11" i="226" a="1"/>
  <c r="FI11" i="226" s="1"/>
  <c r="FL11" i="226" a="1"/>
  <c r="FL11" i="226" s="1"/>
  <c r="FB11" i="226" a="1"/>
  <c r="FB11" i="226" s="1"/>
  <c r="FJ11" i="226" a="1"/>
  <c r="FJ11" i="226" s="1"/>
  <c r="FD11" i="226" a="1"/>
  <c r="FD11" i="226" s="1"/>
  <c r="FE11" i="226" a="1"/>
  <c r="FE11" i="226" s="1"/>
  <c r="FM11" i="226" a="1"/>
  <c r="FM11" i="226" s="1"/>
  <c r="FG11" i="226" a="1"/>
  <c r="FG11" i="226" s="1"/>
  <c r="FF11" i="226" a="1"/>
  <c r="FF11" i="226" s="1"/>
  <c r="FH11" i="226" a="1"/>
  <c r="FH11" i="226" s="1"/>
  <c r="FK11" i="226" a="1"/>
  <c r="FK11" i="226" s="1"/>
  <c r="EZ11" i="226" a="1"/>
  <c r="EZ11" i="226" s="1"/>
  <c r="FA11" i="226" a="1"/>
  <c r="FA11" i="226" s="1"/>
  <c r="FC101" i="226" a="1"/>
  <c r="FC101" i="226" s="1"/>
  <c r="FI101" i="226" a="1"/>
  <c r="FI101" i="226" s="1"/>
  <c r="FJ101" i="226" a="1"/>
  <c r="FJ101" i="226" s="1"/>
  <c r="FD101" i="226" a="1"/>
  <c r="FD101" i="226" s="1"/>
  <c r="FK101" i="226" a="1"/>
  <c r="FK101" i="226" s="1"/>
  <c r="FF101" i="226" a="1"/>
  <c r="FF101" i="226" s="1"/>
  <c r="FL101" i="226" a="1"/>
  <c r="FL101" i="226" s="1"/>
  <c r="FG101" i="226" a="1"/>
  <c r="FG101" i="226" s="1"/>
  <c r="FM101" i="226" a="1"/>
  <c r="FM101" i="226" s="1"/>
  <c r="FH101" i="226" a="1"/>
  <c r="FH101" i="226" s="1"/>
  <c r="EZ101" i="226" a="1"/>
  <c r="EZ101" i="226" s="1"/>
  <c r="FA101" i="226" a="1"/>
  <c r="FA101" i="226" s="1"/>
  <c r="FE101" i="226" a="1"/>
  <c r="FE101" i="226" s="1"/>
  <c r="FB101" i="226" a="1"/>
  <c r="FB101" i="226" s="1"/>
  <c r="FA82" i="226" a="1"/>
  <c r="FA82" i="226" s="1"/>
  <c r="FF82" i="226" a="1"/>
  <c r="FF82" i="226" s="1"/>
  <c r="FB82" i="226" a="1"/>
  <c r="FB82" i="226" s="1"/>
  <c r="FK82" i="226" a="1"/>
  <c r="FK82" i="226" s="1"/>
  <c r="FG82" i="226" a="1"/>
  <c r="FG82" i="226" s="1"/>
  <c r="FH82" i="226" a="1"/>
  <c r="FH82" i="226" s="1"/>
  <c r="FD82" i="226" a="1"/>
  <c r="FD82" i="226" s="1"/>
  <c r="FM82" i="226" a="1"/>
  <c r="FM82" i="226" s="1"/>
  <c r="EZ82" i="226" a="1"/>
  <c r="EZ82" i="226" s="1"/>
  <c r="FJ82" i="226" a="1"/>
  <c r="FJ82" i="226" s="1"/>
  <c r="FC82" i="226" a="1"/>
  <c r="FC82" i="226" s="1"/>
  <c r="FE82" i="226" a="1"/>
  <c r="FE82" i="226" s="1"/>
  <c r="FI82" i="226" a="1"/>
  <c r="FI82" i="226" s="1"/>
  <c r="FL82" i="226" a="1"/>
  <c r="FL82" i="226" s="1"/>
  <c r="FL87" i="226" a="1"/>
  <c r="FL87" i="226" s="1"/>
  <c r="FB87" i="226" a="1"/>
  <c r="FB87" i="226" s="1"/>
  <c r="FG87" i="226" a="1"/>
  <c r="FG87" i="226" s="1"/>
  <c r="FM87" i="226" a="1"/>
  <c r="FM87" i="226" s="1"/>
  <c r="FH87" i="226" a="1"/>
  <c r="FH87" i="226" s="1"/>
  <c r="FD87" i="226" a="1"/>
  <c r="FD87" i="226" s="1"/>
  <c r="FE87" i="226" a="1"/>
  <c r="FE87" i="226" s="1"/>
  <c r="FJ87" i="226" a="1"/>
  <c r="FJ87" i="226" s="1"/>
  <c r="FF87" i="226" a="1"/>
  <c r="FF87" i="226" s="1"/>
  <c r="FI87" i="226" a="1"/>
  <c r="FI87" i="226" s="1"/>
  <c r="FK87" i="226" a="1"/>
  <c r="FK87" i="226" s="1"/>
  <c r="FA87" i="226" a="1"/>
  <c r="FA87" i="226" s="1"/>
  <c r="FC87" i="226" a="1"/>
  <c r="FC87" i="226" s="1"/>
  <c r="EZ87" i="226" a="1"/>
  <c r="EZ87" i="226" s="1"/>
  <c r="FC28" i="226" a="1"/>
  <c r="FC28" i="226" s="1"/>
  <c r="FG28" i="226" a="1"/>
  <c r="FG28" i="226" s="1"/>
  <c r="FK28" i="226" a="1"/>
  <c r="FK28" i="226" s="1"/>
  <c r="EZ28" i="226" a="1"/>
  <c r="EZ28" i="226" s="1"/>
  <c r="FD28" i="226" a="1"/>
  <c r="FD28" i="226" s="1"/>
  <c r="FI28" i="226" a="1"/>
  <c r="FI28" i="226" s="1"/>
  <c r="FJ28" i="226" a="1"/>
  <c r="FJ28" i="226" s="1"/>
  <c r="FE28" i="226" a="1"/>
  <c r="FE28" i="226" s="1"/>
  <c r="FF28" i="226" a="1"/>
  <c r="FF28" i="226" s="1"/>
  <c r="FB28" i="226" a="1"/>
  <c r="FB28" i="226" s="1"/>
  <c r="FA28" i="226" a="1"/>
  <c r="FA28" i="226" s="1"/>
  <c r="FL28" i="226" a="1"/>
  <c r="FL28" i="226" s="1"/>
  <c r="FH28" i="226" a="1"/>
  <c r="FH28" i="226" s="1"/>
  <c r="FM28" i="226" a="1"/>
  <c r="FM28" i="226" s="1"/>
  <c r="FC98" i="226" a="1"/>
  <c r="FC98" i="226" s="1"/>
  <c r="FJ98" i="226" a="1"/>
  <c r="FJ98" i="226" s="1"/>
  <c r="EZ98" i="226" a="1"/>
  <c r="EZ98" i="226" s="1"/>
  <c r="FD98" i="226" a="1"/>
  <c r="FD98" i="226" s="1"/>
  <c r="FE98" i="226" a="1"/>
  <c r="FE98" i="226" s="1"/>
  <c r="FK98" i="226" a="1"/>
  <c r="FK98" i="226" s="1"/>
  <c r="FM98" i="226" a="1"/>
  <c r="FM98" i="226" s="1"/>
  <c r="FA98" i="226" a="1"/>
  <c r="FA98" i="226" s="1"/>
  <c r="FG98" i="226" a="1"/>
  <c r="FG98" i="226" s="1"/>
  <c r="FF98" i="226" a="1"/>
  <c r="FF98" i="226" s="1"/>
  <c r="FI98" i="226" a="1"/>
  <c r="FI98" i="226" s="1"/>
  <c r="FB98" i="226" a="1"/>
  <c r="FB98" i="226" s="1"/>
  <c r="FH98" i="226" a="1"/>
  <c r="FH98" i="226" s="1"/>
  <c r="FL98" i="226" a="1"/>
  <c r="FL98" i="226" s="1"/>
  <c r="FA34" i="226" a="1"/>
  <c r="FA34" i="226" s="1"/>
  <c r="FE34" i="226" a="1"/>
  <c r="FE34" i="226" s="1"/>
  <c r="FI34" i="226" a="1"/>
  <c r="FI34" i="226" s="1"/>
  <c r="FM34" i="226" a="1"/>
  <c r="FM34" i="226" s="1"/>
  <c r="FF34" i="226" a="1"/>
  <c r="FF34" i="226" s="1"/>
  <c r="FK34" i="226" a="1"/>
  <c r="FK34" i="226" s="1"/>
  <c r="FL34" i="226" a="1"/>
  <c r="FL34" i="226" s="1"/>
  <c r="FB34" i="226" a="1"/>
  <c r="FB34" i="226" s="1"/>
  <c r="FG34" i="226" a="1"/>
  <c r="FG34" i="226" s="1"/>
  <c r="FH34" i="226" a="1"/>
  <c r="FH34" i="226" s="1"/>
  <c r="FD34" i="226" a="1"/>
  <c r="FD34" i="226" s="1"/>
  <c r="FC34" i="226" a="1"/>
  <c r="FC34" i="226" s="1"/>
  <c r="FJ34" i="226" a="1"/>
  <c r="FJ34" i="226" s="1"/>
  <c r="EZ34" i="226" a="1"/>
  <c r="EZ34" i="226" s="1"/>
  <c r="FI76" i="226" a="1"/>
  <c r="FI76" i="226" s="1"/>
  <c r="EZ76" i="226" a="1"/>
  <c r="EZ76" i="226" s="1"/>
  <c r="FA76" i="226" a="1"/>
  <c r="FA76" i="226" s="1"/>
  <c r="FG76" i="226" a="1"/>
  <c r="FG76" i="226" s="1"/>
  <c r="FJ76" i="226" a="1"/>
  <c r="FJ76" i="226" s="1"/>
  <c r="FB76" i="226" a="1"/>
  <c r="FB76" i="226" s="1"/>
  <c r="FC76" i="226" a="1"/>
  <c r="FC76" i="226" s="1"/>
  <c r="FK76" i="226" a="1"/>
  <c r="FK76" i="226" s="1"/>
  <c r="FD76" i="226" a="1"/>
  <c r="FD76" i="226" s="1"/>
  <c r="FL76" i="226" a="1"/>
  <c r="FL76" i="226" s="1"/>
  <c r="FE76" i="226" a="1"/>
  <c r="FE76" i="226" s="1"/>
  <c r="FM76" i="226" a="1"/>
  <c r="FM76" i="226" s="1"/>
  <c r="FF76" i="226" a="1"/>
  <c r="FF76" i="226" s="1"/>
  <c r="FH76" i="226" a="1"/>
  <c r="FH76" i="226" s="1"/>
  <c r="FB111" i="226" a="1"/>
  <c r="FB111" i="226" s="1"/>
  <c r="EZ111" i="226" a="1"/>
  <c r="EZ111" i="226" s="1"/>
  <c r="FC111" i="226" a="1"/>
  <c r="FC111" i="226" s="1"/>
  <c r="FI111" i="226" a="1"/>
  <c r="FI111" i="226" s="1"/>
  <c r="FD111" i="226" a="1"/>
  <c r="FD111" i="226" s="1"/>
  <c r="FJ111" i="226" a="1"/>
  <c r="FJ111" i="226" s="1"/>
  <c r="FE111" i="226" a="1"/>
  <c r="FE111" i="226" s="1"/>
  <c r="FL111" i="226" a="1"/>
  <c r="FL111" i="226" s="1"/>
  <c r="FF111" i="226" a="1"/>
  <c r="FF111" i="226" s="1"/>
  <c r="FH111" i="226" a="1"/>
  <c r="FH111" i="226" s="1"/>
  <c r="FA111" i="226" a="1"/>
  <c r="FA111" i="226" s="1"/>
  <c r="FG111" i="226" a="1"/>
  <c r="FG111" i="226" s="1"/>
  <c r="FK111" i="226" a="1"/>
  <c r="FK111" i="226" s="1"/>
  <c r="FM111" i="226" a="1"/>
  <c r="FM111" i="226" s="1"/>
  <c r="FC65" i="226" a="1"/>
  <c r="FC65" i="226" s="1"/>
  <c r="FH65" i="226" a="1"/>
  <c r="FH65" i="226" s="1"/>
  <c r="FB65" i="226" a="1"/>
  <c r="FB65" i="226" s="1"/>
  <c r="FL65" i="226" a="1"/>
  <c r="FL65" i="226" s="1"/>
  <c r="FI65" i="226" a="1"/>
  <c r="FI65" i="226" s="1"/>
  <c r="FD65" i="226" a="1"/>
  <c r="FD65" i="226" s="1"/>
  <c r="FJ65" i="226" a="1"/>
  <c r="FJ65" i="226" s="1"/>
  <c r="FE65" i="226" a="1"/>
  <c r="FE65" i="226" s="1"/>
  <c r="FK65" i="226" a="1"/>
  <c r="FK65" i="226" s="1"/>
  <c r="FM65" i="226" a="1"/>
  <c r="FM65" i="226" s="1"/>
  <c r="FA65" i="226" a="1"/>
  <c r="FA65" i="226" s="1"/>
  <c r="EZ65" i="226" a="1"/>
  <c r="EZ65" i="226" s="1"/>
  <c r="FF65" i="226" a="1"/>
  <c r="FF65" i="226" s="1"/>
  <c r="FG65" i="226" a="1"/>
  <c r="FG65" i="226" s="1"/>
  <c r="FD31" i="226" a="1"/>
  <c r="FD31" i="226" s="1"/>
  <c r="FH31" i="226" a="1"/>
  <c r="FH31" i="226" s="1"/>
  <c r="FL31" i="226" a="1"/>
  <c r="FL31" i="226" s="1"/>
  <c r="FG31" i="226" a="1"/>
  <c r="FG31" i="226" s="1"/>
  <c r="FB31" i="226" a="1"/>
  <c r="FB31" i="226" s="1"/>
  <c r="FM31" i="226" a="1"/>
  <c r="FM31" i="226" s="1"/>
  <c r="FC31" i="226" a="1"/>
  <c r="FC31" i="226" s="1"/>
  <c r="FI31" i="226" a="1"/>
  <c r="FI31" i="226" s="1"/>
  <c r="EZ31" i="226" a="1"/>
  <c r="EZ31" i="226" s="1"/>
  <c r="FK31" i="226" a="1"/>
  <c r="FK31" i="226" s="1"/>
  <c r="FA31" i="226" a="1"/>
  <c r="FA31" i="226" s="1"/>
  <c r="FE31" i="226" a="1"/>
  <c r="FE31" i="226" s="1"/>
  <c r="FF31" i="226" a="1"/>
  <c r="FF31" i="226" s="1"/>
  <c r="FJ31" i="226" a="1"/>
  <c r="FJ31" i="226" s="1"/>
  <c r="FC9" i="226" a="1"/>
  <c r="FC9" i="226" s="1"/>
  <c r="FH9" i="226" a="1"/>
  <c r="FH9" i="226" s="1"/>
  <c r="FM9" i="226" a="1"/>
  <c r="FM9" i="226" s="1"/>
  <c r="FF9" i="226" a="1"/>
  <c r="FF9" i="226" s="1"/>
  <c r="FG9" i="226" a="1"/>
  <c r="FG9" i="226" s="1"/>
  <c r="FA9" i="226" a="1"/>
  <c r="FA9" i="226" s="1"/>
  <c r="EZ9" i="226" a="1"/>
  <c r="EZ9" i="226" s="1"/>
  <c r="FB9" i="226" a="1"/>
  <c r="FB9" i="226" s="1"/>
  <c r="FI9" i="226" a="1"/>
  <c r="FI9" i="226" s="1"/>
  <c r="FJ9" i="226" a="1"/>
  <c r="FJ9" i="226" s="1"/>
  <c r="FL9" i="226" a="1"/>
  <c r="FL9" i="226" s="1"/>
  <c r="FD9" i="226" a="1"/>
  <c r="FD9" i="226" s="1"/>
  <c r="FE9" i="226" a="1"/>
  <c r="FE9" i="226" s="1"/>
  <c r="FK9" i="226" a="1"/>
  <c r="FK9" i="226" s="1"/>
  <c r="FC84" i="226" a="1"/>
  <c r="FC84" i="226" s="1"/>
  <c r="EZ84" i="226" a="1"/>
  <c r="EZ84" i="226" s="1"/>
  <c r="FD84" i="226" a="1"/>
  <c r="FD84" i="226" s="1"/>
  <c r="FI84" i="226" a="1"/>
  <c r="FI84" i="226" s="1"/>
  <c r="FK84" i="226" a="1"/>
  <c r="FK84" i="226" s="1"/>
  <c r="FA84" i="226" a="1"/>
  <c r="FA84" i="226" s="1"/>
  <c r="FF84" i="226" a="1"/>
  <c r="FF84" i="226" s="1"/>
  <c r="FL84" i="226" a="1"/>
  <c r="FL84" i="226" s="1"/>
  <c r="FJ84" i="226" a="1"/>
  <c r="FJ84" i="226" s="1"/>
  <c r="FG84" i="226" a="1"/>
  <c r="FG84" i="226" s="1"/>
  <c r="FE84" i="226" a="1"/>
  <c r="FE84" i="226" s="1"/>
  <c r="FH84" i="226" a="1"/>
  <c r="FH84" i="226" s="1"/>
  <c r="FM84" i="226" a="1"/>
  <c r="FM84" i="226" s="1"/>
  <c r="FB84" i="226" a="1"/>
  <c r="FB84" i="226" s="1"/>
  <c r="FB83" i="226" a="1"/>
  <c r="FB83" i="226" s="1"/>
  <c r="FK83" i="226" a="1"/>
  <c r="FK83" i="226" s="1"/>
  <c r="FG83" i="226" a="1"/>
  <c r="FG83" i="226" s="1"/>
  <c r="FC83" i="226" a="1"/>
  <c r="FC83" i="226" s="1"/>
  <c r="FL83" i="226" a="1"/>
  <c r="FL83" i="226" s="1"/>
  <c r="FD83" i="226" a="1"/>
  <c r="FD83" i="226" s="1"/>
  <c r="FI83" i="226" a="1"/>
  <c r="FI83" i="226" s="1"/>
  <c r="FE83" i="226" a="1"/>
  <c r="FE83" i="226" s="1"/>
  <c r="FJ83" i="226" a="1"/>
  <c r="FJ83" i="226" s="1"/>
  <c r="FF83" i="226" a="1"/>
  <c r="FF83" i="226" s="1"/>
  <c r="FH83" i="226" a="1"/>
  <c r="FH83" i="226" s="1"/>
  <c r="FM83" i="226" a="1"/>
  <c r="FM83" i="226" s="1"/>
  <c r="EZ83" i="226" a="1"/>
  <c r="EZ83" i="226" s="1"/>
  <c r="FA83" i="226" a="1"/>
  <c r="FA83" i="226" s="1"/>
  <c r="FD93" i="226" a="1"/>
  <c r="FD93" i="226" s="1"/>
  <c r="FK93" i="226" a="1"/>
  <c r="FK93" i="226" s="1"/>
  <c r="FE93" i="226" a="1"/>
  <c r="FE93" i="226" s="1"/>
  <c r="FF93" i="226" a="1"/>
  <c r="FF93" i="226" s="1"/>
  <c r="FL93" i="226" a="1"/>
  <c r="FL93" i="226" s="1"/>
  <c r="FA93" i="226" a="1"/>
  <c r="FA93" i="226" s="1"/>
  <c r="FB93" i="226" a="1"/>
  <c r="FB93" i="226" s="1"/>
  <c r="FH93" i="226" a="1"/>
  <c r="FH93" i="226" s="1"/>
  <c r="FJ93" i="226" a="1"/>
  <c r="FJ93" i="226" s="1"/>
  <c r="FC93" i="226" a="1"/>
  <c r="FC93" i="226" s="1"/>
  <c r="FG93" i="226" a="1"/>
  <c r="FG93" i="226" s="1"/>
  <c r="FM93" i="226" a="1"/>
  <c r="FM93" i="226" s="1"/>
  <c r="EZ93" i="226" a="1"/>
  <c r="EZ93" i="226" s="1"/>
  <c r="FI93" i="226" a="1"/>
  <c r="FI93" i="226" s="1"/>
  <c r="FM50" i="226" a="1"/>
  <c r="FM50" i="226" s="1"/>
  <c r="FE50" i="226" a="1"/>
  <c r="FE50" i="226" s="1"/>
  <c r="FK50" i="226" a="1"/>
  <c r="FK50" i="226" s="1"/>
  <c r="FD50" i="226" a="1"/>
  <c r="FD50" i="226" s="1"/>
  <c r="FF50" i="226" a="1"/>
  <c r="FF50" i="226" s="1"/>
  <c r="FG50" i="226" a="1"/>
  <c r="FG50" i="226" s="1"/>
  <c r="FH50" i="226" a="1"/>
  <c r="FH50" i="226" s="1"/>
  <c r="FA50" i="226" a="1"/>
  <c r="FA50" i="226" s="1"/>
  <c r="FI50" i="226" a="1"/>
  <c r="FI50" i="226" s="1"/>
  <c r="FB50" i="226" a="1"/>
  <c r="FB50" i="226" s="1"/>
  <c r="FJ50" i="226" a="1"/>
  <c r="FJ50" i="226" s="1"/>
  <c r="EZ50" i="226" a="1"/>
  <c r="EZ50" i="226" s="1"/>
  <c r="FC50" i="226" a="1"/>
  <c r="FC50" i="226" s="1"/>
  <c r="FL50" i="226" a="1"/>
  <c r="FL50" i="226" s="1"/>
  <c r="FE55" i="226" a="1"/>
  <c r="FE55" i="226" s="1"/>
  <c r="FK55" i="226" a="1"/>
  <c r="FK55" i="226" s="1"/>
  <c r="FL55" i="226" a="1"/>
  <c r="FL55" i="226" s="1"/>
  <c r="FF55" i="226" a="1"/>
  <c r="FF55" i="226" s="1"/>
  <c r="FM55" i="226" a="1"/>
  <c r="FM55" i="226" s="1"/>
  <c r="FA55" i="226" a="1"/>
  <c r="FA55" i="226" s="1"/>
  <c r="FG55" i="226" a="1"/>
  <c r="FG55" i="226" s="1"/>
  <c r="EZ55" i="226" a="1"/>
  <c r="EZ55" i="226" s="1"/>
  <c r="FH55" i="226" a="1"/>
  <c r="FH55" i="226" s="1"/>
  <c r="FB55" i="226" a="1"/>
  <c r="FB55" i="226" s="1"/>
  <c r="FI55" i="226" a="1"/>
  <c r="FI55" i="226" s="1"/>
  <c r="FC55" i="226" a="1"/>
  <c r="FC55" i="226" s="1"/>
  <c r="FD55" i="226" a="1"/>
  <c r="FD55" i="226" s="1"/>
  <c r="FJ55" i="226" a="1"/>
  <c r="FJ55" i="226" s="1"/>
  <c r="FC32" i="226" a="1"/>
  <c r="FC32" i="226" s="1"/>
  <c r="FG32" i="226" a="1"/>
  <c r="FG32" i="226" s="1"/>
  <c r="FK32" i="226" a="1"/>
  <c r="FK32" i="226" s="1"/>
  <c r="FJ32" i="226" a="1"/>
  <c r="FJ32" i="226" s="1"/>
  <c r="FE32" i="226" a="1"/>
  <c r="FE32" i="226" s="1"/>
  <c r="FF32" i="226" a="1"/>
  <c r="FF32" i="226" s="1"/>
  <c r="FA32" i="226" a="1"/>
  <c r="FA32" i="226" s="1"/>
  <c r="FL32" i="226" a="1"/>
  <c r="FL32" i="226" s="1"/>
  <c r="FB32" i="226" a="1"/>
  <c r="FB32" i="226" s="1"/>
  <c r="FH32" i="226" a="1"/>
  <c r="FH32" i="226" s="1"/>
  <c r="FI32" i="226" a="1"/>
  <c r="FI32" i="226" s="1"/>
  <c r="FM32" i="226" a="1"/>
  <c r="FM32" i="226" s="1"/>
  <c r="EZ32" i="226" a="1"/>
  <c r="EZ32" i="226" s="1"/>
  <c r="FD32" i="226" a="1"/>
  <c r="FD32" i="226" s="1"/>
  <c r="FC45" i="226" a="1"/>
  <c r="FC45" i="226" s="1"/>
  <c r="FA45" i="226" a="1"/>
  <c r="FA45" i="226" s="1"/>
  <c r="FF45" i="226" a="1"/>
  <c r="FF45" i="226" s="1"/>
  <c r="FL45" i="226" a="1"/>
  <c r="FL45" i="226" s="1"/>
  <c r="FI45" i="226" a="1"/>
  <c r="FI45" i="226" s="1"/>
  <c r="FB45" i="226" a="1"/>
  <c r="FB45" i="226" s="1"/>
  <c r="FD45" i="226" a="1"/>
  <c r="FD45" i="226" s="1"/>
  <c r="FJ45" i="226" a="1"/>
  <c r="FJ45" i="226" s="1"/>
  <c r="FK45" i="226" a="1"/>
  <c r="FK45" i="226" s="1"/>
  <c r="EZ45" i="226" a="1"/>
  <c r="EZ45" i="226" s="1"/>
  <c r="FE45" i="226" a="1"/>
  <c r="FE45" i="226" s="1"/>
  <c r="FG45" i="226" a="1"/>
  <c r="FG45" i="226" s="1"/>
  <c r="FH45" i="226" a="1"/>
  <c r="FH45" i="226" s="1"/>
  <c r="FM45" i="226" a="1"/>
  <c r="FM45" i="226" s="1"/>
  <c r="FG16" i="226" a="1"/>
  <c r="FG16" i="226" s="1"/>
  <c r="FM16" i="226" a="1"/>
  <c r="FM16" i="226" s="1"/>
  <c r="FD16" i="226" a="1"/>
  <c r="FD16" i="226" s="1"/>
  <c r="FK16" i="226" a="1"/>
  <c r="FK16" i="226" s="1"/>
  <c r="FC16" i="226" a="1"/>
  <c r="FC16" i="226" s="1"/>
  <c r="FL16" i="226" a="1"/>
  <c r="FL16" i="226" s="1"/>
  <c r="FE16" i="226" a="1"/>
  <c r="FE16" i="226" s="1"/>
  <c r="FF16" i="226" a="1"/>
  <c r="FF16" i="226" s="1"/>
  <c r="EZ16" i="226" a="1"/>
  <c r="EZ16" i="226" s="1"/>
  <c r="FA16" i="226" a="1"/>
  <c r="FA16" i="226" s="1"/>
  <c r="FI16" i="226" a="1"/>
  <c r="FI16" i="226" s="1"/>
  <c r="FH16" i="226" a="1"/>
  <c r="FH16" i="226" s="1"/>
  <c r="FJ16" i="226" a="1"/>
  <c r="FJ16" i="226" s="1"/>
  <c r="FB16" i="226" a="1"/>
  <c r="FB16" i="226" s="1"/>
  <c r="FD35" i="226" a="1"/>
  <c r="FD35" i="226" s="1"/>
  <c r="FH35" i="226" a="1"/>
  <c r="FH35" i="226" s="1"/>
  <c r="FL35" i="226" a="1"/>
  <c r="FL35" i="226" s="1"/>
  <c r="FC35" i="226" a="1"/>
  <c r="FC35" i="226" s="1"/>
  <c r="EZ35" i="226" a="1"/>
  <c r="EZ35" i="226" s="1"/>
  <c r="FI35" i="226" a="1"/>
  <c r="FI35" i="226" s="1"/>
  <c r="FE35" i="226" a="1"/>
  <c r="FE35" i="226" s="1"/>
  <c r="FJ35" i="226" a="1"/>
  <c r="FJ35" i="226" s="1"/>
  <c r="FK35" i="226" a="1"/>
  <c r="FK35" i="226" s="1"/>
  <c r="FG35" i="226" a="1"/>
  <c r="FG35" i="226" s="1"/>
  <c r="FM35" i="226" a="1"/>
  <c r="FM35" i="226" s="1"/>
  <c r="FA35" i="226" a="1"/>
  <c r="FA35" i="226" s="1"/>
  <c r="FF35" i="226" a="1"/>
  <c r="FF35" i="226" s="1"/>
  <c r="FB35" i="226" a="1"/>
  <c r="FB35" i="226" s="1"/>
  <c r="FB105" i="226" a="1"/>
  <c r="FB105" i="226" s="1"/>
  <c r="FG105" i="226" a="1"/>
  <c r="FG105" i="226" s="1"/>
  <c r="FL105" i="226" a="1"/>
  <c r="FL105" i="226" s="1"/>
  <c r="FM105" i="226" a="1"/>
  <c r="FM105" i="226" s="1"/>
  <c r="EZ105" i="226" a="1"/>
  <c r="EZ105" i="226" s="1"/>
  <c r="FC105" i="226" a="1"/>
  <c r="FC105" i="226" s="1"/>
  <c r="FH105" i="226" a="1"/>
  <c r="FH105" i="226" s="1"/>
  <c r="FD105" i="226" a="1"/>
  <c r="FD105" i="226" s="1"/>
  <c r="FJ105" i="226" a="1"/>
  <c r="FJ105" i="226" s="1"/>
  <c r="FE105" i="226" a="1"/>
  <c r="FE105" i="226" s="1"/>
  <c r="FF105" i="226" a="1"/>
  <c r="FF105" i="226" s="1"/>
  <c r="FK105" i="226" a="1"/>
  <c r="FK105" i="226" s="1"/>
  <c r="FA105" i="226" a="1"/>
  <c r="FA105" i="226" s="1"/>
  <c r="FI105" i="226" a="1"/>
  <c r="FI105" i="226" s="1"/>
  <c r="FF46" i="226" a="1"/>
  <c r="FF46" i="226" s="1"/>
  <c r="FD46" i="226" a="1"/>
  <c r="FD46" i="226" s="1"/>
  <c r="FI46" i="226" a="1"/>
  <c r="FI46" i="226" s="1"/>
  <c r="FC46" i="226" a="1"/>
  <c r="FC46" i="226" s="1"/>
  <c r="FJ46" i="226" a="1"/>
  <c r="FJ46" i="226" s="1"/>
  <c r="FK46" i="226" a="1"/>
  <c r="FK46" i="226" s="1"/>
  <c r="FL46" i="226" a="1"/>
  <c r="FL46" i="226" s="1"/>
  <c r="FE46" i="226" a="1"/>
  <c r="FE46" i="226" s="1"/>
  <c r="FG46" i="226" a="1"/>
  <c r="FG46" i="226" s="1"/>
  <c r="FM46" i="226" a="1"/>
  <c r="FM46" i="226" s="1"/>
  <c r="EZ46" i="226" a="1"/>
  <c r="EZ46" i="226" s="1"/>
  <c r="FA46" i="226" a="1"/>
  <c r="FA46" i="226" s="1"/>
  <c r="FH46" i="226" a="1"/>
  <c r="FH46" i="226" s="1"/>
  <c r="FB46" i="226" a="1"/>
  <c r="FB46" i="226" s="1"/>
  <c r="FM17" i="226" a="1"/>
  <c r="FM17" i="226" s="1"/>
  <c r="FD17" i="226" a="1"/>
  <c r="FD17" i="226" s="1"/>
  <c r="EZ17" i="226" a="1"/>
  <c r="EZ17" i="226" s="1"/>
  <c r="FG17" i="226" a="1"/>
  <c r="FG17" i="226" s="1"/>
  <c r="FH17" i="226" a="1"/>
  <c r="FH17" i="226" s="1"/>
  <c r="FA17" i="226" a="1"/>
  <c r="FA17" i="226" s="1"/>
  <c r="FI17" i="226" a="1"/>
  <c r="FI17" i="226" s="1"/>
  <c r="FB17" i="226" a="1"/>
  <c r="FB17" i="226" s="1"/>
  <c r="FJ17" i="226" a="1"/>
  <c r="FJ17" i="226" s="1"/>
  <c r="FK17" i="226" a="1"/>
  <c r="FK17" i="226" s="1"/>
  <c r="FE17" i="226" a="1"/>
  <c r="FE17" i="226" s="1"/>
  <c r="FC17" i="226" a="1"/>
  <c r="FC17" i="226" s="1"/>
  <c r="FF17" i="226" a="1"/>
  <c r="FF17" i="226" s="1"/>
  <c r="FL17" i="226" a="1"/>
  <c r="FL17" i="226" s="1"/>
  <c r="FE88" i="226" a="1"/>
  <c r="FE88" i="226" s="1"/>
  <c r="FJ88" i="226" a="1"/>
  <c r="FJ88" i="226" s="1"/>
  <c r="FK88" i="226" a="1"/>
  <c r="FK88" i="226" s="1"/>
  <c r="FG88" i="226" a="1"/>
  <c r="FG88" i="226" s="1"/>
  <c r="FB88" i="226" a="1"/>
  <c r="FB88" i="226" s="1"/>
  <c r="FH88" i="226" a="1"/>
  <c r="FH88" i="226" s="1"/>
  <c r="FM88" i="226" a="1"/>
  <c r="FM88" i="226" s="1"/>
  <c r="FA88" i="226" a="1"/>
  <c r="FA88" i="226" s="1"/>
  <c r="FL88" i="226" a="1"/>
  <c r="FL88" i="226" s="1"/>
  <c r="FI88" i="226" a="1"/>
  <c r="FI88" i="226" s="1"/>
  <c r="FC88" i="226" a="1"/>
  <c r="FC88" i="226" s="1"/>
  <c r="FD88" i="226" a="1"/>
  <c r="FD88" i="226" s="1"/>
  <c r="FF88" i="226" a="1"/>
  <c r="FF88" i="226" s="1"/>
  <c r="EZ88" i="226" a="1"/>
  <c r="EZ88" i="226" s="1"/>
  <c r="FB73" i="226" a="1"/>
  <c r="FB73" i="226" s="1"/>
  <c r="FI73" i="226" a="1"/>
  <c r="FI73" i="226" s="1"/>
  <c r="FC73" i="226" a="1"/>
  <c r="FC73" i="226" s="1"/>
  <c r="FD73" i="226" a="1"/>
  <c r="FD73" i="226" s="1"/>
  <c r="FJ73" i="226" a="1"/>
  <c r="FJ73" i="226" s="1"/>
  <c r="FL73" i="226" a="1"/>
  <c r="FL73" i="226" s="1"/>
  <c r="FF73" i="226" a="1"/>
  <c r="FF73" i="226" s="1"/>
  <c r="FM73" i="226" a="1"/>
  <c r="FM73" i="226" s="1"/>
  <c r="FE73" i="226" a="1"/>
  <c r="FE73" i="226" s="1"/>
  <c r="FA73" i="226" a="1"/>
  <c r="FA73" i="226" s="1"/>
  <c r="FG73" i="226" a="1"/>
  <c r="FG73" i="226" s="1"/>
  <c r="FH73" i="226" a="1"/>
  <c r="FH73" i="226" s="1"/>
  <c r="FK73" i="226" a="1"/>
  <c r="FK73" i="226" s="1"/>
  <c r="EZ73" i="226" a="1"/>
  <c r="EZ73" i="226" s="1"/>
  <c r="FD94" i="226" a="1"/>
  <c r="FD94" i="226" s="1"/>
  <c r="EZ94" i="226" a="1"/>
  <c r="EZ94" i="226" s="1"/>
  <c r="FE94" i="226" a="1"/>
  <c r="FE94" i="226" s="1"/>
  <c r="FK94" i="226" a="1"/>
  <c r="FK94" i="226" s="1"/>
  <c r="FF94" i="226" a="1"/>
  <c r="FF94" i="226" s="1"/>
  <c r="FL94" i="226" a="1"/>
  <c r="FL94" i="226" s="1"/>
  <c r="FA94" i="226" a="1"/>
  <c r="FA94" i="226" s="1"/>
  <c r="FG94" i="226" a="1"/>
  <c r="FG94" i="226" s="1"/>
  <c r="FB94" i="226" a="1"/>
  <c r="FB94" i="226" s="1"/>
  <c r="FH94" i="226" a="1"/>
  <c r="FH94" i="226" s="1"/>
  <c r="FC94" i="226" a="1"/>
  <c r="FC94" i="226" s="1"/>
  <c r="FJ94" i="226" a="1"/>
  <c r="FJ94" i="226" s="1"/>
  <c r="FI94" i="226" a="1"/>
  <c r="FI94" i="226" s="1"/>
  <c r="FM94" i="226" a="1"/>
  <c r="FM94" i="226" s="1"/>
  <c r="FK37" i="226" a="1"/>
  <c r="FK37" i="226" s="1"/>
  <c r="FA37" i="226" a="1"/>
  <c r="FA37" i="226" s="1"/>
  <c r="FF37" i="226" a="1"/>
  <c r="FF37" i="226" s="1"/>
  <c r="FL37" i="226" a="1"/>
  <c r="FL37" i="226" s="1"/>
  <c r="FG37" i="226" a="1"/>
  <c r="FG37" i="226" s="1"/>
  <c r="FB37" i="226" a="1"/>
  <c r="FB37" i="226" s="1"/>
  <c r="FH37" i="226" a="1"/>
  <c r="FH37" i="226" s="1"/>
  <c r="FM37" i="226" a="1"/>
  <c r="FM37" i="226" s="1"/>
  <c r="FC37" i="226" a="1"/>
  <c r="FC37" i="226" s="1"/>
  <c r="FD37" i="226" a="1"/>
  <c r="FD37" i="226" s="1"/>
  <c r="FI37" i="226" a="1"/>
  <c r="FI37" i="226" s="1"/>
  <c r="FE37" i="226" a="1"/>
  <c r="FE37" i="226" s="1"/>
  <c r="FJ37" i="226" a="1"/>
  <c r="FJ37" i="226" s="1"/>
  <c r="EZ37" i="226" a="1"/>
  <c r="EZ37" i="226" s="1"/>
  <c r="FD6" i="226" a="1"/>
  <c r="FD6" i="226" s="1"/>
  <c r="FJ6" i="226" a="1"/>
  <c r="FJ6" i="226" s="1"/>
  <c r="FM6" i="226" a="1"/>
  <c r="FM6" i="226" s="1"/>
  <c r="FC6" i="226" a="1"/>
  <c r="FC6" i="226" s="1"/>
  <c r="FK6" i="226" a="1"/>
  <c r="FK6" i="226" s="1"/>
  <c r="FE6" i="226" a="1"/>
  <c r="FE6" i="226" s="1"/>
  <c r="FF6" i="226" a="1"/>
  <c r="FF6" i="226" s="1"/>
  <c r="FL6" i="226" a="1"/>
  <c r="FL6" i="226" s="1"/>
  <c r="FA6" i="226" a="1"/>
  <c r="FA6" i="226" s="1"/>
  <c r="FH6" i="226" a="1"/>
  <c r="FH6" i="226" s="1"/>
  <c r="EZ6" i="226" a="1"/>
  <c r="EZ6" i="226" s="1"/>
  <c r="FG6" i="226" a="1"/>
  <c r="FG6" i="226" s="1"/>
  <c r="FB6" i="226" a="1"/>
  <c r="FB6" i="226" s="1"/>
  <c r="FI6" i="226" a="1"/>
  <c r="FI6" i="226" s="1"/>
  <c r="FD57" i="226" a="1"/>
  <c r="FD57" i="226" s="1"/>
  <c r="FK57" i="226" a="1"/>
  <c r="FK57" i="226" s="1"/>
  <c r="FE57" i="226" a="1"/>
  <c r="FE57" i="226" s="1"/>
  <c r="FF57" i="226" a="1"/>
  <c r="FF57" i="226" s="1"/>
  <c r="FL57" i="226" a="1"/>
  <c r="FL57" i="226" s="1"/>
  <c r="FG57" i="226" a="1"/>
  <c r="FG57" i="226" s="1"/>
  <c r="FM57" i="226" a="1"/>
  <c r="FM57" i="226" s="1"/>
  <c r="FA57" i="226" a="1"/>
  <c r="FA57" i="226" s="1"/>
  <c r="FB57" i="226" a="1"/>
  <c r="FB57" i="226" s="1"/>
  <c r="FH57" i="226" a="1"/>
  <c r="FH57" i="226" s="1"/>
  <c r="FC57" i="226" a="1"/>
  <c r="FC57" i="226" s="1"/>
  <c r="FI57" i="226" a="1"/>
  <c r="FI57" i="226" s="1"/>
  <c r="FJ57" i="226" a="1"/>
  <c r="FJ57" i="226" s="1"/>
  <c r="EZ57" i="226" a="1"/>
  <c r="EZ57" i="226" s="1"/>
  <c r="FB78" i="226" a="1"/>
  <c r="FB78" i="226" s="1"/>
  <c r="FG78" i="226" a="1"/>
  <c r="FG78" i="226" s="1"/>
  <c r="FM78" i="226" a="1"/>
  <c r="FM78" i="226" s="1"/>
  <c r="FI78" i="226" a="1"/>
  <c r="FI78" i="226" s="1"/>
  <c r="FA78" i="226" a="1"/>
  <c r="FA78" i="226" s="1"/>
  <c r="FJ78" i="226" a="1"/>
  <c r="FJ78" i="226" s="1"/>
  <c r="FC78" i="226" a="1"/>
  <c r="FC78" i="226" s="1"/>
  <c r="FK78" i="226" a="1"/>
  <c r="FK78" i="226" s="1"/>
  <c r="EZ78" i="226" a="1"/>
  <c r="EZ78" i="226" s="1"/>
  <c r="FD78" i="226" a="1"/>
  <c r="FD78" i="226" s="1"/>
  <c r="FL78" i="226" a="1"/>
  <c r="FL78" i="226" s="1"/>
  <c r="FE78" i="226" a="1"/>
  <c r="FE78" i="226" s="1"/>
  <c r="FF78" i="226" a="1"/>
  <c r="FF78" i="226" s="1"/>
  <c r="FH78" i="226" a="1"/>
  <c r="FH78" i="226" s="1"/>
  <c r="FA103" i="226" a="1"/>
  <c r="FA103" i="226" s="1"/>
  <c r="FF103" i="226" a="1"/>
  <c r="FF103" i="226" s="1"/>
  <c r="FL103" i="226" a="1"/>
  <c r="FL103" i="226" s="1"/>
  <c r="FG103" i="226" a="1"/>
  <c r="FG103" i="226" s="1"/>
  <c r="FB103" i="226" a="1"/>
  <c r="FB103" i="226" s="1"/>
  <c r="FH103" i="226" a="1"/>
  <c r="FH103" i="226" s="1"/>
  <c r="FM103" i="226" a="1"/>
  <c r="FM103" i="226" s="1"/>
  <c r="FD103" i="226" a="1"/>
  <c r="FD103" i="226" s="1"/>
  <c r="FI103" i="226" a="1"/>
  <c r="FI103" i="226" s="1"/>
  <c r="FC103" i="226" a="1"/>
  <c r="FC103" i="226" s="1"/>
  <c r="FJ103" i="226" a="1"/>
  <c r="FJ103" i="226" s="1"/>
  <c r="FE103" i="226" a="1"/>
  <c r="FE103" i="226" s="1"/>
  <c r="FK103" i="226" a="1"/>
  <c r="FK103" i="226" s="1"/>
  <c r="EZ103" i="226" a="1"/>
  <c r="EZ103" i="226" s="1"/>
  <c r="FE24" i="226" a="1"/>
  <c r="FE24" i="226" s="1"/>
  <c r="FC24" i="226" a="1"/>
  <c r="FC24" i="226" s="1"/>
  <c r="FI24" i="226" a="1"/>
  <c r="FI24" i="226" s="1"/>
  <c r="FA24" i="226" a="1"/>
  <c r="FA24" i="226" s="1"/>
  <c r="FJ24" i="226" a="1"/>
  <c r="FJ24" i="226" s="1"/>
  <c r="FB24" i="226" a="1"/>
  <c r="FB24" i="226" s="1"/>
  <c r="FK24" i="226" a="1"/>
  <c r="FK24" i="226" s="1"/>
  <c r="FL24" i="226" a="1"/>
  <c r="FL24" i="226" s="1"/>
  <c r="FD24" i="226" a="1"/>
  <c r="FD24" i="226" s="1"/>
  <c r="FM24" i="226" a="1"/>
  <c r="FM24" i="226" s="1"/>
  <c r="FF24" i="226" a="1"/>
  <c r="FF24" i="226" s="1"/>
  <c r="EZ24" i="226" a="1"/>
  <c r="EZ24" i="226" s="1"/>
  <c r="FG24" i="226" a="1"/>
  <c r="FG24" i="226" s="1"/>
  <c r="FH24" i="226" a="1"/>
  <c r="FH24" i="226" s="1"/>
  <c r="FA5" i="226" a="1"/>
  <c r="FA5" i="226" s="1"/>
  <c r="FG5" i="226" a="1"/>
  <c r="FG5" i="226" s="1"/>
  <c r="FL5" i="226" a="1"/>
  <c r="FL5" i="226" s="1"/>
  <c r="FJ5" i="226" a="1"/>
  <c r="FJ5" i="226" s="1"/>
  <c r="FB5" i="226" a="1"/>
  <c r="FB5" i="226" s="1"/>
  <c r="FC5" i="226" a="1"/>
  <c r="FC5" i="226" s="1"/>
  <c r="FI5" i="226" a="1"/>
  <c r="FI5" i="226" s="1"/>
  <c r="FK5" i="226" a="1"/>
  <c r="FK5" i="226" s="1"/>
  <c r="FD5" i="226" a="1"/>
  <c r="FD5" i="226" s="1"/>
  <c r="FE5" i="226" a="1"/>
  <c r="FE5" i="226" s="1"/>
  <c r="FF5" i="226" a="1"/>
  <c r="FF5" i="226" s="1"/>
  <c r="FH5" i="226" a="1"/>
  <c r="FH5" i="226" s="1"/>
  <c r="FM5" i="226" a="1"/>
  <c r="FM5" i="226" s="1"/>
  <c r="EZ5" i="226" a="1"/>
  <c r="EZ5" i="226" s="1"/>
  <c r="FE23" i="226" a="1"/>
  <c r="FE23" i="226" s="1"/>
  <c r="FL23" i="226" a="1"/>
  <c r="FL23" i="226" s="1"/>
  <c r="FC23" i="226" a="1"/>
  <c r="FC23" i="226" s="1"/>
  <c r="FI23" i="226" a="1"/>
  <c r="FI23" i="226" s="1"/>
  <c r="FF23" i="226" a="1"/>
  <c r="FF23" i="226" s="1"/>
  <c r="FG23" i="226" a="1"/>
  <c r="FG23" i="226" s="1"/>
  <c r="FH23" i="226" a="1"/>
  <c r="FH23" i="226" s="1"/>
  <c r="FA23" i="226" a="1"/>
  <c r="FA23" i="226" s="1"/>
  <c r="FJ23" i="226" a="1"/>
  <c r="FJ23" i="226" s="1"/>
  <c r="FD23" i="226" a="1"/>
  <c r="FD23" i="226" s="1"/>
  <c r="FB23" i="226" a="1"/>
  <c r="FB23" i="226" s="1"/>
  <c r="EZ23" i="226" a="1"/>
  <c r="EZ23" i="226" s="1"/>
  <c r="FK23" i="226" a="1"/>
  <c r="FK23" i="226" s="1"/>
  <c r="FM23" i="226" a="1"/>
  <c r="FM23" i="226" s="1"/>
  <c r="FD60" i="226" a="1"/>
  <c r="FD60" i="226" s="1"/>
  <c r="FI60" i="226" a="1"/>
  <c r="FI60" i="226" s="1"/>
  <c r="FC60" i="226" a="1"/>
  <c r="FC60" i="226" s="1"/>
  <c r="FL60" i="226" a="1"/>
  <c r="FL60" i="226" s="1"/>
  <c r="FF60" i="226" a="1"/>
  <c r="FF60" i="226" s="1"/>
  <c r="FA60" i="226" a="1"/>
  <c r="FA60" i="226" s="1"/>
  <c r="FM60" i="226" a="1"/>
  <c r="FM60" i="226" s="1"/>
  <c r="FG60" i="226" a="1"/>
  <c r="FG60" i="226" s="1"/>
  <c r="EZ60" i="226" a="1"/>
  <c r="EZ60" i="226" s="1"/>
  <c r="FB60" i="226" a="1"/>
  <c r="FB60" i="226" s="1"/>
  <c r="FH60" i="226" a="1"/>
  <c r="FH60" i="226" s="1"/>
  <c r="FJ60" i="226" a="1"/>
  <c r="FJ60" i="226" s="1"/>
  <c r="FE60" i="226" a="1"/>
  <c r="FE60" i="226" s="1"/>
  <c r="FK60" i="226" a="1"/>
  <c r="FK60" i="226" s="1"/>
  <c r="FF10" i="226" a="1"/>
  <c r="FF10" i="226" s="1"/>
  <c r="FK10" i="226" a="1"/>
  <c r="FK10" i="226" s="1"/>
  <c r="FI10" i="226" a="1"/>
  <c r="FI10" i="226" s="1"/>
  <c r="FA10" i="226" a="1"/>
  <c r="FA10" i="226" s="1"/>
  <c r="FB10" i="226" a="1"/>
  <c r="FB10" i="226" s="1"/>
  <c r="FH10" i="226" a="1"/>
  <c r="FH10" i="226" s="1"/>
  <c r="FJ10" i="226" a="1"/>
  <c r="FJ10" i="226" s="1"/>
  <c r="FC10" i="226" a="1"/>
  <c r="FC10" i="226" s="1"/>
  <c r="FD10" i="226" a="1"/>
  <c r="FD10" i="226" s="1"/>
  <c r="FM10" i="226" a="1"/>
  <c r="FM10" i="226" s="1"/>
  <c r="EZ10" i="226" a="1"/>
  <c r="EZ10" i="226" s="1"/>
  <c r="FE10" i="226" a="1"/>
  <c r="FE10" i="226" s="1"/>
  <c r="FL10" i="226" a="1"/>
  <c r="FL10" i="226" s="1"/>
  <c r="FG10" i="226" a="1"/>
  <c r="FG10" i="226" s="1"/>
  <c r="FA26" i="226" a="1"/>
  <c r="FA26" i="226" s="1"/>
  <c r="FE26" i="226" a="1"/>
  <c r="FE26" i="226" s="1"/>
  <c r="FI26" i="226" a="1"/>
  <c r="FI26" i="226" s="1"/>
  <c r="FM26" i="226" a="1"/>
  <c r="FM26" i="226" s="1"/>
  <c r="FH26" i="226" a="1"/>
  <c r="FH26" i="226" s="1"/>
  <c r="FC26" i="226" a="1"/>
  <c r="FC26" i="226" s="1"/>
  <c r="EZ26" i="226" a="1"/>
  <c r="EZ26" i="226" s="1"/>
  <c r="FD26" i="226" a="1"/>
  <c r="FD26" i="226" s="1"/>
  <c r="FJ26" i="226" a="1"/>
  <c r="FJ26" i="226" s="1"/>
  <c r="FL26" i="226" a="1"/>
  <c r="FL26" i="226" s="1"/>
  <c r="FB26" i="226" a="1"/>
  <c r="FB26" i="226" s="1"/>
  <c r="FF26" i="226" a="1"/>
  <c r="FF26" i="226" s="1"/>
  <c r="FG26" i="226" a="1"/>
  <c r="FG26" i="226" s="1"/>
  <c r="FK26" i="226" a="1"/>
  <c r="FK26" i="226" s="1"/>
  <c r="FE13" i="226" a="1"/>
  <c r="FE13" i="226" s="1"/>
  <c r="FK13" i="226" a="1"/>
  <c r="FK13" i="226" s="1"/>
  <c r="FF13" i="226" a="1"/>
  <c r="FF13" i="226" s="1"/>
  <c r="FA13" i="226" a="1"/>
  <c r="FA13" i="226" s="1"/>
  <c r="FG13" i="226" a="1"/>
  <c r="FG13" i="226" s="1"/>
  <c r="FL13" i="226" a="1"/>
  <c r="FL13" i="226" s="1"/>
  <c r="FD13" i="226" a="1"/>
  <c r="FD13" i="226" s="1"/>
  <c r="FI13" i="226" a="1"/>
  <c r="FI13" i="226" s="1"/>
  <c r="FH13" i="226" a="1"/>
  <c r="FH13" i="226" s="1"/>
  <c r="FJ13" i="226" a="1"/>
  <c r="FJ13" i="226" s="1"/>
  <c r="EZ13" i="226" a="1"/>
  <c r="EZ13" i="226" s="1"/>
  <c r="FC13" i="226" a="1"/>
  <c r="FC13" i="226" s="1"/>
  <c r="FM13" i="226" a="1"/>
  <c r="FM13" i="226" s="1"/>
  <c r="FB13" i="226" a="1"/>
  <c r="FB13" i="226" s="1"/>
  <c r="FD38" i="226" a="1"/>
  <c r="FD38" i="226" s="1"/>
  <c r="FI38" i="226" a="1"/>
  <c r="FI38" i="226" s="1"/>
  <c r="FJ38" i="226" a="1"/>
  <c r="FJ38" i="226" s="1"/>
  <c r="FE38" i="226" a="1"/>
  <c r="FE38" i="226" s="1"/>
  <c r="FK38" i="226" a="1"/>
  <c r="FK38" i="226" s="1"/>
  <c r="FF38" i="226" a="1"/>
  <c r="FF38" i="226" s="1"/>
  <c r="FA38" i="226" a="1"/>
  <c r="FA38" i="226" s="1"/>
  <c r="FG38" i="226" a="1"/>
  <c r="FG38" i="226" s="1"/>
  <c r="FL38" i="226" a="1"/>
  <c r="FL38" i="226" s="1"/>
  <c r="FM38" i="226" a="1"/>
  <c r="FM38" i="226" s="1"/>
  <c r="FB38" i="226" a="1"/>
  <c r="FB38" i="226" s="1"/>
  <c r="FC38" i="226" a="1"/>
  <c r="FC38" i="226" s="1"/>
  <c r="FH38" i="226" a="1"/>
  <c r="FH38" i="226" s="1"/>
  <c r="EZ38" i="226" a="1"/>
  <c r="EZ38" i="226" s="1"/>
  <c r="FB79" i="226" a="1"/>
  <c r="FB79" i="226" s="1"/>
  <c r="FH79" i="226" a="1"/>
  <c r="FH79" i="226" s="1"/>
  <c r="FG79" i="226" a="1"/>
  <c r="FG79" i="226" s="1"/>
  <c r="FM79" i="226" a="1"/>
  <c r="FM79" i="226" s="1"/>
  <c r="FD79" i="226" a="1"/>
  <c r="FD79" i="226" s="1"/>
  <c r="FL79" i="226" a="1"/>
  <c r="FL79" i="226" s="1"/>
  <c r="FE79" i="226" a="1"/>
  <c r="FE79" i="226" s="1"/>
  <c r="FF79" i="226" a="1"/>
  <c r="FF79" i="226" s="1"/>
  <c r="FI79" i="226" a="1"/>
  <c r="FI79" i="226" s="1"/>
  <c r="EZ79" i="226" a="1"/>
  <c r="EZ79" i="226" s="1"/>
  <c r="FA79" i="226" a="1"/>
  <c r="FA79" i="226" s="1"/>
  <c r="FJ79" i="226" a="1"/>
  <c r="FJ79" i="226" s="1"/>
  <c r="FC79" i="226" a="1"/>
  <c r="FC79" i="226" s="1"/>
  <c r="FK79" i="226" a="1"/>
  <c r="FK79" i="226" s="1"/>
  <c r="FC44" i="226" a="1"/>
  <c r="FC44" i="226" s="1"/>
  <c r="FI44" i="226" a="1"/>
  <c r="FI44" i="226" s="1"/>
  <c r="FA44" i="226" a="1"/>
  <c r="FA44" i="226" s="1"/>
  <c r="FG44" i="226" a="1"/>
  <c r="FG44" i="226" s="1"/>
  <c r="FH44" i="226" a="1"/>
  <c r="FH44" i="226" s="1"/>
  <c r="FB44" i="226" a="1"/>
  <c r="FB44" i="226" s="1"/>
  <c r="EZ44" i="226" a="1"/>
  <c r="EZ44" i="226" s="1"/>
  <c r="FJ44" i="226" a="1"/>
  <c r="FJ44" i="226" s="1"/>
  <c r="FD44" i="226" a="1"/>
  <c r="FD44" i="226" s="1"/>
  <c r="FK44" i="226" a="1"/>
  <c r="FK44" i="226" s="1"/>
  <c r="FF44" i="226" a="1"/>
  <c r="FF44" i="226" s="1"/>
  <c r="FM44" i="226" a="1"/>
  <c r="FM44" i="226" s="1"/>
  <c r="FE44" i="226" a="1"/>
  <c r="FE44" i="226" s="1"/>
  <c r="FL44" i="226" a="1"/>
  <c r="FL44" i="226" s="1"/>
  <c r="FK66" i="226" a="1"/>
  <c r="FK66" i="226" s="1"/>
  <c r="FB66" i="226" a="1"/>
  <c r="FB66" i="226" s="1"/>
  <c r="FI66" i="226" a="1"/>
  <c r="FI66" i="226" s="1"/>
  <c r="FC66" i="226" a="1"/>
  <c r="FC66" i="226" s="1"/>
  <c r="FJ66" i="226" a="1"/>
  <c r="FJ66" i="226" s="1"/>
  <c r="EZ66" i="226" a="1"/>
  <c r="EZ66" i="226" s="1"/>
  <c r="FD66" i="226" a="1"/>
  <c r="FD66" i="226" s="1"/>
  <c r="FL66" i="226" a="1"/>
  <c r="FL66" i="226" s="1"/>
  <c r="FE66" i="226" a="1"/>
  <c r="FE66" i="226" s="1"/>
  <c r="FF66" i="226" a="1"/>
  <c r="FF66" i="226" s="1"/>
  <c r="FM66" i="226" a="1"/>
  <c r="FM66" i="226" s="1"/>
  <c r="FG66" i="226" a="1"/>
  <c r="FG66" i="226" s="1"/>
  <c r="FA66" i="226" a="1"/>
  <c r="FA66" i="226" s="1"/>
  <c r="FH66" i="226" a="1"/>
  <c r="FH66" i="226" s="1"/>
  <c r="FC107" i="226" a="1"/>
  <c r="FC107" i="226" s="1"/>
  <c r="FI107" i="226" a="1"/>
  <c r="FI107" i="226" s="1"/>
  <c r="FD107" i="226" a="1"/>
  <c r="FD107" i="226" s="1"/>
  <c r="FJ107" i="226" a="1"/>
  <c r="FJ107" i="226" s="1"/>
  <c r="FK107" i="226" a="1"/>
  <c r="FK107" i="226" s="1"/>
  <c r="FF107" i="226" a="1"/>
  <c r="FF107" i="226" s="1"/>
  <c r="FG107" i="226" a="1"/>
  <c r="FG107" i="226" s="1"/>
  <c r="FM107" i="226" a="1"/>
  <c r="FM107" i="226" s="1"/>
  <c r="FA107" i="226" a="1"/>
  <c r="FA107" i="226" s="1"/>
  <c r="FE107" i="226" a="1"/>
  <c r="FE107" i="226" s="1"/>
  <c r="FL107" i="226" a="1"/>
  <c r="FL107" i="226" s="1"/>
  <c r="EZ107" i="226" a="1"/>
  <c r="EZ107" i="226" s="1"/>
  <c r="FB107" i="226" a="1"/>
  <c r="FB107" i="226" s="1"/>
  <c r="FH107" i="226" a="1"/>
  <c r="FH107" i="226" s="1"/>
  <c r="FB29" i="226" a="1"/>
  <c r="FB29" i="226" s="1"/>
  <c r="FF29" i="226" a="1"/>
  <c r="FF29" i="226" s="1"/>
  <c r="FJ29" i="226" a="1"/>
  <c r="FJ29" i="226" s="1"/>
  <c r="FA29" i="226" a="1"/>
  <c r="FA29" i="226" s="1"/>
  <c r="FG29" i="226" a="1"/>
  <c r="FG29" i="226" s="1"/>
  <c r="FL29" i="226" a="1"/>
  <c r="FL29" i="226" s="1"/>
  <c r="FM29" i="226" a="1"/>
  <c r="FM29" i="226" s="1"/>
  <c r="EZ29" i="226" a="1"/>
  <c r="EZ29" i="226" s="1"/>
  <c r="FC29" i="226" a="1"/>
  <c r="FC29" i="226" s="1"/>
  <c r="FH29" i="226" a="1"/>
  <c r="FH29" i="226" s="1"/>
  <c r="FI29" i="226" a="1"/>
  <c r="FI29" i="226" s="1"/>
  <c r="FE29" i="226" a="1"/>
  <c r="FE29" i="226" s="1"/>
  <c r="FD29" i="226" a="1"/>
  <c r="FD29" i="226" s="1"/>
  <c r="FK29" i="226" a="1"/>
  <c r="FK29" i="226" s="1"/>
  <c r="FC70" i="226" a="1"/>
  <c r="FC70" i="226" s="1"/>
  <c r="FI70" i="226" a="1"/>
  <c r="FI70" i="226" s="1"/>
  <c r="FD70" i="226" a="1"/>
  <c r="FD70" i="226" s="1"/>
  <c r="FJ70" i="226" a="1"/>
  <c r="FJ70" i="226" s="1"/>
  <c r="FK70" i="226" a="1"/>
  <c r="FK70" i="226" s="1"/>
  <c r="FF70" i="226" a="1"/>
  <c r="FF70" i="226" s="1"/>
  <c r="FG70" i="226" a="1"/>
  <c r="FG70" i="226" s="1"/>
  <c r="FM70" i="226" a="1"/>
  <c r="FM70" i="226" s="1"/>
  <c r="FE70" i="226" a="1"/>
  <c r="FE70" i="226" s="1"/>
  <c r="FA70" i="226" a="1"/>
  <c r="FA70" i="226" s="1"/>
  <c r="FB70" i="226" a="1"/>
  <c r="FB70" i="226" s="1"/>
  <c r="FH70" i="226" a="1"/>
  <c r="FH70" i="226" s="1"/>
  <c r="FL70" i="226" a="1"/>
  <c r="FL70" i="226" s="1"/>
  <c r="EZ70" i="226" a="1"/>
  <c r="EZ70" i="226" s="1"/>
  <c r="FB110" i="226" a="1"/>
  <c r="FB110" i="226" s="1"/>
  <c r="FI110" i="226" a="1"/>
  <c r="FI110" i="226" s="1"/>
  <c r="FC110" i="226" a="1"/>
  <c r="FC110" i="226" s="1"/>
  <c r="FD110" i="226" a="1"/>
  <c r="FD110" i="226" s="1"/>
  <c r="FJ110" i="226" a="1"/>
  <c r="FJ110" i="226" s="1"/>
  <c r="FL110" i="226" a="1"/>
  <c r="FL110" i="226" s="1"/>
  <c r="FF110" i="226" a="1"/>
  <c r="FF110" i="226" s="1"/>
  <c r="FM110" i="226" a="1"/>
  <c r="FM110" i="226" s="1"/>
  <c r="FE110" i="226" a="1"/>
  <c r="FE110" i="226" s="1"/>
  <c r="FK110" i="226" a="1"/>
  <c r="FK110" i="226" s="1"/>
  <c r="EZ110" i="226" a="1"/>
  <c r="EZ110" i="226" s="1"/>
  <c r="FA110" i="226" a="1"/>
  <c r="FA110" i="226" s="1"/>
  <c r="FG110" i="226" a="1"/>
  <c r="FG110" i="226" s="1"/>
  <c r="FH110" i="226" a="1"/>
  <c r="FH110" i="226" s="1"/>
  <c r="FF54" i="226" a="1"/>
  <c r="FF54" i="226" s="1"/>
  <c r="FD54" i="226" a="1"/>
  <c r="FD54" i="226" s="1"/>
  <c r="FC54" i="226" a="1"/>
  <c r="FC54" i="226" s="1"/>
  <c r="FK54" i="226" a="1"/>
  <c r="FK54" i="226" s="1"/>
  <c r="FE54" i="226" a="1"/>
  <c r="FE54" i="226" s="1"/>
  <c r="FL54" i="226" a="1"/>
  <c r="FL54" i="226" s="1"/>
  <c r="FM54" i="226" a="1"/>
  <c r="FM54" i="226" s="1"/>
  <c r="EZ54" i="226" a="1"/>
  <c r="EZ54" i="226" s="1"/>
  <c r="FG54" i="226" a="1"/>
  <c r="FG54" i="226" s="1"/>
  <c r="FH54" i="226" a="1"/>
  <c r="FH54" i="226" s="1"/>
  <c r="FA54" i="226" a="1"/>
  <c r="FA54" i="226" s="1"/>
  <c r="FI54" i="226" a="1"/>
  <c r="FI54" i="226" s="1"/>
  <c r="FB54" i="226" a="1"/>
  <c r="FB54" i="226" s="1"/>
  <c r="FJ54" i="226" a="1"/>
  <c r="FJ54" i="226" s="1"/>
  <c r="FE90" i="226" a="1"/>
  <c r="FE90" i="226" s="1"/>
  <c r="FF90" i="226" a="1"/>
  <c r="FF90" i="226" s="1"/>
  <c r="FK90" i="226" a="1"/>
  <c r="FK90" i="226" s="1"/>
  <c r="FA90" i="226" a="1"/>
  <c r="FA90" i="226" s="1"/>
  <c r="FM90" i="226" a="1"/>
  <c r="FM90" i="226" s="1"/>
  <c r="FC90" i="226" a="1"/>
  <c r="FC90" i="226" s="1"/>
  <c r="FH90" i="226" a="1"/>
  <c r="FH90" i="226" s="1"/>
  <c r="FD90" i="226" a="1"/>
  <c r="FD90" i="226" s="1"/>
  <c r="EZ90" i="226" a="1"/>
  <c r="EZ90" i="226" s="1"/>
  <c r="FG90" i="226" a="1"/>
  <c r="FG90" i="226" s="1"/>
  <c r="FI90" i="226" a="1"/>
  <c r="FI90" i="226" s="1"/>
  <c r="FJ90" i="226" a="1"/>
  <c r="FJ90" i="226" s="1"/>
  <c r="FL90" i="226" a="1"/>
  <c r="FL90" i="226" s="1"/>
  <c r="FB90" i="226" a="1"/>
  <c r="FB90" i="226" s="1"/>
  <c r="FI109" i="226" a="1"/>
  <c r="FI109" i="226" s="1"/>
  <c r="FC109" i="226" a="1"/>
  <c r="FC109" i="226" s="1"/>
  <c r="FJ109" i="226" a="1"/>
  <c r="FJ109" i="226" s="1"/>
  <c r="FD109" i="226" a="1"/>
  <c r="FD109" i="226" s="1"/>
  <c r="FF109" i="226" a="1"/>
  <c r="FF109" i="226" s="1"/>
  <c r="FL109" i="226" a="1"/>
  <c r="FL109" i="226" s="1"/>
  <c r="FM109" i="226" a="1"/>
  <c r="FM109" i="226" s="1"/>
  <c r="FA109" i="226" a="1"/>
  <c r="FA109" i="226" s="1"/>
  <c r="FG109" i="226" a="1"/>
  <c r="FG109" i="226" s="1"/>
  <c r="EZ109" i="226" a="1"/>
  <c r="EZ109" i="226" s="1"/>
  <c r="FH109" i="226" a="1"/>
  <c r="FH109" i="226" s="1"/>
  <c r="FB109" i="226" a="1"/>
  <c r="FB109" i="226" s="1"/>
  <c r="FE109" i="226" a="1"/>
  <c r="FE109" i="226" s="1"/>
  <c r="FK109" i="226" a="1"/>
  <c r="FK109" i="226" s="1"/>
  <c r="FC108" i="226" a="1"/>
  <c r="FC108" i="226" s="1"/>
  <c r="FI108" i="226" a="1"/>
  <c r="FI108" i="226" s="1"/>
  <c r="FJ108" i="226" a="1"/>
  <c r="FJ108" i="226" s="1"/>
  <c r="FD108" i="226" a="1"/>
  <c r="FD108" i="226" s="1"/>
  <c r="FK108" i="226" a="1"/>
  <c r="FK108" i="226" s="1"/>
  <c r="FF108" i="226" a="1"/>
  <c r="FF108" i="226" s="1"/>
  <c r="FL108" i="226" a="1"/>
  <c r="FL108" i="226" s="1"/>
  <c r="FG108" i="226" a="1"/>
  <c r="FG108" i="226" s="1"/>
  <c r="FM108" i="226" a="1"/>
  <c r="FM108" i="226" s="1"/>
  <c r="EZ108" i="226" a="1"/>
  <c r="EZ108" i="226" s="1"/>
  <c r="FB108" i="226" a="1"/>
  <c r="FB108" i="226" s="1"/>
  <c r="FE108" i="226" a="1"/>
  <c r="FE108" i="226" s="1"/>
  <c r="FH108" i="226" a="1"/>
  <c r="FH108" i="226" s="1"/>
  <c r="FA108" i="226" a="1"/>
  <c r="FA108" i="226" s="1"/>
  <c r="FF51" i="226" a="1"/>
  <c r="FF51" i="226" s="1"/>
  <c r="FM51" i="226" a="1"/>
  <c r="FM51" i="226" s="1"/>
  <c r="FE51" i="226" a="1"/>
  <c r="FE51" i="226" s="1"/>
  <c r="FK51" i="226" a="1"/>
  <c r="FK51" i="226" s="1"/>
  <c r="FA51" i="226" a="1"/>
  <c r="FA51" i="226" s="1"/>
  <c r="FI51" i="226" a="1"/>
  <c r="FI51" i="226" s="1"/>
  <c r="FB51" i="226" a="1"/>
  <c r="FB51" i="226" s="1"/>
  <c r="FJ51" i="226" a="1"/>
  <c r="FJ51" i="226" s="1"/>
  <c r="FC51" i="226" a="1"/>
  <c r="FC51" i="226" s="1"/>
  <c r="FL51" i="226" a="1"/>
  <c r="FL51" i="226" s="1"/>
  <c r="FD51" i="226" a="1"/>
  <c r="FD51" i="226" s="1"/>
  <c r="FG51" i="226" a="1"/>
  <c r="FG51" i="226" s="1"/>
  <c r="EZ51" i="226" a="1"/>
  <c r="EZ51" i="226" s="1"/>
  <c r="FH51" i="226" a="1"/>
  <c r="FH51" i="226" s="1"/>
  <c r="FB75" i="226" a="1"/>
  <c r="FB75" i="226" s="1"/>
  <c r="FC75" i="226" a="1"/>
  <c r="FC75" i="226" s="1"/>
  <c r="FE75" i="226" a="1"/>
  <c r="FE75" i="226" s="1"/>
  <c r="FF75" i="226" a="1"/>
  <c r="FF75" i="226" s="1"/>
  <c r="FI75" i="226" a="1"/>
  <c r="FI75" i="226" s="1"/>
  <c r="EZ75" i="226" a="1"/>
  <c r="EZ75" i="226" s="1"/>
  <c r="FA75" i="226" a="1"/>
  <c r="FA75" i="226" s="1"/>
  <c r="FM75" i="226" a="1"/>
  <c r="FM75" i="226" s="1"/>
  <c r="FD75" i="226" a="1"/>
  <c r="FD75" i="226" s="1"/>
  <c r="FG75" i="226" a="1"/>
  <c r="FG75" i="226" s="1"/>
  <c r="FH75" i="226" a="1"/>
  <c r="FH75" i="226" s="1"/>
  <c r="FJ75" i="226" a="1"/>
  <c r="FJ75" i="226" s="1"/>
  <c r="FK75" i="226" a="1"/>
  <c r="FK75" i="226" s="1"/>
  <c r="FL75" i="226" a="1"/>
  <c r="FL75" i="226" s="1"/>
  <c r="FB112" i="226" a="1"/>
  <c r="FB112" i="226" s="1"/>
  <c r="FH112" i="226" a="1"/>
  <c r="FH112" i="226" s="1"/>
  <c r="FC112" i="226" a="1"/>
  <c r="FC112" i="226" s="1"/>
  <c r="FI112" i="226" a="1"/>
  <c r="FI112" i="226" s="1"/>
  <c r="FJ112" i="226" a="1"/>
  <c r="FJ112" i="226" s="1"/>
  <c r="EZ112" i="226" a="1"/>
  <c r="EZ112" i="226" s="1"/>
  <c r="FE112" i="226" a="1"/>
  <c r="FE112" i="226" s="1"/>
  <c r="FF112" i="226" a="1"/>
  <c r="FF112" i="226" s="1"/>
  <c r="FL112" i="226" a="1"/>
  <c r="FL112" i="226" s="1"/>
  <c r="FM112" i="226" a="1"/>
  <c r="FM112" i="226" s="1"/>
  <c r="FA112" i="226" a="1"/>
  <c r="FA112" i="226" s="1"/>
  <c r="FD112" i="226" a="1"/>
  <c r="FD112" i="226" s="1"/>
  <c r="FG112" i="226" a="1"/>
  <c r="FG112" i="226" s="1"/>
  <c r="FK112" i="226" a="1"/>
  <c r="FK112" i="226" s="1"/>
  <c r="FB74" i="226" a="1"/>
  <c r="FB74" i="226" s="1"/>
  <c r="FC74" i="226" a="1"/>
  <c r="FC74" i="226" s="1"/>
  <c r="FI74" i="226" a="1"/>
  <c r="FI74" i="226" s="1"/>
  <c r="FD74" i="226" a="1"/>
  <c r="FD74" i="226" s="1"/>
  <c r="FJ74" i="226" a="1"/>
  <c r="FJ74" i="226" s="1"/>
  <c r="FE74" i="226" a="1"/>
  <c r="FE74" i="226" s="1"/>
  <c r="FL74" i="226" a="1"/>
  <c r="FL74" i="226" s="1"/>
  <c r="FF74" i="226" a="1"/>
  <c r="FF74" i="226" s="1"/>
  <c r="FH74" i="226" a="1"/>
  <c r="FH74" i="226" s="1"/>
  <c r="FA74" i="226" a="1"/>
  <c r="FA74" i="226" s="1"/>
  <c r="FG74" i="226" a="1"/>
  <c r="FG74" i="226" s="1"/>
  <c r="EZ74" i="226" a="1"/>
  <c r="EZ74" i="226" s="1"/>
  <c r="FK74" i="226" a="1"/>
  <c r="FK74" i="226" s="1"/>
  <c r="FM74" i="226" a="1"/>
  <c r="FM74" i="226" s="1"/>
  <c r="FI86" i="226" a="1"/>
  <c r="FI86" i="226" s="1"/>
  <c r="FD86" i="226" a="1"/>
  <c r="FD86" i="226" s="1"/>
  <c r="FJ86" i="226" a="1"/>
  <c r="FJ86" i="226" s="1"/>
  <c r="FE86" i="226" a="1"/>
  <c r="FE86" i="226" s="1"/>
  <c r="FA86" i="226" a="1"/>
  <c r="FA86" i="226" s="1"/>
  <c r="EZ86" i="226" a="1"/>
  <c r="EZ86" i="226" s="1"/>
  <c r="FB86" i="226" a="1"/>
  <c r="FB86" i="226" s="1"/>
  <c r="FG86" i="226" a="1"/>
  <c r="FG86" i="226" s="1"/>
  <c r="FL86" i="226" a="1"/>
  <c r="FL86" i="226" s="1"/>
  <c r="FM86" i="226" a="1"/>
  <c r="FM86" i="226" s="1"/>
  <c r="FH86" i="226" a="1"/>
  <c r="FH86" i="226" s="1"/>
  <c r="FC86" i="226" a="1"/>
  <c r="FC86" i="226" s="1"/>
  <c r="FF86" i="226" a="1"/>
  <c r="FF86" i="226" s="1"/>
  <c r="FK86" i="226" a="1"/>
  <c r="FK86" i="226" s="1"/>
  <c r="FD40" i="226" a="1"/>
  <c r="FD40" i="226" s="1"/>
  <c r="FE40" i="226" a="1"/>
  <c r="FE40" i="226" s="1"/>
  <c r="FJ40" i="226" a="1"/>
  <c r="FJ40" i="226" s="1"/>
  <c r="FA40" i="226" a="1"/>
  <c r="FA40" i="226" s="1"/>
  <c r="FF40" i="226" a="1"/>
  <c r="FF40" i="226" s="1"/>
  <c r="FK40" i="226" a="1"/>
  <c r="FK40" i="226" s="1"/>
  <c r="FL40" i="226" a="1"/>
  <c r="FL40" i="226" s="1"/>
  <c r="FB40" i="226" a="1"/>
  <c r="FB40" i="226" s="1"/>
  <c r="FG40" i="226" a="1"/>
  <c r="FG40" i="226" s="1"/>
  <c r="FM40" i="226" a="1"/>
  <c r="FM40" i="226" s="1"/>
  <c r="FH40" i="226" a="1"/>
  <c r="FH40" i="226" s="1"/>
  <c r="FI40" i="226" a="1"/>
  <c r="FI40" i="226" s="1"/>
  <c r="EZ40" i="226" a="1"/>
  <c r="EZ40" i="226" s="1"/>
  <c r="FC40" i="226" a="1"/>
  <c r="FC40" i="226" s="1"/>
  <c r="FD95" i="226" a="1"/>
  <c r="FD95" i="226" s="1"/>
  <c r="FJ95" i="226" a="1"/>
  <c r="FJ95" i="226" s="1"/>
  <c r="FE95" i="226" a="1"/>
  <c r="FE95" i="226" s="1"/>
  <c r="FK95" i="226" a="1"/>
  <c r="FK95" i="226" s="1"/>
  <c r="FL95" i="226" a="1"/>
  <c r="FL95" i="226" s="1"/>
  <c r="EZ95" i="226" a="1"/>
  <c r="EZ95" i="226" s="1"/>
  <c r="FA95" i="226" a="1"/>
  <c r="FA95" i="226" s="1"/>
  <c r="FG95" i="226" a="1"/>
  <c r="FG95" i="226" s="1"/>
  <c r="FH95" i="226" a="1"/>
  <c r="FH95" i="226" s="1"/>
  <c r="FB95" i="226" a="1"/>
  <c r="FB95" i="226" s="1"/>
  <c r="FI95" i="226" a="1"/>
  <c r="FI95" i="226" s="1"/>
  <c r="FC95" i="226" a="1"/>
  <c r="FC95" i="226" s="1"/>
  <c r="FF95" i="226" a="1"/>
  <c r="FF95" i="226" s="1"/>
  <c r="FM95" i="226" a="1"/>
  <c r="FM95" i="226" s="1"/>
  <c r="FM43" i="226" a="1"/>
  <c r="FM43" i="226" s="1"/>
  <c r="FI43" i="226" a="1"/>
  <c r="FI43" i="226" s="1"/>
  <c r="FE43" i="226" a="1"/>
  <c r="FE43" i="226" s="1"/>
  <c r="FF43" i="226" a="1"/>
  <c r="FF43" i="226" s="1"/>
  <c r="FK43" i="226" a="1"/>
  <c r="FK43" i="226" s="1"/>
  <c r="FD43" i="226" a="1"/>
  <c r="FD43" i="226" s="1"/>
  <c r="EZ43" i="226" a="1"/>
  <c r="EZ43" i="226" s="1"/>
  <c r="FG43" i="226" a="1"/>
  <c r="FG43" i="226" s="1"/>
  <c r="FH43" i="226" a="1"/>
  <c r="FH43" i="226" s="1"/>
  <c r="FJ43" i="226" a="1"/>
  <c r="FJ43" i="226" s="1"/>
  <c r="FB43" i="226" a="1"/>
  <c r="FB43" i="226" s="1"/>
  <c r="FA43" i="226" a="1"/>
  <c r="FA43" i="226" s="1"/>
  <c r="FC43" i="226" a="1"/>
  <c r="FC43" i="226" s="1"/>
  <c r="FL43" i="226" a="1"/>
  <c r="FL43" i="226" s="1"/>
  <c r="FK56" i="226" a="1"/>
  <c r="FK56" i="226" s="1"/>
  <c r="FE56" i="226" a="1"/>
  <c r="FE56" i="226" s="1"/>
  <c r="FL56" i="226" a="1"/>
  <c r="FL56" i="226" s="1"/>
  <c r="FF56" i="226" a="1"/>
  <c r="FF56" i="226" s="1"/>
  <c r="FG56" i="226" a="1"/>
  <c r="FG56" i="226" s="1"/>
  <c r="FM56" i="226" a="1"/>
  <c r="FM56" i="226" s="1"/>
  <c r="FA56" i="226" a="1"/>
  <c r="FA56" i="226" s="1"/>
  <c r="FH56" i="226" a="1"/>
  <c r="FH56" i="226" s="1"/>
  <c r="EZ56" i="226" a="1"/>
  <c r="EZ56" i="226" s="1"/>
  <c r="FB56" i="226" a="1"/>
  <c r="FB56" i="226" s="1"/>
  <c r="FC56" i="226" a="1"/>
  <c r="FC56" i="226" s="1"/>
  <c r="FI56" i="226" a="1"/>
  <c r="FI56" i="226" s="1"/>
  <c r="FD56" i="226" a="1"/>
  <c r="FD56" i="226" s="1"/>
  <c r="FJ56" i="226" a="1"/>
  <c r="FJ56" i="226" s="1"/>
  <c r="FG64" i="226" a="1"/>
  <c r="FG64" i="226" s="1"/>
  <c r="FF64" i="226" a="1"/>
  <c r="FF64" i="226" s="1"/>
  <c r="FC64" i="226" a="1"/>
  <c r="FC64" i="226" s="1"/>
  <c r="FI64" i="226" a="1"/>
  <c r="FI64" i="226" s="1"/>
  <c r="FD64" i="226" a="1"/>
  <c r="FD64" i="226" s="1"/>
  <c r="FJ64" i="226" a="1"/>
  <c r="FJ64" i="226" s="1"/>
  <c r="FE64" i="226" a="1"/>
  <c r="FE64" i="226" s="1"/>
  <c r="FK64" i="226" a="1"/>
  <c r="FK64" i="226" s="1"/>
  <c r="FL64" i="226" a="1"/>
  <c r="FL64" i="226" s="1"/>
  <c r="FM64" i="226" a="1"/>
  <c r="FM64" i="226" s="1"/>
  <c r="EZ64" i="226" a="1"/>
  <c r="EZ64" i="226" s="1"/>
  <c r="FA64" i="226" a="1"/>
  <c r="FA64" i="226" s="1"/>
  <c r="FB64" i="226" a="1"/>
  <c r="FB64" i="226" s="1"/>
  <c r="FH64" i="226" a="1"/>
  <c r="FH64" i="226" s="1"/>
  <c r="FB12" i="226" a="1"/>
  <c r="FB12" i="226" s="1"/>
  <c r="FH12" i="226" a="1"/>
  <c r="FH12" i="226" s="1"/>
  <c r="FM12" i="226" a="1"/>
  <c r="FM12" i="226" s="1"/>
  <c r="FC12" i="226" a="1"/>
  <c r="FC12" i="226" s="1"/>
  <c r="FD12" i="226" a="1"/>
  <c r="FD12" i="226" s="1"/>
  <c r="FI12" i="226" a="1"/>
  <c r="FI12" i="226" s="1"/>
  <c r="FA12" i="226" a="1"/>
  <c r="FA12" i="226" s="1"/>
  <c r="FF12" i="226" a="1"/>
  <c r="FF12" i="226" s="1"/>
  <c r="FL12" i="226" a="1"/>
  <c r="FL12" i="226" s="1"/>
  <c r="FG12" i="226" a="1"/>
  <c r="FG12" i="226" s="1"/>
  <c r="FJ12" i="226" a="1"/>
  <c r="FJ12" i="226" s="1"/>
  <c r="FK12" i="226" a="1"/>
  <c r="FK12" i="226" s="1"/>
  <c r="EZ12" i="226" a="1"/>
  <c r="EZ12" i="226" s="1"/>
  <c r="FE12" i="226" a="1"/>
  <c r="FE12" i="226" s="1"/>
  <c r="FJ97" i="226" a="1"/>
  <c r="FJ97" i="226" s="1"/>
  <c r="FD97" i="226" a="1"/>
  <c r="FD97" i="226" s="1"/>
  <c r="FK97" i="226" a="1"/>
  <c r="FK97" i="226" s="1"/>
  <c r="FE97" i="226" a="1"/>
  <c r="FE97" i="226" s="1"/>
  <c r="FG97" i="226" a="1"/>
  <c r="FG97" i="226" s="1"/>
  <c r="FM97" i="226" a="1"/>
  <c r="FM97" i="226" s="1"/>
  <c r="FA97" i="226" a="1"/>
  <c r="FA97" i="226" s="1"/>
  <c r="FI97" i="226" a="1"/>
  <c r="FI97" i="226" s="1"/>
  <c r="FB97" i="226" a="1"/>
  <c r="FB97" i="226" s="1"/>
  <c r="FF97" i="226" a="1"/>
  <c r="FF97" i="226" s="1"/>
  <c r="FC97" i="226" a="1"/>
  <c r="FC97" i="226" s="1"/>
  <c r="EZ97" i="226" a="1"/>
  <c r="EZ97" i="226" s="1"/>
  <c r="FH97" i="226" a="1"/>
  <c r="FH97" i="226" s="1"/>
  <c r="FL97" i="226" a="1"/>
  <c r="FL97" i="226" s="1"/>
  <c r="FA30" i="226" a="1"/>
  <c r="FA30" i="226" s="1"/>
  <c r="FE30" i="226" a="1"/>
  <c r="FE30" i="226" s="1"/>
  <c r="FI30" i="226" a="1"/>
  <c r="FI30" i="226" s="1"/>
  <c r="FM30" i="226" a="1"/>
  <c r="FM30" i="226" s="1"/>
  <c r="FD30" i="226" a="1"/>
  <c r="FD30" i="226" s="1"/>
  <c r="FJ30" i="226" a="1"/>
  <c r="FJ30" i="226" s="1"/>
  <c r="FF30" i="226" a="1"/>
  <c r="FF30" i="226" s="1"/>
  <c r="FK30" i="226" a="1"/>
  <c r="FK30" i="226" s="1"/>
  <c r="EZ30" i="226" a="1"/>
  <c r="EZ30" i="226" s="1"/>
  <c r="FL30" i="226" a="1"/>
  <c r="FL30" i="226" s="1"/>
  <c r="FH30" i="226" a="1"/>
  <c r="FH30" i="226" s="1"/>
  <c r="FB30" i="226" a="1"/>
  <c r="FB30" i="226" s="1"/>
  <c r="FG30" i="226" a="1"/>
  <c r="FG30" i="226" s="1"/>
  <c r="FC30" i="226" a="1"/>
  <c r="FC30" i="226" s="1"/>
  <c r="FF85" i="226" a="1"/>
  <c r="FF85" i="226" s="1"/>
  <c r="FA85" i="226" a="1"/>
  <c r="FA85" i="226" s="1"/>
  <c r="FG85" i="226" a="1"/>
  <c r="FG85" i="226" s="1"/>
  <c r="FL85" i="226" a="1"/>
  <c r="FL85" i="226" s="1"/>
  <c r="FB85" i="226" a="1"/>
  <c r="FB85" i="226" s="1"/>
  <c r="EZ85" i="226" a="1"/>
  <c r="EZ85" i="226" s="1"/>
  <c r="FD85" i="226" a="1"/>
  <c r="FD85" i="226" s="1"/>
  <c r="FI85" i="226" a="1"/>
  <c r="FI85" i="226" s="1"/>
  <c r="FK85" i="226" a="1"/>
  <c r="FK85" i="226" s="1"/>
  <c r="FH85" i="226" a="1"/>
  <c r="FH85" i="226" s="1"/>
  <c r="FM85" i="226" a="1"/>
  <c r="FM85" i="226" s="1"/>
  <c r="FC85" i="226" a="1"/>
  <c r="FC85" i="226" s="1"/>
  <c r="FE85" i="226" a="1"/>
  <c r="FE85" i="226" s="1"/>
  <c r="FJ85" i="226" a="1"/>
  <c r="FJ85" i="226" s="1"/>
  <c r="FB67" i="226" a="1"/>
  <c r="FB67" i="226" s="1"/>
  <c r="FD67" i="226" a="1"/>
  <c r="FD67" i="226" s="1"/>
  <c r="FK67" i="226" a="1"/>
  <c r="FK67" i="226" s="1"/>
  <c r="FE67" i="226" a="1"/>
  <c r="FE67" i="226" s="1"/>
  <c r="FL67" i="226" a="1"/>
  <c r="FL67" i="226" s="1"/>
  <c r="EZ67" i="226" a="1"/>
  <c r="EZ67" i="226" s="1"/>
  <c r="FF67" i="226" a="1"/>
  <c r="FF67" i="226" s="1"/>
  <c r="FM67" i="226" a="1"/>
  <c r="FM67" i="226" s="1"/>
  <c r="FG67" i="226" a="1"/>
  <c r="FG67" i="226" s="1"/>
  <c r="FH67" i="226" a="1"/>
  <c r="FH67" i="226" s="1"/>
  <c r="FA67" i="226" a="1"/>
  <c r="FA67" i="226" s="1"/>
  <c r="FC67" i="226" a="1"/>
  <c r="FC67" i="226" s="1"/>
  <c r="FI67" i="226" a="1"/>
  <c r="FI67" i="226" s="1"/>
  <c r="FJ67" i="226" a="1"/>
  <c r="FJ67" i="226" s="1"/>
  <c r="FC100" i="226" a="1"/>
  <c r="FC100" i="226" s="1"/>
  <c r="FI100" i="226" a="1"/>
  <c r="FI100" i="226" s="1"/>
  <c r="FD100" i="226" a="1"/>
  <c r="FD100" i="226" s="1"/>
  <c r="FJ100" i="226" a="1"/>
  <c r="FJ100" i="226" s="1"/>
  <c r="FK100" i="226" a="1"/>
  <c r="FK100" i="226" s="1"/>
  <c r="FF100" i="226" a="1"/>
  <c r="FF100" i="226" s="1"/>
  <c r="EZ100" i="226" a="1"/>
  <c r="EZ100" i="226" s="1"/>
  <c r="FG100" i="226" a="1"/>
  <c r="FG100" i="226" s="1"/>
  <c r="FM100" i="226" a="1"/>
  <c r="FM100" i="226" s="1"/>
  <c r="FE100" i="226" a="1"/>
  <c r="FE100" i="226" s="1"/>
  <c r="FL100" i="226" a="1"/>
  <c r="FL100" i="226" s="1"/>
  <c r="FA100" i="226" a="1"/>
  <c r="FA100" i="226" s="1"/>
  <c r="FB100" i="226" a="1"/>
  <c r="FB100" i="226" s="1"/>
  <c r="FH100" i="226" a="1"/>
  <c r="FH100" i="226" s="1"/>
  <c r="FD27" i="226" a="1"/>
  <c r="FD27" i="226" s="1"/>
  <c r="FH27" i="226" a="1"/>
  <c r="FH27" i="226" s="1"/>
  <c r="FL27" i="226" a="1"/>
  <c r="FL27" i="226" s="1"/>
  <c r="FK27" i="226" a="1"/>
  <c r="FK27" i="226" s="1"/>
  <c r="FA27" i="226" a="1"/>
  <c r="FA27" i="226" s="1"/>
  <c r="FF27" i="226" a="1"/>
  <c r="FF27" i="226" s="1"/>
  <c r="EZ27" i="226" a="1"/>
  <c r="EZ27" i="226" s="1"/>
  <c r="FG27" i="226" a="1"/>
  <c r="FG27" i="226" s="1"/>
  <c r="FB27" i="226" a="1"/>
  <c r="FB27" i="226" s="1"/>
  <c r="FM27" i="226" a="1"/>
  <c r="FM27" i="226" s="1"/>
  <c r="FC27" i="226" a="1"/>
  <c r="FC27" i="226" s="1"/>
  <c r="FI27" i="226" a="1"/>
  <c r="FI27" i="226" s="1"/>
  <c r="FJ27" i="226" a="1"/>
  <c r="FJ27" i="226" s="1"/>
  <c r="FE27" i="226" a="1"/>
  <c r="FE27" i="226" s="1"/>
  <c r="FF53" i="226" a="1"/>
  <c r="FF53" i="226" s="1"/>
  <c r="FL53" i="226" a="1"/>
  <c r="FL53" i="226" s="1"/>
  <c r="FD53" i="226" a="1"/>
  <c r="FD53" i="226" s="1"/>
  <c r="FK53" i="226" a="1"/>
  <c r="FK53" i="226" s="1"/>
  <c r="FH53" i="226" a="1"/>
  <c r="FH53" i="226" s="1"/>
  <c r="FA53" i="226" a="1"/>
  <c r="FA53" i="226" s="1"/>
  <c r="FI53" i="226" a="1"/>
  <c r="FI53" i="226" s="1"/>
  <c r="EZ53" i="226" a="1"/>
  <c r="EZ53" i="226" s="1"/>
  <c r="FB53" i="226" a="1"/>
  <c r="FB53" i="226" s="1"/>
  <c r="FJ53" i="226" a="1"/>
  <c r="FJ53" i="226" s="1"/>
  <c r="FC53" i="226" a="1"/>
  <c r="FC53" i="226" s="1"/>
  <c r="FM53" i="226" a="1"/>
  <c r="FM53" i="226" s="1"/>
  <c r="FE53" i="226" a="1"/>
  <c r="FE53" i="226" s="1"/>
  <c r="FG53" i="226" a="1"/>
  <c r="FG53" i="226" s="1"/>
  <c r="FC71" i="226" a="1"/>
  <c r="FC71" i="226" s="1"/>
  <c r="FI71" i="226" a="1"/>
  <c r="FI71" i="226" s="1"/>
  <c r="FJ71" i="226" a="1"/>
  <c r="FJ71" i="226" s="1"/>
  <c r="FD71" i="226" a="1"/>
  <c r="FD71" i="226" s="1"/>
  <c r="FK71" i="226" a="1"/>
  <c r="FK71" i="226" s="1"/>
  <c r="FF71" i="226" a="1"/>
  <c r="FF71" i="226" s="1"/>
  <c r="FL71" i="226" a="1"/>
  <c r="FL71" i="226" s="1"/>
  <c r="FG71" i="226" a="1"/>
  <c r="FG71" i="226" s="1"/>
  <c r="FM71" i="226" a="1"/>
  <c r="FM71" i="226" s="1"/>
  <c r="FH71" i="226" a="1"/>
  <c r="FH71" i="226" s="1"/>
  <c r="EZ71" i="226" a="1"/>
  <c r="EZ71" i="226" s="1"/>
  <c r="FA71" i="226" a="1"/>
  <c r="FA71" i="226" s="1"/>
  <c r="FB71" i="226" a="1"/>
  <c r="FB71" i="226" s="1"/>
  <c r="FE71" i="226" a="1"/>
  <c r="FE71" i="226" s="1"/>
  <c r="FG41" i="226" a="1"/>
  <c r="FG41" i="226" s="1"/>
  <c r="FB41" i="226" a="1"/>
  <c r="FB41" i="226" s="1"/>
  <c r="FH41" i="226" a="1"/>
  <c r="FH41" i="226" s="1"/>
  <c r="FM41" i="226" a="1"/>
  <c r="FM41" i="226" s="1"/>
  <c r="FC41" i="226" a="1"/>
  <c r="FC41" i="226" s="1"/>
  <c r="FD41" i="226" a="1"/>
  <c r="FD41" i="226" s="1"/>
  <c r="FI41" i="226" a="1"/>
  <c r="FI41" i="226" s="1"/>
  <c r="FE41" i="226" a="1"/>
  <c r="FE41" i="226" s="1"/>
  <c r="FJ41" i="226" a="1"/>
  <c r="FJ41" i="226" s="1"/>
  <c r="FA41" i="226" a="1"/>
  <c r="FA41" i="226" s="1"/>
  <c r="FK41" i="226" a="1"/>
  <c r="FK41" i="226" s="1"/>
  <c r="FF41" i="226" a="1"/>
  <c r="FF41" i="226" s="1"/>
  <c r="FL41" i="226" a="1"/>
  <c r="FL41" i="226" s="1"/>
  <c r="EZ41" i="226" a="1"/>
  <c r="EZ41" i="226" s="1"/>
  <c r="C193" i="3"/>
  <c r="E193" i="3" s="1"/>
  <c r="E230" i="3" s="1"/>
  <c r="L79" i="81" s="1"/>
  <c r="BP74" i="207"/>
  <c r="T74" i="207"/>
  <c r="E93" i="3"/>
  <c r="U17" i="154" s="1"/>
  <c r="ET53" i="226"/>
  <c r="EU53" i="226"/>
  <c r="EV53" i="226"/>
  <c r="EW53" i="226"/>
  <c r="EX53" i="226"/>
  <c r="ER53" i="226"/>
  <c r="EY53" i="226"/>
  <c r="EJ53" i="226" a="1"/>
  <c r="EJ53" i="226" s="1"/>
  <c r="ED53" i="226" a="1"/>
  <c r="ED53" i="226" s="1"/>
  <c r="EQ53" i="226" a="1"/>
  <c r="EQ53" i="226" s="1"/>
  <c r="EI53" i="226" a="1"/>
  <c r="EI53" i="226" s="1"/>
  <c r="EP53" i="226" a="1"/>
  <c r="EP53" i="226" s="1"/>
  <c r="EH53" i="226" a="1"/>
  <c r="EH53" i="226" s="1"/>
  <c r="EC53" i="226" a="1"/>
  <c r="EC53" i="226" s="1"/>
  <c r="ES53" i="226"/>
  <c r="EO53" i="226" a="1"/>
  <c r="EO53" i="226" s="1"/>
  <c r="EB53" i="226" a="1"/>
  <c r="EB53" i="226" s="1"/>
  <c r="EN53" i="226" a="1"/>
  <c r="EN53" i="226" s="1"/>
  <c r="EG53" i="226" a="1"/>
  <c r="EG53" i="226" s="1"/>
  <c r="EM53" i="226" a="1"/>
  <c r="EM53" i="226" s="1"/>
  <c r="EF53" i="226" a="1"/>
  <c r="EF53" i="226" s="1"/>
  <c r="EL53" i="226" a="1"/>
  <c r="EL53" i="226" s="1"/>
  <c r="DU53" i="226" a="1"/>
  <c r="DU53" i="226" s="1"/>
  <c r="EK53" i="226" a="1"/>
  <c r="EK53" i="226" s="1"/>
  <c r="DX53" i="226" a="1"/>
  <c r="DX53" i="226" s="1"/>
  <c r="DW53" i="226" a="1"/>
  <c r="DW53" i="226" s="1"/>
  <c r="DY53" i="226" a="1"/>
  <c r="DY53" i="226" s="1"/>
  <c r="EE53" i="226" a="1"/>
  <c r="EE53" i="226" s="1"/>
  <c r="DZ53" i="226" a="1"/>
  <c r="DZ53" i="226" s="1"/>
  <c r="DV53" i="226" a="1"/>
  <c r="DV53" i="226" s="1"/>
  <c r="EA53" i="226" a="1"/>
  <c r="EA53" i="226" s="1"/>
  <c r="ES105" i="226"/>
  <c r="ET105" i="226"/>
  <c r="EU105" i="226"/>
  <c r="EV105" i="226"/>
  <c r="EY105" i="226"/>
  <c r="EW105" i="226"/>
  <c r="EP105" i="226" a="1"/>
  <c r="EP105" i="226" s="1"/>
  <c r="EH105" i="226" a="1"/>
  <c r="EH105" i="226" s="1"/>
  <c r="EO105" i="226" a="1"/>
  <c r="EO105" i="226" s="1"/>
  <c r="EG105" i="226" a="1"/>
  <c r="EG105" i="226" s="1"/>
  <c r="EX105" i="226"/>
  <c r="EN105" i="226" a="1"/>
  <c r="EN105" i="226" s="1"/>
  <c r="EF105" i="226" a="1"/>
  <c r="EF105" i="226" s="1"/>
  <c r="EM105" i="226" a="1"/>
  <c r="EM105" i="226" s="1"/>
  <c r="EE105" i="226" a="1"/>
  <c r="EE105" i="226" s="1"/>
  <c r="EL105" i="226" a="1"/>
  <c r="EL105" i="226" s="1"/>
  <c r="ED105" i="226" a="1"/>
  <c r="ED105" i="226" s="1"/>
  <c r="ER105" i="226"/>
  <c r="EK105" i="226" a="1"/>
  <c r="EK105" i="226" s="1"/>
  <c r="EC105" i="226" a="1"/>
  <c r="EC105" i="226" s="1"/>
  <c r="DW105" i="226" a="1"/>
  <c r="DW105" i="226" s="1"/>
  <c r="DX105" i="226" a="1"/>
  <c r="DX105" i="226" s="1"/>
  <c r="EQ105" i="226" a="1"/>
  <c r="EQ105" i="226" s="1"/>
  <c r="DY105" i="226" a="1"/>
  <c r="DY105" i="226" s="1"/>
  <c r="DU105" i="226" a="1"/>
  <c r="DU105" i="226" s="1"/>
  <c r="EJ105" i="226" a="1"/>
  <c r="EJ105" i="226" s="1"/>
  <c r="EI105" i="226" a="1"/>
  <c r="EI105" i="226" s="1"/>
  <c r="DZ105" i="226" a="1"/>
  <c r="DZ105" i="226" s="1"/>
  <c r="EB105" i="226" a="1"/>
  <c r="EB105" i="226" s="1"/>
  <c r="EA105" i="226" a="1"/>
  <c r="EA105" i="226" s="1"/>
  <c r="DV105" i="226" a="1"/>
  <c r="DV105" i="226" s="1"/>
  <c r="EY82" i="226"/>
  <c r="EX82" i="226"/>
  <c r="ES82" i="226"/>
  <c r="ET82" i="226"/>
  <c r="EU82" i="226"/>
  <c r="ER82" i="226"/>
  <c r="EM82" i="226" a="1"/>
  <c r="EM82" i="226" s="1"/>
  <c r="EF82" i="226" a="1"/>
  <c r="EF82" i="226" s="1"/>
  <c r="EL82" i="226" a="1"/>
  <c r="EL82" i="226" s="1"/>
  <c r="EV82" i="226"/>
  <c r="EK82" i="226" a="1"/>
  <c r="EK82" i="226" s="1"/>
  <c r="EE82" i="226" a="1"/>
  <c r="EE82" i="226" s="1"/>
  <c r="EW82" i="226"/>
  <c r="EQ82" i="226" a="1"/>
  <c r="EQ82" i="226" s="1"/>
  <c r="EJ82" i="226" a="1"/>
  <c r="EJ82" i="226" s="1"/>
  <c r="ED82" i="226" a="1"/>
  <c r="ED82" i="226" s="1"/>
  <c r="EP82" i="226" a="1"/>
  <c r="EP82" i="226" s="1"/>
  <c r="EI82" i="226" a="1"/>
  <c r="EI82" i="226" s="1"/>
  <c r="EC82" i="226" a="1"/>
  <c r="EC82" i="226" s="1"/>
  <c r="EH82" i="226" a="1"/>
  <c r="EH82" i="226" s="1"/>
  <c r="EB82" i="226" a="1"/>
  <c r="EB82" i="226" s="1"/>
  <c r="DZ82" i="226" a="1"/>
  <c r="DZ82" i="226" s="1"/>
  <c r="EG82" i="226" a="1"/>
  <c r="EG82" i="226" s="1"/>
  <c r="DV82" i="226" a="1"/>
  <c r="DV82" i="226" s="1"/>
  <c r="EN82" i="226" a="1"/>
  <c r="EN82" i="226" s="1"/>
  <c r="EA82" i="226" a="1"/>
  <c r="EA82" i="226" s="1"/>
  <c r="DW82" i="226" a="1"/>
  <c r="DW82" i="226" s="1"/>
  <c r="EO82" i="226" a="1"/>
  <c r="EO82" i="226" s="1"/>
  <c r="DX82" i="226" a="1"/>
  <c r="DX82" i="226" s="1"/>
  <c r="DY82" i="226" a="1"/>
  <c r="DY82" i="226" s="1"/>
  <c r="DU82" i="226" a="1"/>
  <c r="DU82" i="226" s="1"/>
  <c r="EY74" i="226"/>
  <c r="ES74" i="226"/>
  <c r="ET74" i="226"/>
  <c r="EU74" i="226"/>
  <c r="EV74" i="226"/>
  <c r="EW74" i="226"/>
  <c r="EX74" i="226"/>
  <c r="EQ74" i="226" a="1"/>
  <c r="EQ74" i="226" s="1"/>
  <c r="EJ74" i="226" a="1"/>
  <c r="EJ74" i="226" s="1"/>
  <c r="ED74" i="226" a="1"/>
  <c r="ED74" i="226" s="1"/>
  <c r="ER74" i="226"/>
  <c r="EP74" i="226" a="1"/>
  <c r="EP74" i="226" s="1"/>
  <c r="EO74" i="226" a="1"/>
  <c r="EO74" i="226" s="1"/>
  <c r="EI74" i="226" a="1"/>
  <c r="EI74" i="226" s="1"/>
  <c r="EC74" i="226" a="1"/>
  <c r="EC74" i="226" s="1"/>
  <c r="EN74" i="226" a="1"/>
  <c r="EN74" i="226" s="1"/>
  <c r="EH74" i="226" a="1"/>
  <c r="EH74" i="226" s="1"/>
  <c r="EB74" i="226" a="1"/>
  <c r="EB74" i="226" s="1"/>
  <c r="EG74" i="226" a="1"/>
  <c r="EG74" i="226" s="1"/>
  <c r="EM74" i="226" a="1"/>
  <c r="EM74" i="226" s="1"/>
  <c r="EF74" i="226" a="1"/>
  <c r="EF74" i="226" s="1"/>
  <c r="DV74" i="226" a="1"/>
  <c r="DV74" i="226" s="1"/>
  <c r="DZ74" i="226" a="1"/>
  <c r="DZ74" i="226" s="1"/>
  <c r="EA74" i="226" a="1"/>
  <c r="EA74" i="226" s="1"/>
  <c r="EL74" i="226" a="1"/>
  <c r="EL74" i="226" s="1"/>
  <c r="DW74" i="226" a="1"/>
  <c r="DW74" i="226" s="1"/>
  <c r="DU74" i="226" a="1"/>
  <c r="DU74" i="226" s="1"/>
  <c r="EK74" i="226" a="1"/>
  <c r="EK74" i="226" s="1"/>
  <c r="DX74" i="226" a="1"/>
  <c r="DX74" i="226" s="1"/>
  <c r="DY74" i="226" a="1"/>
  <c r="DY74" i="226" s="1"/>
  <c r="EE74" i="226" a="1"/>
  <c r="EE74" i="226" s="1"/>
  <c r="EY38" i="226"/>
  <c r="EX38" i="226"/>
  <c r="ES38" i="226"/>
  <c r="ET38" i="226"/>
  <c r="EU38" i="226"/>
  <c r="ER38" i="226"/>
  <c r="EJ38" i="226" a="1"/>
  <c r="EJ38" i="226" s="1"/>
  <c r="ED38" i="226" a="1"/>
  <c r="ED38" i="226" s="1"/>
  <c r="DZ38" i="226" a="1"/>
  <c r="DZ38" i="226" s="1"/>
  <c r="EE38" i="226" a="1"/>
  <c r="EE38" i="226" s="1"/>
  <c r="EQ38" i="226" a="1"/>
  <c r="EQ38" i="226" s="1"/>
  <c r="EI38" i="226" a="1"/>
  <c r="EI38" i="226" s="1"/>
  <c r="EC38" i="226" a="1"/>
  <c r="EC38" i="226" s="1"/>
  <c r="DV38" i="226" a="1"/>
  <c r="DV38" i="226" s="1"/>
  <c r="EL38" i="226" a="1"/>
  <c r="EL38" i="226" s="1"/>
  <c r="EK38" i="226" a="1"/>
  <c r="EK38" i="226" s="1"/>
  <c r="DY38" i="226" a="1"/>
  <c r="DY38" i="226" s="1"/>
  <c r="EP38" i="226" a="1"/>
  <c r="EP38" i="226" s="1"/>
  <c r="EH38" i="226" a="1"/>
  <c r="EH38" i="226" s="1"/>
  <c r="EB38" i="226" a="1"/>
  <c r="EB38" i="226" s="1"/>
  <c r="EA38" i="226" a="1"/>
  <c r="EA38" i="226" s="1"/>
  <c r="DU38" i="226" a="1"/>
  <c r="DU38" i="226" s="1"/>
  <c r="EO38" i="226" a="1"/>
  <c r="EO38" i="226" s="1"/>
  <c r="DW38" i="226" a="1"/>
  <c r="DW38" i="226" s="1"/>
  <c r="EV38" i="226"/>
  <c r="EN38" i="226" a="1"/>
  <c r="EN38" i="226" s="1"/>
  <c r="EG38" i="226" a="1"/>
  <c r="EG38" i="226" s="1"/>
  <c r="EW38" i="226"/>
  <c r="EM38" i="226" a="1"/>
  <c r="EM38" i="226" s="1"/>
  <c r="EF38" i="226" a="1"/>
  <c r="EF38" i="226" s="1"/>
  <c r="DX38" i="226" a="1"/>
  <c r="DX38" i="226" s="1"/>
  <c r="EY46" i="226"/>
  <c r="EX46" i="226"/>
  <c r="ES46" i="226"/>
  <c r="ET46" i="226"/>
  <c r="EU46" i="226"/>
  <c r="EJ46" i="226" a="1"/>
  <c r="EJ46" i="226" s="1"/>
  <c r="ED46" i="226" a="1"/>
  <c r="ED46" i="226" s="1"/>
  <c r="EQ46" i="226" a="1"/>
  <c r="EQ46" i="226" s="1"/>
  <c r="EI46" i="226" a="1"/>
  <c r="EI46" i="226" s="1"/>
  <c r="EV46" i="226"/>
  <c r="EP46" i="226" a="1"/>
  <c r="EP46" i="226" s="1"/>
  <c r="EH46" i="226" a="1"/>
  <c r="EH46" i="226" s="1"/>
  <c r="EC46" i="226" a="1"/>
  <c r="EC46" i="226" s="1"/>
  <c r="EW46" i="226"/>
  <c r="EO46" i="226" a="1"/>
  <c r="EO46" i="226" s="1"/>
  <c r="EB46" i="226" a="1"/>
  <c r="EB46" i="226" s="1"/>
  <c r="ER46" i="226"/>
  <c r="EN46" i="226" a="1"/>
  <c r="EN46" i="226" s="1"/>
  <c r="EG46" i="226" a="1"/>
  <c r="EG46" i="226" s="1"/>
  <c r="EM46" i="226" a="1"/>
  <c r="EM46" i="226" s="1"/>
  <c r="EF46" i="226" a="1"/>
  <c r="EF46" i="226" s="1"/>
  <c r="DV46" i="226" a="1"/>
  <c r="DV46" i="226" s="1"/>
  <c r="EA46" i="226" a="1"/>
  <c r="EA46" i="226" s="1"/>
  <c r="EK46" i="226" a="1"/>
  <c r="EK46" i="226" s="1"/>
  <c r="EE46" i="226" a="1"/>
  <c r="EE46" i="226" s="1"/>
  <c r="DW46" i="226" a="1"/>
  <c r="DW46" i="226" s="1"/>
  <c r="DZ46" i="226" a="1"/>
  <c r="DZ46" i="226" s="1"/>
  <c r="DX46" i="226" a="1"/>
  <c r="DX46" i="226" s="1"/>
  <c r="DU46" i="226" a="1"/>
  <c r="DU46" i="226" s="1"/>
  <c r="EL46" i="226" a="1"/>
  <c r="EL46" i="226" s="1"/>
  <c r="DY46" i="226" a="1"/>
  <c r="DY46" i="226" s="1"/>
  <c r="EX68" i="226"/>
  <c r="ES68" i="226"/>
  <c r="EY68" i="226"/>
  <c r="ET68" i="226"/>
  <c r="EU68" i="226"/>
  <c r="EV68" i="226"/>
  <c r="EO68" i="226" a="1"/>
  <c r="EO68" i="226" s="1"/>
  <c r="EH68" i="226" a="1"/>
  <c r="EH68" i="226" s="1"/>
  <c r="EW68" i="226"/>
  <c r="EN68" i="226" a="1"/>
  <c r="EN68" i="226" s="1"/>
  <c r="EG68" i="226" a="1"/>
  <c r="EG68" i="226" s="1"/>
  <c r="EM68" i="226" a="1"/>
  <c r="EM68" i="226" s="1"/>
  <c r="EF68" i="226" a="1"/>
  <c r="EF68" i="226" s="1"/>
  <c r="EL68" i="226" a="1"/>
  <c r="EL68" i="226" s="1"/>
  <c r="EE68" i="226" a="1"/>
  <c r="EE68" i="226" s="1"/>
  <c r="ER68" i="226"/>
  <c r="ED68" i="226" a="1"/>
  <c r="ED68" i="226" s="1"/>
  <c r="EQ68" i="226" a="1"/>
  <c r="EQ68" i="226" s="1"/>
  <c r="EK68" i="226" a="1"/>
  <c r="EK68" i="226" s="1"/>
  <c r="EC68" i="226" a="1"/>
  <c r="EC68" i="226" s="1"/>
  <c r="EP68" i="226" a="1"/>
  <c r="EP68" i="226" s="1"/>
  <c r="DW68" i="226" a="1"/>
  <c r="DW68" i="226" s="1"/>
  <c r="DU68" i="226" a="1"/>
  <c r="DU68" i="226" s="1"/>
  <c r="EA68" i="226" a="1"/>
  <c r="EA68" i="226" s="1"/>
  <c r="EJ68" i="226" a="1"/>
  <c r="EJ68" i="226" s="1"/>
  <c r="DX68" i="226" a="1"/>
  <c r="DX68" i="226" s="1"/>
  <c r="EI68" i="226" a="1"/>
  <c r="EI68" i="226" s="1"/>
  <c r="DY68" i="226" a="1"/>
  <c r="DY68" i="226" s="1"/>
  <c r="EB68" i="226" a="1"/>
  <c r="EB68" i="226" s="1"/>
  <c r="DZ68" i="226" a="1"/>
  <c r="DZ68" i="226" s="1"/>
  <c r="DV68" i="226" a="1"/>
  <c r="DV68" i="226" s="1"/>
  <c r="EX86" i="226"/>
  <c r="ES86" i="226"/>
  <c r="EY86" i="226"/>
  <c r="ET86" i="226"/>
  <c r="EU86" i="226"/>
  <c r="EV86" i="226"/>
  <c r="EK86" i="226" a="1"/>
  <c r="EK86" i="226" s="1"/>
  <c r="EE86" i="226" a="1"/>
  <c r="EE86" i="226" s="1"/>
  <c r="EW86" i="226"/>
  <c r="EQ86" i="226" a="1"/>
  <c r="EQ86" i="226" s="1"/>
  <c r="EJ86" i="226" a="1"/>
  <c r="EJ86" i="226" s="1"/>
  <c r="ED86" i="226" a="1"/>
  <c r="ED86" i="226" s="1"/>
  <c r="EP86" i="226" a="1"/>
  <c r="EP86" i="226" s="1"/>
  <c r="EI86" i="226" a="1"/>
  <c r="EI86" i="226" s="1"/>
  <c r="EH86" i="226" a="1"/>
  <c r="EH86" i="226" s="1"/>
  <c r="EC86" i="226" a="1"/>
  <c r="EC86" i="226" s="1"/>
  <c r="ER86" i="226"/>
  <c r="EO86" i="226" a="1"/>
  <c r="EO86" i="226" s="1"/>
  <c r="EB86" i="226" a="1"/>
  <c r="EB86" i="226" s="1"/>
  <c r="EN86" i="226" a="1"/>
  <c r="EN86" i="226" s="1"/>
  <c r="EG86" i="226" a="1"/>
  <c r="EG86" i="226" s="1"/>
  <c r="DW86" i="226" a="1"/>
  <c r="DW86" i="226" s="1"/>
  <c r="EM86" i="226" a="1"/>
  <c r="EM86" i="226" s="1"/>
  <c r="DX86" i="226" a="1"/>
  <c r="DX86" i="226" s="1"/>
  <c r="EL86" i="226" a="1"/>
  <c r="EL86" i="226" s="1"/>
  <c r="DY86" i="226" a="1"/>
  <c r="DY86" i="226" s="1"/>
  <c r="DU86" i="226" a="1"/>
  <c r="DU86" i="226" s="1"/>
  <c r="EF86" i="226" a="1"/>
  <c r="EF86" i="226" s="1"/>
  <c r="DZ86" i="226" a="1"/>
  <c r="DZ86" i="226" s="1"/>
  <c r="DV86" i="226" a="1"/>
  <c r="DV86" i="226" s="1"/>
  <c r="EA86" i="226" a="1"/>
  <c r="EA86" i="226" s="1"/>
  <c r="ES17" i="226"/>
  <c r="ET17" i="226"/>
  <c r="EU17" i="226"/>
  <c r="ER17" i="226"/>
  <c r="EV17" i="226"/>
  <c r="EY17" i="226"/>
  <c r="EW17" i="226"/>
  <c r="EX17" i="226"/>
  <c r="EN17" i="226" a="1"/>
  <c r="EN17" i="226" s="1"/>
  <c r="EI17" i="226" a="1"/>
  <c r="EI17" i="226" s="1"/>
  <c r="EC17" i="226" a="1"/>
  <c r="EC17" i="226" s="1"/>
  <c r="DV17" i="226" a="1"/>
  <c r="DV17" i="226" s="1"/>
  <c r="EO17" i="226" a="1"/>
  <c r="EO17" i="226" s="1"/>
  <c r="DU17" i="226" a="1"/>
  <c r="DU17" i="226" s="1"/>
  <c r="EH17" i="226" a="1"/>
  <c r="EH17" i="226" s="1"/>
  <c r="DW17" i="226" a="1"/>
  <c r="DW17" i="226" s="1"/>
  <c r="DZ17" i="226" a="1"/>
  <c r="DZ17" i="226" s="1"/>
  <c r="EM17" i="226" a="1"/>
  <c r="EM17" i="226" s="1"/>
  <c r="EG17" i="226" a="1"/>
  <c r="EG17" i="226" s="1"/>
  <c r="EB17" i="226" a="1"/>
  <c r="EB17" i="226" s="1"/>
  <c r="DX17" i="226" a="1"/>
  <c r="DX17" i="226" s="1"/>
  <c r="EE17" i="226" a="1"/>
  <c r="EE17" i="226" s="1"/>
  <c r="ED17" i="226" a="1"/>
  <c r="ED17" i="226" s="1"/>
  <c r="EL17" i="226" a="1"/>
  <c r="EL17" i="226" s="1"/>
  <c r="EJ17" i="226" a="1"/>
  <c r="EJ17" i="226" s="1"/>
  <c r="EQ17" i="226" a="1"/>
  <c r="EQ17" i="226" s="1"/>
  <c r="EK17" i="226" a="1"/>
  <c r="EK17" i="226" s="1"/>
  <c r="EF17" i="226" a="1"/>
  <c r="EF17" i="226" s="1"/>
  <c r="DY17" i="226" a="1"/>
  <c r="DY17" i="226" s="1"/>
  <c r="EA17" i="226" a="1"/>
  <c r="EA17" i="226" s="1"/>
  <c r="EP17" i="226" a="1"/>
  <c r="EP17" i="226" s="1"/>
  <c r="EY30" i="226"/>
  <c r="ES30" i="226"/>
  <c r="ET30" i="226"/>
  <c r="EU30" i="226"/>
  <c r="EV30" i="226"/>
  <c r="EW30" i="226"/>
  <c r="ER30" i="226"/>
  <c r="EX30" i="226"/>
  <c r="EF30" i="226" a="1"/>
  <c r="EF30" i="226" s="1"/>
  <c r="DV30" i="226" a="1"/>
  <c r="DV30" i="226" s="1"/>
  <c r="EN30" i="226" a="1"/>
  <c r="EN30" i="226" s="1"/>
  <c r="EM30" i="226" a="1"/>
  <c r="EM30" i="226" s="1"/>
  <c r="EL30" i="226" a="1"/>
  <c r="EL30" i="226" s="1"/>
  <c r="EE30" i="226" a="1"/>
  <c r="EE30" i="226" s="1"/>
  <c r="DW30" i="226" a="1"/>
  <c r="DW30" i="226" s="1"/>
  <c r="EH30" i="226" a="1"/>
  <c r="EH30" i="226" s="1"/>
  <c r="EQ30" i="226" a="1"/>
  <c r="EQ30" i="226" s="1"/>
  <c r="EK30" i="226" a="1"/>
  <c r="EK30" i="226" s="1"/>
  <c r="ED30" i="226" a="1"/>
  <c r="ED30" i="226" s="1"/>
  <c r="DX30" i="226" a="1"/>
  <c r="DX30" i="226" s="1"/>
  <c r="DU30" i="226" a="1"/>
  <c r="DU30" i="226" s="1"/>
  <c r="EA30" i="226" a="1"/>
  <c r="EA30" i="226" s="1"/>
  <c r="EG30" i="226" a="1"/>
  <c r="EG30" i="226" s="1"/>
  <c r="EJ30" i="226" a="1"/>
  <c r="EJ30" i="226" s="1"/>
  <c r="EC30" i="226" a="1"/>
  <c r="EC30" i="226" s="1"/>
  <c r="DY30" i="226" a="1"/>
  <c r="DY30" i="226" s="1"/>
  <c r="EP30" i="226" a="1"/>
  <c r="EP30" i="226" s="1"/>
  <c r="EI30" i="226" a="1"/>
  <c r="EI30" i="226" s="1"/>
  <c r="EB30" i="226" a="1"/>
  <c r="EB30" i="226" s="1"/>
  <c r="EO30" i="226" a="1"/>
  <c r="EO30" i="226" s="1"/>
  <c r="DZ30" i="226" a="1"/>
  <c r="DZ30" i="226" s="1"/>
  <c r="ET71" i="226"/>
  <c r="EU71" i="226"/>
  <c r="EV71" i="226"/>
  <c r="EW71" i="226"/>
  <c r="EX71" i="226"/>
  <c r="ED71" i="226" a="1"/>
  <c r="ED71" i="226" s="1"/>
  <c r="EQ71" i="226" a="1"/>
  <c r="EQ71" i="226" s="1"/>
  <c r="EK71" i="226" a="1"/>
  <c r="EK71" i="226" s="1"/>
  <c r="EC71" i="226" a="1"/>
  <c r="EC71" i="226" s="1"/>
  <c r="EP71" i="226" a="1"/>
  <c r="EP71" i="226" s="1"/>
  <c r="EJ71" i="226" a="1"/>
  <c r="EJ71" i="226" s="1"/>
  <c r="EB71" i="226" a="1"/>
  <c r="EB71" i="226" s="1"/>
  <c r="ES71" i="226"/>
  <c r="EI71" i="226" a="1"/>
  <c r="EI71" i="226" s="1"/>
  <c r="EY71" i="226"/>
  <c r="EO71" i="226" a="1"/>
  <c r="EO71" i="226" s="1"/>
  <c r="EH71" i="226" a="1"/>
  <c r="EH71" i="226" s="1"/>
  <c r="EN71" i="226" a="1"/>
  <c r="EN71" i="226" s="1"/>
  <c r="EG71" i="226" a="1"/>
  <c r="EG71" i="226" s="1"/>
  <c r="EM71" i="226" a="1"/>
  <c r="EM71" i="226" s="1"/>
  <c r="EA71" i="226" a="1"/>
  <c r="EA71" i="226" s="1"/>
  <c r="DY71" i="226" a="1"/>
  <c r="DY71" i="226" s="1"/>
  <c r="EL71" i="226" a="1"/>
  <c r="EL71" i="226" s="1"/>
  <c r="DU71" i="226" a="1"/>
  <c r="DU71" i="226" s="1"/>
  <c r="ER71" i="226"/>
  <c r="EF71" i="226" a="1"/>
  <c r="EF71" i="226" s="1"/>
  <c r="DV71" i="226" a="1"/>
  <c r="DV71" i="226" s="1"/>
  <c r="EE71" i="226" a="1"/>
  <c r="EE71" i="226" s="1"/>
  <c r="DW71" i="226" a="1"/>
  <c r="DW71" i="226" s="1"/>
  <c r="DZ71" i="226" a="1"/>
  <c r="DZ71" i="226" s="1"/>
  <c r="DX71" i="226" a="1"/>
  <c r="DX71" i="226" s="1"/>
  <c r="ET40" i="226"/>
  <c r="ER40" i="226"/>
  <c r="EU40" i="226"/>
  <c r="EY40" i="226"/>
  <c r="EV40" i="226"/>
  <c r="EW40" i="226"/>
  <c r="EX40" i="226"/>
  <c r="ES40" i="226"/>
  <c r="EL40" i="226" a="1"/>
  <c r="EL40" i="226" s="1"/>
  <c r="DW40" i="226" a="1"/>
  <c r="DW40" i="226" s="1"/>
  <c r="DV40" i="226" a="1"/>
  <c r="DV40" i="226" s="1"/>
  <c r="EM40" i="226" a="1"/>
  <c r="EM40" i="226" s="1"/>
  <c r="EK40" i="226" a="1"/>
  <c r="EK40" i="226" s="1"/>
  <c r="EE40" i="226" a="1"/>
  <c r="EE40" i="226" s="1"/>
  <c r="EJ40" i="226" a="1"/>
  <c r="EJ40" i="226" s="1"/>
  <c r="ED40" i="226" a="1"/>
  <c r="ED40" i="226" s="1"/>
  <c r="DX40" i="226" a="1"/>
  <c r="DX40" i="226" s="1"/>
  <c r="EF40" i="226" a="1"/>
  <c r="EF40" i="226" s="1"/>
  <c r="EQ40" i="226" a="1"/>
  <c r="EQ40" i="226" s="1"/>
  <c r="EI40" i="226" a="1"/>
  <c r="EI40" i="226" s="1"/>
  <c r="EC40" i="226" a="1"/>
  <c r="EC40" i="226" s="1"/>
  <c r="EG40" i="226" a="1"/>
  <c r="EG40" i="226" s="1"/>
  <c r="EA40" i="226" a="1"/>
  <c r="EA40" i="226" s="1"/>
  <c r="EP40" i="226" a="1"/>
  <c r="EP40" i="226" s="1"/>
  <c r="EH40" i="226" a="1"/>
  <c r="EH40" i="226" s="1"/>
  <c r="EB40" i="226" a="1"/>
  <c r="EB40" i="226" s="1"/>
  <c r="DY40" i="226" a="1"/>
  <c r="DY40" i="226" s="1"/>
  <c r="DU40" i="226" a="1"/>
  <c r="DU40" i="226" s="1"/>
  <c r="EN40" i="226" a="1"/>
  <c r="EN40" i="226" s="1"/>
  <c r="EO40" i="226" a="1"/>
  <c r="EO40" i="226" s="1"/>
  <c r="DZ40" i="226" a="1"/>
  <c r="DZ40" i="226" s="1"/>
  <c r="ET88" i="226"/>
  <c r="EU88" i="226"/>
  <c r="EV88" i="226"/>
  <c r="EW88" i="226"/>
  <c r="EX88" i="226"/>
  <c r="EY88" i="226"/>
  <c r="EL88" i="226" a="1"/>
  <c r="EL88" i="226" s="1"/>
  <c r="EK88" i="226" a="1"/>
  <c r="EK88" i="226" s="1"/>
  <c r="EE88" i="226" a="1"/>
  <c r="EE88" i="226" s="1"/>
  <c r="EQ88" i="226" a="1"/>
  <c r="EQ88" i="226" s="1"/>
  <c r="EJ88" i="226" a="1"/>
  <c r="EJ88" i="226" s="1"/>
  <c r="ED88" i="226" a="1"/>
  <c r="ED88" i="226" s="1"/>
  <c r="ES88" i="226"/>
  <c r="EP88" i="226" a="1"/>
  <c r="EP88" i="226" s="1"/>
  <c r="EI88" i="226" a="1"/>
  <c r="EI88" i="226" s="1"/>
  <c r="EH88" i="226" a="1"/>
  <c r="EH88" i="226" s="1"/>
  <c r="EC88" i="226" a="1"/>
  <c r="EC88" i="226" s="1"/>
  <c r="EO88" i="226" a="1"/>
  <c r="EO88" i="226" s="1"/>
  <c r="EB88" i="226" a="1"/>
  <c r="EB88" i="226" s="1"/>
  <c r="EN88" i="226" a="1"/>
  <c r="EN88" i="226" s="1"/>
  <c r="ER88" i="226"/>
  <c r="DV88" i="226" a="1"/>
  <c r="DV88" i="226" s="1"/>
  <c r="EM88" i="226" a="1"/>
  <c r="EM88" i="226" s="1"/>
  <c r="DX88" i="226" a="1"/>
  <c r="DX88" i="226" s="1"/>
  <c r="EG88" i="226" a="1"/>
  <c r="EG88" i="226" s="1"/>
  <c r="DY88" i="226" a="1"/>
  <c r="DY88" i="226" s="1"/>
  <c r="EF88" i="226" a="1"/>
  <c r="EF88" i="226" s="1"/>
  <c r="DZ88" i="226" a="1"/>
  <c r="DZ88" i="226" s="1"/>
  <c r="DU88" i="226" a="1"/>
  <c r="DU88" i="226" s="1"/>
  <c r="DW88" i="226" a="1"/>
  <c r="DW88" i="226" s="1"/>
  <c r="EA88" i="226" a="1"/>
  <c r="EA88" i="226" s="1"/>
  <c r="ET79" i="226"/>
  <c r="EU79" i="226"/>
  <c r="EV79" i="226"/>
  <c r="EW79" i="226"/>
  <c r="EX79" i="226"/>
  <c r="EK79" i="226" a="1"/>
  <c r="EK79" i="226" s="1"/>
  <c r="EE79" i="226" a="1"/>
  <c r="EE79" i="226" s="1"/>
  <c r="EQ79" i="226" a="1"/>
  <c r="EQ79" i="226" s="1"/>
  <c r="EJ79" i="226" a="1"/>
  <c r="EJ79" i="226" s="1"/>
  <c r="ED79" i="226" a="1"/>
  <c r="ED79" i="226" s="1"/>
  <c r="EP79" i="226" a="1"/>
  <c r="EP79" i="226" s="1"/>
  <c r="EI79" i="226" a="1"/>
  <c r="EI79" i="226" s="1"/>
  <c r="EH79" i="226" a="1"/>
  <c r="EH79" i="226" s="1"/>
  <c r="EC79" i="226" a="1"/>
  <c r="EC79" i="226" s="1"/>
  <c r="EO79" i="226" a="1"/>
  <c r="EO79" i="226" s="1"/>
  <c r="EB79" i="226" a="1"/>
  <c r="EB79" i="226" s="1"/>
  <c r="EN79" i="226" a="1"/>
  <c r="EN79" i="226" s="1"/>
  <c r="EG79" i="226" a="1"/>
  <c r="EG79" i="226" s="1"/>
  <c r="EM79" i="226" a="1"/>
  <c r="EM79" i="226" s="1"/>
  <c r="EL79" i="226" a="1"/>
  <c r="EL79" i="226" s="1"/>
  <c r="DX79" i="226" a="1"/>
  <c r="DX79" i="226" s="1"/>
  <c r="EY79" i="226"/>
  <c r="EF79" i="226" a="1"/>
  <c r="EF79" i="226" s="1"/>
  <c r="DY79" i="226" a="1"/>
  <c r="DY79" i="226" s="1"/>
  <c r="DU79" i="226" a="1"/>
  <c r="DU79" i="226" s="1"/>
  <c r="ES79" i="226"/>
  <c r="DZ79" i="226" a="1"/>
  <c r="DZ79" i="226" s="1"/>
  <c r="ER79" i="226"/>
  <c r="EA79" i="226" a="1"/>
  <c r="EA79" i="226" s="1"/>
  <c r="DV79" i="226" a="1"/>
  <c r="DV79" i="226" s="1"/>
  <c r="DW79" i="226" a="1"/>
  <c r="DW79" i="226" s="1"/>
  <c r="ES87" i="226"/>
  <c r="ET87" i="226"/>
  <c r="EU87" i="226"/>
  <c r="EV87" i="226"/>
  <c r="EY87" i="226"/>
  <c r="EW87" i="226"/>
  <c r="EH87" i="226" a="1"/>
  <c r="EH87" i="226" s="1"/>
  <c r="EB87" i="226" a="1"/>
  <c r="EB87" i="226" s="1"/>
  <c r="EO87" i="226" a="1"/>
  <c r="EO87" i="226" s="1"/>
  <c r="EX87" i="226"/>
  <c r="EN87" i="226" a="1"/>
  <c r="EN87" i="226" s="1"/>
  <c r="EG87" i="226" a="1"/>
  <c r="EG87" i="226" s="1"/>
  <c r="EM87" i="226" a="1"/>
  <c r="EM87" i="226" s="1"/>
  <c r="EF87" i="226" a="1"/>
  <c r="EF87" i="226" s="1"/>
  <c r="EL87" i="226" a="1"/>
  <c r="EL87" i="226" s="1"/>
  <c r="ER87" i="226"/>
  <c r="EK87" i="226" a="1"/>
  <c r="EK87" i="226" s="1"/>
  <c r="EE87" i="226" a="1"/>
  <c r="EE87" i="226" s="1"/>
  <c r="ED87" i="226" a="1"/>
  <c r="ED87" i="226" s="1"/>
  <c r="DW87" i="226" a="1"/>
  <c r="DW87" i="226" s="1"/>
  <c r="EC87" i="226" a="1"/>
  <c r="EC87" i="226" s="1"/>
  <c r="DX87" i="226" a="1"/>
  <c r="DX87" i="226" s="1"/>
  <c r="EJ87" i="226" a="1"/>
  <c r="EJ87" i="226" s="1"/>
  <c r="DY87" i="226" a="1"/>
  <c r="DY87" i="226" s="1"/>
  <c r="DV87" i="226" a="1"/>
  <c r="DV87" i="226" s="1"/>
  <c r="EI87" i="226" a="1"/>
  <c r="EI87" i="226" s="1"/>
  <c r="EQ87" i="226" a="1"/>
  <c r="EQ87" i="226" s="1"/>
  <c r="DZ87" i="226" a="1"/>
  <c r="DZ87" i="226" s="1"/>
  <c r="DU87" i="226" a="1"/>
  <c r="DU87" i="226" s="1"/>
  <c r="EP87" i="226" a="1"/>
  <c r="EP87" i="226" s="1"/>
  <c r="EA87" i="226" a="1"/>
  <c r="EA87" i="226" s="1"/>
  <c r="EX95" i="226"/>
  <c r="ES95" i="226"/>
  <c r="EY95" i="226"/>
  <c r="ET95" i="226"/>
  <c r="EU95" i="226"/>
  <c r="EM95" i="226" a="1"/>
  <c r="EM95" i="226" s="1"/>
  <c r="EE95" i="226" a="1"/>
  <c r="EE95" i="226" s="1"/>
  <c r="EL95" i="226" a="1"/>
  <c r="EL95" i="226" s="1"/>
  <c r="ED95" i="226" a="1"/>
  <c r="ED95" i="226" s="1"/>
  <c r="EK95" i="226" a="1"/>
  <c r="EK95" i="226" s="1"/>
  <c r="EC95" i="226" a="1"/>
  <c r="EC95" i="226" s="1"/>
  <c r="EQ95" i="226" a="1"/>
  <c r="EQ95" i="226" s="1"/>
  <c r="EJ95" i="226" a="1"/>
  <c r="EJ95" i="226" s="1"/>
  <c r="EB95" i="226" a="1"/>
  <c r="EB95" i="226" s="1"/>
  <c r="EV95" i="226"/>
  <c r="ER95" i="226"/>
  <c r="EP95" i="226" a="1"/>
  <c r="EP95" i="226" s="1"/>
  <c r="EI95" i="226" a="1"/>
  <c r="EI95" i="226" s="1"/>
  <c r="EW95" i="226"/>
  <c r="EO95" i="226" a="1"/>
  <c r="EO95" i="226" s="1"/>
  <c r="EH95" i="226" a="1"/>
  <c r="EH95" i="226" s="1"/>
  <c r="EG95" i="226" a="1"/>
  <c r="EG95" i="226" s="1"/>
  <c r="DW95" i="226" a="1"/>
  <c r="DW95" i="226" s="1"/>
  <c r="EF95" i="226" a="1"/>
  <c r="EF95" i="226" s="1"/>
  <c r="DX95" i="226" a="1"/>
  <c r="DX95" i="226" s="1"/>
  <c r="DV95" i="226" a="1"/>
  <c r="DV95" i="226" s="1"/>
  <c r="DY95" i="226" a="1"/>
  <c r="DY95" i="226" s="1"/>
  <c r="DU95" i="226" a="1"/>
  <c r="DU95" i="226" s="1"/>
  <c r="DZ95" i="226" a="1"/>
  <c r="DZ95" i="226" s="1"/>
  <c r="EA95" i="226" a="1"/>
  <c r="EA95" i="226" s="1"/>
  <c r="EN95" i="226" a="1"/>
  <c r="EN95" i="226" s="1"/>
  <c r="EY48" i="226"/>
  <c r="ES48" i="226"/>
  <c r="ET48" i="226"/>
  <c r="EU48" i="226"/>
  <c r="EV48" i="226"/>
  <c r="EW48" i="226"/>
  <c r="EN48" i="226" a="1"/>
  <c r="EN48" i="226" s="1"/>
  <c r="EG48" i="226" a="1"/>
  <c r="EG48" i="226" s="1"/>
  <c r="EM48" i="226" a="1"/>
  <c r="EM48" i="226" s="1"/>
  <c r="EF48" i="226" a="1"/>
  <c r="EF48" i="226" s="1"/>
  <c r="EL48" i="226" a="1"/>
  <c r="EL48" i="226" s="1"/>
  <c r="EK48" i="226" a="1"/>
  <c r="EK48" i="226" s="1"/>
  <c r="EE48" i="226" a="1"/>
  <c r="EE48" i="226" s="1"/>
  <c r="EX48" i="226"/>
  <c r="EJ48" i="226" a="1"/>
  <c r="EJ48" i="226" s="1"/>
  <c r="ED48" i="226" a="1"/>
  <c r="ED48" i="226" s="1"/>
  <c r="ER48" i="226"/>
  <c r="EQ48" i="226" a="1"/>
  <c r="EQ48" i="226" s="1"/>
  <c r="EI48" i="226" a="1"/>
  <c r="EI48" i="226" s="1"/>
  <c r="EP48" i="226" a="1"/>
  <c r="EP48" i="226" s="1"/>
  <c r="EA48" i="226" a="1"/>
  <c r="EA48" i="226" s="1"/>
  <c r="DZ48" i="226" a="1"/>
  <c r="DZ48" i="226" s="1"/>
  <c r="EO48" i="226" a="1"/>
  <c r="EO48" i="226" s="1"/>
  <c r="DV48" i="226" a="1"/>
  <c r="DV48" i="226" s="1"/>
  <c r="EH48" i="226" a="1"/>
  <c r="EH48" i="226" s="1"/>
  <c r="DW48" i="226" a="1"/>
  <c r="DW48" i="226" s="1"/>
  <c r="DX48" i="226" a="1"/>
  <c r="DX48" i="226" s="1"/>
  <c r="EC48" i="226" a="1"/>
  <c r="EC48" i="226" s="1"/>
  <c r="EB48" i="226" a="1"/>
  <c r="EB48" i="226" s="1"/>
  <c r="DY48" i="226" a="1"/>
  <c r="DY48" i="226" s="1"/>
  <c r="DU48" i="226" a="1"/>
  <c r="DU48" i="226" s="1"/>
  <c r="EV28" i="226"/>
  <c r="EW28" i="226"/>
  <c r="EX28" i="226"/>
  <c r="ES28" i="226"/>
  <c r="ER28" i="226"/>
  <c r="ET28" i="226"/>
  <c r="EU28" i="226"/>
  <c r="EY28" i="226"/>
  <c r="EJ28" i="226" a="1"/>
  <c r="EJ28" i="226" s="1"/>
  <c r="EB28" i="226" a="1"/>
  <c r="EB28" i="226" s="1"/>
  <c r="ED28" i="226" a="1"/>
  <c r="ED28" i="226" s="1"/>
  <c r="EC28" i="226" a="1"/>
  <c r="EC28" i="226" s="1"/>
  <c r="EA28" i="226" a="1"/>
  <c r="EA28" i="226" s="1"/>
  <c r="EP28" i="226" a="1"/>
  <c r="EP28" i="226" s="1"/>
  <c r="EI28" i="226" a="1"/>
  <c r="EI28" i="226" s="1"/>
  <c r="DV28" i="226" a="1"/>
  <c r="DV28" i="226" s="1"/>
  <c r="EQ28" i="226" a="1"/>
  <c r="EQ28" i="226" s="1"/>
  <c r="EO28" i="226" a="1"/>
  <c r="EO28" i="226" s="1"/>
  <c r="EH28" i="226" a="1"/>
  <c r="EH28" i="226" s="1"/>
  <c r="DW28" i="226" a="1"/>
  <c r="DW28" i="226" s="1"/>
  <c r="DU28" i="226" a="1"/>
  <c r="DU28" i="226" s="1"/>
  <c r="EN28" i="226" a="1"/>
  <c r="EN28" i="226" s="1"/>
  <c r="EG28" i="226" a="1"/>
  <c r="EG28" i="226" s="1"/>
  <c r="DX28" i="226" a="1"/>
  <c r="DX28" i="226" s="1"/>
  <c r="EM28" i="226" a="1"/>
  <c r="EM28" i="226" s="1"/>
  <c r="EF28" i="226" a="1"/>
  <c r="EF28" i="226" s="1"/>
  <c r="DY28" i="226" a="1"/>
  <c r="DY28" i="226" s="1"/>
  <c r="EL28" i="226" a="1"/>
  <c r="EL28" i="226" s="1"/>
  <c r="EK28" i="226" a="1"/>
  <c r="EK28" i="226" s="1"/>
  <c r="EE28" i="226" a="1"/>
  <c r="EE28" i="226" s="1"/>
  <c r="DZ28" i="226" a="1"/>
  <c r="DZ28" i="226" s="1"/>
  <c r="ES43" i="226"/>
  <c r="ET43" i="226"/>
  <c r="EU43" i="226"/>
  <c r="ER43" i="226"/>
  <c r="EV43" i="226"/>
  <c r="EY43" i="226"/>
  <c r="EW43" i="226"/>
  <c r="EQ43" i="226" a="1"/>
  <c r="EQ43" i="226" s="1"/>
  <c r="EI43" i="226" a="1"/>
  <c r="EI43" i="226" s="1"/>
  <c r="EC43" i="226" a="1"/>
  <c r="EC43" i="226" s="1"/>
  <c r="DX43" i="226" a="1"/>
  <c r="DX43" i="226" s="1"/>
  <c r="DU43" i="226" a="1"/>
  <c r="DU43" i="226" s="1"/>
  <c r="EJ43" i="226" a="1"/>
  <c r="EJ43" i="226" s="1"/>
  <c r="EP43" i="226" a="1"/>
  <c r="EP43" i="226" s="1"/>
  <c r="EH43" i="226" a="1"/>
  <c r="EH43" i="226" s="1"/>
  <c r="EB43" i="226" a="1"/>
  <c r="EB43" i="226" s="1"/>
  <c r="DW43" i="226" a="1"/>
  <c r="DW43" i="226" s="1"/>
  <c r="EO43" i="226" a="1"/>
  <c r="EO43" i="226" s="1"/>
  <c r="DY43" i="226" a="1"/>
  <c r="DY43" i="226" s="1"/>
  <c r="EN43" i="226" a="1"/>
  <c r="EN43" i="226" s="1"/>
  <c r="EG43" i="226" a="1"/>
  <c r="EG43" i="226" s="1"/>
  <c r="ED43" i="226" a="1"/>
  <c r="ED43" i="226" s="1"/>
  <c r="EM43" i="226" a="1"/>
  <c r="EM43" i="226" s="1"/>
  <c r="EF43" i="226" a="1"/>
  <c r="EF43" i="226" s="1"/>
  <c r="DZ43" i="226" a="1"/>
  <c r="DZ43" i="226" s="1"/>
  <c r="EX43" i="226"/>
  <c r="EE43" i="226" a="1"/>
  <c r="EE43" i="226" s="1"/>
  <c r="EL43" i="226" a="1"/>
  <c r="EL43" i="226" s="1"/>
  <c r="EA43" i="226" a="1"/>
  <c r="EA43" i="226" s="1"/>
  <c r="EK43" i="226" a="1"/>
  <c r="EK43" i="226" s="1"/>
  <c r="DV43" i="226" a="1"/>
  <c r="DV43" i="226" s="1"/>
  <c r="EV98" i="226"/>
  <c r="EW98" i="226"/>
  <c r="EX98" i="226"/>
  <c r="ES98" i="226"/>
  <c r="ET98" i="226"/>
  <c r="EK98" i="226" a="1"/>
  <c r="EK98" i="226" s="1"/>
  <c r="ED98" i="226" a="1"/>
  <c r="ED98" i="226" s="1"/>
  <c r="EU98" i="226"/>
  <c r="EJ98" i="226" a="1"/>
  <c r="EJ98" i="226" s="1"/>
  <c r="EC98" i="226" a="1"/>
  <c r="EC98" i="226" s="1"/>
  <c r="EQ98" i="226" a="1"/>
  <c r="EQ98" i="226" s="1"/>
  <c r="EI98" i="226" a="1"/>
  <c r="EI98" i="226" s="1"/>
  <c r="EB98" i="226" a="1"/>
  <c r="EB98" i="226" s="1"/>
  <c r="EY98" i="226"/>
  <c r="EP98" i="226" a="1"/>
  <c r="EP98" i="226" s="1"/>
  <c r="EO98" i="226" a="1"/>
  <c r="EO98" i="226" s="1"/>
  <c r="EH98" i="226" a="1"/>
  <c r="EH98" i="226" s="1"/>
  <c r="EN98" i="226" a="1"/>
  <c r="EN98" i="226" s="1"/>
  <c r="EG98" i="226" a="1"/>
  <c r="EG98" i="226" s="1"/>
  <c r="DX98" i="226" a="1"/>
  <c r="DX98" i="226" s="1"/>
  <c r="ER98" i="226"/>
  <c r="DY98" i="226" a="1"/>
  <c r="DY98" i="226" s="1"/>
  <c r="DV98" i="226" a="1"/>
  <c r="DV98" i="226" s="1"/>
  <c r="EM98" i="226" a="1"/>
  <c r="EM98" i="226" s="1"/>
  <c r="EL98" i="226" a="1"/>
  <c r="EL98" i="226" s="1"/>
  <c r="DZ98" i="226" a="1"/>
  <c r="DZ98" i="226" s="1"/>
  <c r="DU98" i="226" a="1"/>
  <c r="DU98" i="226" s="1"/>
  <c r="DW98" i="226" a="1"/>
  <c r="DW98" i="226" s="1"/>
  <c r="EF98" i="226" a="1"/>
  <c r="EF98" i="226" s="1"/>
  <c r="EA98" i="226" a="1"/>
  <c r="EA98" i="226" s="1"/>
  <c r="EE98" i="226" a="1"/>
  <c r="EE98" i="226" s="1"/>
  <c r="ET27" i="226"/>
  <c r="EU27" i="226"/>
  <c r="EV27" i="226"/>
  <c r="EW27" i="226"/>
  <c r="EX27" i="226"/>
  <c r="ER27" i="226"/>
  <c r="EY27" i="226"/>
  <c r="EJ27" i="226" a="1"/>
  <c r="EJ27" i="226" s="1"/>
  <c r="ED27" i="226" a="1"/>
  <c r="ED27" i="226" s="1"/>
  <c r="ES27" i="226"/>
  <c r="EQ27" i="226" a="1"/>
  <c r="EQ27" i="226" s="1"/>
  <c r="EI27" i="226" a="1"/>
  <c r="EI27" i="226" s="1"/>
  <c r="EC27" i="226" a="1"/>
  <c r="EC27" i="226" s="1"/>
  <c r="DW27" i="226" a="1"/>
  <c r="DW27" i="226" s="1"/>
  <c r="EE27" i="226" a="1"/>
  <c r="EE27" i="226" s="1"/>
  <c r="EP27" i="226" a="1"/>
  <c r="EP27" i="226" s="1"/>
  <c r="EB27" i="226" a="1"/>
  <c r="EB27" i="226" s="1"/>
  <c r="EA27" i="226" a="1"/>
  <c r="EA27" i="226" s="1"/>
  <c r="EO27" i="226" a="1"/>
  <c r="EO27" i="226" s="1"/>
  <c r="EH27" i="226" a="1"/>
  <c r="EH27" i="226" s="1"/>
  <c r="DX27" i="226" a="1"/>
  <c r="DX27" i="226" s="1"/>
  <c r="EL27" i="226" a="1"/>
  <c r="EL27" i="226" s="1"/>
  <c r="EN27" i="226" a="1"/>
  <c r="EN27" i="226" s="1"/>
  <c r="EG27" i="226" a="1"/>
  <c r="EG27" i="226" s="1"/>
  <c r="DY27" i="226" a="1"/>
  <c r="DY27" i="226" s="1"/>
  <c r="DV27" i="226" a="1"/>
  <c r="DV27" i="226" s="1"/>
  <c r="EM27" i="226" a="1"/>
  <c r="EM27" i="226" s="1"/>
  <c r="EF27" i="226" a="1"/>
  <c r="EF27" i="226" s="1"/>
  <c r="DZ27" i="226" a="1"/>
  <c r="DZ27" i="226" s="1"/>
  <c r="DU27" i="226" a="1"/>
  <c r="DU27" i="226" s="1"/>
  <c r="EK27" i="226" a="1"/>
  <c r="EK27" i="226" s="1"/>
  <c r="ES34" i="226"/>
  <c r="ET34" i="226"/>
  <c r="EU34" i="226"/>
  <c r="ER34" i="226"/>
  <c r="EV34" i="226"/>
  <c r="EY34" i="226"/>
  <c r="EW34" i="226"/>
  <c r="EX34" i="226"/>
  <c r="EM34" i="226" a="1"/>
  <c r="EM34" i="226" s="1"/>
  <c r="EH34" i="226" a="1"/>
  <c r="EH34" i="226" s="1"/>
  <c r="EB34" i="226" a="1"/>
  <c r="EB34" i="226" s="1"/>
  <c r="DX34" i="226" a="1"/>
  <c r="DX34" i="226" s="1"/>
  <c r="EG34" i="226" a="1"/>
  <c r="EG34" i="226" s="1"/>
  <c r="DY34" i="226" a="1"/>
  <c r="DY34" i="226" s="1"/>
  <c r="DU34" i="226" a="1"/>
  <c r="DU34" i="226" s="1"/>
  <c r="EN34" i="226" a="1"/>
  <c r="EN34" i="226" s="1"/>
  <c r="EQ34" i="226" a="1"/>
  <c r="EQ34" i="226" s="1"/>
  <c r="EL34" i="226" a="1"/>
  <c r="EL34" i="226" s="1"/>
  <c r="EF34" i="226" a="1"/>
  <c r="EF34" i="226" s="1"/>
  <c r="EC34" i="226" a="1"/>
  <c r="EC34" i="226" s="1"/>
  <c r="EK34" i="226" a="1"/>
  <c r="EK34" i="226" s="1"/>
  <c r="DZ34" i="226" a="1"/>
  <c r="DZ34" i="226" s="1"/>
  <c r="ED34" i="226" a="1"/>
  <c r="ED34" i="226" s="1"/>
  <c r="DV34" i="226" a="1"/>
  <c r="DV34" i="226" s="1"/>
  <c r="EP34" i="226" a="1"/>
  <c r="EP34" i="226" s="1"/>
  <c r="EJ34" i="226" a="1"/>
  <c r="EJ34" i="226" s="1"/>
  <c r="EE34" i="226" a="1"/>
  <c r="EE34" i="226" s="1"/>
  <c r="EA34" i="226" a="1"/>
  <c r="EA34" i="226" s="1"/>
  <c r="EI34" i="226" a="1"/>
  <c r="EI34" i="226" s="1"/>
  <c r="EO34" i="226" a="1"/>
  <c r="EO34" i="226" s="1"/>
  <c r="DW34" i="226" a="1"/>
  <c r="DW34" i="226" s="1"/>
  <c r="EY73" i="226"/>
  <c r="EX73" i="226"/>
  <c r="ES73" i="226"/>
  <c r="ET73" i="226"/>
  <c r="EU73" i="226"/>
  <c r="ER73" i="226"/>
  <c r="EN73" i="226" a="1"/>
  <c r="EN73" i="226" s="1"/>
  <c r="EH73" i="226" a="1"/>
  <c r="EH73" i="226" s="1"/>
  <c r="EG73" i="226" a="1"/>
  <c r="EG73" i="226" s="1"/>
  <c r="EM73" i="226" a="1"/>
  <c r="EM73" i="226" s="1"/>
  <c r="EF73" i="226" a="1"/>
  <c r="EF73" i="226" s="1"/>
  <c r="EL73" i="226" a="1"/>
  <c r="EL73" i="226" s="1"/>
  <c r="EE73" i="226" a="1"/>
  <c r="EE73" i="226" s="1"/>
  <c r="EK73" i="226" a="1"/>
  <c r="EK73" i="226" s="1"/>
  <c r="ED73" i="226" a="1"/>
  <c r="ED73" i="226" s="1"/>
  <c r="EQ73" i="226" a="1"/>
  <c r="EQ73" i="226" s="1"/>
  <c r="EJ73" i="226" a="1"/>
  <c r="EJ73" i="226" s="1"/>
  <c r="EC73" i="226" a="1"/>
  <c r="EC73" i="226" s="1"/>
  <c r="EV73" i="226"/>
  <c r="EA73" i="226" a="1"/>
  <c r="EA73" i="226" s="1"/>
  <c r="EW73" i="226"/>
  <c r="EI73" i="226" a="1"/>
  <c r="EI73" i="226" s="1"/>
  <c r="DV73" i="226" a="1"/>
  <c r="DV73" i="226" s="1"/>
  <c r="DU73" i="226" a="1"/>
  <c r="DU73" i="226" s="1"/>
  <c r="EB73" i="226" a="1"/>
  <c r="EB73" i="226" s="1"/>
  <c r="DW73" i="226" a="1"/>
  <c r="DW73" i="226" s="1"/>
  <c r="DZ73" i="226" a="1"/>
  <c r="DZ73" i="226" s="1"/>
  <c r="EP73" i="226" a="1"/>
  <c r="EP73" i="226" s="1"/>
  <c r="DX73" i="226" a="1"/>
  <c r="DX73" i="226" s="1"/>
  <c r="DY73" i="226" a="1"/>
  <c r="DY73" i="226" s="1"/>
  <c r="EO73" i="226" a="1"/>
  <c r="EO73" i="226" s="1"/>
  <c r="ET44" i="226"/>
  <c r="EU44" i="226"/>
  <c r="EV44" i="226"/>
  <c r="EW44" i="226"/>
  <c r="EX44" i="226"/>
  <c r="ER44" i="226"/>
  <c r="EY44" i="226"/>
  <c r="EM44" i="226" a="1"/>
  <c r="EM44" i="226" s="1"/>
  <c r="EF44" i="226" a="1"/>
  <c r="EF44" i="226" s="1"/>
  <c r="DW44" i="226" a="1"/>
  <c r="DW44" i="226" s="1"/>
  <c r="EO44" i="226" a="1"/>
  <c r="EO44" i="226" s="1"/>
  <c r="EA44" i="226" a="1"/>
  <c r="EA44" i="226" s="1"/>
  <c r="EL44" i="226" a="1"/>
  <c r="EL44" i="226" s="1"/>
  <c r="DU44" i="226" a="1"/>
  <c r="DU44" i="226" s="1"/>
  <c r="EB44" i="226" a="1"/>
  <c r="EB44" i="226" s="1"/>
  <c r="DV44" i="226" a="1"/>
  <c r="DV44" i="226" s="1"/>
  <c r="EG44" i="226" a="1"/>
  <c r="EG44" i="226" s="1"/>
  <c r="EK44" i="226" a="1"/>
  <c r="EK44" i="226" s="1"/>
  <c r="EE44" i="226" a="1"/>
  <c r="EE44" i="226" s="1"/>
  <c r="DX44" i="226" a="1"/>
  <c r="DX44" i="226" s="1"/>
  <c r="EJ44" i="226" a="1"/>
  <c r="EJ44" i="226" s="1"/>
  <c r="ED44" i="226" a="1"/>
  <c r="ED44" i="226" s="1"/>
  <c r="DY44" i="226" a="1"/>
  <c r="DY44" i="226" s="1"/>
  <c r="EQ44" i="226" a="1"/>
  <c r="EQ44" i="226" s="1"/>
  <c r="EI44" i="226" a="1"/>
  <c r="EI44" i="226" s="1"/>
  <c r="DZ44" i="226" a="1"/>
  <c r="DZ44" i="226" s="1"/>
  <c r="EP44" i="226" a="1"/>
  <c r="EP44" i="226" s="1"/>
  <c r="EH44" i="226" a="1"/>
  <c r="EH44" i="226" s="1"/>
  <c r="EC44" i="226" a="1"/>
  <c r="EC44" i="226" s="1"/>
  <c r="ES44" i="226"/>
  <c r="EN44" i="226" a="1"/>
  <c r="EN44" i="226" s="1"/>
  <c r="EV76" i="226"/>
  <c r="EW76" i="226"/>
  <c r="EX76" i="226"/>
  <c r="EY76" i="226"/>
  <c r="ES76" i="226"/>
  <c r="EO76" i="226" a="1"/>
  <c r="EO76" i="226" s="1"/>
  <c r="EH76" i="226" a="1"/>
  <c r="EH76" i="226" s="1"/>
  <c r="EC76" i="226" a="1"/>
  <c r="EC76" i="226" s="1"/>
  <c r="EN76" i="226" a="1"/>
  <c r="EN76" i="226" s="1"/>
  <c r="EB76" i="226" a="1"/>
  <c r="EB76" i="226" s="1"/>
  <c r="ET76" i="226"/>
  <c r="EG76" i="226" a="1"/>
  <c r="EG76" i="226" s="1"/>
  <c r="EU76" i="226"/>
  <c r="ER76" i="226"/>
  <c r="EM76" i="226" a="1"/>
  <c r="EM76" i="226" s="1"/>
  <c r="EF76" i="226" a="1"/>
  <c r="EF76" i="226" s="1"/>
  <c r="EL76" i="226" a="1"/>
  <c r="EL76" i="226" s="1"/>
  <c r="EQ76" i="226" a="1"/>
  <c r="EQ76" i="226" s="1"/>
  <c r="EK76" i="226" a="1"/>
  <c r="EK76" i="226" s="1"/>
  <c r="EE76" i="226" a="1"/>
  <c r="EE76" i="226" s="1"/>
  <c r="EJ76" i="226" a="1"/>
  <c r="EJ76" i="226" s="1"/>
  <c r="DV76" i="226" a="1"/>
  <c r="DV76" i="226" s="1"/>
  <c r="EA76" i="226" a="1"/>
  <c r="EA76" i="226" s="1"/>
  <c r="EI76" i="226" a="1"/>
  <c r="EI76" i="226" s="1"/>
  <c r="DW76" i="226" a="1"/>
  <c r="DW76" i="226" s="1"/>
  <c r="ED76" i="226" a="1"/>
  <c r="ED76" i="226" s="1"/>
  <c r="DX76" i="226" a="1"/>
  <c r="DX76" i="226" s="1"/>
  <c r="EP76" i="226" a="1"/>
  <c r="EP76" i="226" s="1"/>
  <c r="DY76" i="226" a="1"/>
  <c r="DY76" i="226" s="1"/>
  <c r="DZ76" i="226" a="1"/>
  <c r="DZ76" i="226" s="1"/>
  <c r="DU76" i="226" a="1"/>
  <c r="DU76" i="226" s="1"/>
  <c r="EY56" i="226"/>
  <c r="ES56" i="226"/>
  <c r="ET56" i="226"/>
  <c r="EU56" i="226"/>
  <c r="EV56" i="226"/>
  <c r="EW56" i="226"/>
  <c r="EX56" i="226"/>
  <c r="EL56" i="226" a="1"/>
  <c r="EL56" i="226" s="1"/>
  <c r="EE56" i="226" a="1"/>
  <c r="EE56" i="226" s="1"/>
  <c r="ED56" i="226" a="1"/>
  <c r="ED56" i="226" s="1"/>
  <c r="EK56" i="226" a="1"/>
  <c r="EK56" i="226" s="1"/>
  <c r="EQ56" i="226" a="1"/>
  <c r="EQ56" i="226" s="1"/>
  <c r="EJ56" i="226" a="1"/>
  <c r="EJ56" i="226" s="1"/>
  <c r="EC56" i="226" a="1"/>
  <c r="EC56" i="226" s="1"/>
  <c r="EP56" i="226" a="1"/>
  <c r="EP56" i="226" s="1"/>
  <c r="EI56" i="226" a="1"/>
  <c r="EI56" i="226" s="1"/>
  <c r="EB56" i="226" a="1"/>
  <c r="EB56" i="226" s="1"/>
  <c r="EO56" i="226" a="1"/>
  <c r="EO56" i="226" s="1"/>
  <c r="EH56" i="226" a="1"/>
  <c r="EH56" i="226" s="1"/>
  <c r="EA56" i="226" a="1"/>
  <c r="EA56" i="226" s="1"/>
  <c r="ER56" i="226"/>
  <c r="DV56" i="226" a="1"/>
  <c r="DV56" i="226" s="1"/>
  <c r="EN56" i="226" a="1"/>
  <c r="EN56" i="226" s="1"/>
  <c r="DW56" i="226" a="1"/>
  <c r="DW56" i="226" s="1"/>
  <c r="DZ56" i="226" a="1"/>
  <c r="DZ56" i="226" s="1"/>
  <c r="EM56" i="226" a="1"/>
  <c r="EM56" i="226" s="1"/>
  <c r="DX56" i="226" a="1"/>
  <c r="DX56" i="226" s="1"/>
  <c r="DU56" i="226" a="1"/>
  <c r="DU56" i="226" s="1"/>
  <c r="EG56" i="226" a="1"/>
  <c r="EG56" i="226" s="1"/>
  <c r="EF56" i="226" a="1"/>
  <c r="EF56" i="226" s="1"/>
  <c r="DY56" i="226" a="1"/>
  <c r="DY56" i="226" s="1"/>
  <c r="EY64" i="226"/>
  <c r="EX64" i="226"/>
  <c r="ES64" i="226"/>
  <c r="ET64" i="226"/>
  <c r="EU64" i="226"/>
  <c r="ER64" i="226"/>
  <c r="EO64" i="226" a="1"/>
  <c r="EO64" i="226" s="1"/>
  <c r="EH64" i="226" a="1"/>
  <c r="EH64" i="226" s="1"/>
  <c r="EN64" i="226" a="1"/>
  <c r="EN64" i="226" s="1"/>
  <c r="EG64" i="226" a="1"/>
  <c r="EG64" i="226" s="1"/>
  <c r="EV64" i="226"/>
  <c r="EM64" i="226" a="1"/>
  <c r="EM64" i="226" s="1"/>
  <c r="EF64" i="226" a="1"/>
  <c r="EF64" i="226" s="1"/>
  <c r="EW64" i="226"/>
  <c r="EL64" i="226" a="1"/>
  <c r="EL64" i="226" s="1"/>
  <c r="EE64" i="226" a="1"/>
  <c r="EE64" i="226" s="1"/>
  <c r="ED64" i="226" a="1"/>
  <c r="ED64" i="226" s="1"/>
  <c r="EQ64" i="226" a="1"/>
  <c r="EQ64" i="226" s="1"/>
  <c r="EK64" i="226" a="1"/>
  <c r="EK64" i="226" s="1"/>
  <c r="EC64" i="226" a="1"/>
  <c r="EC64" i="226" s="1"/>
  <c r="DZ64" i="226" a="1"/>
  <c r="DZ64" i="226" s="1"/>
  <c r="DU64" i="226" a="1"/>
  <c r="DU64" i="226" s="1"/>
  <c r="EP64" i="226" a="1"/>
  <c r="EP64" i="226" s="1"/>
  <c r="DV64" i="226" a="1"/>
  <c r="DV64" i="226" s="1"/>
  <c r="EA64" i="226" a="1"/>
  <c r="EA64" i="226" s="1"/>
  <c r="DX64" i="226" a="1"/>
  <c r="DX64" i="226" s="1"/>
  <c r="DY64" i="226" a="1"/>
  <c r="DY64" i="226" s="1"/>
  <c r="EB64" i="226" a="1"/>
  <c r="EB64" i="226" s="1"/>
  <c r="EJ64" i="226" a="1"/>
  <c r="EJ64" i="226" s="1"/>
  <c r="DW64" i="226" a="1"/>
  <c r="DW64" i="226" s="1"/>
  <c r="EI64" i="226" a="1"/>
  <c r="EI64" i="226" s="1"/>
  <c r="ET66" i="226"/>
  <c r="EU66" i="226"/>
  <c r="EY66" i="226"/>
  <c r="EV66" i="226"/>
  <c r="EW66" i="226"/>
  <c r="EX66" i="226"/>
  <c r="ED66" i="226" a="1"/>
  <c r="ED66" i="226" s="1"/>
  <c r="EQ66" i="226" a="1"/>
  <c r="EQ66" i="226" s="1"/>
  <c r="EK66" i="226" a="1"/>
  <c r="EK66" i="226" s="1"/>
  <c r="EC66" i="226" a="1"/>
  <c r="EC66" i="226" s="1"/>
  <c r="ER66" i="226"/>
  <c r="EP66" i="226" a="1"/>
  <c r="EP66" i="226" s="1"/>
  <c r="EJ66" i="226" a="1"/>
  <c r="EJ66" i="226" s="1"/>
  <c r="EB66" i="226" a="1"/>
  <c r="EB66" i="226" s="1"/>
  <c r="EI66" i="226" a="1"/>
  <c r="EI66" i="226" s="1"/>
  <c r="EO66" i="226" a="1"/>
  <c r="EO66" i="226" s="1"/>
  <c r="EH66" i="226" a="1"/>
  <c r="EH66" i="226" s="1"/>
  <c r="ES66" i="226"/>
  <c r="EN66" i="226" a="1"/>
  <c r="EN66" i="226" s="1"/>
  <c r="EG66" i="226" a="1"/>
  <c r="EG66" i="226" s="1"/>
  <c r="DX66" i="226" a="1"/>
  <c r="DX66" i="226" s="1"/>
  <c r="DY66" i="226" a="1"/>
  <c r="DY66" i="226" s="1"/>
  <c r="EM66" i="226" a="1"/>
  <c r="EM66" i="226" s="1"/>
  <c r="DZ66" i="226" a="1"/>
  <c r="DZ66" i="226" s="1"/>
  <c r="DU66" i="226" a="1"/>
  <c r="DU66" i="226" s="1"/>
  <c r="EL66" i="226" a="1"/>
  <c r="EL66" i="226" s="1"/>
  <c r="DW66" i="226" a="1"/>
  <c r="DW66" i="226" s="1"/>
  <c r="EF66" i="226" a="1"/>
  <c r="EF66" i="226" s="1"/>
  <c r="DV66" i="226" a="1"/>
  <c r="DV66" i="226" s="1"/>
  <c r="EA66" i="226" a="1"/>
  <c r="EA66" i="226" s="1"/>
  <c r="EE66" i="226" a="1"/>
  <c r="EE66" i="226" s="1"/>
  <c r="EV111" i="226"/>
  <c r="EW111" i="226"/>
  <c r="EX111" i="226"/>
  <c r="EY111" i="226"/>
  <c r="ES111" i="226"/>
  <c r="EP111" i="226" a="1"/>
  <c r="EP111" i="226" s="1"/>
  <c r="EJ111" i="226" a="1"/>
  <c r="EJ111" i="226" s="1"/>
  <c r="EE111" i="226" a="1"/>
  <c r="EE111" i="226" s="1"/>
  <c r="EO111" i="226" a="1"/>
  <c r="EO111" i="226" s="1"/>
  <c r="ET111" i="226"/>
  <c r="EN111" i="226" a="1"/>
  <c r="EN111" i="226" s="1"/>
  <c r="EI111" i="226" a="1"/>
  <c r="EI111" i="226" s="1"/>
  <c r="ED111" i="226" a="1"/>
  <c r="ED111" i="226" s="1"/>
  <c r="EU111" i="226"/>
  <c r="ER111" i="226"/>
  <c r="EC111" i="226" a="1"/>
  <c r="EC111" i="226" s="1"/>
  <c r="EM111" i="226" a="1"/>
  <c r="EM111" i="226" s="1"/>
  <c r="EH111" i="226" a="1"/>
  <c r="EH111" i="226" s="1"/>
  <c r="EB111" i="226" a="1"/>
  <c r="EB111" i="226" s="1"/>
  <c r="EG111" i="226" a="1"/>
  <c r="EG111" i="226" s="1"/>
  <c r="DZ111" i="226" a="1"/>
  <c r="DZ111" i="226" s="1"/>
  <c r="EQ111" i="226" a="1"/>
  <c r="EQ111" i="226" s="1"/>
  <c r="EA111" i="226" a="1"/>
  <c r="EA111" i="226" s="1"/>
  <c r="DV111" i="226" a="1"/>
  <c r="DV111" i="226" s="1"/>
  <c r="DY111" i="226" a="1"/>
  <c r="DY111" i="226" s="1"/>
  <c r="EL111" i="226" a="1"/>
  <c r="EL111" i="226" s="1"/>
  <c r="DW111" i="226" a="1"/>
  <c r="DW111" i="226" s="1"/>
  <c r="EK111" i="226" a="1"/>
  <c r="EK111" i="226" s="1"/>
  <c r="DX111" i="226" a="1"/>
  <c r="DX111" i="226" s="1"/>
  <c r="DU111" i="226" a="1"/>
  <c r="DU111" i="226" s="1"/>
  <c r="EF111" i="226" a="1"/>
  <c r="EF111" i="226" s="1"/>
  <c r="EV94" i="226"/>
  <c r="EW94" i="226"/>
  <c r="EX94" i="226"/>
  <c r="EY94" i="226"/>
  <c r="ES94" i="226"/>
  <c r="EM94" i="226" a="1"/>
  <c r="EM94" i="226" s="1"/>
  <c r="EF94" i="226" a="1"/>
  <c r="EF94" i="226" s="1"/>
  <c r="EL94" i="226" a="1"/>
  <c r="EL94" i="226" s="1"/>
  <c r="EE94" i="226" a="1"/>
  <c r="EE94" i="226" s="1"/>
  <c r="ET94" i="226"/>
  <c r="EK94" i="226" a="1"/>
  <c r="EK94" i="226" s="1"/>
  <c r="ED94" i="226" a="1"/>
  <c r="ED94" i="226" s="1"/>
  <c r="EU94" i="226"/>
  <c r="ER94" i="226"/>
  <c r="EJ94" i="226" a="1"/>
  <c r="EJ94" i="226" s="1"/>
  <c r="EC94" i="226" a="1"/>
  <c r="EC94" i="226" s="1"/>
  <c r="EQ94" i="226" a="1"/>
  <c r="EQ94" i="226" s="1"/>
  <c r="EI94" i="226" a="1"/>
  <c r="EI94" i="226" s="1"/>
  <c r="EB94" i="226" a="1"/>
  <c r="EB94" i="226" s="1"/>
  <c r="EP94" i="226" a="1"/>
  <c r="EP94" i="226" s="1"/>
  <c r="DV94" i="226" a="1"/>
  <c r="DV94" i="226" s="1"/>
  <c r="DW94" i="226" a="1"/>
  <c r="DW94" i="226" s="1"/>
  <c r="EO94" i="226" a="1"/>
  <c r="EO94" i="226" s="1"/>
  <c r="DX94" i="226" a="1"/>
  <c r="DX94" i="226" s="1"/>
  <c r="EA94" i="226" a="1"/>
  <c r="EA94" i="226" s="1"/>
  <c r="EN94" i="226" a="1"/>
  <c r="EN94" i="226" s="1"/>
  <c r="DY94" i="226" a="1"/>
  <c r="DY94" i="226" s="1"/>
  <c r="EH94" i="226" a="1"/>
  <c r="EH94" i="226" s="1"/>
  <c r="EG94" i="226" a="1"/>
  <c r="EG94" i="226" s="1"/>
  <c r="DZ94" i="226" a="1"/>
  <c r="DZ94" i="226" s="1"/>
  <c r="DU94" i="226" a="1"/>
  <c r="DU94" i="226" s="1"/>
  <c r="EV67" i="226"/>
  <c r="EW67" i="226"/>
  <c r="EX67" i="226"/>
  <c r="EY67" i="226"/>
  <c r="ES67" i="226"/>
  <c r="EP67" i="226" a="1"/>
  <c r="EP67" i="226" s="1"/>
  <c r="EI67" i="226" a="1"/>
  <c r="EI67" i="226" s="1"/>
  <c r="EB67" i="226" a="1"/>
  <c r="EB67" i="226" s="1"/>
  <c r="EO67" i="226" a="1"/>
  <c r="EO67" i="226" s="1"/>
  <c r="EH67" i="226" a="1"/>
  <c r="EH67" i="226" s="1"/>
  <c r="EN67" i="226" a="1"/>
  <c r="EN67" i="226" s="1"/>
  <c r="EG67" i="226" a="1"/>
  <c r="EG67" i="226" s="1"/>
  <c r="ER67" i="226"/>
  <c r="EM67" i="226" a="1"/>
  <c r="EM67" i="226" s="1"/>
  <c r="EF67" i="226" a="1"/>
  <c r="EF67" i="226" s="1"/>
  <c r="EL67" i="226" a="1"/>
  <c r="EL67" i="226" s="1"/>
  <c r="EE67" i="226" a="1"/>
  <c r="EE67" i="226" s="1"/>
  <c r="ED67" i="226" a="1"/>
  <c r="ED67" i="226" s="1"/>
  <c r="DX67" i="226" a="1"/>
  <c r="DX67" i="226" s="1"/>
  <c r="EK67" i="226" a="1"/>
  <c r="EK67" i="226" s="1"/>
  <c r="EC67" i="226" a="1"/>
  <c r="EC67" i="226" s="1"/>
  <c r="EU67" i="226"/>
  <c r="DY67" i="226" a="1"/>
  <c r="DY67" i="226" s="1"/>
  <c r="ET67" i="226"/>
  <c r="DW67" i="226" a="1"/>
  <c r="DW67" i="226" s="1"/>
  <c r="DZ67" i="226" a="1"/>
  <c r="DZ67" i="226" s="1"/>
  <c r="DU67" i="226" a="1"/>
  <c r="DU67" i="226" s="1"/>
  <c r="DV67" i="226" a="1"/>
  <c r="DV67" i="226" s="1"/>
  <c r="EJ67" i="226" a="1"/>
  <c r="EJ67" i="226" s="1"/>
  <c r="EQ67" i="226" a="1"/>
  <c r="EQ67" i="226" s="1"/>
  <c r="EA67" i="226" a="1"/>
  <c r="EA67" i="226" s="1"/>
  <c r="EY65" i="226"/>
  <c r="ES65" i="226"/>
  <c r="ET65" i="226"/>
  <c r="EU65" i="226"/>
  <c r="EV65" i="226"/>
  <c r="EW65" i="226"/>
  <c r="EL65" i="226" a="1"/>
  <c r="EL65" i="226" s="1"/>
  <c r="EE65" i="226" a="1"/>
  <c r="EE65" i="226" s="1"/>
  <c r="ER65" i="226"/>
  <c r="ED65" i="226" a="1"/>
  <c r="ED65" i="226" s="1"/>
  <c r="EK65" i="226" a="1"/>
  <c r="EK65" i="226" s="1"/>
  <c r="EQ65" i="226" a="1"/>
  <c r="EQ65" i="226" s="1"/>
  <c r="EJ65" i="226" a="1"/>
  <c r="EJ65" i="226" s="1"/>
  <c r="EC65" i="226" a="1"/>
  <c r="EC65" i="226" s="1"/>
  <c r="EX65" i="226"/>
  <c r="EP65" i="226" a="1"/>
  <c r="EP65" i="226" s="1"/>
  <c r="EI65" i="226" a="1"/>
  <c r="EI65" i="226" s="1"/>
  <c r="EB65" i="226" a="1"/>
  <c r="EB65" i="226" s="1"/>
  <c r="EO65" i="226" a="1"/>
  <c r="EO65" i="226" s="1"/>
  <c r="EH65" i="226" a="1"/>
  <c r="EH65" i="226" s="1"/>
  <c r="EG65" i="226" a="1"/>
  <c r="EG65" i="226" s="1"/>
  <c r="DY65" i="226" a="1"/>
  <c r="DY65" i="226" s="1"/>
  <c r="DX65" i="226" a="1"/>
  <c r="DX65" i="226" s="1"/>
  <c r="EF65" i="226" a="1"/>
  <c r="EF65" i="226" s="1"/>
  <c r="DU65" i="226" a="1"/>
  <c r="DU65" i="226" s="1"/>
  <c r="DZ65" i="226" a="1"/>
  <c r="DZ65" i="226" s="1"/>
  <c r="EA65" i="226" a="1"/>
  <c r="EA65" i="226" s="1"/>
  <c r="EM65" i="226" a="1"/>
  <c r="EM65" i="226" s="1"/>
  <c r="DV65" i="226" a="1"/>
  <c r="DV65" i="226" s="1"/>
  <c r="DW65" i="226" a="1"/>
  <c r="DW65" i="226" s="1"/>
  <c r="EN65" i="226" a="1"/>
  <c r="EN65" i="226" s="1"/>
  <c r="EV107" i="226"/>
  <c r="EW107" i="226"/>
  <c r="EX107" i="226"/>
  <c r="ES107" i="226"/>
  <c r="EP107" i="226" a="1"/>
  <c r="EP107" i="226" s="1"/>
  <c r="EH107" i="226" a="1"/>
  <c r="EH107" i="226" s="1"/>
  <c r="EO107" i="226" a="1"/>
  <c r="EO107" i="226" s="1"/>
  <c r="EG107" i="226" a="1"/>
  <c r="EG107" i="226" s="1"/>
  <c r="EN107" i="226" a="1"/>
  <c r="EN107" i="226" s="1"/>
  <c r="EF107" i="226" a="1"/>
  <c r="EF107" i="226" s="1"/>
  <c r="EM107" i="226" a="1"/>
  <c r="EM107" i="226" s="1"/>
  <c r="EE107" i="226" a="1"/>
  <c r="EE107" i="226" s="1"/>
  <c r="ET107" i="226"/>
  <c r="EL107" i="226" a="1"/>
  <c r="EL107" i="226" s="1"/>
  <c r="ED107" i="226" a="1"/>
  <c r="ED107" i="226" s="1"/>
  <c r="EY107" i="226"/>
  <c r="EU107" i="226"/>
  <c r="EK107" i="226" a="1"/>
  <c r="EK107" i="226" s="1"/>
  <c r="EC107" i="226" a="1"/>
  <c r="EC107" i="226" s="1"/>
  <c r="EQ107" i="226" a="1"/>
  <c r="EQ107" i="226" s="1"/>
  <c r="DW107" i="226" a="1"/>
  <c r="DW107" i="226" s="1"/>
  <c r="DU107" i="226" a="1"/>
  <c r="DU107" i="226" s="1"/>
  <c r="DX107" i="226" a="1"/>
  <c r="DX107" i="226" s="1"/>
  <c r="EA107" i="226" a="1"/>
  <c r="EA107" i="226" s="1"/>
  <c r="DV107" i="226" a="1"/>
  <c r="DV107" i="226" s="1"/>
  <c r="EJ107" i="226" a="1"/>
  <c r="EJ107" i="226" s="1"/>
  <c r="ER107" i="226"/>
  <c r="EI107" i="226" a="1"/>
  <c r="EI107" i="226" s="1"/>
  <c r="DY107" i="226" a="1"/>
  <c r="DY107" i="226" s="1"/>
  <c r="EB107" i="226" a="1"/>
  <c r="EB107" i="226" s="1"/>
  <c r="DZ107" i="226" a="1"/>
  <c r="DZ107" i="226" s="1"/>
  <c r="EY29" i="226"/>
  <c r="EX29" i="226"/>
  <c r="ES29" i="226"/>
  <c r="ET29" i="226"/>
  <c r="EU29" i="226"/>
  <c r="ER29" i="226"/>
  <c r="EV29" i="226"/>
  <c r="EW29" i="226"/>
  <c r="EN29" i="226" a="1"/>
  <c r="EN29" i="226" s="1"/>
  <c r="EG29" i="226" a="1"/>
  <c r="EG29" i="226" s="1"/>
  <c r="DV29" i="226" a="1"/>
  <c r="DV29" i="226" s="1"/>
  <c r="EA29" i="226" a="1"/>
  <c r="EA29" i="226" s="1"/>
  <c r="EM29" i="226" a="1"/>
  <c r="EM29" i="226" s="1"/>
  <c r="EF29" i="226" a="1"/>
  <c r="EF29" i="226" s="1"/>
  <c r="DW29" i="226" a="1"/>
  <c r="DW29" i="226" s="1"/>
  <c r="DU29" i="226" a="1"/>
  <c r="DU29" i="226" s="1"/>
  <c r="EL29" i="226" a="1"/>
  <c r="EL29" i="226" s="1"/>
  <c r="EE29" i="226" a="1"/>
  <c r="EE29" i="226" s="1"/>
  <c r="EB29" i="226" a="1"/>
  <c r="EB29" i="226" s="1"/>
  <c r="EK29" i="226" a="1"/>
  <c r="EK29" i="226" s="1"/>
  <c r="DX29" i="226" a="1"/>
  <c r="DX29" i="226" s="1"/>
  <c r="EP29" i="226" a="1"/>
  <c r="EP29" i="226" s="1"/>
  <c r="EH29" i="226" a="1"/>
  <c r="EH29" i="226" s="1"/>
  <c r="EJ29" i="226" a="1"/>
  <c r="EJ29" i="226" s="1"/>
  <c r="ED29" i="226" a="1"/>
  <c r="ED29" i="226" s="1"/>
  <c r="DY29" i="226" a="1"/>
  <c r="DY29" i="226" s="1"/>
  <c r="EQ29" i="226" a="1"/>
  <c r="EQ29" i="226" s="1"/>
  <c r="EI29" i="226" a="1"/>
  <c r="EI29" i="226" s="1"/>
  <c r="EC29" i="226" a="1"/>
  <c r="EC29" i="226" s="1"/>
  <c r="DZ29" i="226" a="1"/>
  <c r="DZ29" i="226" s="1"/>
  <c r="EO29" i="226" a="1"/>
  <c r="EO29" i="226" s="1"/>
  <c r="EV37" i="226"/>
  <c r="EW37" i="226"/>
  <c r="EX37" i="226"/>
  <c r="ES37" i="226"/>
  <c r="ER37" i="226"/>
  <c r="ET37" i="226"/>
  <c r="EY37" i="226"/>
  <c r="EU37" i="226"/>
  <c r="EM37" i="226" a="1"/>
  <c r="EM37" i="226" s="1"/>
  <c r="EF37" i="226" a="1"/>
  <c r="EF37" i="226" s="1"/>
  <c r="EA37" i="226" a="1"/>
  <c r="EA37" i="226" s="1"/>
  <c r="DV37" i="226" a="1"/>
  <c r="DV37" i="226" s="1"/>
  <c r="EL37" i="226" a="1"/>
  <c r="EL37" i="226" s="1"/>
  <c r="DW37" i="226" a="1"/>
  <c r="DW37" i="226" s="1"/>
  <c r="DZ37" i="226" a="1"/>
  <c r="DZ37" i="226" s="1"/>
  <c r="EK37" i="226" a="1"/>
  <c r="EK37" i="226" s="1"/>
  <c r="EE37" i="226" a="1"/>
  <c r="EE37" i="226" s="1"/>
  <c r="DX37" i="226" a="1"/>
  <c r="DX37" i="226" s="1"/>
  <c r="EG37" i="226" a="1"/>
  <c r="EG37" i="226" s="1"/>
  <c r="EJ37" i="226" a="1"/>
  <c r="EJ37" i="226" s="1"/>
  <c r="ED37" i="226" a="1"/>
  <c r="ED37" i="226" s="1"/>
  <c r="EO37" i="226" a="1"/>
  <c r="EO37" i="226" s="1"/>
  <c r="EN37" i="226" a="1"/>
  <c r="EN37" i="226" s="1"/>
  <c r="EQ37" i="226" a="1"/>
  <c r="EQ37" i="226" s="1"/>
  <c r="EI37" i="226" a="1"/>
  <c r="EI37" i="226" s="1"/>
  <c r="EC37" i="226" a="1"/>
  <c r="EC37" i="226" s="1"/>
  <c r="DY37" i="226" a="1"/>
  <c r="DY37" i="226" s="1"/>
  <c r="EP37" i="226" a="1"/>
  <c r="EP37" i="226" s="1"/>
  <c r="EH37" i="226" a="1"/>
  <c r="EH37" i="226" s="1"/>
  <c r="EB37" i="226" a="1"/>
  <c r="EB37" i="226" s="1"/>
  <c r="DU37" i="226" a="1"/>
  <c r="DU37" i="226" s="1"/>
  <c r="ES70" i="226"/>
  <c r="ET70" i="226"/>
  <c r="EU70" i="226"/>
  <c r="EV70" i="226"/>
  <c r="EY70" i="226"/>
  <c r="EW70" i="226"/>
  <c r="EL70" i="226" a="1"/>
  <c r="EL70" i="226" s="1"/>
  <c r="EE70" i="226" a="1"/>
  <c r="EE70" i="226" s="1"/>
  <c r="ED70" i="226" a="1"/>
  <c r="ED70" i="226" s="1"/>
  <c r="EX70" i="226"/>
  <c r="EK70" i="226" a="1"/>
  <c r="EK70" i="226" s="1"/>
  <c r="EQ70" i="226" a="1"/>
  <c r="EQ70" i="226" s="1"/>
  <c r="EJ70" i="226" a="1"/>
  <c r="EJ70" i="226" s="1"/>
  <c r="EC70" i="226" a="1"/>
  <c r="EC70" i="226" s="1"/>
  <c r="EP70" i="226" a="1"/>
  <c r="EP70" i="226" s="1"/>
  <c r="EI70" i="226" a="1"/>
  <c r="EI70" i="226" s="1"/>
  <c r="EB70" i="226" a="1"/>
  <c r="EB70" i="226" s="1"/>
  <c r="ER70" i="226"/>
  <c r="EO70" i="226" a="1"/>
  <c r="EO70" i="226" s="1"/>
  <c r="EH70" i="226" a="1"/>
  <c r="EH70" i="226" s="1"/>
  <c r="DZ70" i="226" a="1"/>
  <c r="DZ70" i="226" s="1"/>
  <c r="EF70" i="226" a="1"/>
  <c r="EF70" i="226" s="1"/>
  <c r="EA70" i="226" a="1"/>
  <c r="EA70" i="226" s="1"/>
  <c r="EG70" i="226" a="1"/>
  <c r="EG70" i="226" s="1"/>
  <c r="DV70" i="226" a="1"/>
  <c r="DV70" i="226" s="1"/>
  <c r="DU70" i="226" a="1"/>
  <c r="DU70" i="226" s="1"/>
  <c r="EN70" i="226" a="1"/>
  <c r="EN70" i="226" s="1"/>
  <c r="DW70" i="226" a="1"/>
  <c r="DW70" i="226" s="1"/>
  <c r="DY70" i="226" a="1"/>
  <c r="DY70" i="226" s="1"/>
  <c r="EM70" i="226" a="1"/>
  <c r="EM70" i="226" s="1"/>
  <c r="DX70" i="226" a="1"/>
  <c r="DX70" i="226" s="1"/>
  <c r="ET101" i="226"/>
  <c r="EU101" i="226"/>
  <c r="EY101" i="226"/>
  <c r="EV101" i="226"/>
  <c r="EW101" i="226"/>
  <c r="EX101" i="226"/>
  <c r="EJ101" i="226" a="1"/>
  <c r="EJ101" i="226" s="1"/>
  <c r="EB101" i="226" a="1"/>
  <c r="EB101" i="226" s="1"/>
  <c r="EQ101" i="226" a="1"/>
  <c r="EQ101" i="226" s="1"/>
  <c r="EI101" i="226" a="1"/>
  <c r="EI101" i="226" s="1"/>
  <c r="ER101" i="226"/>
  <c r="EP101" i="226" a="1"/>
  <c r="EP101" i="226" s="1"/>
  <c r="EH101" i="226" a="1"/>
  <c r="EH101" i="226" s="1"/>
  <c r="EO101" i="226" a="1"/>
  <c r="EO101" i="226" s="1"/>
  <c r="EG101" i="226" a="1"/>
  <c r="EG101" i="226" s="1"/>
  <c r="EN101" i="226" a="1"/>
  <c r="EN101" i="226" s="1"/>
  <c r="EF101" i="226" a="1"/>
  <c r="EF101" i="226" s="1"/>
  <c r="ES101" i="226"/>
  <c r="EM101" i="226" a="1"/>
  <c r="EM101" i="226" s="1"/>
  <c r="EE101" i="226" a="1"/>
  <c r="EE101" i="226" s="1"/>
  <c r="ED101" i="226" a="1"/>
  <c r="ED101" i="226" s="1"/>
  <c r="DY101" i="226" a="1"/>
  <c r="DY101" i="226" s="1"/>
  <c r="DU101" i="226" a="1"/>
  <c r="DU101" i="226" s="1"/>
  <c r="EC101" i="226" a="1"/>
  <c r="EC101" i="226" s="1"/>
  <c r="DZ101" i="226" a="1"/>
  <c r="DZ101" i="226" s="1"/>
  <c r="EA101" i="226" a="1"/>
  <c r="EA101" i="226" s="1"/>
  <c r="DX101" i="226" a="1"/>
  <c r="DX101" i="226" s="1"/>
  <c r="EL101" i="226" a="1"/>
  <c r="EL101" i="226" s="1"/>
  <c r="DV101" i="226" a="1"/>
  <c r="DV101" i="226" s="1"/>
  <c r="DW101" i="226" a="1"/>
  <c r="DW101" i="226" s="1"/>
  <c r="EK101" i="226" a="1"/>
  <c r="EK101" i="226" s="1"/>
  <c r="ET31" i="226"/>
  <c r="ER31" i="226"/>
  <c r="EU31" i="226"/>
  <c r="EY31" i="226"/>
  <c r="EV31" i="226"/>
  <c r="EW31" i="226"/>
  <c r="EX31" i="226"/>
  <c r="ES31" i="226"/>
  <c r="EP31" i="226" a="1"/>
  <c r="EP31" i="226" s="1"/>
  <c r="EI31" i="226" a="1"/>
  <c r="EI31" i="226" s="1"/>
  <c r="EC31" i="226" a="1"/>
  <c r="EC31" i="226" s="1"/>
  <c r="DW31" i="226" a="1"/>
  <c r="DW31" i="226" s="1"/>
  <c r="EO31" i="226" a="1"/>
  <c r="EO31" i="226" s="1"/>
  <c r="EB31" i="226" a="1"/>
  <c r="EB31" i="226" s="1"/>
  <c r="EJ31" i="226" a="1"/>
  <c r="EJ31" i="226" s="1"/>
  <c r="EN31" i="226" a="1"/>
  <c r="EN31" i="226" s="1"/>
  <c r="EH31" i="226" a="1"/>
  <c r="EH31" i="226" s="1"/>
  <c r="DX31" i="226" a="1"/>
  <c r="DX31" i="226" s="1"/>
  <c r="EK31" i="226" a="1"/>
  <c r="EK31" i="226" s="1"/>
  <c r="EM31" i="226" a="1"/>
  <c r="EM31" i="226" s="1"/>
  <c r="EG31" i="226" a="1"/>
  <c r="EG31" i="226" s="1"/>
  <c r="DY31" i="226" a="1"/>
  <c r="DY31" i="226" s="1"/>
  <c r="ED31" i="226" a="1"/>
  <c r="ED31" i="226" s="1"/>
  <c r="DV31" i="226" a="1"/>
  <c r="DV31" i="226" s="1"/>
  <c r="EF31" i="226" a="1"/>
  <c r="EF31" i="226" s="1"/>
  <c r="DZ31" i="226" a="1"/>
  <c r="DZ31" i="226" s="1"/>
  <c r="DU31" i="226" a="1"/>
  <c r="DU31" i="226" s="1"/>
  <c r="EQ31" i="226" a="1"/>
  <c r="EQ31" i="226" s="1"/>
  <c r="EL31" i="226" a="1"/>
  <c r="EL31" i="226" s="1"/>
  <c r="EE31" i="226" a="1"/>
  <c r="EE31" i="226" s="1"/>
  <c r="EA31" i="226" a="1"/>
  <c r="EA31" i="226" s="1"/>
  <c r="EY100" i="226"/>
  <c r="ES100" i="226"/>
  <c r="ET100" i="226"/>
  <c r="EU100" i="226"/>
  <c r="EV100" i="226"/>
  <c r="EW100" i="226"/>
  <c r="EJ100" i="226" a="1"/>
  <c r="EJ100" i="226" s="1"/>
  <c r="EB100" i="226" a="1"/>
  <c r="EB100" i="226" s="1"/>
  <c r="ER100" i="226"/>
  <c r="EQ100" i="226" a="1"/>
  <c r="EQ100" i="226" s="1"/>
  <c r="EI100" i="226" a="1"/>
  <c r="EI100" i="226" s="1"/>
  <c r="EP100" i="226" a="1"/>
  <c r="EP100" i="226" s="1"/>
  <c r="EH100" i="226" a="1"/>
  <c r="EH100" i="226" s="1"/>
  <c r="EO100" i="226" a="1"/>
  <c r="EO100" i="226" s="1"/>
  <c r="EG100" i="226" a="1"/>
  <c r="EG100" i="226" s="1"/>
  <c r="EX100" i="226"/>
  <c r="EN100" i="226" a="1"/>
  <c r="EN100" i="226" s="1"/>
  <c r="EF100" i="226" a="1"/>
  <c r="EF100" i="226" s="1"/>
  <c r="EM100" i="226" a="1"/>
  <c r="EM100" i="226" s="1"/>
  <c r="EE100" i="226" a="1"/>
  <c r="EE100" i="226" s="1"/>
  <c r="DY100" i="226" a="1"/>
  <c r="DY100" i="226" s="1"/>
  <c r="DW100" i="226" a="1"/>
  <c r="DW100" i="226" s="1"/>
  <c r="EL100" i="226" a="1"/>
  <c r="EL100" i="226" s="1"/>
  <c r="DZ100" i="226" a="1"/>
  <c r="DZ100" i="226" s="1"/>
  <c r="DU100" i="226" a="1"/>
  <c r="DU100" i="226" s="1"/>
  <c r="EK100" i="226" a="1"/>
  <c r="EK100" i="226" s="1"/>
  <c r="EA100" i="226" a="1"/>
  <c r="EA100" i="226" s="1"/>
  <c r="ED100" i="226" a="1"/>
  <c r="ED100" i="226" s="1"/>
  <c r="DX100" i="226" a="1"/>
  <c r="DX100" i="226" s="1"/>
  <c r="EC100" i="226" a="1"/>
  <c r="EC100" i="226" s="1"/>
  <c r="DV100" i="226" a="1"/>
  <c r="DV100" i="226" s="1"/>
  <c r="ET84" i="226"/>
  <c r="EU84" i="226"/>
  <c r="EY84" i="226"/>
  <c r="EV84" i="226"/>
  <c r="EW84" i="226"/>
  <c r="EX84" i="226"/>
  <c r="EM84" i="226" a="1"/>
  <c r="EM84" i="226" s="1"/>
  <c r="EF84" i="226" a="1"/>
  <c r="EF84" i="226" s="1"/>
  <c r="EL84" i="226" a="1"/>
  <c r="EL84" i="226" s="1"/>
  <c r="ER84" i="226"/>
  <c r="EQ84" i="226" a="1"/>
  <c r="EQ84" i="226" s="1"/>
  <c r="EK84" i="226" a="1"/>
  <c r="EK84" i="226" s="1"/>
  <c r="EE84" i="226" a="1"/>
  <c r="EE84" i="226" s="1"/>
  <c r="EP84" i="226" a="1"/>
  <c r="EP84" i="226" s="1"/>
  <c r="EJ84" i="226" a="1"/>
  <c r="EJ84" i="226" s="1"/>
  <c r="ED84" i="226" a="1"/>
  <c r="ED84" i="226" s="1"/>
  <c r="EI84" i="226" a="1"/>
  <c r="EI84" i="226" s="1"/>
  <c r="ES84" i="226"/>
  <c r="EO84" i="226" a="1"/>
  <c r="EO84" i="226" s="1"/>
  <c r="EH84" i="226" a="1"/>
  <c r="EH84" i="226" s="1"/>
  <c r="EC84" i="226" a="1"/>
  <c r="EC84" i="226" s="1"/>
  <c r="EB84" i="226" a="1"/>
  <c r="EB84" i="226" s="1"/>
  <c r="DV84" i="226" a="1"/>
  <c r="DV84" i="226" s="1"/>
  <c r="DU84" i="226" a="1"/>
  <c r="DU84" i="226" s="1"/>
  <c r="DW84" i="226" a="1"/>
  <c r="DW84" i="226" s="1"/>
  <c r="DX84" i="226" a="1"/>
  <c r="DX84" i="226" s="1"/>
  <c r="EN84" i="226" a="1"/>
  <c r="EN84" i="226" s="1"/>
  <c r="DY84" i="226" a="1"/>
  <c r="DY84" i="226" s="1"/>
  <c r="EA84" i="226" a="1"/>
  <c r="EA84" i="226" s="1"/>
  <c r="DZ84" i="226" a="1"/>
  <c r="DZ84" i="226" s="1"/>
  <c r="EG84" i="226" a="1"/>
  <c r="EG84" i="226" s="1"/>
  <c r="EY83" i="226"/>
  <c r="ES83" i="226"/>
  <c r="ET83" i="226"/>
  <c r="EU83" i="226"/>
  <c r="EV83" i="226"/>
  <c r="EW83" i="226"/>
  <c r="EP83" i="226" a="1"/>
  <c r="EP83" i="226" s="1"/>
  <c r="EJ83" i="226" a="1"/>
  <c r="EJ83" i="226" s="1"/>
  <c r="ED83" i="226" a="1"/>
  <c r="ED83" i="226" s="1"/>
  <c r="ER83" i="226"/>
  <c r="EI83" i="226" a="1"/>
  <c r="EI83" i="226" s="1"/>
  <c r="EC83" i="226" a="1"/>
  <c r="EC83" i="226" s="1"/>
  <c r="EO83" i="226" a="1"/>
  <c r="EO83" i="226" s="1"/>
  <c r="EH83" i="226" a="1"/>
  <c r="EH83" i="226" s="1"/>
  <c r="EB83" i="226" a="1"/>
  <c r="EB83" i="226" s="1"/>
  <c r="EN83" i="226" a="1"/>
  <c r="EN83" i="226" s="1"/>
  <c r="EX83" i="226"/>
  <c r="EG83" i="226" a="1"/>
  <c r="EG83" i="226" s="1"/>
  <c r="EM83" i="226" a="1"/>
  <c r="EM83" i="226" s="1"/>
  <c r="EF83" i="226" a="1"/>
  <c r="EF83" i="226" s="1"/>
  <c r="EA83" i="226" a="1"/>
  <c r="EA83" i="226" s="1"/>
  <c r="EQ83" i="226" a="1"/>
  <c r="EQ83" i="226" s="1"/>
  <c r="DV83" i="226" a="1"/>
  <c r="DV83" i="226" s="1"/>
  <c r="EL83" i="226" a="1"/>
  <c r="EL83" i="226" s="1"/>
  <c r="DW83" i="226" a="1"/>
  <c r="DW83" i="226" s="1"/>
  <c r="EK83" i="226" a="1"/>
  <c r="EK83" i="226" s="1"/>
  <c r="DX83" i="226" a="1"/>
  <c r="DX83" i="226" s="1"/>
  <c r="DY83" i="226" a="1"/>
  <c r="DY83" i="226" s="1"/>
  <c r="EE83" i="226" a="1"/>
  <c r="EE83" i="226" s="1"/>
  <c r="DZ83" i="226" a="1"/>
  <c r="DZ83" i="226" s="1"/>
  <c r="DU83" i="226" a="1"/>
  <c r="DU83" i="226" s="1"/>
  <c r="ET93" i="226"/>
  <c r="EU93" i="226"/>
  <c r="EY93" i="226"/>
  <c r="EV93" i="226"/>
  <c r="EW93" i="226"/>
  <c r="EX93" i="226"/>
  <c r="EN93" i="226" a="1"/>
  <c r="EN93" i="226" s="1"/>
  <c r="EF93" i="226" a="1"/>
  <c r="EF93" i="226" s="1"/>
  <c r="ES93" i="226"/>
  <c r="EM93" i="226" a="1"/>
  <c r="EM93" i="226" s="1"/>
  <c r="EE93" i="226" a="1"/>
  <c r="EE93" i="226" s="1"/>
  <c r="ER93" i="226"/>
  <c r="EL93" i="226" a="1"/>
  <c r="EL93" i="226" s="1"/>
  <c r="ED93" i="226" a="1"/>
  <c r="ED93" i="226" s="1"/>
  <c r="EK93" i="226" a="1"/>
  <c r="EK93" i="226" s="1"/>
  <c r="EC93" i="226" a="1"/>
  <c r="EC93" i="226" s="1"/>
  <c r="EJ93" i="226" a="1"/>
  <c r="EJ93" i="226" s="1"/>
  <c r="EB93" i="226" a="1"/>
  <c r="EB93" i="226" s="1"/>
  <c r="EQ93" i="226" a="1"/>
  <c r="EQ93" i="226" s="1"/>
  <c r="EI93" i="226" a="1"/>
  <c r="EI93" i="226" s="1"/>
  <c r="EH93" i="226" a="1"/>
  <c r="EH93" i="226" s="1"/>
  <c r="DV93" i="226" a="1"/>
  <c r="DV93" i="226" s="1"/>
  <c r="EG93" i="226" a="1"/>
  <c r="EG93" i="226" s="1"/>
  <c r="DW93" i="226" a="1"/>
  <c r="DW93" i="226" s="1"/>
  <c r="DX93" i="226" a="1"/>
  <c r="DX93" i="226" s="1"/>
  <c r="EP93" i="226" a="1"/>
  <c r="EP93" i="226" s="1"/>
  <c r="DY93" i="226" a="1"/>
  <c r="DY93" i="226" s="1"/>
  <c r="DU93" i="226" a="1"/>
  <c r="DU93" i="226" s="1"/>
  <c r="DZ93" i="226" a="1"/>
  <c r="DZ93" i="226" s="1"/>
  <c r="EA93" i="226" a="1"/>
  <c r="EA93" i="226" s="1"/>
  <c r="EO93" i="226" a="1"/>
  <c r="EO93" i="226" s="1"/>
  <c r="EV50" i="226"/>
  <c r="EW50" i="226"/>
  <c r="ER50" i="226"/>
  <c r="EX50" i="226"/>
  <c r="EY50" i="226"/>
  <c r="ES50" i="226"/>
  <c r="EN50" i="226" a="1"/>
  <c r="EN50" i="226" s="1"/>
  <c r="EG50" i="226" a="1"/>
  <c r="EG50" i="226" s="1"/>
  <c r="EM50" i="226" a="1"/>
  <c r="EM50" i="226" s="1"/>
  <c r="EF50" i="226" a="1"/>
  <c r="EF50" i="226" s="1"/>
  <c r="EL50" i="226" a="1"/>
  <c r="EL50" i="226" s="1"/>
  <c r="EK50" i="226" a="1"/>
  <c r="EK50" i="226" s="1"/>
  <c r="EE50" i="226" a="1"/>
  <c r="EE50" i="226" s="1"/>
  <c r="EJ50" i="226" a="1"/>
  <c r="EJ50" i="226" s="1"/>
  <c r="ED50" i="226" a="1"/>
  <c r="ED50" i="226" s="1"/>
  <c r="EQ50" i="226" a="1"/>
  <c r="EQ50" i="226" s="1"/>
  <c r="EI50" i="226" a="1"/>
  <c r="EI50" i="226" s="1"/>
  <c r="ET50" i="226"/>
  <c r="EH50" i="226" a="1"/>
  <c r="EH50" i="226" s="1"/>
  <c r="EU50" i="226"/>
  <c r="DZ50" i="226" a="1"/>
  <c r="DZ50" i="226" s="1"/>
  <c r="EC50" i="226" a="1"/>
  <c r="EC50" i="226" s="1"/>
  <c r="EA50" i="226" a="1"/>
  <c r="EA50" i="226" s="1"/>
  <c r="EO50" i="226" a="1"/>
  <c r="EO50" i="226" s="1"/>
  <c r="DY50" i="226" a="1"/>
  <c r="DY50" i="226" s="1"/>
  <c r="EB50" i="226" a="1"/>
  <c r="EB50" i="226" s="1"/>
  <c r="DV50" i="226" a="1"/>
  <c r="DV50" i="226" s="1"/>
  <c r="EP50" i="226" a="1"/>
  <c r="EP50" i="226" s="1"/>
  <c r="DW50" i="226" a="1"/>
  <c r="DW50" i="226" s="1"/>
  <c r="DU50" i="226" a="1"/>
  <c r="DU50" i="226" s="1"/>
  <c r="DX50" i="226" a="1"/>
  <c r="DX50" i="226" s="1"/>
  <c r="EY55" i="226"/>
  <c r="EX55" i="226"/>
  <c r="ES55" i="226"/>
  <c r="ET55" i="226"/>
  <c r="EU55" i="226"/>
  <c r="EO55" i="226" a="1"/>
  <c r="EO55" i="226" s="1"/>
  <c r="EG55" i="226" a="1"/>
  <c r="EG55" i="226" s="1"/>
  <c r="EN55" i="226" a="1"/>
  <c r="EN55" i="226" s="1"/>
  <c r="EF55" i="226" a="1"/>
  <c r="EF55" i="226" s="1"/>
  <c r="EM55" i="226" a="1"/>
  <c r="EM55" i="226" s="1"/>
  <c r="EE55" i="226" a="1"/>
  <c r="EE55" i="226" s="1"/>
  <c r="EL55" i="226" a="1"/>
  <c r="EL55" i="226" s="1"/>
  <c r="ED55" i="226" a="1"/>
  <c r="ED55" i="226" s="1"/>
  <c r="EK55" i="226" a="1"/>
  <c r="EK55" i="226" s="1"/>
  <c r="EC55" i="226" a="1"/>
  <c r="EC55" i="226" s="1"/>
  <c r="EQ55" i="226" a="1"/>
  <c r="EQ55" i="226" s="1"/>
  <c r="EJ55" i="226" a="1"/>
  <c r="EJ55" i="226" s="1"/>
  <c r="EB55" i="226" a="1"/>
  <c r="EB55" i="226" s="1"/>
  <c r="ER55" i="226"/>
  <c r="EI55" i="226" a="1"/>
  <c r="EI55" i="226" s="1"/>
  <c r="EH55" i="226" a="1"/>
  <c r="EH55" i="226" s="1"/>
  <c r="DW55" i="226" a="1"/>
  <c r="DW55" i="226" s="1"/>
  <c r="EV55" i="226"/>
  <c r="DU55" i="226" a="1"/>
  <c r="DU55" i="226" s="1"/>
  <c r="EP55" i="226" a="1"/>
  <c r="EP55" i="226" s="1"/>
  <c r="EW55" i="226"/>
  <c r="DX55" i="226" a="1"/>
  <c r="DX55" i="226" s="1"/>
  <c r="DV55" i="226" a="1"/>
  <c r="DV55" i="226" s="1"/>
  <c r="DY55" i="226" a="1"/>
  <c r="DY55" i="226" s="1"/>
  <c r="DZ55" i="226" a="1"/>
  <c r="DZ55" i="226" s="1"/>
  <c r="EA55" i="226" a="1"/>
  <c r="EA55" i="226" s="1"/>
  <c r="EV32" i="226"/>
  <c r="EW32" i="226"/>
  <c r="ER32" i="226"/>
  <c r="EX32" i="226"/>
  <c r="EY32" i="226"/>
  <c r="ES32" i="226"/>
  <c r="EF32" i="226" a="1"/>
  <c r="EF32" i="226" s="1"/>
  <c r="DW32" i="226" a="1"/>
  <c r="DW32" i="226" s="1"/>
  <c r="EL32" i="226" a="1"/>
  <c r="EL32" i="226" s="1"/>
  <c r="EE32" i="226" a="1"/>
  <c r="EE32" i="226" s="1"/>
  <c r="DX32" i="226" a="1"/>
  <c r="DX32" i="226" s="1"/>
  <c r="EN32" i="226" a="1"/>
  <c r="EN32" i="226" s="1"/>
  <c r="DV32" i="226" a="1"/>
  <c r="DV32" i="226" s="1"/>
  <c r="ET32" i="226"/>
  <c r="EQ32" i="226" a="1"/>
  <c r="EQ32" i="226" s="1"/>
  <c r="EK32" i="226" a="1"/>
  <c r="EK32" i="226" s="1"/>
  <c r="DY32" i="226" a="1"/>
  <c r="DY32" i="226" s="1"/>
  <c r="EU32" i="226"/>
  <c r="EJ32" i="226" a="1"/>
  <c r="EJ32" i="226" s="1"/>
  <c r="ED32" i="226" a="1"/>
  <c r="ED32" i="226" s="1"/>
  <c r="EH32" i="226" a="1"/>
  <c r="EH32" i="226" s="1"/>
  <c r="EP32" i="226" a="1"/>
  <c r="EP32" i="226" s="1"/>
  <c r="EI32" i="226" a="1"/>
  <c r="EI32" i="226" s="1"/>
  <c r="EC32" i="226" a="1"/>
  <c r="EC32" i="226" s="1"/>
  <c r="DZ32" i="226" a="1"/>
  <c r="DZ32" i="226" s="1"/>
  <c r="DU32" i="226" a="1"/>
  <c r="DU32" i="226" s="1"/>
  <c r="EG32" i="226" a="1"/>
  <c r="EG32" i="226" s="1"/>
  <c r="EO32" i="226" a="1"/>
  <c r="EO32" i="226" s="1"/>
  <c r="EB32" i="226" a="1"/>
  <c r="EB32" i="226" s="1"/>
  <c r="EA32" i="226" a="1"/>
  <c r="EA32" i="226" s="1"/>
  <c r="EM32" i="226" a="1"/>
  <c r="EM32" i="226" s="1"/>
  <c r="EV45" i="226"/>
  <c r="EW45" i="226"/>
  <c r="EX45" i="226"/>
  <c r="ES45" i="226"/>
  <c r="ER45" i="226"/>
  <c r="ET45" i="226"/>
  <c r="EU45" i="226"/>
  <c r="EQ45" i="226" a="1"/>
  <c r="EQ45" i="226" s="1"/>
  <c r="EJ45" i="226" a="1"/>
  <c r="EJ45" i="226" s="1"/>
  <c r="ED45" i="226" a="1"/>
  <c r="ED45" i="226" s="1"/>
  <c r="DV45" i="226" a="1"/>
  <c r="DV45" i="226" s="1"/>
  <c r="EY45" i="226"/>
  <c r="EI45" i="226" a="1"/>
  <c r="EI45" i="226" s="1"/>
  <c r="EC45" i="226" a="1"/>
  <c r="EC45" i="226" s="1"/>
  <c r="DW45" i="226" a="1"/>
  <c r="DW45" i="226" s="1"/>
  <c r="EP45" i="226" a="1"/>
  <c r="EP45" i="226" s="1"/>
  <c r="EH45" i="226" a="1"/>
  <c r="EH45" i="226" s="1"/>
  <c r="EB45" i="226" a="1"/>
  <c r="EB45" i="226" s="1"/>
  <c r="DX45" i="226" a="1"/>
  <c r="DX45" i="226" s="1"/>
  <c r="DU45" i="226" a="1"/>
  <c r="DU45" i="226" s="1"/>
  <c r="EL45" i="226" a="1"/>
  <c r="EL45" i="226" s="1"/>
  <c r="EO45" i="226" a="1"/>
  <c r="EO45" i="226" s="1"/>
  <c r="DZ45" i="226" a="1"/>
  <c r="DZ45" i="226" s="1"/>
  <c r="EK45" i="226" a="1"/>
  <c r="EK45" i="226" s="1"/>
  <c r="EN45" i="226" a="1"/>
  <c r="EN45" i="226" s="1"/>
  <c r="EG45" i="226" a="1"/>
  <c r="EG45" i="226" s="1"/>
  <c r="DY45" i="226" a="1"/>
  <c r="DY45" i="226" s="1"/>
  <c r="EE45" i="226" a="1"/>
  <c r="EE45" i="226" s="1"/>
  <c r="EM45" i="226" a="1"/>
  <c r="EM45" i="226" s="1"/>
  <c r="EF45" i="226" a="1"/>
  <c r="EF45" i="226" s="1"/>
  <c r="EA45" i="226" a="1"/>
  <c r="EA45" i="226" s="1"/>
  <c r="EX16" i="226"/>
  <c r="ER16" i="226"/>
  <c r="ES16" i="226"/>
  <c r="EY16" i="226"/>
  <c r="ET16" i="226"/>
  <c r="EU16" i="226"/>
  <c r="EV16" i="226"/>
  <c r="EW16" i="226"/>
  <c r="EN16" i="226" a="1"/>
  <c r="EN16" i="226" s="1"/>
  <c r="EI16" i="226" a="1"/>
  <c r="EI16" i="226" s="1"/>
  <c r="EC16" i="226" a="1"/>
  <c r="EC16" i="226" s="1"/>
  <c r="DW16" i="226" a="1"/>
  <c r="DW16" i="226" s="1"/>
  <c r="EH16" i="226" a="1"/>
  <c r="EH16" i="226" s="1"/>
  <c r="EJ16" i="226" a="1"/>
  <c r="EJ16" i="226" s="1"/>
  <c r="EM16" i="226" a="1"/>
  <c r="EM16" i="226" s="1"/>
  <c r="EG16" i="226" a="1"/>
  <c r="EG16" i="226" s="1"/>
  <c r="EB16" i="226" a="1"/>
  <c r="EB16" i="226" s="1"/>
  <c r="DX16" i="226" a="1"/>
  <c r="DX16" i="226" s="1"/>
  <c r="DV16" i="226" a="1"/>
  <c r="DV16" i="226" s="1"/>
  <c r="EL16" i="226" a="1"/>
  <c r="EL16" i="226" s="1"/>
  <c r="DY16" i="226" a="1"/>
  <c r="DY16" i="226" s="1"/>
  <c r="EE16" i="226" a="1"/>
  <c r="EE16" i="226" s="1"/>
  <c r="EA16" i="226" a="1"/>
  <c r="EA16" i="226" s="1"/>
  <c r="ED16" i="226" a="1"/>
  <c r="ED16" i="226" s="1"/>
  <c r="EQ16" i="226" a="1"/>
  <c r="EQ16" i="226" s="1"/>
  <c r="EK16" i="226" a="1"/>
  <c r="EK16" i="226" s="1"/>
  <c r="EF16" i="226" a="1"/>
  <c r="EF16" i="226" s="1"/>
  <c r="DZ16" i="226" a="1"/>
  <c r="DZ16" i="226" s="1"/>
  <c r="EO16" i="226" a="1"/>
  <c r="EO16" i="226" s="1"/>
  <c r="EP16" i="226" a="1"/>
  <c r="EP16" i="226" s="1"/>
  <c r="DU16" i="226" a="1"/>
  <c r="DU16" i="226" s="1"/>
  <c r="ET35" i="226"/>
  <c r="EU35" i="226"/>
  <c r="EV35" i="226"/>
  <c r="EW35" i="226"/>
  <c r="EX35" i="226"/>
  <c r="ER35" i="226"/>
  <c r="ES35" i="226"/>
  <c r="EY35" i="226"/>
  <c r="EP35" i="226" a="1"/>
  <c r="EP35" i="226" s="1"/>
  <c r="EH35" i="226" a="1"/>
  <c r="EH35" i="226" s="1"/>
  <c r="EB35" i="226" a="1"/>
  <c r="EB35" i="226" s="1"/>
  <c r="DX35" i="226" a="1"/>
  <c r="DX35" i="226" s="1"/>
  <c r="ED35" i="226" a="1"/>
  <c r="ED35" i="226" s="1"/>
  <c r="DW35" i="226" a="1"/>
  <c r="DW35" i="226" s="1"/>
  <c r="EI35" i="226" a="1"/>
  <c r="EI35" i="226" s="1"/>
  <c r="EO35" i="226" a="1"/>
  <c r="EO35" i="226" s="1"/>
  <c r="DY35" i="226" a="1"/>
  <c r="DY35" i="226" s="1"/>
  <c r="EN35" i="226" a="1"/>
  <c r="EN35" i="226" s="1"/>
  <c r="EG35" i="226" a="1"/>
  <c r="EG35" i="226" s="1"/>
  <c r="DZ35" i="226" a="1"/>
  <c r="DZ35" i="226" s="1"/>
  <c r="EM35" i="226" a="1"/>
  <c r="EM35" i="226" s="1"/>
  <c r="EF35" i="226" a="1"/>
  <c r="EF35" i="226" s="1"/>
  <c r="EA35" i="226" a="1"/>
  <c r="EA35" i="226" s="1"/>
  <c r="DU35" i="226" a="1"/>
  <c r="DU35" i="226" s="1"/>
  <c r="EL35" i="226" a="1"/>
  <c r="EL35" i="226" s="1"/>
  <c r="EQ35" i="226" a="1"/>
  <c r="EQ35" i="226" s="1"/>
  <c r="EK35" i="226" a="1"/>
  <c r="EK35" i="226" s="1"/>
  <c r="EE35" i="226" a="1"/>
  <c r="EE35" i="226" s="1"/>
  <c r="DV35" i="226" a="1"/>
  <c r="DV35" i="226" s="1"/>
  <c r="EJ35" i="226" a="1"/>
  <c r="EJ35" i="226" s="1"/>
  <c r="EC35" i="226" a="1"/>
  <c r="EC35" i="226" s="1"/>
  <c r="ET97" i="226"/>
  <c r="EU97" i="226"/>
  <c r="EV97" i="226"/>
  <c r="EW97" i="226"/>
  <c r="EX97" i="226"/>
  <c r="EL97" i="226" a="1"/>
  <c r="EL97" i="226" s="1"/>
  <c r="ED97" i="226" a="1"/>
  <c r="ED97" i="226" s="1"/>
  <c r="EK97" i="226" a="1"/>
  <c r="EK97" i="226" s="1"/>
  <c r="EC97" i="226" a="1"/>
  <c r="EC97" i="226" s="1"/>
  <c r="EY97" i="226"/>
  <c r="EJ97" i="226" a="1"/>
  <c r="EJ97" i="226" s="1"/>
  <c r="EB97" i="226" a="1"/>
  <c r="EB97" i="226" s="1"/>
  <c r="EQ97" i="226" a="1"/>
  <c r="EQ97" i="226" s="1"/>
  <c r="EI97" i="226" a="1"/>
  <c r="EI97" i="226" s="1"/>
  <c r="EP97" i="226" a="1"/>
  <c r="EP97" i="226" s="1"/>
  <c r="EH97" i="226" a="1"/>
  <c r="EH97" i="226" s="1"/>
  <c r="EO97" i="226" a="1"/>
  <c r="EO97" i="226" s="1"/>
  <c r="EG97" i="226" a="1"/>
  <c r="EG97" i="226" s="1"/>
  <c r="ER97" i="226"/>
  <c r="EF97" i="226" a="1"/>
  <c r="EF97" i="226" s="1"/>
  <c r="ES97" i="226"/>
  <c r="EE97" i="226" a="1"/>
  <c r="EE97" i="226" s="1"/>
  <c r="DX97" i="226" a="1"/>
  <c r="DX97" i="226" s="1"/>
  <c r="EN97" i="226" a="1"/>
  <c r="EN97" i="226" s="1"/>
  <c r="DY97" i="226" a="1"/>
  <c r="DY97" i="226" s="1"/>
  <c r="DU97" i="226" a="1"/>
  <c r="DU97" i="226" s="1"/>
  <c r="DZ97" i="226" a="1"/>
  <c r="DZ97" i="226" s="1"/>
  <c r="DV97" i="226" a="1"/>
  <c r="DV97" i="226" s="1"/>
  <c r="EA97" i="226" a="1"/>
  <c r="EA97" i="226" s="1"/>
  <c r="EM97" i="226" a="1"/>
  <c r="EM97" i="226" s="1"/>
  <c r="DW97" i="226" a="1"/>
  <c r="DW97" i="226" s="1"/>
  <c r="EV41" i="226"/>
  <c r="EW41" i="226"/>
  <c r="ER41" i="226"/>
  <c r="EX41" i="226"/>
  <c r="EY41" i="226"/>
  <c r="ES41" i="226"/>
  <c r="ET41" i="226"/>
  <c r="EU41" i="226"/>
  <c r="EP41" i="226" a="1"/>
  <c r="EP41" i="226" s="1"/>
  <c r="EH41" i="226" a="1"/>
  <c r="EH41" i="226" s="1"/>
  <c r="EC41" i="226" a="1"/>
  <c r="EC41" i="226" s="1"/>
  <c r="DZ41" i="226" a="1"/>
  <c r="DZ41" i="226" s="1"/>
  <c r="EO41" i="226" a="1"/>
  <c r="EO41" i="226" s="1"/>
  <c r="EB41" i="226" a="1"/>
  <c r="EB41" i="226" s="1"/>
  <c r="DV41" i="226" a="1"/>
  <c r="DV41" i="226" s="1"/>
  <c r="ED41" i="226" a="1"/>
  <c r="ED41" i="226" s="1"/>
  <c r="EI41" i="226" a="1"/>
  <c r="EI41" i="226" s="1"/>
  <c r="EN41" i="226" a="1"/>
  <c r="EN41" i="226" s="1"/>
  <c r="EG41" i="226" a="1"/>
  <c r="EG41" i="226" s="1"/>
  <c r="EA41" i="226" a="1"/>
  <c r="EA41" i="226" s="1"/>
  <c r="EM41" i="226" a="1"/>
  <c r="EM41" i="226" s="1"/>
  <c r="EF41" i="226" a="1"/>
  <c r="EF41" i="226" s="1"/>
  <c r="DW41" i="226" a="1"/>
  <c r="DW41" i="226" s="1"/>
  <c r="EL41" i="226" a="1"/>
  <c r="EL41" i="226" s="1"/>
  <c r="DX41" i="226" a="1"/>
  <c r="DX41" i="226" s="1"/>
  <c r="DY41" i="226" a="1"/>
  <c r="DY41" i="226" s="1"/>
  <c r="EK41" i="226" a="1"/>
  <c r="EK41" i="226" s="1"/>
  <c r="EE41" i="226" a="1"/>
  <c r="EE41" i="226" s="1"/>
  <c r="DU41" i="226" a="1"/>
  <c r="DU41" i="226" s="1"/>
  <c r="EJ41" i="226" a="1"/>
  <c r="EJ41" i="226" s="1"/>
  <c r="EQ41" i="226" a="1"/>
  <c r="EQ41" i="226" s="1"/>
  <c r="ET57" i="226"/>
  <c r="ER57" i="226"/>
  <c r="EU57" i="226"/>
  <c r="EY57" i="226"/>
  <c r="EV57" i="226"/>
  <c r="EW57" i="226"/>
  <c r="EX57" i="226"/>
  <c r="ED57" i="226" a="1"/>
  <c r="ED57" i="226" s="1"/>
  <c r="ES57" i="226"/>
  <c r="EQ57" i="226" a="1"/>
  <c r="EQ57" i="226" s="1"/>
  <c r="EK57" i="226" a="1"/>
  <c r="EK57" i="226" s="1"/>
  <c r="EC57" i="226" a="1"/>
  <c r="EC57" i="226" s="1"/>
  <c r="EP57" i="226" a="1"/>
  <c r="EP57" i="226" s="1"/>
  <c r="EJ57" i="226" a="1"/>
  <c r="EJ57" i="226" s="1"/>
  <c r="EB57" i="226" a="1"/>
  <c r="EB57" i="226" s="1"/>
  <c r="EI57" i="226" a="1"/>
  <c r="EI57" i="226" s="1"/>
  <c r="EO57" i="226" a="1"/>
  <c r="EO57" i="226" s="1"/>
  <c r="EH57" i="226" a="1"/>
  <c r="EH57" i="226" s="1"/>
  <c r="EN57" i="226" a="1"/>
  <c r="EN57" i="226" s="1"/>
  <c r="EG57" i="226" a="1"/>
  <c r="EG57" i="226" s="1"/>
  <c r="EF57" i="226" a="1"/>
  <c r="EF57" i="226" s="1"/>
  <c r="EE57" i="226" a="1"/>
  <c r="EE57" i="226" s="1"/>
  <c r="DV57" i="226" a="1"/>
  <c r="DV57" i="226" s="1"/>
  <c r="EA57" i="226" a="1"/>
  <c r="EA57" i="226" s="1"/>
  <c r="DZ57" i="226" a="1"/>
  <c r="DZ57" i="226" s="1"/>
  <c r="DW57" i="226" a="1"/>
  <c r="DW57" i="226" s="1"/>
  <c r="EL57" i="226" a="1"/>
  <c r="EL57" i="226" s="1"/>
  <c r="EM57" i="226" a="1"/>
  <c r="EM57" i="226" s="1"/>
  <c r="DY57" i="226" a="1"/>
  <c r="DY57" i="226" s="1"/>
  <c r="DX57" i="226" a="1"/>
  <c r="DX57" i="226" s="1"/>
  <c r="DU57" i="226" a="1"/>
  <c r="DU57" i="226" s="1"/>
  <c r="ES78" i="226"/>
  <c r="ET78" i="226"/>
  <c r="EU78" i="226"/>
  <c r="EV78" i="226"/>
  <c r="EY78" i="226"/>
  <c r="EW78" i="226"/>
  <c r="EO78" i="226" a="1"/>
  <c r="EO78" i="226" s="1"/>
  <c r="EH78" i="226" a="1"/>
  <c r="EH78" i="226" s="1"/>
  <c r="EB78" i="226" a="1"/>
  <c r="EB78" i="226" s="1"/>
  <c r="EN78" i="226" a="1"/>
  <c r="EN78" i="226" s="1"/>
  <c r="EG78" i="226" a="1"/>
  <c r="EG78" i="226" s="1"/>
  <c r="EM78" i="226" a="1"/>
  <c r="EM78" i="226" s="1"/>
  <c r="EF78" i="226" a="1"/>
  <c r="EF78" i="226" s="1"/>
  <c r="EL78" i="226" a="1"/>
  <c r="EL78" i="226" s="1"/>
  <c r="ER78" i="226"/>
  <c r="EQ78" i="226" a="1"/>
  <c r="EQ78" i="226" s="1"/>
  <c r="EK78" i="226" a="1"/>
  <c r="EK78" i="226" s="1"/>
  <c r="EE78" i="226" a="1"/>
  <c r="EE78" i="226" s="1"/>
  <c r="ED78" i="226" a="1"/>
  <c r="ED78" i="226" s="1"/>
  <c r="DW78" i="226" a="1"/>
  <c r="DW78" i="226" s="1"/>
  <c r="DU78" i="226" a="1"/>
  <c r="DU78" i="226" s="1"/>
  <c r="EJ78" i="226" a="1"/>
  <c r="EJ78" i="226" s="1"/>
  <c r="EI78" i="226" a="1"/>
  <c r="EI78" i="226" s="1"/>
  <c r="DV78" i="226" a="1"/>
  <c r="DV78" i="226" s="1"/>
  <c r="EC78" i="226" a="1"/>
  <c r="EC78" i="226" s="1"/>
  <c r="DX78" i="226" a="1"/>
  <c r="DX78" i="226" s="1"/>
  <c r="EX78" i="226"/>
  <c r="DY78" i="226" a="1"/>
  <c r="DY78" i="226" s="1"/>
  <c r="EP78" i="226" a="1"/>
  <c r="EP78" i="226" s="1"/>
  <c r="DZ78" i="226" a="1"/>
  <c r="DZ78" i="226" s="1"/>
  <c r="EA78" i="226" a="1"/>
  <c r="EA78" i="226" s="1"/>
  <c r="EV103" i="226"/>
  <c r="EW103" i="226"/>
  <c r="EX103" i="226"/>
  <c r="EY103" i="226"/>
  <c r="ES103" i="226"/>
  <c r="EQ103" i="226" a="1"/>
  <c r="EQ103" i="226" s="1"/>
  <c r="EI103" i="226" a="1"/>
  <c r="EI103" i="226" s="1"/>
  <c r="EB103" i="226" a="1"/>
  <c r="EB103" i="226" s="1"/>
  <c r="EP103" i="226" a="1"/>
  <c r="EP103" i="226" s="1"/>
  <c r="EO103" i="226" a="1"/>
  <c r="EO103" i="226" s="1"/>
  <c r="EH103" i="226" a="1"/>
  <c r="EH103" i="226" s="1"/>
  <c r="ER103" i="226"/>
  <c r="EN103" i="226" a="1"/>
  <c r="EN103" i="226" s="1"/>
  <c r="EG103" i="226" a="1"/>
  <c r="EG103" i="226" s="1"/>
  <c r="EM103" i="226" a="1"/>
  <c r="EM103" i="226" s="1"/>
  <c r="EF103" i="226" a="1"/>
  <c r="EF103" i="226" s="1"/>
  <c r="EL103" i="226" a="1"/>
  <c r="EL103" i="226" s="1"/>
  <c r="EE103" i="226" a="1"/>
  <c r="EE103" i="226" s="1"/>
  <c r="DU103" i="226" a="1"/>
  <c r="DU103" i="226" s="1"/>
  <c r="DZ103" i="226" a="1"/>
  <c r="DZ103" i="226" s="1"/>
  <c r="ET103" i="226"/>
  <c r="EK103" i="226" a="1"/>
  <c r="EK103" i="226" s="1"/>
  <c r="EA103" i="226" a="1"/>
  <c r="EA103" i="226" s="1"/>
  <c r="EU103" i="226"/>
  <c r="EJ103" i="226" a="1"/>
  <c r="EJ103" i="226" s="1"/>
  <c r="DV103" i="226" a="1"/>
  <c r="DV103" i="226" s="1"/>
  <c r="ED103" i="226" a="1"/>
  <c r="ED103" i="226" s="1"/>
  <c r="DW103" i="226" a="1"/>
  <c r="DW103" i="226" s="1"/>
  <c r="EC103" i="226" a="1"/>
  <c r="EC103" i="226" s="1"/>
  <c r="DX103" i="226" a="1"/>
  <c r="DX103" i="226" s="1"/>
  <c r="DY103" i="226" a="1"/>
  <c r="DY103" i="226" s="1"/>
  <c r="EX24" i="226"/>
  <c r="ER24" i="226"/>
  <c r="ES24" i="226"/>
  <c r="EY24" i="226"/>
  <c r="ET24" i="226"/>
  <c r="EU24" i="226"/>
  <c r="EV24" i="226"/>
  <c r="EW24" i="226"/>
  <c r="EM24" i="226" a="1"/>
  <c r="EM24" i="226" s="1"/>
  <c r="EF24" i="226" a="1"/>
  <c r="EF24" i="226" s="1"/>
  <c r="DX24" i="226" a="1"/>
  <c r="DX24" i="226" s="1"/>
  <c r="EG24" i="226" a="1"/>
  <c r="EG24" i="226" s="1"/>
  <c r="EL24" i="226" a="1"/>
  <c r="EL24" i="226" s="1"/>
  <c r="EE24" i="226" a="1"/>
  <c r="EE24" i="226" s="1"/>
  <c r="DY24" i="226" a="1"/>
  <c r="DY24" i="226" s="1"/>
  <c r="DW24" i="226" a="1"/>
  <c r="DW24" i="226" s="1"/>
  <c r="EK24" i="226" a="1"/>
  <c r="EK24" i="226" s="1"/>
  <c r="DZ24" i="226" a="1"/>
  <c r="DZ24" i="226" s="1"/>
  <c r="EO24" i="226" a="1"/>
  <c r="EO24" i="226" s="1"/>
  <c r="EJ24" i="226" a="1"/>
  <c r="EJ24" i="226" s="1"/>
  <c r="ED24" i="226" a="1"/>
  <c r="ED24" i="226" s="1"/>
  <c r="EQ24" i="226" a="1"/>
  <c r="EQ24" i="226" s="1"/>
  <c r="EI24" i="226" a="1"/>
  <c r="EI24" i="226" s="1"/>
  <c r="EC24" i="226" a="1"/>
  <c r="EC24" i="226" s="1"/>
  <c r="EA24" i="226" a="1"/>
  <c r="EA24" i="226" s="1"/>
  <c r="EH24" i="226" a="1"/>
  <c r="EH24" i="226" s="1"/>
  <c r="EN24" i="226" a="1"/>
  <c r="EN24" i="226" s="1"/>
  <c r="EP24" i="226" a="1"/>
  <c r="EP24" i="226" s="1"/>
  <c r="EB24" i="226" a="1"/>
  <c r="EB24" i="226" s="1"/>
  <c r="DV24" i="226" a="1"/>
  <c r="DV24" i="226" s="1"/>
  <c r="DU24" i="226" a="1"/>
  <c r="DU24" i="226" s="1"/>
  <c r="EV23" i="226"/>
  <c r="EW23" i="226"/>
  <c r="ER23" i="226"/>
  <c r="EX23" i="226"/>
  <c r="EY23" i="226"/>
  <c r="ES23" i="226"/>
  <c r="ET23" i="226"/>
  <c r="EU23" i="226"/>
  <c r="EO23" i="226" a="1"/>
  <c r="EO23" i="226" s="1"/>
  <c r="EH23" i="226" a="1"/>
  <c r="EH23" i="226" s="1"/>
  <c r="DX23" i="226" a="1"/>
  <c r="DX23" i="226" s="1"/>
  <c r="EN23" i="226" a="1"/>
  <c r="EN23" i="226" s="1"/>
  <c r="EG23" i="226" a="1"/>
  <c r="EG23" i="226" s="1"/>
  <c r="EB23" i="226" a="1"/>
  <c r="EB23" i="226" s="1"/>
  <c r="EM23" i="226" a="1"/>
  <c r="EM23" i="226" s="1"/>
  <c r="EF23" i="226" a="1"/>
  <c r="EF23" i="226" s="1"/>
  <c r="DY23" i="226" a="1"/>
  <c r="DY23" i="226" s="1"/>
  <c r="EE23" i="226" a="1"/>
  <c r="EE23" i="226" s="1"/>
  <c r="DZ23" i="226" a="1"/>
  <c r="DZ23" i="226" s="1"/>
  <c r="DU23" i="226" a="1"/>
  <c r="DU23" i="226" s="1"/>
  <c r="EQ23" i="226" a="1"/>
  <c r="EQ23" i="226" s="1"/>
  <c r="EP23" i="226" a="1"/>
  <c r="EP23" i="226" s="1"/>
  <c r="DW23" i="226" a="1"/>
  <c r="DW23" i="226" s="1"/>
  <c r="EL23" i="226" a="1"/>
  <c r="EL23" i="226" s="1"/>
  <c r="ED23" i="226" a="1"/>
  <c r="ED23" i="226" s="1"/>
  <c r="EA23" i="226" a="1"/>
  <c r="EA23" i="226" s="1"/>
  <c r="DV23" i="226" a="1"/>
  <c r="DV23" i="226" s="1"/>
  <c r="EK23" i="226" a="1"/>
  <c r="EK23" i="226" s="1"/>
  <c r="EC23" i="226" a="1"/>
  <c r="EC23" i="226" s="1"/>
  <c r="EJ23" i="226" a="1"/>
  <c r="EJ23" i="226" s="1"/>
  <c r="EI23" i="226" a="1"/>
  <c r="EI23" i="226" s="1"/>
  <c r="EX60" i="226"/>
  <c r="ER60" i="226"/>
  <c r="ES60" i="226"/>
  <c r="EY60" i="226"/>
  <c r="ET60" i="226"/>
  <c r="EU60" i="226"/>
  <c r="EO60" i="226" a="1"/>
  <c r="EO60" i="226" s="1"/>
  <c r="EH60" i="226" a="1"/>
  <c r="EH60" i="226" s="1"/>
  <c r="EN60" i="226" a="1"/>
  <c r="EN60" i="226" s="1"/>
  <c r="EG60" i="226" a="1"/>
  <c r="EG60" i="226" s="1"/>
  <c r="EM60" i="226" a="1"/>
  <c r="EM60" i="226" s="1"/>
  <c r="EF60" i="226" a="1"/>
  <c r="EF60" i="226" s="1"/>
  <c r="EL60" i="226" a="1"/>
  <c r="EL60" i="226" s="1"/>
  <c r="EE60" i="226" a="1"/>
  <c r="EE60" i="226" s="1"/>
  <c r="EV60" i="226"/>
  <c r="ED60" i="226" a="1"/>
  <c r="ED60" i="226" s="1"/>
  <c r="EW60" i="226"/>
  <c r="EQ60" i="226" a="1"/>
  <c r="EQ60" i="226" s="1"/>
  <c r="EK60" i="226" a="1"/>
  <c r="EK60" i="226" s="1"/>
  <c r="EC60" i="226" a="1"/>
  <c r="EC60" i="226" s="1"/>
  <c r="EB60" i="226" a="1"/>
  <c r="EB60" i="226" s="1"/>
  <c r="DW60" i="226" a="1"/>
  <c r="DW60" i="226" s="1"/>
  <c r="DU60" i="226" a="1"/>
  <c r="DU60" i="226" s="1"/>
  <c r="DV60" i="226" a="1"/>
  <c r="DV60" i="226" s="1"/>
  <c r="EJ60" i="226" a="1"/>
  <c r="EJ60" i="226" s="1"/>
  <c r="EI60" i="226" a="1"/>
  <c r="EI60" i="226" s="1"/>
  <c r="DX60" i="226" a="1"/>
  <c r="DX60" i="226" s="1"/>
  <c r="DY60" i="226" a="1"/>
  <c r="DY60" i="226" s="1"/>
  <c r="EA60" i="226" a="1"/>
  <c r="EA60" i="226" s="1"/>
  <c r="EP60" i="226" a="1"/>
  <c r="EP60" i="226" s="1"/>
  <c r="DZ60" i="226" a="1"/>
  <c r="DZ60" i="226" s="1"/>
  <c r="ES26" i="226"/>
  <c r="ET26" i="226"/>
  <c r="EU26" i="226"/>
  <c r="ER26" i="226"/>
  <c r="EV26" i="226"/>
  <c r="EY26" i="226"/>
  <c r="EW26" i="226"/>
  <c r="EX26" i="226"/>
  <c r="EE26" i="226" a="1"/>
  <c r="EE26" i="226" s="1"/>
  <c r="DW26" i="226" a="1"/>
  <c r="DW26" i="226" s="1"/>
  <c r="EG26" i="226" a="1"/>
  <c r="EG26" i="226" s="1"/>
  <c r="EL26" i="226" a="1"/>
  <c r="EL26" i="226" s="1"/>
  <c r="ED26" i="226" a="1"/>
  <c r="ED26" i="226" s="1"/>
  <c r="DX26" i="226" a="1"/>
  <c r="DX26" i="226" s="1"/>
  <c r="EF26" i="226" a="1"/>
  <c r="EF26" i="226" s="1"/>
  <c r="DV26" i="226" a="1"/>
  <c r="DV26" i="226" s="1"/>
  <c r="EK26" i="226" a="1"/>
  <c r="EK26" i="226" s="1"/>
  <c r="EC26" i="226" a="1"/>
  <c r="EC26" i="226" s="1"/>
  <c r="EM26" i="226" a="1"/>
  <c r="EM26" i="226" s="1"/>
  <c r="EQ26" i="226" a="1"/>
  <c r="EQ26" i="226" s="1"/>
  <c r="EJ26" i="226" a="1"/>
  <c r="EJ26" i="226" s="1"/>
  <c r="EB26" i="226" a="1"/>
  <c r="EB26" i="226" s="1"/>
  <c r="DY26" i="226" a="1"/>
  <c r="DY26" i="226" s="1"/>
  <c r="EA26" i="226" a="1"/>
  <c r="EA26" i="226" s="1"/>
  <c r="EP26" i="226" a="1"/>
  <c r="EP26" i="226" s="1"/>
  <c r="EI26" i="226" a="1"/>
  <c r="EI26" i="226" s="1"/>
  <c r="EO26" i="226" a="1"/>
  <c r="EO26" i="226" s="1"/>
  <c r="EH26" i="226" a="1"/>
  <c r="EH26" i="226" s="1"/>
  <c r="DZ26" i="226" a="1"/>
  <c r="DZ26" i="226" s="1"/>
  <c r="DU26" i="226" a="1"/>
  <c r="DU26" i="226" s="1"/>
  <c r="EN26" i="226" a="1"/>
  <c r="EN26" i="226" s="1"/>
  <c r="EV85" i="226"/>
  <c r="EW85" i="226"/>
  <c r="EX85" i="226"/>
  <c r="EY85" i="226"/>
  <c r="ES85" i="226"/>
  <c r="EO85" i="226" a="1"/>
  <c r="EO85" i="226" s="1"/>
  <c r="EH85" i="226" a="1"/>
  <c r="EH85" i="226" s="1"/>
  <c r="EC85" i="226" a="1"/>
  <c r="EC85" i="226" s="1"/>
  <c r="EN85" i="226" a="1"/>
  <c r="EN85" i="226" s="1"/>
  <c r="EB85" i="226" a="1"/>
  <c r="EB85" i="226" s="1"/>
  <c r="EG85" i="226" a="1"/>
  <c r="EG85" i="226" s="1"/>
  <c r="ER85" i="226"/>
  <c r="EM85" i="226" a="1"/>
  <c r="EM85" i="226" s="1"/>
  <c r="EF85" i="226" a="1"/>
  <c r="EF85" i="226" s="1"/>
  <c r="EL85" i="226" a="1"/>
  <c r="EL85" i="226" s="1"/>
  <c r="EQ85" i="226" a="1"/>
  <c r="EQ85" i="226" s="1"/>
  <c r="EK85" i="226" a="1"/>
  <c r="EK85" i="226" s="1"/>
  <c r="EE85" i="226" a="1"/>
  <c r="EE85" i="226" s="1"/>
  <c r="EJ85" i="226" a="1"/>
  <c r="EJ85" i="226" s="1"/>
  <c r="DV85" i="226" a="1"/>
  <c r="DV85" i="226" s="1"/>
  <c r="EI85" i="226" a="1"/>
  <c r="EI85" i="226" s="1"/>
  <c r="DW85" i="226" a="1"/>
  <c r="DW85" i="226" s="1"/>
  <c r="DU85" i="226" a="1"/>
  <c r="DU85" i="226" s="1"/>
  <c r="EA85" i="226" a="1"/>
  <c r="EA85" i="226" s="1"/>
  <c r="ED85" i="226" a="1"/>
  <c r="ED85" i="226" s="1"/>
  <c r="DX85" i="226" a="1"/>
  <c r="DX85" i="226" s="1"/>
  <c r="DY85" i="226" a="1"/>
  <c r="DY85" i="226" s="1"/>
  <c r="ET85" i="226"/>
  <c r="EU85" i="226"/>
  <c r="DZ85" i="226" a="1"/>
  <c r="DZ85" i="226" s="1"/>
  <c r="EP85" i="226" a="1"/>
  <c r="EP85" i="226" s="1"/>
  <c r="ET110" i="226"/>
  <c r="EU110" i="226"/>
  <c r="EY110" i="226"/>
  <c r="EV110" i="226"/>
  <c r="EW110" i="226"/>
  <c r="EX110" i="226"/>
  <c r="EP110" i="226" a="1"/>
  <c r="EP110" i="226" s="1"/>
  <c r="EJ110" i="226" a="1"/>
  <c r="EJ110" i="226" s="1"/>
  <c r="EE110" i="226" a="1"/>
  <c r="EE110" i="226" s="1"/>
  <c r="ES110" i="226"/>
  <c r="EO110" i="226" a="1"/>
  <c r="EO110" i="226" s="1"/>
  <c r="ER110" i="226"/>
  <c r="EN110" i="226" a="1"/>
  <c r="EN110" i="226" s="1"/>
  <c r="EI110" i="226" a="1"/>
  <c r="EI110" i="226" s="1"/>
  <c r="ED110" i="226" a="1"/>
  <c r="ED110" i="226" s="1"/>
  <c r="EC110" i="226" a="1"/>
  <c r="EC110" i="226" s="1"/>
  <c r="EM110" i="226" a="1"/>
  <c r="EM110" i="226" s="1"/>
  <c r="EH110" i="226" a="1"/>
  <c r="EH110" i="226" s="1"/>
  <c r="EB110" i="226" a="1"/>
  <c r="EB110" i="226" s="1"/>
  <c r="EG110" i="226" a="1"/>
  <c r="EG110" i="226" s="1"/>
  <c r="EQ110" i="226" a="1"/>
  <c r="EQ110" i="226" s="1"/>
  <c r="DZ110" i="226" a="1"/>
  <c r="DZ110" i="226" s="1"/>
  <c r="DV110" i="226" a="1"/>
  <c r="DV110" i="226" s="1"/>
  <c r="EA110" i="226" a="1"/>
  <c r="EA110" i="226" s="1"/>
  <c r="EL110" i="226" a="1"/>
  <c r="EL110" i="226" s="1"/>
  <c r="EK110" i="226" a="1"/>
  <c r="EK110" i="226" s="1"/>
  <c r="DW110" i="226" a="1"/>
  <c r="DW110" i="226" s="1"/>
  <c r="EF110" i="226" a="1"/>
  <c r="EF110" i="226" s="1"/>
  <c r="DU110" i="226" a="1"/>
  <c r="DU110" i="226" s="1"/>
  <c r="DX110" i="226" a="1"/>
  <c r="DX110" i="226" s="1"/>
  <c r="DY110" i="226" a="1"/>
  <c r="DY110" i="226" s="1"/>
  <c r="EV54" i="226"/>
  <c r="EW54" i="226"/>
  <c r="EX54" i="226"/>
  <c r="ES54" i="226"/>
  <c r="ER54" i="226"/>
  <c r="EO54" i="226" a="1"/>
  <c r="EO54" i="226" s="1"/>
  <c r="EY54" i="226"/>
  <c r="EN54" i="226" a="1"/>
  <c r="EN54" i="226" s="1"/>
  <c r="EG54" i="226" a="1"/>
  <c r="EG54" i="226" s="1"/>
  <c r="EM54" i="226" a="1"/>
  <c r="EM54" i="226" s="1"/>
  <c r="EF54" i="226" a="1"/>
  <c r="EF54" i="226" s="1"/>
  <c r="EL54" i="226" a="1"/>
  <c r="EL54" i="226" s="1"/>
  <c r="ET54" i="226"/>
  <c r="EK54" i="226" a="1"/>
  <c r="EK54" i="226" s="1"/>
  <c r="EE54" i="226" a="1"/>
  <c r="EE54" i="226" s="1"/>
  <c r="EU54" i="226"/>
  <c r="EJ54" i="226" a="1"/>
  <c r="EJ54" i="226" s="1"/>
  <c r="ED54" i="226" a="1"/>
  <c r="ED54" i="226" s="1"/>
  <c r="DW54" i="226" a="1"/>
  <c r="DW54" i="226" s="1"/>
  <c r="DV54" i="226" a="1"/>
  <c r="DV54" i="226" s="1"/>
  <c r="DX54" i="226" a="1"/>
  <c r="DX54" i="226" s="1"/>
  <c r="DU54" i="226" a="1"/>
  <c r="DU54" i="226" s="1"/>
  <c r="EQ54" i="226" a="1"/>
  <c r="EQ54" i="226" s="1"/>
  <c r="EA54" i="226" a="1"/>
  <c r="EA54" i="226" s="1"/>
  <c r="EP54" i="226" a="1"/>
  <c r="EP54" i="226" s="1"/>
  <c r="DY54" i="226" a="1"/>
  <c r="DY54" i="226" s="1"/>
  <c r="EI54" i="226" a="1"/>
  <c r="EI54" i="226" s="1"/>
  <c r="EH54" i="226" a="1"/>
  <c r="EH54" i="226" s="1"/>
  <c r="DZ54" i="226" a="1"/>
  <c r="DZ54" i="226" s="1"/>
  <c r="EC54" i="226" a="1"/>
  <c r="EC54" i="226" s="1"/>
  <c r="EB54" i="226" a="1"/>
  <c r="EB54" i="226" s="1"/>
  <c r="EY90" i="226"/>
  <c r="EX90" i="226"/>
  <c r="ES90" i="226"/>
  <c r="ET90" i="226"/>
  <c r="EU90" i="226"/>
  <c r="ER90" i="226"/>
  <c r="EN90" i="226" a="1"/>
  <c r="EN90" i="226" s="1"/>
  <c r="EG90" i="226" a="1"/>
  <c r="EG90" i="226" s="1"/>
  <c r="EF90" i="226" a="1"/>
  <c r="EF90" i="226" s="1"/>
  <c r="EM90" i="226" a="1"/>
  <c r="EM90" i="226" s="1"/>
  <c r="EE90" i="226" a="1"/>
  <c r="EE90" i="226" s="1"/>
  <c r="EL90" i="226" a="1"/>
  <c r="EL90" i="226" s="1"/>
  <c r="ED90" i="226" a="1"/>
  <c r="ED90" i="226" s="1"/>
  <c r="EK90" i="226" a="1"/>
  <c r="EK90" i="226" s="1"/>
  <c r="EC90" i="226" a="1"/>
  <c r="EC90" i="226" s="1"/>
  <c r="EQ90" i="226" a="1"/>
  <c r="EQ90" i="226" s="1"/>
  <c r="EJ90" i="226" a="1"/>
  <c r="EJ90" i="226" s="1"/>
  <c r="EB90" i="226" a="1"/>
  <c r="EB90" i="226" s="1"/>
  <c r="EI90" i="226" a="1"/>
  <c r="EI90" i="226" s="1"/>
  <c r="DX90" i="226" a="1"/>
  <c r="DX90" i="226" s="1"/>
  <c r="EW90" i="226"/>
  <c r="EH90" i="226" a="1"/>
  <c r="EH90" i="226" s="1"/>
  <c r="DY90" i="226" a="1"/>
  <c r="DY90" i="226" s="1"/>
  <c r="DU90" i="226" a="1"/>
  <c r="DU90" i="226" s="1"/>
  <c r="DW90" i="226" a="1"/>
  <c r="DW90" i="226" s="1"/>
  <c r="DZ90" i="226" a="1"/>
  <c r="DZ90" i="226" s="1"/>
  <c r="EP90" i="226" a="1"/>
  <c r="EP90" i="226" s="1"/>
  <c r="EO90" i="226" a="1"/>
  <c r="EO90" i="226" s="1"/>
  <c r="EA90" i="226" a="1"/>
  <c r="EA90" i="226" s="1"/>
  <c r="EV90" i="226"/>
  <c r="DV90" i="226" a="1"/>
  <c r="DV90" i="226" s="1"/>
  <c r="EY109" i="226"/>
  <c r="ES109" i="226"/>
  <c r="ET109" i="226"/>
  <c r="EU109" i="226"/>
  <c r="EV109" i="226"/>
  <c r="EW109" i="226"/>
  <c r="EX109" i="226"/>
  <c r="EP109" i="226" a="1"/>
  <c r="EP109" i="226" s="1"/>
  <c r="EJ109" i="226" a="1"/>
  <c r="EJ109" i="226" s="1"/>
  <c r="EE109" i="226" a="1"/>
  <c r="EE109" i="226" s="1"/>
  <c r="ER109" i="226"/>
  <c r="EO109" i="226" a="1"/>
  <c r="EO109" i="226" s="1"/>
  <c r="EN109" i="226" a="1"/>
  <c r="EN109" i="226" s="1"/>
  <c r="EI109" i="226" a="1"/>
  <c r="EI109" i="226" s="1"/>
  <c r="ED109" i="226" a="1"/>
  <c r="ED109" i="226" s="1"/>
  <c r="EC109" i="226" a="1"/>
  <c r="EC109" i="226" s="1"/>
  <c r="EM109" i="226" a="1"/>
  <c r="EM109" i="226" s="1"/>
  <c r="EH109" i="226" a="1"/>
  <c r="EH109" i="226" s="1"/>
  <c r="EB109" i="226" a="1"/>
  <c r="EB109" i="226" s="1"/>
  <c r="EG109" i="226" a="1"/>
  <c r="EG109" i="226" s="1"/>
  <c r="EL109" i="226" a="1"/>
  <c r="EL109" i="226" s="1"/>
  <c r="EA109" i="226" a="1"/>
  <c r="EA109" i="226" s="1"/>
  <c r="EK109" i="226" a="1"/>
  <c r="EK109" i="226" s="1"/>
  <c r="DV109" i="226" a="1"/>
  <c r="DV109" i="226" s="1"/>
  <c r="EQ109" i="226" a="1"/>
  <c r="EQ109" i="226" s="1"/>
  <c r="EF109" i="226" a="1"/>
  <c r="EF109" i="226" s="1"/>
  <c r="DW109" i="226" a="1"/>
  <c r="DW109" i="226" s="1"/>
  <c r="DX109" i="226" a="1"/>
  <c r="DX109" i="226" s="1"/>
  <c r="DU109" i="226" a="1"/>
  <c r="DU109" i="226" s="1"/>
  <c r="DZ109" i="226" a="1"/>
  <c r="DZ109" i="226" s="1"/>
  <c r="DY109" i="226" a="1"/>
  <c r="DY109" i="226" s="1"/>
  <c r="EY108" i="226"/>
  <c r="EX108" i="226"/>
  <c r="ES108" i="226"/>
  <c r="ET108" i="226"/>
  <c r="EU108" i="226"/>
  <c r="ER108" i="226"/>
  <c r="EN108" i="226" a="1"/>
  <c r="EN108" i="226" s="1"/>
  <c r="EF108" i="226" a="1"/>
  <c r="EF108" i="226" s="1"/>
  <c r="EM108" i="226" a="1"/>
  <c r="EM108" i="226" s="1"/>
  <c r="EL108" i="226" a="1"/>
  <c r="EL108" i="226" s="1"/>
  <c r="EE108" i="226" a="1"/>
  <c r="EE108" i="226" s="1"/>
  <c r="EK108" i="226" a="1"/>
  <c r="EK108" i="226" s="1"/>
  <c r="ED108" i="226" a="1"/>
  <c r="ED108" i="226" s="1"/>
  <c r="EJ108" i="226" a="1"/>
  <c r="EJ108" i="226" s="1"/>
  <c r="EC108" i="226" a="1"/>
  <c r="EC108" i="226" s="1"/>
  <c r="EQ108" i="226" a="1"/>
  <c r="EQ108" i="226" s="1"/>
  <c r="EI108" i="226" a="1"/>
  <c r="EI108" i="226" s="1"/>
  <c r="EB108" i="226" a="1"/>
  <c r="EB108" i="226" s="1"/>
  <c r="EH108" i="226" a="1"/>
  <c r="EH108" i="226" s="1"/>
  <c r="DW108" i="226" a="1"/>
  <c r="DW108" i="226" s="1"/>
  <c r="DU108" i="226" a="1"/>
  <c r="DU108" i="226" s="1"/>
  <c r="EG108" i="226" a="1"/>
  <c r="EG108" i="226" s="1"/>
  <c r="DV108" i="226" a="1"/>
  <c r="DV108" i="226" s="1"/>
  <c r="DX108" i="226" a="1"/>
  <c r="DX108" i="226" s="1"/>
  <c r="EV108" i="226"/>
  <c r="EP108" i="226" a="1"/>
  <c r="EP108" i="226" s="1"/>
  <c r="DY108" i="226" a="1"/>
  <c r="DY108" i="226" s="1"/>
  <c r="EW108" i="226"/>
  <c r="EO108" i="226" a="1"/>
  <c r="EO108" i="226" s="1"/>
  <c r="DZ108" i="226" a="1"/>
  <c r="DZ108" i="226" s="1"/>
  <c r="EA108" i="226" a="1"/>
  <c r="EA108" i="226" s="1"/>
  <c r="EX51" i="226"/>
  <c r="ER51" i="226"/>
  <c r="ES51" i="226"/>
  <c r="EY51" i="226"/>
  <c r="ET51" i="226"/>
  <c r="EU51" i="226"/>
  <c r="EV51" i="226"/>
  <c r="EJ51" i="226" a="1"/>
  <c r="EJ51" i="226" s="1"/>
  <c r="ED51" i="226" a="1"/>
  <c r="ED51" i="226" s="1"/>
  <c r="EW51" i="226"/>
  <c r="EQ51" i="226" a="1"/>
  <c r="EQ51" i="226" s="1"/>
  <c r="EI51" i="226" a="1"/>
  <c r="EI51" i="226" s="1"/>
  <c r="EP51" i="226" a="1"/>
  <c r="EP51" i="226" s="1"/>
  <c r="EH51" i="226" a="1"/>
  <c r="EH51" i="226" s="1"/>
  <c r="EC51" i="226" a="1"/>
  <c r="EC51" i="226" s="1"/>
  <c r="EO51" i="226" a="1"/>
  <c r="EO51" i="226" s="1"/>
  <c r="EB51" i="226" a="1"/>
  <c r="EB51" i="226" s="1"/>
  <c r="EN51" i="226" a="1"/>
  <c r="EN51" i="226" s="1"/>
  <c r="EG51" i="226" a="1"/>
  <c r="EG51" i="226" s="1"/>
  <c r="EM51" i="226" a="1"/>
  <c r="EM51" i="226" s="1"/>
  <c r="EF51" i="226" a="1"/>
  <c r="EF51" i="226" s="1"/>
  <c r="DY51" i="226" a="1"/>
  <c r="DY51" i="226" s="1"/>
  <c r="DZ51" i="226" a="1"/>
  <c r="DZ51" i="226" s="1"/>
  <c r="EL51" i="226" a="1"/>
  <c r="EL51" i="226" s="1"/>
  <c r="EK51" i="226" a="1"/>
  <c r="EK51" i="226" s="1"/>
  <c r="DV51" i="226" a="1"/>
  <c r="DV51" i="226" s="1"/>
  <c r="EA51" i="226" a="1"/>
  <c r="EA51" i="226" s="1"/>
  <c r="EE51" i="226" a="1"/>
  <c r="EE51" i="226" s="1"/>
  <c r="DW51" i="226" a="1"/>
  <c r="DW51" i="226" s="1"/>
  <c r="DU51" i="226" a="1"/>
  <c r="DU51" i="226" s="1"/>
  <c r="DX51" i="226" a="1"/>
  <c r="DX51" i="226" s="1"/>
  <c r="ET75" i="226"/>
  <c r="EU75" i="226"/>
  <c r="EY75" i="226"/>
  <c r="EV75" i="226"/>
  <c r="EW75" i="226"/>
  <c r="EX75" i="226"/>
  <c r="EM75" i="226" a="1"/>
  <c r="EM75" i="226" s="1"/>
  <c r="EF75" i="226" a="1"/>
  <c r="EF75" i="226" s="1"/>
  <c r="ES75" i="226"/>
  <c r="EL75" i="226" a="1"/>
  <c r="EL75" i="226" s="1"/>
  <c r="ER75" i="226"/>
  <c r="EK75" i="226" a="1"/>
  <c r="EK75" i="226" s="1"/>
  <c r="EE75" i="226" a="1"/>
  <c r="EE75" i="226" s="1"/>
  <c r="EQ75" i="226" a="1"/>
  <c r="EQ75" i="226" s="1"/>
  <c r="EJ75" i="226" a="1"/>
  <c r="EJ75" i="226" s="1"/>
  <c r="ED75" i="226" a="1"/>
  <c r="ED75" i="226" s="1"/>
  <c r="EP75" i="226" a="1"/>
  <c r="EP75" i="226" s="1"/>
  <c r="EO75" i="226" a="1"/>
  <c r="EO75" i="226" s="1"/>
  <c r="EI75" i="226" a="1"/>
  <c r="EI75" i="226" s="1"/>
  <c r="EC75" i="226" a="1"/>
  <c r="EC75" i="226" s="1"/>
  <c r="EB75" i="226" a="1"/>
  <c r="EB75" i="226" s="1"/>
  <c r="DV75" i="226" a="1"/>
  <c r="DV75" i="226" s="1"/>
  <c r="DW75" i="226" a="1"/>
  <c r="DW75" i="226" s="1"/>
  <c r="DX75" i="226" a="1"/>
  <c r="DX75" i="226" s="1"/>
  <c r="EA75" i="226" a="1"/>
  <c r="EA75" i="226" s="1"/>
  <c r="EG75" i="226" a="1"/>
  <c r="EG75" i="226" s="1"/>
  <c r="EN75" i="226" a="1"/>
  <c r="EN75" i="226" s="1"/>
  <c r="DY75" i="226" a="1"/>
  <c r="DY75" i="226" s="1"/>
  <c r="DU75" i="226" a="1"/>
  <c r="DU75" i="226" s="1"/>
  <c r="EH75" i="226" a="1"/>
  <c r="EH75" i="226" s="1"/>
  <c r="DZ75" i="226" a="1"/>
  <c r="DZ75" i="226" s="1"/>
  <c r="EX112" i="226"/>
  <c r="ES112" i="226"/>
  <c r="EY112" i="226"/>
  <c r="ET112" i="226"/>
  <c r="EU112" i="226"/>
  <c r="EP112" i="226" a="1"/>
  <c r="EP112" i="226" s="1"/>
  <c r="EJ112" i="226" a="1"/>
  <c r="EJ112" i="226" s="1"/>
  <c r="EE112" i="226" a="1"/>
  <c r="EE112" i="226" s="1"/>
  <c r="EO112" i="226" a="1"/>
  <c r="EO112" i="226" s="1"/>
  <c r="EN112" i="226" a="1"/>
  <c r="EN112" i="226" s="1"/>
  <c r="EI112" i="226" a="1"/>
  <c r="EI112" i="226" s="1"/>
  <c r="ED112" i="226" a="1"/>
  <c r="ED112" i="226" s="1"/>
  <c r="EC112" i="226" a="1"/>
  <c r="EC112" i="226" s="1"/>
  <c r="EV112" i="226"/>
  <c r="ER112" i="226"/>
  <c r="EM112" i="226" a="1"/>
  <c r="EM112" i="226" s="1"/>
  <c r="EH112" i="226" a="1"/>
  <c r="EH112" i="226" s="1"/>
  <c r="EB112" i="226" a="1"/>
  <c r="EB112" i="226" s="1"/>
  <c r="EW112" i="226"/>
  <c r="EG112" i="226" a="1"/>
  <c r="EG112" i="226" s="1"/>
  <c r="EF112" i="226" a="1"/>
  <c r="EF112" i="226" s="1"/>
  <c r="DY112" i="226" a="1"/>
  <c r="DY112" i="226" s="1"/>
  <c r="EK112" i="226" a="1"/>
  <c r="EK112" i="226" s="1"/>
  <c r="DU112" i="226" a="1"/>
  <c r="DU112" i="226" s="1"/>
  <c r="DZ112" i="226" a="1"/>
  <c r="DZ112" i="226" s="1"/>
  <c r="EL112" i="226" a="1"/>
  <c r="EL112" i="226" s="1"/>
  <c r="DX112" i="226" a="1"/>
  <c r="DX112" i="226" s="1"/>
  <c r="DV112" i="226" a="1"/>
  <c r="DV112" i="226" s="1"/>
  <c r="EA112" i="226" a="1"/>
  <c r="EA112" i="226" s="1"/>
  <c r="EQ112" i="226" a="1"/>
  <c r="EQ112" i="226" s="1"/>
  <c r="DW112" i="226" a="1"/>
  <c r="DW112" i="226" s="1"/>
  <c r="AC12" i="224"/>
  <c r="AL12" i="224"/>
  <c r="EU11" i="226"/>
  <c r="EH11" i="226" a="1"/>
  <c r="EH11" i="226" s="1"/>
  <c r="DX11" i="226" a="1"/>
  <c r="DX11" i="226" s="1"/>
  <c r="DW11" i="226" a="1"/>
  <c r="DW11" i="226" s="1"/>
  <c r="ET11" i="226"/>
  <c r="EC11" i="226" a="1"/>
  <c r="EC11" i="226" s="1"/>
  <c r="EV11" i="226"/>
  <c r="EM11" i="226" a="1"/>
  <c r="EM11" i="226" s="1"/>
  <c r="EG11" i="226" a="1"/>
  <c r="EG11" i="226" s="1"/>
  <c r="EB11" i="226" a="1"/>
  <c r="EB11" i="226" s="1"/>
  <c r="DY11" i="226" a="1"/>
  <c r="DY11" i="226" s="1"/>
  <c r="EI11" i="226" a="1"/>
  <c r="EI11" i="226" s="1"/>
  <c r="EW11" i="226"/>
  <c r="ER11" i="226"/>
  <c r="EL11" i="226" a="1"/>
  <c r="EL11" i="226" s="1"/>
  <c r="DZ11" i="226" a="1"/>
  <c r="DZ11" i="226" s="1"/>
  <c r="EX11" i="226"/>
  <c r="EQ11" i="226" a="1"/>
  <c r="EQ11" i="226" s="1"/>
  <c r="EK11" i="226" a="1"/>
  <c r="EK11" i="226" s="1"/>
  <c r="EF11" i="226" a="1"/>
  <c r="EF11" i="226" s="1"/>
  <c r="EA11" i="226" a="1"/>
  <c r="EA11" i="226" s="1"/>
  <c r="EN11" i="226" a="1"/>
  <c r="EN11" i="226" s="1"/>
  <c r="EP11" i="226" a="1"/>
  <c r="EP11" i="226" s="1"/>
  <c r="DU11" i="226" a="1"/>
  <c r="DU11" i="226" s="1"/>
  <c r="EO11" i="226" a="1"/>
  <c r="EO11" i="226" s="1"/>
  <c r="EJ11" i="226" a="1"/>
  <c r="EJ11" i="226" s="1"/>
  <c r="EE11" i="226" a="1"/>
  <c r="EE11" i="226" s="1"/>
  <c r="DV11" i="226" a="1"/>
  <c r="DV11" i="226" s="1"/>
  <c r="EY11" i="226"/>
  <c r="ES11" i="226"/>
  <c r="ED11" i="226" a="1"/>
  <c r="ED11" i="226" s="1"/>
  <c r="ES6" i="226"/>
  <c r="EH6" i="226" a="1"/>
  <c r="EH6" i="226" s="1"/>
  <c r="DY6" i="226" a="1"/>
  <c r="DY6" i="226" s="1"/>
  <c r="EI6" i="226" a="1"/>
  <c r="EI6" i="226" s="1"/>
  <c r="EY6" i="226"/>
  <c r="ET6" i="226"/>
  <c r="EM6" i="226" a="1"/>
  <c r="EM6" i="226" s="1"/>
  <c r="EG6" i="226" a="1"/>
  <c r="EG6" i="226" s="1"/>
  <c r="EB6" i="226" a="1"/>
  <c r="EB6" i="226" s="1"/>
  <c r="DZ6" i="226" a="1"/>
  <c r="DZ6" i="226" s="1"/>
  <c r="ED6" i="226" a="1"/>
  <c r="ED6" i="226" s="1"/>
  <c r="EU6" i="226"/>
  <c r="EL6" i="226" a="1"/>
  <c r="EL6" i="226" s="1"/>
  <c r="EA6" i="226" a="1"/>
  <c r="EA6" i="226" s="1"/>
  <c r="EV6" i="226"/>
  <c r="EQ6" i="226" a="1"/>
  <c r="EQ6" i="226" s="1"/>
  <c r="EK6" i="226" a="1"/>
  <c r="EK6" i="226" s="1"/>
  <c r="EF6" i="226" a="1"/>
  <c r="EF6" i="226" s="1"/>
  <c r="EN6" i="226" a="1"/>
  <c r="EN6" i="226" s="1"/>
  <c r="EW6" i="226"/>
  <c r="EP6" i="226" a="1"/>
  <c r="EP6" i="226" s="1"/>
  <c r="DU6" i="226" a="1"/>
  <c r="DU6" i="226" s="1"/>
  <c r="DW6" i="226" a="1"/>
  <c r="DW6" i="226" s="1"/>
  <c r="EX6" i="226"/>
  <c r="ER6" i="226"/>
  <c r="EO6" i="226" a="1"/>
  <c r="EO6" i="226" s="1"/>
  <c r="EJ6" i="226" a="1"/>
  <c r="EJ6" i="226" s="1"/>
  <c r="EE6" i="226" a="1"/>
  <c r="EE6" i="226" s="1"/>
  <c r="DV6" i="226" a="1"/>
  <c r="DV6" i="226" s="1"/>
  <c r="EC6" i="226" a="1"/>
  <c r="EC6" i="226" s="1"/>
  <c r="DX6" i="226" a="1"/>
  <c r="DX6" i="226" s="1"/>
  <c r="EY5" i="226"/>
  <c r="EH5" i="226" a="1"/>
  <c r="EH5" i="226" s="1"/>
  <c r="DX5" i="226" a="1"/>
  <c r="DX5" i="226" s="1"/>
  <c r="EX5" i="226"/>
  <c r="EC5" i="226" a="1"/>
  <c r="EC5" i="226" s="1"/>
  <c r="EM5" i="226" a="1"/>
  <c r="EM5" i="226" s="1"/>
  <c r="EG5" i="226" a="1"/>
  <c r="EG5" i="226" s="1"/>
  <c r="EB5" i="226" a="1"/>
  <c r="EB5" i="226" s="1"/>
  <c r="DY5" i="226" a="1"/>
  <c r="DY5" i="226" s="1"/>
  <c r="EI5" i="226" a="1"/>
  <c r="EI5" i="226" s="1"/>
  <c r="ES5" i="226"/>
  <c r="EL5" i="226" a="1"/>
  <c r="EL5" i="226" s="1"/>
  <c r="DZ5" i="226" a="1"/>
  <c r="DZ5" i="226" s="1"/>
  <c r="DU5" i="226" a="1"/>
  <c r="DU5" i="226" s="1"/>
  <c r="ET5" i="226"/>
  <c r="EQ5" i="226" a="1"/>
  <c r="EQ5" i="226" s="1"/>
  <c r="EK5" i="226" a="1"/>
  <c r="EK5" i="226" s="1"/>
  <c r="EF5" i="226" a="1"/>
  <c r="EF5" i="226" s="1"/>
  <c r="EA5" i="226" a="1"/>
  <c r="EA5" i="226" s="1"/>
  <c r="EU5" i="226"/>
  <c r="ER5" i="226"/>
  <c r="EP5" i="226" a="1"/>
  <c r="EP5" i="226" s="1"/>
  <c r="EN5" i="226" a="1"/>
  <c r="EN5" i="226" s="1"/>
  <c r="EV5" i="226"/>
  <c r="EO5" i="226" a="1"/>
  <c r="EO5" i="226" s="1"/>
  <c r="EJ5" i="226" a="1"/>
  <c r="EJ5" i="226" s="1"/>
  <c r="EE5" i="226" a="1"/>
  <c r="EE5" i="226" s="1"/>
  <c r="DV5" i="226" a="1"/>
  <c r="DV5" i="226" s="1"/>
  <c r="EW5" i="226"/>
  <c r="ED5" i="226" a="1"/>
  <c r="ED5" i="226" s="1"/>
  <c r="DW5" i="226" a="1"/>
  <c r="DW5" i="226" s="1"/>
  <c r="ES10" i="226"/>
  <c r="EH10" i="226" a="1"/>
  <c r="EH10" i="226" s="1"/>
  <c r="DW10" i="226" a="1"/>
  <c r="DW10" i="226" s="1"/>
  <c r="ED10" i="226" a="1"/>
  <c r="ED10" i="226" s="1"/>
  <c r="EC10" i="226" a="1"/>
  <c r="EC10" i="226" s="1"/>
  <c r="ET10" i="226"/>
  <c r="ER10" i="226"/>
  <c r="EM10" i="226" a="1"/>
  <c r="EM10" i="226" s="1"/>
  <c r="EG10" i="226" a="1"/>
  <c r="EG10" i="226" s="1"/>
  <c r="EB10" i="226" a="1"/>
  <c r="EB10" i="226" s="1"/>
  <c r="DX10" i="226" a="1"/>
  <c r="DX10" i="226" s="1"/>
  <c r="EU10" i="226"/>
  <c r="EL10" i="226" a="1"/>
  <c r="EL10" i="226" s="1"/>
  <c r="DY10" i="226" a="1"/>
  <c r="DY10" i="226" s="1"/>
  <c r="EV10" i="226"/>
  <c r="EQ10" i="226" a="1"/>
  <c r="EQ10" i="226" s="1"/>
  <c r="EK10" i="226" a="1"/>
  <c r="EK10" i="226" s="1"/>
  <c r="EF10" i="226" a="1"/>
  <c r="EF10" i="226" s="1"/>
  <c r="DZ10" i="226" a="1"/>
  <c r="DZ10" i="226" s="1"/>
  <c r="DU10" i="226" a="1"/>
  <c r="DU10" i="226" s="1"/>
  <c r="DV10" i="226" a="1"/>
  <c r="DV10" i="226" s="1"/>
  <c r="EW10" i="226"/>
  <c r="EP10" i="226" a="1"/>
  <c r="EP10" i="226" s="1"/>
  <c r="EA10" i="226" a="1"/>
  <c r="EA10" i="226" s="1"/>
  <c r="EI10" i="226" a="1"/>
  <c r="EI10" i="226" s="1"/>
  <c r="EY10" i="226"/>
  <c r="EX10" i="226"/>
  <c r="EO10" i="226" a="1"/>
  <c r="EO10" i="226" s="1"/>
  <c r="EJ10" i="226" a="1"/>
  <c r="EJ10" i="226" s="1"/>
  <c r="EE10" i="226" a="1"/>
  <c r="EE10" i="226" s="1"/>
  <c r="EN10" i="226" a="1"/>
  <c r="EN10" i="226" s="1"/>
  <c r="EY13" i="226"/>
  <c r="EH13" i="226" a="1"/>
  <c r="EH13" i="226" s="1"/>
  <c r="EA13" i="226" a="1"/>
  <c r="EA13" i="226" s="1"/>
  <c r="DU13" i="226" a="1"/>
  <c r="DU13" i="226" s="1"/>
  <c r="EM13" i="226" a="1"/>
  <c r="EM13" i="226" s="1"/>
  <c r="EG13" i="226" a="1"/>
  <c r="EG13" i="226" s="1"/>
  <c r="EB13" i="226" a="1"/>
  <c r="EB13" i="226" s="1"/>
  <c r="ED13" i="226" a="1"/>
  <c r="ED13" i="226" s="1"/>
  <c r="EC13" i="226" a="1"/>
  <c r="EC13" i="226" s="1"/>
  <c r="ES13" i="226"/>
  <c r="EL13" i="226" a="1"/>
  <c r="EL13" i="226" s="1"/>
  <c r="ET13" i="226"/>
  <c r="EQ13" i="226" a="1"/>
  <c r="EQ13" i="226" s="1"/>
  <c r="EK13" i="226" a="1"/>
  <c r="EK13" i="226" s="1"/>
  <c r="EF13" i="226" a="1"/>
  <c r="EF13" i="226" s="1"/>
  <c r="DV13" i="226" a="1"/>
  <c r="DV13" i="226" s="1"/>
  <c r="EU13" i="226"/>
  <c r="ER13" i="226"/>
  <c r="EP13" i="226" a="1"/>
  <c r="EP13" i="226" s="1"/>
  <c r="DW13" i="226" a="1"/>
  <c r="DW13" i="226" s="1"/>
  <c r="DY13" i="226" a="1"/>
  <c r="DY13" i="226" s="1"/>
  <c r="EN13" i="226" a="1"/>
  <c r="EN13" i="226" s="1"/>
  <c r="DZ13" i="226" a="1"/>
  <c r="DZ13" i="226" s="1"/>
  <c r="EV13" i="226"/>
  <c r="EO13" i="226" a="1"/>
  <c r="EO13" i="226" s="1"/>
  <c r="EJ13" i="226" a="1"/>
  <c r="EJ13" i="226" s="1"/>
  <c r="EE13" i="226" a="1"/>
  <c r="EE13" i="226" s="1"/>
  <c r="DX13" i="226" a="1"/>
  <c r="DX13" i="226" s="1"/>
  <c r="EW13" i="226"/>
  <c r="EX13" i="226"/>
  <c r="EI13" i="226" a="1"/>
  <c r="EI13" i="226" s="1"/>
  <c r="EW12" i="226"/>
  <c r="EH12" i="226" a="1"/>
  <c r="EH12" i="226" s="1"/>
  <c r="DY12" i="226" a="1"/>
  <c r="DY12" i="226" s="1"/>
  <c r="EN12" i="226" a="1"/>
  <c r="EN12" i="226" s="1"/>
  <c r="DX12" i="226" a="1"/>
  <c r="DX12" i="226" s="1"/>
  <c r="EX12" i="226"/>
  <c r="EM12" i="226" a="1"/>
  <c r="EM12" i="226" s="1"/>
  <c r="EG12" i="226" a="1"/>
  <c r="EG12" i="226" s="1"/>
  <c r="EB12" i="226" a="1"/>
  <c r="EB12" i="226" s="1"/>
  <c r="DZ12" i="226" a="1"/>
  <c r="DZ12" i="226" s="1"/>
  <c r="EL12" i="226" a="1"/>
  <c r="EL12" i="226" s="1"/>
  <c r="EA12" i="226" a="1"/>
  <c r="EA12" i="226" s="1"/>
  <c r="ER12" i="226"/>
  <c r="EQ12" i="226" a="1"/>
  <c r="EQ12" i="226" s="1"/>
  <c r="EK12" i="226" a="1"/>
  <c r="EK12" i="226" s="1"/>
  <c r="EF12" i="226" a="1"/>
  <c r="EF12" i="226" s="1"/>
  <c r="DW12" i="226" a="1"/>
  <c r="DW12" i="226" s="1"/>
  <c r="EY12" i="226"/>
  <c r="ES12" i="226"/>
  <c r="EP12" i="226" a="1"/>
  <c r="EP12" i="226" s="1"/>
  <c r="EU12" i="226"/>
  <c r="ED12" i="226" a="1"/>
  <c r="ED12" i="226" s="1"/>
  <c r="DU12" i="226" a="1"/>
  <c r="DU12" i="226" s="1"/>
  <c r="EV12" i="226"/>
  <c r="EI12" i="226" a="1"/>
  <c r="EI12" i="226" s="1"/>
  <c r="ET12" i="226"/>
  <c r="EO12" i="226" a="1"/>
  <c r="EO12" i="226" s="1"/>
  <c r="EJ12" i="226" a="1"/>
  <c r="EJ12" i="226" s="1"/>
  <c r="EE12" i="226" a="1"/>
  <c r="EE12" i="226" s="1"/>
  <c r="DV12" i="226" a="1"/>
  <c r="DV12" i="226" s="1"/>
  <c r="EC12" i="226" a="1"/>
  <c r="EC12" i="226" s="1"/>
  <c r="ER9" i="226"/>
  <c r="EH9" i="226" a="1"/>
  <c r="EH9" i="226" s="1"/>
  <c r="EM9" i="226" a="1"/>
  <c r="EM9" i="226" s="1"/>
  <c r="EG9" i="226" a="1"/>
  <c r="EG9" i="226" s="1"/>
  <c r="EB9" i="226" a="1"/>
  <c r="EB9" i="226" s="1"/>
  <c r="DV9" i="226" a="1"/>
  <c r="DV9" i="226" s="1"/>
  <c r="DU9" i="226" a="1"/>
  <c r="DU9" i="226" s="1"/>
  <c r="EX9" i="226"/>
  <c r="EN9" i="226" a="1"/>
  <c r="EN9" i="226" s="1"/>
  <c r="ES9" i="226"/>
  <c r="EL9" i="226" a="1"/>
  <c r="EL9" i="226" s="1"/>
  <c r="DW9" i="226" a="1"/>
  <c r="DW9" i="226" s="1"/>
  <c r="ET9" i="226"/>
  <c r="EQ9" i="226" a="1"/>
  <c r="EQ9" i="226" s="1"/>
  <c r="EK9" i="226" a="1"/>
  <c r="EK9" i="226" s="1"/>
  <c r="EF9" i="226" a="1"/>
  <c r="EF9" i="226" s="1"/>
  <c r="DX9" i="226" a="1"/>
  <c r="DX9" i="226" s="1"/>
  <c r="EC9" i="226" a="1"/>
  <c r="EC9" i="226" s="1"/>
  <c r="EY9" i="226"/>
  <c r="EU9" i="226"/>
  <c r="EP9" i="226" a="1"/>
  <c r="EP9" i="226" s="1"/>
  <c r="DY9" i="226" a="1"/>
  <c r="DY9" i="226" s="1"/>
  <c r="EW9" i="226"/>
  <c r="EV9" i="226"/>
  <c r="EO9" i="226" a="1"/>
  <c r="EO9" i="226" s="1"/>
  <c r="EJ9" i="226" a="1"/>
  <c r="EJ9" i="226" s="1"/>
  <c r="EE9" i="226" a="1"/>
  <c r="EE9" i="226" s="1"/>
  <c r="DZ9" i="226" a="1"/>
  <c r="DZ9" i="226" s="1"/>
  <c r="ED9" i="226" a="1"/>
  <c r="ED9" i="226" s="1"/>
  <c r="EA9" i="226" a="1"/>
  <c r="EA9" i="226" s="1"/>
  <c r="EI9" i="226" a="1"/>
  <c r="EI9" i="226" s="1"/>
  <c r="AH12" i="223"/>
  <c r="AC12" i="223"/>
  <c r="AL12" i="13"/>
  <c r="AH12" i="175"/>
  <c r="AH12" i="13"/>
  <c r="AL12" i="171"/>
  <c r="AH12" i="171"/>
  <c r="AC12" i="175"/>
  <c r="AC12" i="170"/>
  <c r="AL12" i="170"/>
  <c r="BT24" i="226" a="1"/>
  <c r="BT24" i="226" s="1"/>
  <c r="V24" i="226" a="1"/>
  <c r="V24" i="226" s="1"/>
  <c r="W24" i="226" a="1"/>
  <c r="W24" i="226" s="1"/>
  <c r="X24" i="226" a="1"/>
  <c r="X24" i="226" s="1"/>
  <c r="AT24" i="226" a="1"/>
  <c r="AT24" i="226" s="1"/>
  <c r="AP24" i="226" a="1"/>
  <c r="AP24" i="226" s="1"/>
  <c r="AR24" i="226" a="1"/>
  <c r="AR24" i="226" s="1"/>
  <c r="CU24" i="226" a="1"/>
  <c r="CU24" i="226" s="1"/>
  <c r="X10" i="226" a="1"/>
  <c r="X10" i="226" s="1"/>
  <c r="W10" i="226" a="1"/>
  <c r="W10" i="226" s="1"/>
  <c r="AR10" i="226" a="1"/>
  <c r="AR10" i="226" s="1"/>
  <c r="BT10" i="226" a="1"/>
  <c r="BT10" i="226" s="1"/>
  <c r="V10" i="226" a="1"/>
  <c r="V10" i="226" s="1"/>
  <c r="AP10" i="226" a="1"/>
  <c r="AP10" i="226" s="1"/>
  <c r="AT10" i="226" a="1"/>
  <c r="AT10" i="226" s="1"/>
  <c r="CU10" i="226" a="1"/>
  <c r="CU10" i="226" s="1"/>
  <c r="W110" i="226" a="1"/>
  <c r="W110" i="226" s="1"/>
  <c r="AR110" i="226" a="1"/>
  <c r="AR110" i="226" s="1"/>
  <c r="BT110" i="226" a="1"/>
  <c r="BT110" i="226" s="1"/>
  <c r="V110" i="226" a="1"/>
  <c r="V110" i="226" s="1"/>
  <c r="AT110" i="226" a="1"/>
  <c r="AT110" i="226" s="1"/>
  <c r="AP110" i="226" a="1"/>
  <c r="AP110" i="226" s="1"/>
  <c r="X110" i="226" a="1"/>
  <c r="X110" i="226" s="1"/>
  <c r="CU110" i="226" a="1"/>
  <c r="CU110" i="226" s="1"/>
  <c r="W54" i="226" a="1"/>
  <c r="W54" i="226" s="1"/>
  <c r="X54" i="226" a="1"/>
  <c r="X54" i="226" s="1"/>
  <c r="AR54" i="226" a="1"/>
  <c r="AR54" i="226" s="1"/>
  <c r="AT54" i="226" a="1"/>
  <c r="AT54" i="226" s="1"/>
  <c r="BT54" i="226" a="1"/>
  <c r="BT54" i="226" s="1"/>
  <c r="V54" i="226" a="1"/>
  <c r="V54" i="226" s="1"/>
  <c r="AP54" i="226" a="1"/>
  <c r="AP54" i="226" s="1"/>
  <c r="CU54" i="226" a="1"/>
  <c r="CU54" i="226" s="1"/>
  <c r="X90" i="226" a="1"/>
  <c r="X90" i="226" s="1"/>
  <c r="AR90" i="226" a="1"/>
  <c r="AR90" i="226" s="1"/>
  <c r="AT90" i="226" a="1"/>
  <c r="AT90" i="226" s="1"/>
  <c r="BT90" i="226" a="1"/>
  <c r="BT90" i="226" s="1"/>
  <c r="V90" i="226" a="1"/>
  <c r="V90" i="226" s="1"/>
  <c r="W90" i="226" a="1"/>
  <c r="W90" i="226" s="1"/>
  <c r="CU90" i="226" a="1"/>
  <c r="CU90" i="226" s="1"/>
  <c r="AP90" i="226" a="1"/>
  <c r="AP90" i="226" s="1"/>
  <c r="X109" i="226" a="1"/>
  <c r="X109" i="226" s="1"/>
  <c r="W109" i="226" a="1"/>
  <c r="W109" i="226" s="1"/>
  <c r="AR109" i="226" a="1"/>
  <c r="AR109" i="226" s="1"/>
  <c r="BT109" i="226" a="1"/>
  <c r="BT109" i="226" s="1"/>
  <c r="V109" i="226" a="1"/>
  <c r="V109" i="226" s="1"/>
  <c r="AT109" i="226" a="1"/>
  <c r="AT109" i="226" s="1"/>
  <c r="AP109" i="226" a="1"/>
  <c r="AP109" i="226" s="1"/>
  <c r="CU109" i="226" a="1"/>
  <c r="CU109" i="226" s="1"/>
  <c r="AM108" i="226"/>
  <c r="AT108" i="226" a="1"/>
  <c r="AT108" i="226" s="1"/>
  <c r="X108" i="226" a="1"/>
  <c r="X108" i="226" s="1"/>
  <c r="W108" i="226" a="1"/>
  <c r="W108" i="226" s="1"/>
  <c r="AR108" i="226" a="1"/>
  <c r="AR108" i="226" s="1"/>
  <c r="BT108" i="226" a="1"/>
  <c r="BT108" i="226" s="1"/>
  <c r="V108" i="226" a="1"/>
  <c r="V108" i="226" s="1"/>
  <c r="CU108" i="226" a="1"/>
  <c r="CU108" i="226" s="1"/>
  <c r="AP108" i="226" a="1"/>
  <c r="AP108" i="226" s="1"/>
  <c r="BT51" i="226" a="1"/>
  <c r="BT51" i="226" s="1"/>
  <c r="V51" i="226" a="1"/>
  <c r="V51" i="226" s="1"/>
  <c r="AT51" i="226" a="1"/>
  <c r="AT51" i="226" s="1"/>
  <c r="W51" i="226" a="1"/>
  <c r="W51" i="226" s="1"/>
  <c r="X51" i="226" a="1"/>
  <c r="X51" i="226" s="1"/>
  <c r="AP51" i="226" a="1"/>
  <c r="AP51" i="226" s="1"/>
  <c r="CU51" i="226" a="1"/>
  <c r="CU51" i="226" s="1"/>
  <c r="AR51" i="226" a="1"/>
  <c r="AR51" i="226" s="1"/>
  <c r="AM75" i="226"/>
  <c r="W75" i="226" a="1"/>
  <c r="W75" i="226" s="1"/>
  <c r="AR75" i="226" a="1"/>
  <c r="AR75" i="226" s="1"/>
  <c r="BT75" i="226" a="1"/>
  <c r="BT75" i="226" s="1"/>
  <c r="V75" i="226" a="1"/>
  <c r="V75" i="226" s="1"/>
  <c r="AT75" i="226" a="1"/>
  <c r="AT75" i="226" s="1"/>
  <c r="X75" i="226" a="1"/>
  <c r="X75" i="226" s="1"/>
  <c r="CU75" i="226" a="1"/>
  <c r="CU75" i="226" s="1"/>
  <c r="AP75" i="226" a="1"/>
  <c r="AP75" i="226" s="1"/>
  <c r="BT112" i="226" a="1"/>
  <c r="BT112" i="226" s="1"/>
  <c r="V112" i="226" a="1"/>
  <c r="V112" i="226" s="1"/>
  <c r="AT112" i="226" a="1"/>
  <c r="AT112" i="226" s="1"/>
  <c r="X112" i="226" a="1"/>
  <c r="X112" i="226" s="1"/>
  <c r="W112" i="226" a="1"/>
  <c r="W112" i="226" s="1"/>
  <c r="AP112" i="226" a="1"/>
  <c r="AP112" i="226" s="1"/>
  <c r="AR112" i="226" a="1"/>
  <c r="AR112" i="226" s="1"/>
  <c r="CU112" i="226" a="1"/>
  <c r="CU112" i="226" s="1"/>
  <c r="AR103" i="226" a="1"/>
  <c r="AR103" i="226" s="1"/>
  <c r="W103" i="226" a="1"/>
  <c r="W103" i="226" s="1"/>
  <c r="BT103" i="226" a="1"/>
  <c r="BT103" i="226" s="1"/>
  <c r="V103" i="226" a="1"/>
  <c r="V103" i="226" s="1"/>
  <c r="AP103" i="226" a="1"/>
  <c r="AP103" i="226" s="1"/>
  <c r="X103" i="226" a="1"/>
  <c r="X103" i="226" s="1"/>
  <c r="AT103" i="226" a="1"/>
  <c r="AT103" i="226" s="1"/>
  <c r="CU103" i="226" a="1"/>
  <c r="CU103" i="226" s="1"/>
  <c r="BT26" i="226" a="1"/>
  <c r="BT26" i="226" s="1"/>
  <c r="V26" i="226" a="1"/>
  <c r="V26" i="226" s="1"/>
  <c r="W26" i="226" a="1"/>
  <c r="W26" i="226" s="1"/>
  <c r="X26" i="226" a="1"/>
  <c r="X26" i="226" s="1"/>
  <c r="AT26" i="226" a="1"/>
  <c r="AT26" i="226" s="1"/>
  <c r="AR26" i="226" a="1"/>
  <c r="AR26" i="226" s="1"/>
  <c r="AP26" i="226" a="1"/>
  <c r="AP26" i="226" s="1"/>
  <c r="CU26" i="226" a="1"/>
  <c r="CU26" i="226" s="1"/>
  <c r="BT105" i="226" a="1"/>
  <c r="BT105" i="226" s="1"/>
  <c r="V105" i="226" a="1"/>
  <c r="V105" i="226" s="1"/>
  <c r="AP105" i="226" a="1"/>
  <c r="AP105" i="226" s="1"/>
  <c r="AT105" i="226" a="1"/>
  <c r="AT105" i="226" s="1"/>
  <c r="X105" i="226" a="1"/>
  <c r="X105" i="226" s="1"/>
  <c r="W105" i="226" a="1"/>
  <c r="W105" i="226" s="1"/>
  <c r="AR105" i="226" a="1"/>
  <c r="AR105" i="226" s="1"/>
  <c r="CU105" i="226" a="1"/>
  <c r="CU105" i="226" s="1"/>
  <c r="W82" i="226" a="1"/>
  <c r="W82" i="226" s="1"/>
  <c r="X82" i="226" a="1"/>
  <c r="X82" i="226" s="1"/>
  <c r="AR82" i="226" a="1"/>
  <c r="AR82" i="226" s="1"/>
  <c r="BT82" i="226" a="1"/>
  <c r="BT82" i="226" s="1"/>
  <c r="V82" i="226" a="1"/>
  <c r="V82" i="226" s="1"/>
  <c r="AT82" i="226" a="1"/>
  <c r="AT82" i="226" s="1"/>
  <c r="AP82" i="226" a="1"/>
  <c r="AP82" i="226" s="1"/>
  <c r="CU82" i="226" a="1"/>
  <c r="CU82" i="226" s="1"/>
  <c r="X74" i="226" a="1"/>
  <c r="X74" i="226" s="1"/>
  <c r="W74" i="226" a="1"/>
  <c r="W74" i="226" s="1"/>
  <c r="AR74" i="226" a="1"/>
  <c r="AR74" i="226" s="1"/>
  <c r="BT74" i="226" a="1"/>
  <c r="BT74" i="226" s="1"/>
  <c r="V74" i="226" a="1"/>
  <c r="V74" i="226" s="1"/>
  <c r="AT74" i="226" a="1"/>
  <c r="AT74" i="226" s="1"/>
  <c r="CU74" i="226" a="1"/>
  <c r="CU74" i="226" s="1"/>
  <c r="AP74" i="226" a="1"/>
  <c r="AP74" i="226" s="1"/>
  <c r="AT38" i="226" a="1"/>
  <c r="AT38" i="226" s="1"/>
  <c r="X38" i="226" a="1"/>
  <c r="X38" i="226" s="1"/>
  <c r="W38" i="226" a="1"/>
  <c r="W38" i="226" s="1"/>
  <c r="BT38" i="226" a="1"/>
  <c r="BT38" i="226" s="1"/>
  <c r="V38" i="226" a="1"/>
  <c r="V38" i="226" s="1"/>
  <c r="AR38" i="226" a="1"/>
  <c r="AR38" i="226" s="1"/>
  <c r="CU38" i="226" a="1"/>
  <c r="CU38" i="226" s="1"/>
  <c r="AP38" i="226" a="1"/>
  <c r="AP38" i="226" s="1"/>
  <c r="W46" i="226" a="1"/>
  <c r="W46" i="226" s="1"/>
  <c r="X46" i="226" a="1"/>
  <c r="X46" i="226" s="1"/>
  <c r="BT46" i="226" a="1"/>
  <c r="BT46" i="226" s="1"/>
  <c r="V46" i="226" a="1"/>
  <c r="V46" i="226" s="1"/>
  <c r="AT46" i="226" a="1"/>
  <c r="AT46" i="226" s="1"/>
  <c r="CU46" i="226" a="1"/>
  <c r="CU46" i="226" s="1"/>
  <c r="AP46" i="226" a="1"/>
  <c r="AP46" i="226" s="1"/>
  <c r="AR46" i="226" a="1"/>
  <c r="AR46" i="226" s="1"/>
  <c r="BT68" i="226" a="1"/>
  <c r="BT68" i="226" s="1"/>
  <c r="V68" i="226" a="1"/>
  <c r="V68" i="226" s="1"/>
  <c r="X68" i="226" a="1"/>
  <c r="X68" i="226" s="1"/>
  <c r="AT68" i="226" a="1"/>
  <c r="AT68" i="226" s="1"/>
  <c r="AP68" i="226" a="1"/>
  <c r="AP68" i="226" s="1"/>
  <c r="AR68" i="226" a="1"/>
  <c r="AR68" i="226" s="1"/>
  <c r="W68" i="226" a="1"/>
  <c r="W68" i="226" s="1"/>
  <c r="CU68" i="226" a="1"/>
  <c r="CU68" i="226" s="1"/>
  <c r="BT86" i="226" a="1"/>
  <c r="BT86" i="226" s="1"/>
  <c r="V86" i="226" a="1"/>
  <c r="V86" i="226" s="1"/>
  <c r="AT86" i="226" a="1"/>
  <c r="AT86" i="226" s="1"/>
  <c r="W86" i="226" a="1"/>
  <c r="W86" i="226" s="1"/>
  <c r="X86" i="226" a="1"/>
  <c r="X86" i="226" s="1"/>
  <c r="AR86" i="226" a="1"/>
  <c r="AR86" i="226" s="1"/>
  <c r="CU86" i="226" a="1"/>
  <c r="CU86" i="226" s="1"/>
  <c r="AP86" i="226" a="1"/>
  <c r="AP86" i="226" s="1"/>
  <c r="BT17" i="226" a="1"/>
  <c r="BT17" i="226" s="1"/>
  <c r="V17" i="226" a="1"/>
  <c r="V17" i="226" s="1"/>
  <c r="W17" i="226" a="1"/>
  <c r="W17" i="226" s="1"/>
  <c r="X17" i="226" a="1"/>
  <c r="X17" i="226" s="1"/>
  <c r="AR17" i="226" a="1"/>
  <c r="AR17" i="226" s="1"/>
  <c r="AT17" i="226" a="1"/>
  <c r="AT17" i="226" s="1"/>
  <c r="AP17" i="226" a="1"/>
  <c r="AP17" i="226" s="1"/>
  <c r="CU17" i="226" a="1"/>
  <c r="CU17" i="226" s="1"/>
  <c r="AT57" i="226" a="1"/>
  <c r="AT57" i="226" s="1"/>
  <c r="AR57" i="226" a="1"/>
  <c r="AR57" i="226" s="1"/>
  <c r="BT57" i="226" a="1"/>
  <c r="BT57" i="226" s="1"/>
  <c r="V57" i="226" a="1"/>
  <c r="V57" i="226" s="1"/>
  <c r="W57" i="226" a="1"/>
  <c r="W57" i="226" s="1"/>
  <c r="CU57" i="226" a="1"/>
  <c r="CU57" i="226" s="1"/>
  <c r="X57" i="226" a="1"/>
  <c r="X57" i="226" s="1"/>
  <c r="AP57" i="226" a="1"/>
  <c r="AP57" i="226" s="1"/>
  <c r="AM5" i="226"/>
  <c r="W5" i="226" a="1"/>
  <c r="W5" i="226" s="1"/>
  <c r="AR5" i="226" a="1"/>
  <c r="AR5" i="226" s="1"/>
  <c r="BT5" i="226" a="1"/>
  <c r="BT5" i="226" s="1"/>
  <c r="V5" i="226" a="1"/>
  <c r="V5" i="226" s="1"/>
  <c r="AT5" i="226" a="1"/>
  <c r="AT5" i="226" s="1"/>
  <c r="X5" i="226" a="1"/>
  <c r="X5" i="226" s="1"/>
  <c r="CU5" i="226" a="1"/>
  <c r="CU5" i="226" s="1"/>
  <c r="AP5" i="226" a="1"/>
  <c r="AP5" i="226" s="1"/>
  <c r="AR13" i="226" a="1"/>
  <c r="AR13" i="226" s="1"/>
  <c r="BT13" i="226" a="1"/>
  <c r="BT13" i="226" s="1"/>
  <c r="V13" i="226" a="1"/>
  <c r="V13" i="226" s="1"/>
  <c r="AT13" i="226" a="1"/>
  <c r="AT13" i="226" s="1"/>
  <c r="W13" i="226" a="1"/>
  <c r="W13" i="226" s="1"/>
  <c r="CU13" i="226" a="1"/>
  <c r="CU13" i="226" s="1"/>
  <c r="AP13" i="226" a="1"/>
  <c r="AP13" i="226" s="1"/>
  <c r="X13" i="226" a="1"/>
  <c r="X13" i="226" s="1"/>
  <c r="X12" i="226" a="1"/>
  <c r="X12" i="226" s="1"/>
  <c r="AR12" i="226" a="1"/>
  <c r="AR12" i="226" s="1"/>
  <c r="BT12" i="226" a="1"/>
  <c r="BT12" i="226" s="1"/>
  <c r="V12" i="226" a="1"/>
  <c r="V12" i="226" s="1"/>
  <c r="AT12" i="226" a="1"/>
  <c r="AT12" i="226" s="1"/>
  <c r="W12" i="226" a="1"/>
  <c r="W12" i="226" s="1"/>
  <c r="CU12" i="226" a="1"/>
  <c r="CU12" i="226" s="1"/>
  <c r="AP12" i="226" a="1"/>
  <c r="AP12" i="226" s="1"/>
  <c r="AR85" i="226" a="1"/>
  <c r="AR85" i="226" s="1"/>
  <c r="BT85" i="226" a="1"/>
  <c r="BT85" i="226" s="1"/>
  <c r="V85" i="226" a="1"/>
  <c r="V85" i="226" s="1"/>
  <c r="AT85" i="226" a="1"/>
  <c r="AT85" i="226" s="1"/>
  <c r="AP85" i="226" a="1"/>
  <c r="AP85" i="226" s="1"/>
  <c r="W85" i="226" a="1"/>
  <c r="W85" i="226" s="1"/>
  <c r="X85" i="226" a="1"/>
  <c r="X85" i="226" s="1"/>
  <c r="CU85" i="226" a="1"/>
  <c r="CU85" i="226" s="1"/>
  <c r="X100" i="226" a="1"/>
  <c r="X100" i="226" s="1"/>
  <c r="AT100" i="226" a="1"/>
  <c r="AT100" i="226" s="1"/>
  <c r="AR100" i="226" a="1"/>
  <c r="AR100" i="226" s="1"/>
  <c r="W100" i="226" a="1"/>
  <c r="W100" i="226" s="1"/>
  <c r="BT100" i="226" a="1"/>
  <c r="BT100" i="226" s="1"/>
  <c r="V100" i="226" a="1"/>
  <c r="V100" i="226" s="1"/>
  <c r="AP100" i="226" a="1"/>
  <c r="AP100" i="226" s="1"/>
  <c r="CU100" i="226" a="1"/>
  <c r="CU100" i="226" s="1"/>
  <c r="X27" i="226" a="1"/>
  <c r="X27" i="226" s="1"/>
  <c r="AT27" i="226" a="1"/>
  <c r="AT27" i="226" s="1"/>
  <c r="AR27" i="226" a="1"/>
  <c r="AR27" i="226" s="1"/>
  <c r="BT27" i="226" a="1"/>
  <c r="BT27" i="226" s="1"/>
  <c r="W27" i="226" a="1"/>
  <c r="W27" i="226" s="1"/>
  <c r="AP27" i="226" a="1"/>
  <c r="AP27" i="226" s="1"/>
  <c r="V27" i="226" a="1"/>
  <c r="V27" i="226" s="1"/>
  <c r="CU27" i="226" a="1"/>
  <c r="CU27" i="226" s="1"/>
  <c r="W53" i="226" a="1"/>
  <c r="W53" i="226" s="1"/>
  <c r="X53" i="226" a="1"/>
  <c r="X53" i="226" s="1"/>
  <c r="AR53" i="226" a="1"/>
  <c r="AR53" i="226" s="1"/>
  <c r="AT53" i="226" a="1"/>
  <c r="AT53" i="226" s="1"/>
  <c r="AP53" i="226" a="1"/>
  <c r="AP53" i="226" s="1"/>
  <c r="CU53" i="226" a="1"/>
  <c r="CU53" i="226" s="1"/>
  <c r="V53" i="226" a="1"/>
  <c r="V53" i="226" s="1"/>
  <c r="BT53" i="226" a="1"/>
  <c r="BT53" i="226" s="1"/>
  <c r="AM71" i="226"/>
  <c r="AT71" i="226" a="1"/>
  <c r="AT71" i="226" s="1"/>
  <c r="X71" i="226" a="1"/>
  <c r="X71" i="226" s="1"/>
  <c r="W71" i="226" a="1"/>
  <c r="W71" i="226" s="1"/>
  <c r="AR71" i="226" a="1"/>
  <c r="AR71" i="226" s="1"/>
  <c r="AP71" i="226" a="1"/>
  <c r="AP71" i="226" s="1"/>
  <c r="BT71" i="226" a="1"/>
  <c r="BT71" i="226" s="1"/>
  <c r="V71" i="226" a="1"/>
  <c r="V71" i="226" s="1"/>
  <c r="CU71" i="226" a="1"/>
  <c r="CU71" i="226" s="1"/>
  <c r="AR41" i="226" a="1"/>
  <c r="AR41" i="226" s="1"/>
  <c r="BT41" i="226" a="1"/>
  <c r="BT41" i="226" s="1"/>
  <c r="V41" i="226" a="1"/>
  <c r="V41" i="226" s="1"/>
  <c r="AT41" i="226" a="1"/>
  <c r="AT41" i="226" s="1"/>
  <c r="X41" i="226" a="1"/>
  <c r="X41" i="226" s="1"/>
  <c r="CU41" i="226" a="1"/>
  <c r="CU41" i="226" s="1"/>
  <c r="AP41" i="226" a="1"/>
  <c r="AP41" i="226" s="1"/>
  <c r="W41" i="226" a="1"/>
  <c r="W41" i="226" s="1"/>
  <c r="W40" i="226" a="1"/>
  <c r="W40" i="226" s="1"/>
  <c r="AR40" i="226" a="1"/>
  <c r="AR40" i="226" s="1"/>
  <c r="BT40" i="226" a="1"/>
  <c r="BT40" i="226" s="1"/>
  <c r="V40" i="226" a="1"/>
  <c r="V40" i="226" s="1"/>
  <c r="AT40" i="226" a="1"/>
  <c r="AT40" i="226" s="1"/>
  <c r="CU40" i="226" a="1"/>
  <c r="CU40" i="226" s="1"/>
  <c r="X40" i="226" a="1"/>
  <c r="X40" i="226" s="1"/>
  <c r="AP40" i="226" a="1"/>
  <c r="AP40" i="226" s="1"/>
  <c r="W88" i="226" a="1"/>
  <c r="W88" i="226" s="1"/>
  <c r="AP88" i="226" a="1"/>
  <c r="AP88" i="226" s="1"/>
  <c r="X88" i="226" a="1"/>
  <c r="X88" i="226" s="1"/>
  <c r="AR88" i="226" a="1"/>
  <c r="AR88" i="226" s="1"/>
  <c r="AT88" i="226" a="1"/>
  <c r="AT88" i="226" s="1"/>
  <c r="V88" i="226" a="1"/>
  <c r="V88" i="226" s="1"/>
  <c r="BT88" i="226" a="1"/>
  <c r="BT88" i="226" s="1"/>
  <c r="CU88" i="226" a="1"/>
  <c r="CU88" i="226" s="1"/>
  <c r="AT79" i="226" a="1"/>
  <c r="AT79" i="226" s="1"/>
  <c r="X79" i="226" a="1"/>
  <c r="X79" i="226" s="1"/>
  <c r="W79" i="226" a="1"/>
  <c r="W79" i="226" s="1"/>
  <c r="AR79" i="226" a="1"/>
  <c r="AR79" i="226" s="1"/>
  <c r="AP79" i="226" a="1"/>
  <c r="AP79" i="226" s="1"/>
  <c r="BT79" i="226" a="1"/>
  <c r="BT79" i="226" s="1"/>
  <c r="CU79" i="226" a="1"/>
  <c r="CU79" i="226" s="1"/>
  <c r="V79" i="226" a="1"/>
  <c r="V79" i="226" s="1"/>
  <c r="BT87" i="226" a="1"/>
  <c r="BT87" i="226" s="1"/>
  <c r="V87" i="226" a="1"/>
  <c r="V87" i="226" s="1"/>
  <c r="W87" i="226" a="1"/>
  <c r="W87" i="226" s="1"/>
  <c r="AP87" i="226" a="1"/>
  <c r="AP87" i="226" s="1"/>
  <c r="X87" i="226" a="1"/>
  <c r="X87" i="226" s="1"/>
  <c r="AR87" i="226" a="1"/>
  <c r="AR87" i="226" s="1"/>
  <c r="AT87" i="226" a="1"/>
  <c r="AT87" i="226" s="1"/>
  <c r="CU87" i="226" a="1"/>
  <c r="CU87" i="226" s="1"/>
  <c r="W11" i="226" a="1"/>
  <c r="W11" i="226" s="1"/>
  <c r="X11" i="226" a="1"/>
  <c r="X11" i="226" s="1"/>
  <c r="BT11" i="226" a="1"/>
  <c r="BT11" i="226" s="1"/>
  <c r="V11" i="226" a="1"/>
  <c r="V11" i="226" s="1"/>
  <c r="AT11" i="226" a="1"/>
  <c r="AT11" i="226" s="1"/>
  <c r="CU11" i="226" a="1"/>
  <c r="CU11" i="226" s="1"/>
  <c r="AR11" i="226" a="1"/>
  <c r="AR11" i="226" s="1"/>
  <c r="AP11" i="226" a="1"/>
  <c r="AP11" i="226" s="1"/>
  <c r="BT95" i="226" a="1"/>
  <c r="BT95" i="226" s="1"/>
  <c r="V95" i="226" a="1"/>
  <c r="V95" i="226" s="1"/>
  <c r="W95" i="226" a="1"/>
  <c r="W95" i="226" s="1"/>
  <c r="X95" i="226" a="1"/>
  <c r="X95" i="226" s="1"/>
  <c r="AP95" i="226" a="1"/>
  <c r="AP95" i="226" s="1"/>
  <c r="AT95" i="226" a="1"/>
  <c r="AT95" i="226" s="1"/>
  <c r="AR95" i="226" a="1"/>
  <c r="AR95" i="226" s="1"/>
  <c r="CU95" i="226" a="1"/>
  <c r="CU95" i="226" s="1"/>
  <c r="X48" i="226" a="1"/>
  <c r="X48" i="226" s="1"/>
  <c r="AR48" i="226" a="1"/>
  <c r="AR48" i="226" s="1"/>
  <c r="BT48" i="226" a="1"/>
  <c r="BT48" i="226" s="1"/>
  <c r="V48" i="226" a="1"/>
  <c r="V48" i="226" s="1"/>
  <c r="AT48" i="226" a="1"/>
  <c r="AT48" i="226" s="1"/>
  <c r="CU48" i="226" a="1"/>
  <c r="CU48" i="226" s="1"/>
  <c r="W48" i="226" a="1"/>
  <c r="W48" i="226" s="1"/>
  <c r="AP48" i="226" a="1"/>
  <c r="AP48" i="226" s="1"/>
  <c r="X28" i="226" a="1"/>
  <c r="X28" i="226" s="1"/>
  <c r="AT28" i="226" a="1"/>
  <c r="AT28" i="226" s="1"/>
  <c r="AR28" i="226" a="1"/>
  <c r="AR28" i="226" s="1"/>
  <c r="BT28" i="226" a="1"/>
  <c r="BT28" i="226" s="1"/>
  <c r="V28" i="226" a="1"/>
  <c r="V28" i="226" s="1"/>
  <c r="W28" i="226" a="1"/>
  <c r="W28" i="226" s="1"/>
  <c r="AP28" i="226" a="1"/>
  <c r="AP28" i="226" s="1"/>
  <c r="CU28" i="226" a="1"/>
  <c r="CU28" i="226" s="1"/>
  <c r="BT43" i="226" a="1"/>
  <c r="BT43" i="226" s="1"/>
  <c r="V43" i="226" a="1"/>
  <c r="V43" i="226" s="1"/>
  <c r="AT43" i="226" a="1"/>
  <c r="AT43" i="226" s="1"/>
  <c r="X43" i="226" a="1"/>
  <c r="X43" i="226" s="1"/>
  <c r="W43" i="226" a="1"/>
  <c r="W43" i="226" s="1"/>
  <c r="AR43" i="226" a="1"/>
  <c r="AR43" i="226" s="1"/>
  <c r="AP43" i="226" a="1"/>
  <c r="AP43" i="226" s="1"/>
  <c r="CU43" i="226" a="1"/>
  <c r="CU43" i="226" s="1"/>
  <c r="AM98" i="226"/>
  <c r="AP98" i="226" a="1"/>
  <c r="AP98" i="226" s="1"/>
  <c r="X98" i="226" a="1"/>
  <c r="X98" i="226" s="1"/>
  <c r="AT98" i="226" a="1"/>
  <c r="AT98" i="226" s="1"/>
  <c r="AR98" i="226" a="1"/>
  <c r="AR98" i="226" s="1"/>
  <c r="BT98" i="226" a="1"/>
  <c r="BT98" i="226" s="1"/>
  <c r="V98" i="226" a="1"/>
  <c r="V98" i="226" s="1"/>
  <c r="W98" i="226" a="1"/>
  <c r="W98" i="226" s="1"/>
  <c r="CU98" i="226" a="1"/>
  <c r="CU98" i="226" s="1"/>
  <c r="BT60" i="226" a="1"/>
  <c r="BT60" i="226" s="1"/>
  <c r="V60" i="226" a="1"/>
  <c r="V60" i="226" s="1"/>
  <c r="W60" i="226" a="1"/>
  <c r="W60" i="226" s="1"/>
  <c r="X60" i="226" a="1"/>
  <c r="X60" i="226" s="1"/>
  <c r="AP60" i="226" a="1"/>
  <c r="AP60" i="226" s="1"/>
  <c r="AT60" i="226" a="1"/>
  <c r="AT60" i="226" s="1"/>
  <c r="CU60" i="226" a="1"/>
  <c r="CU60" i="226" s="1"/>
  <c r="AR60" i="226" a="1"/>
  <c r="AR60" i="226" s="1"/>
  <c r="X30" i="226" a="1"/>
  <c r="X30" i="226" s="1"/>
  <c r="AT30" i="226" a="1"/>
  <c r="AT30" i="226" s="1"/>
  <c r="AR30" i="226" a="1"/>
  <c r="AR30" i="226" s="1"/>
  <c r="W30" i="226" a="1"/>
  <c r="W30" i="226" s="1"/>
  <c r="BT30" i="226" a="1"/>
  <c r="BT30" i="226" s="1"/>
  <c r="V30" i="226" a="1"/>
  <c r="V30" i="226" s="1"/>
  <c r="CU30" i="226" a="1"/>
  <c r="CU30" i="226" s="1"/>
  <c r="AP30" i="226" a="1"/>
  <c r="AP30" i="226" s="1"/>
  <c r="BT34" i="226" a="1"/>
  <c r="BT34" i="226" s="1"/>
  <c r="V34" i="226" a="1"/>
  <c r="V34" i="226" s="1"/>
  <c r="AT34" i="226" a="1"/>
  <c r="AT34" i="226" s="1"/>
  <c r="X34" i="226" a="1"/>
  <c r="X34" i="226" s="1"/>
  <c r="W34" i="226" a="1"/>
  <c r="W34" i="226" s="1"/>
  <c r="AR34" i="226" a="1"/>
  <c r="AR34" i="226" s="1"/>
  <c r="AP34" i="226" a="1"/>
  <c r="AP34" i="226" s="1"/>
  <c r="CU34" i="226" a="1"/>
  <c r="CU34" i="226" s="1"/>
  <c r="X56" i="226" a="1"/>
  <c r="X56" i="226" s="1"/>
  <c r="AT56" i="226" a="1"/>
  <c r="AT56" i="226" s="1"/>
  <c r="AR56" i="226" a="1"/>
  <c r="AR56" i="226" s="1"/>
  <c r="BT56" i="226" a="1"/>
  <c r="BT56" i="226" s="1"/>
  <c r="V56" i="226" a="1"/>
  <c r="V56" i="226" s="1"/>
  <c r="W56" i="226" a="1"/>
  <c r="W56" i="226" s="1"/>
  <c r="CU56" i="226" a="1"/>
  <c r="CU56" i="226" s="1"/>
  <c r="AP56" i="226" a="1"/>
  <c r="AP56" i="226" s="1"/>
  <c r="X64" i="226" a="1"/>
  <c r="X64" i="226" s="1"/>
  <c r="AT64" i="226" a="1"/>
  <c r="AT64" i="226" s="1"/>
  <c r="W64" i="226" a="1"/>
  <c r="W64" i="226" s="1"/>
  <c r="BT64" i="226" a="1"/>
  <c r="BT64" i="226" s="1"/>
  <c r="V64" i="226" a="1"/>
  <c r="V64" i="226" s="1"/>
  <c r="AR64" i="226" a="1"/>
  <c r="AR64" i="226" s="1"/>
  <c r="CU64" i="226" a="1"/>
  <c r="CU64" i="226" s="1"/>
  <c r="AP64" i="226" a="1"/>
  <c r="AP64" i="226" s="1"/>
  <c r="AR111" i="226" a="1"/>
  <c r="AR111" i="226" s="1"/>
  <c r="BT111" i="226" a="1"/>
  <c r="BT111" i="226" s="1"/>
  <c r="V111" i="226" a="1"/>
  <c r="V111" i="226" s="1"/>
  <c r="AT111" i="226" a="1"/>
  <c r="AT111" i="226" s="1"/>
  <c r="AP111" i="226" a="1"/>
  <c r="AP111" i="226" s="1"/>
  <c r="X111" i="226" a="1"/>
  <c r="X111" i="226" s="1"/>
  <c r="CU111" i="226" a="1"/>
  <c r="CU111" i="226" s="1"/>
  <c r="W111" i="226" a="1"/>
  <c r="W111" i="226" s="1"/>
  <c r="AP97" i="226" a="1"/>
  <c r="AP97" i="226" s="1"/>
  <c r="X97" i="226" a="1"/>
  <c r="X97" i="226" s="1"/>
  <c r="AT97" i="226" a="1"/>
  <c r="AT97" i="226" s="1"/>
  <c r="AR97" i="226" a="1"/>
  <c r="AR97" i="226" s="1"/>
  <c r="BT97" i="226" a="1"/>
  <c r="BT97" i="226" s="1"/>
  <c r="V97" i="226" a="1"/>
  <c r="V97" i="226" s="1"/>
  <c r="CU97" i="226" a="1"/>
  <c r="CU97" i="226" s="1"/>
  <c r="W97" i="226" a="1"/>
  <c r="W97" i="226" s="1"/>
  <c r="AR67" i="226" a="1"/>
  <c r="AR67" i="226" s="1"/>
  <c r="W67" i="226" a="1"/>
  <c r="W67" i="226" s="1"/>
  <c r="BT67" i="226" a="1"/>
  <c r="BT67" i="226" s="1"/>
  <c r="V67" i="226" a="1"/>
  <c r="V67" i="226" s="1"/>
  <c r="X67" i="226" a="1"/>
  <c r="X67" i="226" s="1"/>
  <c r="AT67" i="226" a="1"/>
  <c r="AT67" i="226" s="1"/>
  <c r="CU67" i="226" a="1"/>
  <c r="CU67" i="226" s="1"/>
  <c r="AP67" i="226" a="1"/>
  <c r="AP67" i="226" s="1"/>
  <c r="AT73" i="226" a="1"/>
  <c r="AT73" i="226" s="1"/>
  <c r="X73" i="226" a="1"/>
  <c r="X73" i="226" s="1"/>
  <c r="W73" i="226" a="1"/>
  <c r="W73" i="226" s="1"/>
  <c r="BT73" i="226" a="1"/>
  <c r="BT73" i="226" s="1"/>
  <c r="V73" i="226" a="1"/>
  <c r="V73" i="226" s="1"/>
  <c r="AR73" i="226" a="1"/>
  <c r="AR73" i="226" s="1"/>
  <c r="CU73" i="226" a="1"/>
  <c r="CU73" i="226" s="1"/>
  <c r="AP73" i="226" a="1"/>
  <c r="AP73" i="226" s="1"/>
  <c r="AM44" i="226"/>
  <c r="AT44" i="226" a="1"/>
  <c r="AT44" i="226" s="1"/>
  <c r="X44" i="226" a="1"/>
  <c r="X44" i="226" s="1"/>
  <c r="W44" i="226" a="1"/>
  <c r="W44" i="226" s="1"/>
  <c r="AR44" i="226" a="1"/>
  <c r="AR44" i="226" s="1"/>
  <c r="V44" i="226" a="1"/>
  <c r="V44" i="226" s="1"/>
  <c r="AP44" i="226" a="1"/>
  <c r="AP44" i="226" s="1"/>
  <c r="CU44" i="226" a="1"/>
  <c r="CU44" i="226" s="1"/>
  <c r="BT44" i="226" a="1"/>
  <c r="BT44" i="226" s="1"/>
  <c r="AR76" i="226" a="1"/>
  <c r="AR76" i="226" s="1"/>
  <c r="BT76" i="226" a="1"/>
  <c r="BT76" i="226" s="1"/>
  <c r="V76" i="226" a="1"/>
  <c r="V76" i="226" s="1"/>
  <c r="AT76" i="226" a="1"/>
  <c r="AT76" i="226" s="1"/>
  <c r="X76" i="226" a="1"/>
  <c r="X76" i="226" s="1"/>
  <c r="CU76" i="226" a="1"/>
  <c r="CU76" i="226" s="1"/>
  <c r="AP76" i="226" a="1"/>
  <c r="AP76" i="226" s="1"/>
  <c r="W76" i="226" a="1"/>
  <c r="W76" i="226" s="1"/>
  <c r="AR66" i="226" a="1"/>
  <c r="AR66" i="226" s="1"/>
  <c r="W66" i="226" a="1"/>
  <c r="W66" i="226" s="1"/>
  <c r="BT66" i="226" a="1"/>
  <c r="BT66" i="226" s="1"/>
  <c r="V66" i="226" a="1"/>
  <c r="V66" i="226" s="1"/>
  <c r="X66" i="226" a="1"/>
  <c r="X66" i="226" s="1"/>
  <c r="CU66" i="226" a="1"/>
  <c r="CU66" i="226" s="1"/>
  <c r="AT66" i="226" a="1"/>
  <c r="AT66" i="226" s="1"/>
  <c r="AP66" i="226" a="1"/>
  <c r="AP66" i="226" s="1"/>
  <c r="AT94" i="226" a="1"/>
  <c r="AT94" i="226" s="1"/>
  <c r="AR94" i="226" a="1"/>
  <c r="AR94" i="226" s="1"/>
  <c r="BT94" i="226" a="1"/>
  <c r="BT94" i="226" s="1"/>
  <c r="V94" i="226" a="1"/>
  <c r="V94" i="226" s="1"/>
  <c r="W94" i="226" a="1"/>
  <c r="W94" i="226" s="1"/>
  <c r="AP94" i="226" a="1"/>
  <c r="AP94" i="226" s="1"/>
  <c r="X94" i="226" a="1"/>
  <c r="X94" i="226" s="1"/>
  <c r="CU94" i="226" a="1"/>
  <c r="CU94" i="226" s="1"/>
  <c r="X65" i="226" a="1"/>
  <c r="X65" i="226" s="1"/>
  <c r="AT65" i="226" a="1"/>
  <c r="AT65" i="226" s="1"/>
  <c r="AR65" i="226" a="1"/>
  <c r="AR65" i="226" s="1"/>
  <c r="W65" i="226" a="1"/>
  <c r="W65" i="226" s="1"/>
  <c r="BT65" i="226" a="1"/>
  <c r="BT65" i="226" s="1"/>
  <c r="V65" i="226" a="1"/>
  <c r="V65" i="226" s="1"/>
  <c r="CU65" i="226" a="1"/>
  <c r="CU65" i="226" s="1"/>
  <c r="AP65" i="226" a="1"/>
  <c r="AP65" i="226" s="1"/>
  <c r="AP107" i="226" a="1"/>
  <c r="AP107" i="226" s="1"/>
  <c r="AT107" i="226" a="1"/>
  <c r="AT107" i="226" s="1"/>
  <c r="X107" i="226" a="1"/>
  <c r="X107" i="226" s="1"/>
  <c r="W107" i="226" a="1"/>
  <c r="W107" i="226" s="1"/>
  <c r="AR107" i="226" a="1"/>
  <c r="AR107" i="226" s="1"/>
  <c r="BT107" i="226" a="1"/>
  <c r="BT107" i="226" s="1"/>
  <c r="V107" i="226" a="1"/>
  <c r="V107" i="226" s="1"/>
  <c r="CU107" i="226" a="1"/>
  <c r="CU107" i="226" s="1"/>
  <c r="X29" i="226" a="1"/>
  <c r="X29" i="226" s="1"/>
  <c r="AT29" i="226" a="1"/>
  <c r="AT29" i="226" s="1"/>
  <c r="W29" i="226" a="1"/>
  <c r="W29" i="226" s="1"/>
  <c r="BT29" i="226" a="1"/>
  <c r="BT29" i="226" s="1"/>
  <c r="V29" i="226" a="1"/>
  <c r="V29" i="226" s="1"/>
  <c r="AR29" i="226" a="1"/>
  <c r="AR29" i="226" s="1"/>
  <c r="CU29" i="226" a="1"/>
  <c r="CU29" i="226" s="1"/>
  <c r="AP29" i="226" a="1"/>
  <c r="AP29" i="226" s="1"/>
  <c r="AT37" i="226" a="1"/>
  <c r="AT37" i="226" s="1"/>
  <c r="X37" i="226" a="1"/>
  <c r="X37" i="226" s="1"/>
  <c r="W37" i="226" a="1"/>
  <c r="W37" i="226" s="1"/>
  <c r="AR37" i="226" a="1"/>
  <c r="AR37" i="226" s="1"/>
  <c r="BT37" i="226" a="1"/>
  <c r="BT37" i="226" s="1"/>
  <c r="V37" i="226" a="1"/>
  <c r="V37" i="226" s="1"/>
  <c r="AP37" i="226" a="1"/>
  <c r="AP37" i="226" s="1"/>
  <c r="CU37" i="226" a="1"/>
  <c r="CU37" i="226" s="1"/>
  <c r="BT70" i="226" a="1"/>
  <c r="BT70" i="226" s="1"/>
  <c r="V70" i="226" a="1"/>
  <c r="V70" i="226" s="1"/>
  <c r="AT70" i="226" a="1"/>
  <c r="AT70" i="226" s="1"/>
  <c r="X70" i="226" a="1"/>
  <c r="X70" i="226" s="1"/>
  <c r="W70" i="226" a="1"/>
  <c r="W70" i="226" s="1"/>
  <c r="AR70" i="226" a="1"/>
  <c r="AR70" i="226" s="1"/>
  <c r="AP70" i="226" a="1"/>
  <c r="AP70" i="226" s="1"/>
  <c r="CU70" i="226" a="1"/>
  <c r="CU70" i="226" s="1"/>
  <c r="AR101" i="226" a="1"/>
  <c r="AR101" i="226" s="1"/>
  <c r="W101" i="226" a="1"/>
  <c r="W101" i="226" s="1"/>
  <c r="BT101" i="226" a="1"/>
  <c r="BT101" i="226" s="1"/>
  <c r="V101" i="226" a="1"/>
  <c r="V101" i="226" s="1"/>
  <c r="AP101" i="226" a="1"/>
  <c r="AP101" i="226" s="1"/>
  <c r="CU101" i="226" a="1"/>
  <c r="CU101" i="226" s="1"/>
  <c r="X101" i="226" a="1"/>
  <c r="X101" i="226" s="1"/>
  <c r="AT101" i="226" a="1"/>
  <c r="AT101" i="226" s="1"/>
  <c r="AR6" i="226" a="1"/>
  <c r="AR6" i="226" s="1"/>
  <c r="BT6" i="226" a="1"/>
  <c r="BT6" i="226" s="1"/>
  <c r="V6" i="226" a="1"/>
  <c r="V6" i="226" s="1"/>
  <c r="AT6" i="226" a="1"/>
  <c r="AT6" i="226" s="1"/>
  <c r="X6" i="226" a="1"/>
  <c r="X6" i="226" s="1"/>
  <c r="CU6" i="226" a="1"/>
  <c r="CU6" i="226" s="1"/>
  <c r="AP6" i="226" a="1"/>
  <c r="AP6" i="226" s="1"/>
  <c r="W6" i="226" a="1"/>
  <c r="W6" i="226" s="1"/>
  <c r="AR31" i="226" a="1"/>
  <c r="AR31" i="226" s="1"/>
  <c r="W31" i="226" a="1"/>
  <c r="W31" i="226" s="1"/>
  <c r="BT31" i="226" a="1"/>
  <c r="BT31" i="226" s="1"/>
  <c r="V31" i="226" a="1"/>
  <c r="V31" i="226" s="1"/>
  <c r="AT31" i="226" a="1"/>
  <c r="AT31" i="226" s="1"/>
  <c r="CU31" i="226" a="1"/>
  <c r="CU31" i="226" s="1"/>
  <c r="X31" i="226" a="1"/>
  <c r="X31" i="226" s="1"/>
  <c r="AP31" i="226" a="1"/>
  <c r="AP31" i="226" s="1"/>
  <c r="BT78" i="226" a="1"/>
  <c r="BT78" i="226" s="1"/>
  <c r="V78" i="226" a="1"/>
  <c r="V78" i="226" s="1"/>
  <c r="AT78" i="226" a="1"/>
  <c r="AT78" i="226" s="1"/>
  <c r="X78" i="226" a="1"/>
  <c r="X78" i="226" s="1"/>
  <c r="W78" i="226" a="1"/>
  <c r="W78" i="226" s="1"/>
  <c r="AR78" i="226" a="1"/>
  <c r="AR78" i="226" s="1"/>
  <c r="AP78" i="226" a="1"/>
  <c r="AP78" i="226" s="1"/>
  <c r="CU78" i="226" a="1"/>
  <c r="CU78" i="226" s="1"/>
  <c r="AM23" i="226"/>
  <c r="AT23" i="226" a="1"/>
  <c r="AT23" i="226" s="1"/>
  <c r="AR23" i="226" a="1"/>
  <c r="AR23" i="226" s="1"/>
  <c r="BT23" i="226" a="1"/>
  <c r="BT23" i="226" s="1"/>
  <c r="V23" i="226" a="1"/>
  <c r="V23" i="226" s="1"/>
  <c r="W23" i="226" a="1"/>
  <c r="W23" i="226" s="1"/>
  <c r="X23" i="226" a="1"/>
  <c r="X23" i="226" s="1"/>
  <c r="CU23" i="226" a="1"/>
  <c r="CU23" i="226" s="1"/>
  <c r="AP23" i="226" a="1"/>
  <c r="AP23" i="226" s="1"/>
  <c r="AT9" i="226" a="1"/>
  <c r="AT9" i="226" s="1"/>
  <c r="X9" i="226" a="1"/>
  <c r="X9" i="226" s="1"/>
  <c r="W9" i="226" a="1"/>
  <c r="W9" i="226" s="1"/>
  <c r="AR9" i="226" a="1"/>
  <c r="AR9" i="226" s="1"/>
  <c r="AP9" i="226" a="1"/>
  <c r="AP9" i="226" s="1"/>
  <c r="BT9" i="226" a="1"/>
  <c r="BT9" i="226" s="1"/>
  <c r="CU9" i="226" a="1"/>
  <c r="CU9" i="226" s="1"/>
  <c r="V9" i="226" a="1"/>
  <c r="V9" i="226" s="1"/>
  <c r="AR84" i="226" a="1"/>
  <c r="AR84" i="226" s="1"/>
  <c r="BT84" i="226" a="1"/>
  <c r="BT84" i="226" s="1"/>
  <c r="V84" i="226" a="1"/>
  <c r="V84" i="226" s="1"/>
  <c r="AT84" i="226" a="1"/>
  <c r="AT84" i="226" s="1"/>
  <c r="AP84" i="226" a="1"/>
  <c r="AP84" i="226" s="1"/>
  <c r="W84" i="226" a="1"/>
  <c r="W84" i="226" s="1"/>
  <c r="CU84" i="226" a="1"/>
  <c r="CU84" i="226" s="1"/>
  <c r="X84" i="226" a="1"/>
  <c r="X84" i="226" s="1"/>
  <c r="X83" i="226" a="1"/>
  <c r="X83" i="226" s="1"/>
  <c r="AR83" i="226" a="1"/>
  <c r="AR83" i="226" s="1"/>
  <c r="BT83" i="226" a="1"/>
  <c r="BT83" i="226" s="1"/>
  <c r="V83" i="226" a="1"/>
  <c r="V83" i="226" s="1"/>
  <c r="AT83" i="226" a="1"/>
  <c r="AT83" i="226" s="1"/>
  <c r="AP83" i="226" a="1"/>
  <c r="AP83" i="226" s="1"/>
  <c r="W83" i="226" a="1"/>
  <c r="W83" i="226" s="1"/>
  <c r="CU83" i="226" a="1"/>
  <c r="CU83" i="226" s="1"/>
  <c r="AT93" i="226" a="1"/>
  <c r="AT93" i="226" s="1"/>
  <c r="AR93" i="226" a="1"/>
  <c r="AR93" i="226" s="1"/>
  <c r="BT93" i="226" a="1"/>
  <c r="BT93" i="226" s="1"/>
  <c r="V93" i="226" a="1"/>
  <c r="V93" i="226" s="1"/>
  <c r="W93" i="226" a="1"/>
  <c r="W93" i="226" s="1"/>
  <c r="AP93" i="226" a="1"/>
  <c r="AP93" i="226" s="1"/>
  <c r="CU93" i="226" a="1"/>
  <c r="CU93" i="226" s="1"/>
  <c r="X93" i="226" a="1"/>
  <c r="X93" i="226" s="1"/>
  <c r="AR50" i="226" a="1"/>
  <c r="AR50" i="226" s="1"/>
  <c r="BT50" i="226" a="1"/>
  <c r="BT50" i="226" s="1"/>
  <c r="V50" i="226" a="1"/>
  <c r="V50" i="226" s="1"/>
  <c r="AT50" i="226" a="1"/>
  <c r="AT50" i="226" s="1"/>
  <c r="W50" i="226" a="1"/>
  <c r="W50" i="226" s="1"/>
  <c r="X50" i="226" a="1"/>
  <c r="X50" i="226" s="1"/>
  <c r="CU50" i="226" a="1"/>
  <c r="CU50" i="226" s="1"/>
  <c r="AP50" i="226" a="1"/>
  <c r="AP50" i="226" s="1"/>
  <c r="X55" i="226" a="1"/>
  <c r="X55" i="226" s="1"/>
  <c r="AT55" i="226" a="1"/>
  <c r="AT55" i="226" s="1"/>
  <c r="BT55" i="226" a="1"/>
  <c r="BT55" i="226" s="1"/>
  <c r="V55" i="226" a="1"/>
  <c r="V55" i="226" s="1"/>
  <c r="W55" i="226" a="1"/>
  <c r="W55" i="226" s="1"/>
  <c r="CU55" i="226" a="1"/>
  <c r="CU55" i="226" s="1"/>
  <c r="AR55" i="226" a="1"/>
  <c r="AR55" i="226" s="1"/>
  <c r="AP55" i="226" a="1"/>
  <c r="AP55" i="226" s="1"/>
  <c r="AR32" i="226" a="1"/>
  <c r="AR32" i="226" s="1"/>
  <c r="W32" i="226" a="1"/>
  <c r="W32" i="226" s="1"/>
  <c r="BT32" i="226" a="1"/>
  <c r="BT32" i="226" s="1"/>
  <c r="V32" i="226" a="1"/>
  <c r="V32" i="226" s="1"/>
  <c r="X32" i="226" a="1"/>
  <c r="X32" i="226" s="1"/>
  <c r="AT32" i="226" a="1"/>
  <c r="AT32" i="226" s="1"/>
  <c r="CU32" i="226" a="1"/>
  <c r="CU32" i="226" s="1"/>
  <c r="AP32" i="226" a="1"/>
  <c r="AP32" i="226" s="1"/>
  <c r="X45" i="226" a="1"/>
  <c r="X45" i="226" s="1"/>
  <c r="W45" i="226" a="1"/>
  <c r="W45" i="226" s="1"/>
  <c r="AR45" i="226" a="1"/>
  <c r="AR45" i="226" s="1"/>
  <c r="BT45" i="226" a="1"/>
  <c r="BT45" i="226" s="1"/>
  <c r="V45" i="226" a="1"/>
  <c r="V45" i="226" s="1"/>
  <c r="AP45" i="226" a="1"/>
  <c r="AP45" i="226" s="1"/>
  <c r="CU45" i="226" a="1"/>
  <c r="CU45" i="226" s="1"/>
  <c r="AT45" i="226" a="1"/>
  <c r="AT45" i="226" s="1"/>
  <c r="BT16" i="226" a="1"/>
  <c r="BT16" i="226" s="1"/>
  <c r="V16" i="226" a="1"/>
  <c r="V16" i="226" s="1"/>
  <c r="AT16" i="226" a="1"/>
  <c r="AT16" i="226" s="1"/>
  <c r="W16" i="226" a="1"/>
  <c r="W16" i="226" s="1"/>
  <c r="X16" i="226" a="1"/>
  <c r="X16" i="226" s="1"/>
  <c r="AP16" i="226" a="1"/>
  <c r="AP16" i="226" s="1"/>
  <c r="AR16" i="226" a="1"/>
  <c r="AR16" i="226" s="1"/>
  <c r="CU16" i="226" a="1"/>
  <c r="CU16" i="226" s="1"/>
  <c r="AM35" i="226"/>
  <c r="AT35" i="226" a="1"/>
  <c r="AT35" i="226" s="1"/>
  <c r="X35" i="226" a="1"/>
  <c r="X35" i="226" s="1"/>
  <c r="W35" i="226" a="1"/>
  <c r="W35" i="226" s="1"/>
  <c r="AR35" i="226" a="1"/>
  <c r="AR35" i="226" s="1"/>
  <c r="BT35" i="226" a="1"/>
  <c r="BT35" i="226" s="1"/>
  <c r="V35" i="226" a="1"/>
  <c r="V35" i="226" s="1"/>
  <c r="AP35" i="226" a="1"/>
  <c r="AP35" i="226" s="1"/>
  <c r="CU35" i="226" a="1"/>
  <c r="CU35" i="226" s="1"/>
  <c r="AL12" i="176"/>
  <c r="AC12" i="176"/>
  <c r="AH12" i="176"/>
  <c r="AM84" i="226"/>
  <c r="DR105" i="226"/>
  <c r="AM105" i="226"/>
  <c r="DF110" i="226"/>
  <c r="AM110" i="226"/>
  <c r="DP78" i="226"/>
  <c r="AM78" i="226"/>
  <c r="DJ29" i="226"/>
  <c r="AM29" i="226"/>
  <c r="DL64" i="226"/>
  <c r="AM64" i="226"/>
  <c r="A66" i="226"/>
  <c r="AM66" i="226"/>
  <c r="DN86" i="226"/>
  <c r="AM86" i="226"/>
  <c r="DN17" i="226"/>
  <c r="AM17" i="226"/>
  <c r="AK12" i="226" a="1"/>
  <c r="AK12" i="226" s="1"/>
  <c r="AM12" i="226"/>
  <c r="AM56" i="226"/>
  <c r="BS40" i="226" a="1"/>
  <c r="BS40" i="226" s="1"/>
  <c r="AM40" i="226"/>
  <c r="DL97" i="226"/>
  <c r="AM97" i="226"/>
  <c r="DJ54" i="226"/>
  <c r="AM54" i="226"/>
  <c r="AJ83" i="226"/>
  <c r="AM83" i="226"/>
  <c r="BU93" i="226" a="1"/>
  <c r="BU93" i="226" s="1"/>
  <c r="AM93" i="226"/>
  <c r="DR50" i="226"/>
  <c r="AM50" i="226"/>
  <c r="DT37" i="226"/>
  <c r="AM37" i="226"/>
  <c r="DT70" i="226"/>
  <c r="AM70" i="226"/>
  <c r="AJ101" i="226"/>
  <c r="AM101" i="226"/>
  <c r="DR28" i="226"/>
  <c r="AM28" i="226"/>
  <c r="DN43" i="226"/>
  <c r="AM43" i="226"/>
  <c r="AO76" i="226" a="1"/>
  <c r="AO76" i="226" s="1"/>
  <c r="AM76" i="226"/>
  <c r="AN41" i="226" a="1"/>
  <c r="AN41" i="226" s="1"/>
  <c r="AL41" i="226" s="1"/>
  <c r="AM41" i="226"/>
  <c r="B34" i="226"/>
  <c r="AM34" i="226"/>
  <c r="DR82" i="226"/>
  <c r="AM82" i="226"/>
  <c r="DR30" i="226"/>
  <c r="AM30" i="226"/>
  <c r="AH103" i="226" a="1"/>
  <c r="AH103" i="226" s="1"/>
  <c r="AM103" i="226"/>
  <c r="DH24" i="226"/>
  <c r="AM24" i="226"/>
  <c r="DJ55" i="226"/>
  <c r="AM55" i="226"/>
  <c r="BW32" i="226"/>
  <c r="AM32" i="226"/>
  <c r="CC45" i="226"/>
  <c r="AM45" i="226"/>
  <c r="DP111" i="226"/>
  <c r="AM111" i="226"/>
  <c r="DL94" i="226"/>
  <c r="AM94" i="226"/>
  <c r="DP48" i="226"/>
  <c r="AM48" i="226"/>
  <c r="BR65" i="226" a="1"/>
  <c r="BR65" i="226" s="1"/>
  <c r="AM65" i="226"/>
  <c r="DJ88" i="226"/>
  <c r="AM88" i="226"/>
  <c r="DT74" i="226"/>
  <c r="AM74" i="226"/>
  <c r="AM85" i="226"/>
  <c r="DH90" i="226"/>
  <c r="AM90" i="226"/>
  <c r="AI109" i="226" a="1"/>
  <c r="AI109" i="226" s="1"/>
  <c r="AM109" i="226"/>
  <c r="CA60" i="226"/>
  <c r="AM60" i="226"/>
  <c r="DT10" i="226"/>
  <c r="AM10" i="226"/>
  <c r="BR26" i="226" a="1"/>
  <c r="BR26" i="226" s="1"/>
  <c r="AM26" i="226"/>
  <c r="DH6" i="226"/>
  <c r="AM6" i="226"/>
  <c r="BU31" i="226" a="1"/>
  <c r="BU31" i="226" s="1"/>
  <c r="AM31" i="226"/>
  <c r="DT9" i="226"/>
  <c r="AM9" i="226"/>
  <c r="BV73" i="226" a="1"/>
  <c r="BV73" i="226" s="1"/>
  <c r="AM73" i="226"/>
  <c r="A79" i="226"/>
  <c r="AM79" i="226"/>
  <c r="DR38" i="226"/>
  <c r="AM38" i="226"/>
  <c r="DF67" i="226"/>
  <c r="AM67" i="226"/>
  <c r="DT100" i="226"/>
  <c r="AM100" i="226"/>
  <c r="DT51" i="226"/>
  <c r="AM51" i="226"/>
  <c r="DN16" i="226"/>
  <c r="AM16" i="226"/>
  <c r="DR57" i="226"/>
  <c r="AM57" i="226"/>
  <c r="DF46" i="226"/>
  <c r="AM46" i="226"/>
  <c r="DT27" i="226"/>
  <c r="AM27" i="226"/>
  <c r="DR53" i="226"/>
  <c r="AM53" i="226"/>
  <c r="DT13" i="226"/>
  <c r="AM13" i="226"/>
  <c r="DL107" i="226"/>
  <c r="AM107" i="226"/>
  <c r="DP87" i="226"/>
  <c r="AM87" i="226"/>
  <c r="DT11" i="226"/>
  <c r="AM11" i="226"/>
  <c r="DT95" i="226"/>
  <c r="AM95" i="226"/>
  <c r="AG68" i="226" a="1"/>
  <c r="AG68" i="226" s="1"/>
  <c r="AM68" i="226"/>
  <c r="AS112" i="226" a="1"/>
  <c r="AS112" i="226" s="1"/>
  <c r="AM112" i="226"/>
  <c r="BK18" i="167"/>
  <c r="BF18" i="167"/>
  <c r="Y12" i="167" s="1"/>
  <c r="CW18" i="167"/>
  <c r="CX18" i="167" s="1"/>
  <c r="BN18" i="167"/>
  <c r="S10" i="3"/>
  <c r="CI18" i="167"/>
  <c r="CE18" i="167"/>
  <c r="CT18" i="167"/>
  <c r="BH18" i="167"/>
  <c r="CV18" i="167"/>
  <c r="CF18" i="167"/>
  <c r="CC18" i="167"/>
  <c r="BY28" i="226" a="1"/>
  <c r="BY28" i="226" s="1"/>
  <c r="CD71" i="207"/>
  <c r="U14" i="154"/>
  <c r="DN50" i="226"/>
  <c r="AJ100" i="226"/>
  <c r="X68" i="207"/>
  <c r="BX70" i="226"/>
  <c r="AI28" i="226" a="1"/>
  <c r="AI28" i="226" s="1"/>
  <c r="DJ70" i="226"/>
  <c r="DL37" i="226"/>
  <c r="CS50" i="226" a="1"/>
  <c r="CS50" i="226" s="1"/>
  <c r="AQ50" i="226" a="1"/>
  <c r="AQ50" i="226" s="1"/>
  <c r="B54" i="226"/>
  <c r="CC70" i="226"/>
  <c r="CB101" i="226"/>
  <c r="AH50" i="226" a="1"/>
  <c r="AH50" i="226" s="1"/>
  <c r="DR37" i="226"/>
  <c r="BX54" i="226"/>
  <c r="CA70" i="226"/>
  <c r="CS101" i="226" a="1"/>
  <c r="CS101" i="226" s="1"/>
  <c r="DT43" i="226"/>
  <c r="U68" i="207"/>
  <c r="AJ50" i="226"/>
  <c r="A37" i="226"/>
  <c r="CT50" i="226" a="1"/>
  <c r="CT50" i="226" s="1"/>
  <c r="AJ93" i="226"/>
  <c r="AQ93" i="226" a="1"/>
  <c r="AQ93" i="226" s="1"/>
  <c r="DF101" i="226"/>
  <c r="BS76" i="226" a="1"/>
  <c r="BS76" i="226" s="1"/>
  <c r="AQ41" i="226" a="1"/>
  <c r="AQ41" i="226" s="1"/>
  <c r="BV76" i="226" a="1"/>
  <c r="BV76" i="226" s="1"/>
  <c r="AK54" i="226" a="1"/>
  <c r="AK54" i="226" s="1"/>
  <c r="C93" i="226" a="1"/>
  <c r="C93" i="226" s="1"/>
  <c r="L93" i="226" s="1"/>
  <c r="DL50" i="226"/>
  <c r="BU54" i="226" a="1"/>
  <c r="BU54" i="226" s="1"/>
  <c r="A54" i="226"/>
  <c r="DF93" i="226"/>
  <c r="AQ54" i="226" a="1"/>
  <c r="AQ54" i="226" s="1"/>
  <c r="CD93" i="226"/>
  <c r="BP37" i="226" a="1"/>
  <c r="BP37" i="226" s="1"/>
  <c r="DR70" i="226"/>
  <c r="CA54" i="226"/>
  <c r="AS93" i="226" a="1"/>
  <c r="AS93" i="226" s="1"/>
  <c r="BX93" i="226"/>
  <c r="B29" i="226"/>
  <c r="DF107" i="226"/>
  <c r="BX87" i="226"/>
  <c r="CC107" i="226"/>
  <c r="CT68" i="226" a="1"/>
  <c r="CT68" i="226" s="1"/>
  <c r="BP76" i="226" a="1"/>
  <c r="BP76" i="226" s="1"/>
  <c r="AG94" i="226" a="1"/>
  <c r="AG94" i="226" s="1"/>
  <c r="DR94" i="226"/>
  <c r="AK94" i="226" a="1"/>
  <c r="AK94" i="226" s="1"/>
  <c r="AJ110" i="226"/>
  <c r="CA30" i="226"/>
  <c r="DH76" i="226"/>
  <c r="AS94" i="226" a="1"/>
  <c r="AS94" i="226" s="1"/>
  <c r="DN94" i="226"/>
  <c r="CB94" i="226"/>
  <c r="CB30" i="226"/>
  <c r="CD24" i="226"/>
  <c r="AN45" i="226" a="1"/>
  <c r="AN45" i="226" s="1"/>
  <c r="AL45" i="226" s="1"/>
  <c r="CS94" i="226" a="1"/>
  <c r="CS94" i="226" s="1"/>
  <c r="BS94" i="226" a="1"/>
  <c r="BS94" i="226" s="1"/>
  <c r="BU94" i="226" a="1"/>
  <c r="BU94" i="226" s="1"/>
  <c r="DP94" i="226"/>
  <c r="DH94" i="226"/>
  <c r="DL82" i="226"/>
  <c r="DT94" i="226"/>
  <c r="AK30" i="226" a="1"/>
  <c r="AK30" i="226" s="1"/>
  <c r="BS82" i="226" a="1"/>
  <c r="BS82" i="226" s="1"/>
  <c r="BX94" i="226"/>
  <c r="BP94" i="226" a="1"/>
  <c r="BP94" i="226" s="1"/>
  <c r="CC94" i="226"/>
  <c r="BY94" i="226" a="1"/>
  <c r="BY94" i="226" s="1"/>
  <c r="BZ94" i="226"/>
  <c r="B30" i="226"/>
  <c r="BY32" i="226" a="1"/>
  <c r="BY32" i="226" s="1"/>
  <c r="A45" i="226"/>
  <c r="A94" i="226"/>
  <c r="BX30" i="226"/>
  <c r="BX82" i="226"/>
  <c r="CD94" i="226"/>
  <c r="B94" i="226"/>
  <c r="CA94" i="226"/>
  <c r="DF45" i="226"/>
  <c r="AG30" i="226" a="1"/>
  <c r="AG30" i="226" s="1"/>
  <c r="AO82" i="226" a="1"/>
  <c r="AO82" i="226" s="1"/>
  <c r="AQ94" i="226" a="1"/>
  <c r="AQ94" i="226" s="1"/>
  <c r="CT94" i="226" a="1"/>
  <c r="CT94" i="226" s="1"/>
  <c r="BR94" i="226" a="1"/>
  <c r="BR94" i="226" s="1"/>
  <c r="BR30" i="226" a="1"/>
  <c r="BR30" i="226" s="1"/>
  <c r="CA111" i="226"/>
  <c r="AH45" i="226" a="1"/>
  <c r="AH45" i="226" s="1"/>
  <c r="BW94" i="226"/>
  <c r="C94" i="226" a="1"/>
  <c r="C94" i="226" s="1"/>
  <c r="G94" i="226" s="1"/>
  <c r="AI94" i="226" a="1"/>
  <c r="AI94" i="226" s="1"/>
  <c r="CD30" i="226"/>
  <c r="BS30" i="226" a="1"/>
  <c r="BS30" i="226" s="1"/>
  <c r="CA45" i="226"/>
  <c r="AH94" i="226" a="1"/>
  <c r="AH94" i="226" s="1"/>
  <c r="AJ94" i="226"/>
  <c r="AN94" i="226" a="1"/>
  <c r="AN94" i="226" s="1"/>
  <c r="AL94" i="226" s="1"/>
  <c r="BV94" i="226" a="1"/>
  <c r="BV94" i="226" s="1"/>
  <c r="DT45" i="226"/>
  <c r="BV82" i="226" a="1"/>
  <c r="BV82" i="226" s="1"/>
  <c r="DF94" i="226"/>
  <c r="BX55" i="226"/>
  <c r="DJ94" i="226"/>
  <c r="DP32" i="226"/>
  <c r="DN54" i="226"/>
  <c r="CA55" i="226"/>
  <c r="AO94" i="226" a="1"/>
  <c r="AO94" i="226" s="1"/>
  <c r="DF105" i="226"/>
  <c r="BX26" i="226"/>
  <c r="BX90" i="226"/>
  <c r="AJ40" i="226"/>
  <c r="DL100" i="226"/>
  <c r="BX88" i="226"/>
  <c r="AI90" i="226" a="1"/>
  <c r="AI90" i="226" s="1"/>
  <c r="CD100" i="226"/>
  <c r="CS109" i="226" a="1"/>
  <c r="CS109" i="226" s="1"/>
  <c r="AN90" i="226" a="1"/>
  <c r="AN90" i="226" s="1"/>
  <c r="AL90" i="226" s="1"/>
  <c r="AP65" i="207"/>
  <c r="AQ90" i="226" a="1"/>
  <c r="AQ90" i="226" s="1"/>
  <c r="AN100" i="226" a="1"/>
  <c r="AN100" i="226" s="1"/>
  <c r="AL100" i="226" s="1"/>
  <c r="BY100" i="226" a="1"/>
  <c r="BY100" i="226" s="1"/>
  <c r="CA16" i="226"/>
  <c r="AS100" i="226" a="1"/>
  <c r="AS100" i="226" s="1"/>
  <c r="AO100" i="226" a="1"/>
  <c r="AO100" i="226" s="1"/>
  <c r="AK100" i="226" a="1"/>
  <c r="AK100" i="226" s="1"/>
  <c r="BR100" i="226" a="1"/>
  <c r="BR100" i="226" s="1"/>
  <c r="BR46" i="226" a="1"/>
  <c r="BR46" i="226" s="1"/>
  <c r="AO79" i="226" a="1"/>
  <c r="AO79" i="226" s="1"/>
  <c r="BW100" i="226"/>
  <c r="BV100" i="226" a="1"/>
  <c r="BV100" i="226" s="1"/>
  <c r="AG100" i="226" a="1"/>
  <c r="AG100" i="226" s="1"/>
  <c r="CC100" i="226"/>
  <c r="CD16" i="226"/>
  <c r="DJ100" i="226"/>
  <c r="B100" i="226"/>
  <c r="CB67" i="226"/>
  <c r="AI16" i="226" a="1"/>
  <c r="AI16" i="226" s="1"/>
  <c r="BP100" i="226" a="1"/>
  <c r="BP100" i="226" s="1"/>
  <c r="BX100" i="226"/>
  <c r="CB100" i="226"/>
  <c r="BZ100" i="226"/>
  <c r="AH16" i="226" a="1"/>
  <c r="AH16" i="226" s="1"/>
  <c r="DH16" i="226"/>
  <c r="DR27" i="226"/>
  <c r="C100" i="226" a="1"/>
  <c r="C100" i="226" s="1"/>
  <c r="G100" i="226" s="1"/>
  <c r="CA100" i="226"/>
  <c r="BS100" i="226" a="1"/>
  <c r="BS100" i="226" s="1"/>
  <c r="A100" i="226"/>
  <c r="BU100" i="226" a="1"/>
  <c r="BU100" i="226" s="1"/>
  <c r="DH13" i="226"/>
  <c r="CS100" i="226" a="1"/>
  <c r="CS100" i="226" s="1"/>
  <c r="CT100" i="226" a="1"/>
  <c r="CT100" i="226" s="1"/>
  <c r="AI100" i="226" a="1"/>
  <c r="AI100" i="226" s="1"/>
  <c r="BS9" i="226" a="1"/>
  <c r="BS9" i="226" s="1"/>
  <c r="DR100" i="226"/>
  <c r="AH100" i="226" a="1"/>
  <c r="AH100" i="226" s="1"/>
  <c r="AQ100" i="226" a="1"/>
  <c r="AQ100" i="226" s="1"/>
  <c r="CT29" i="226" a="1"/>
  <c r="CT29" i="226" s="1"/>
  <c r="A64" i="226"/>
  <c r="BP110" i="226" a="1"/>
  <c r="BP110" i="226" s="1"/>
  <c r="AS29" i="226" a="1"/>
  <c r="AS29" i="226" s="1"/>
  <c r="AO64" i="226" a="1"/>
  <c r="AO64" i="226" s="1"/>
  <c r="CD110" i="226"/>
  <c r="DN29" i="226"/>
  <c r="BR78" i="226" a="1"/>
  <c r="BR78" i="226" s="1"/>
  <c r="BR17" i="226" a="1"/>
  <c r="BR17" i="226" s="1"/>
  <c r="BR110" i="226" a="1"/>
  <c r="BR110" i="226" s="1"/>
  <c r="CC29" i="226"/>
  <c r="CS78" i="226" a="1"/>
  <c r="CS78" i="226" s="1"/>
  <c r="BY29" i="226" a="1"/>
  <c r="BY29" i="226" s="1"/>
  <c r="AS78" i="226" a="1"/>
  <c r="AS78" i="226" s="1"/>
  <c r="A110" i="226"/>
  <c r="AJ29" i="226"/>
  <c r="AK78" i="226" a="1"/>
  <c r="AK78" i="226" s="1"/>
  <c r="C110" i="226" a="1"/>
  <c r="C110" i="226" s="1"/>
  <c r="H110" i="226" s="1"/>
  <c r="DT29" i="226"/>
  <c r="CA29" i="226"/>
  <c r="BX78" i="226"/>
  <c r="BZ110" i="226"/>
  <c r="BX105" i="226"/>
  <c r="DR66" i="226"/>
  <c r="BV109" i="226" a="1"/>
  <c r="BV109" i="226" s="1"/>
  <c r="A9" i="226"/>
  <c r="DN67" i="226"/>
  <c r="DP73" i="226"/>
  <c r="A109" i="226"/>
  <c r="BV67" i="226" a="1"/>
  <c r="BV67" i="226" s="1"/>
  <c r="CB9" i="226"/>
  <c r="AH65" i="226" a="1"/>
  <c r="AH65" i="226" s="1"/>
  <c r="DF79" i="226"/>
  <c r="DN73" i="226"/>
  <c r="BR109" i="226" a="1"/>
  <c r="BR109" i="226" s="1"/>
  <c r="AN6" i="226" a="1"/>
  <c r="AN6" i="226" s="1"/>
  <c r="AL6" i="226" s="1"/>
  <c r="AH6" i="226" a="1"/>
  <c r="AH6" i="226" s="1"/>
  <c r="DH26" i="226"/>
  <c r="DH74" i="226"/>
  <c r="B6" i="226"/>
  <c r="DH109" i="226"/>
  <c r="AS79" i="226" a="1"/>
  <c r="AS79" i="226" s="1"/>
  <c r="CS9" i="226" a="1"/>
  <c r="CS9" i="226" s="1"/>
  <c r="AI73" i="226" a="1"/>
  <c r="AI73" i="226" s="1"/>
  <c r="BW79" i="226"/>
  <c r="BP9" i="226" a="1"/>
  <c r="BP9" i="226" s="1"/>
  <c r="DJ9" i="226"/>
  <c r="BP29" i="226" a="1"/>
  <c r="BP29" i="226" s="1"/>
  <c r="AH29" i="226" a="1"/>
  <c r="AH29" i="226" s="1"/>
  <c r="BZ29" i="226"/>
  <c r="BS64" i="226" a="1"/>
  <c r="BS64" i="226" s="1"/>
  <c r="CB54" i="226"/>
  <c r="AJ54" i="226"/>
  <c r="BY54" i="226" a="1"/>
  <c r="BY54" i="226" s="1"/>
  <c r="AN68" i="226" a="1"/>
  <c r="AN68" i="226" s="1"/>
  <c r="AL68" i="226" s="1"/>
  <c r="AN11" i="226" a="1"/>
  <c r="AN11" i="226" s="1"/>
  <c r="AL11" i="226" s="1"/>
  <c r="CC93" i="226"/>
  <c r="BS93" i="226" a="1"/>
  <c r="BS93" i="226" s="1"/>
  <c r="BY93" i="226" a="1"/>
  <c r="BY93" i="226" s="1"/>
  <c r="AG93" i="226" a="1"/>
  <c r="AG93" i="226" s="1"/>
  <c r="B93" i="226"/>
  <c r="AS95" i="226" a="1"/>
  <c r="AS95" i="226" s="1"/>
  <c r="DH86" i="226"/>
  <c r="DN93" i="226"/>
  <c r="DF100" i="226"/>
  <c r="DN95" i="226"/>
  <c r="DR29" i="226"/>
  <c r="AG95" i="226" a="1"/>
  <c r="AG95" i="226" s="1"/>
  <c r="CD57" i="226"/>
  <c r="A29" i="226"/>
  <c r="AQ29" i="226" a="1"/>
  <c r="AQ29" i="226" s="1"/>
  <c r="BW29" i="226"/>
  <c r="BR54" i="226" a="1"/>
  <c r="BR54" i="226" s="1"/>
  <c r="AH54" i="226" a="1"/>
  <c r="AH54" i="226" s="1"/>
  <c r="BS54" i="226" a="1"/>
  <c r="BS54" i="226" s="1"/>
  <c r="CD54" i="226"/>
  <c r="BZ93" i="226"/>
  <c r="BW93" i="226"/>
  <c r="CA93" i="226"/>
  <c r="A95" i="226"/>
  <c r="DJ93" i="226"/>
  <c r="DF64" i="226"/>
  <c r="DL54" i="226"/>
  <c r="DP100" i="226"/>
  <c r="DL29" i="226"/>
  <c r="AO86" i="226" a="1"/>
  <c r="AO86" i="226" s="1"/>
  <c r="BV29" i="226" a="1"/>
  <c r="BV29" i="226" s="1"/>
  <c r="AI29" i="226" a="1"/>
  <c r="AI29" i="226" s="1"/>
  <c r="A84" i="226"/>
  <c r="CT54" i="226" a="1"/>
  <c r="CT54" i="226" s="1"/>
  <c r="AG54" i="226" a="1"/>
  <c r="AG54" i="226" s="1"/>
  <c r="AN54" i="226" a="1"/>
  <c r="AN54" i="226" s="1"/>
  <c r="AL54" i="226" s="1"/>
  <c r="AO54" i="226" a="1"/>
  <c r="AO54" i="226" s="1"/>
  <c r="BU51" i="226" a="1"/>
  <c r="BU51" i="226" s="1"/>
  <c r="AH93" i="226" a="1"/>
  <c r="AH93" i="226" s="1"/>
  <c r="A93" i="226"/>
  <c r="CB93" i="226"/>
  <c r="DL83" i="226"/>
  <c r="DH93" i="226"/>
  <c r="DH54" i="226"/>
  <c r="DN100" i="226"/>
  <c r="DF29" i="226"/>
  <c r="DT54" i="226"/>
  <c r="DR93" i="226"/>
  <c r="BP86" i="226" a="1"/>
  <c r="BP86" i="226" s="1"/>
  <c r="CD29" i="226"/>
  <c r="CB29" i="226"/>
  <c r="AN29" i="226" a="1"/>
  <c r="AN29" i="226" s="1"/>
  <c r="AL29" i="226" s="1"/>
  <c r="BR29" i="226" a="1"/>
  <c r="BR29" i="226" s="1"/>
  <c r="BV54" i="226" a="1"/>
  <c r="BV54" i="226" s="1"/>
  <c r="AI54" i="226" a="1"/>
  <c r="AI54" i="226" s="1"/>
  <c r="C54" i="226" a="1"/>
  <c r="C54" i="226" s="1"/>
  <c r="O54" i="226" s="1"/>
  <c r="AI93" i="226" a="1"/>
  <c r="AI93" i="226" s="1"/>
  <c r="BR93" i="226" a="1"/>
  <c r="BR93" i="226" s="1"/>
  <c r="DP93" i="226"/>
  <c r="DP54" i="226"/>
  <c r="DH100" i="226"/>
  <c r="DH29" i="226"/>
  <c r="DR54" i="226"/>
  <c r="DR86" i="226"/>
  <c r="DT93" i="226"/>
  <c r="DF11" i="226"/>
  <c r="AH86" i="226" a="1"/>
  <c r="AH86" i="226" s="1"/>
  <c r="BU29" i="226" a="1"/>
  <c r="BU29" i="226" s="1"/>
  <c r="AG29" i="226" a="1"/>
  <c r="AG29" i="226" s="1"/>
  <c r="AO29" i="226" a="1"/>
  <c r="AO29" i="226" s="1"/>
  <c r="C29" i="226" a="1"/>
  <c r="C29" i="226" s="1"/>
  <c r="O29" i="226" s="1"/>
  <c r="BW54" i="226"/>
  <c r="CC54" i="226"/>
  <c r="CS54" i="226" a="1"/>
  <c r="CS54" i="226" s="1"/>
  <c r="AJ17" i="226"/>
  <c r="CT93" i="226" a="1"/>
  <c r="CT93" i="226" s="1"/>
  <c r="BP93" i="226" a="1"/>
  <c r="BP93" i="226" s="1"/>
  <c r="CS93" i="226" a="1"/>
  <c r="CS93" i="226" s="1"/>
  <c r="AN93" i="226" a="1"/>
  <c r="AN93" i="226" s="1"/>
  <c r="AL93" i="226" s="1"/>
  <c r="DL93" i="226"/>
  <c r="DF54" i="226"/>
  <c r="DP29" i="226"/>
  <c r="BX29" i="226"/>
  <c r="CS29" i="226" a="1"/>
  <c r="CS29" i="226" s="1"/>
  <c r="AK29" i="226" a="1"/>
  <c r="AK29" i="226" s="1"/>
  <c r="BS29" i="226" a="1"/>
  <c r="BS29" i="226" s="1"/>
  <c r="AS54" i="226" a="1"/>
  <c r="AS54" i="226" s="1"/>
  <c r="BP54" i="226" a="1"/>
  <c r="BP54" i="226" s="1"/>
  <c r="BZ54" i="226"/>
  <c r="BP17" i="226" a="1"/>
  <c r="BP17" i="226" s="1"/>
  <c r="AK93" i="226" a="1"/>
  <c r="AK93" i="226" s="1"/>
  <c r="AO93" i="226" a="1"/>
  <c r="AO93" i="226" s="1"/>
  <c r="BV93" i="226" a="1"/>
  <c r="BV93" i="226" s="1"/>
  <c r="BR95" i="226" a="1"/>
  <c r="BR95" i="226" s="1"/>
  <c r="DP17" i="226"/>
  <c r="AN87" i="226" a="1"/>
  <c r="AN87" i="226" s="1"/>
  <c r="AL87" i="226" s="1"/>
  <c r="AO46" i="226" a="1"/>
  <c r="AO46" i="226" s="1"/>
  <c r="AA65" i="207" a="1"/>
  <c r="AA65" i="207" s="1"/>
  <c r="BW107" i="226"/>
  <c r="AP62" i="207"/>
  <c r="BV46" i="226" a="1"/>
  <c r="BV46" i="226" s="1"/>
  <c r="AG107" i="226" a="1"/>
  <c r="AG107" i="226" s="1"/>
  <c r="AK46" i="226" a="1"/>
  <c r="AK46" i="226" s="1"/>
  <c r="BS107" i="226" a="1"/>
  <c r="BS107" i="226" s="1"/>
  <c r="AQ13" i="226" a="1"/>
  <c r="AQ13" i="226" s="1"/>
  <c r="CT46" i="226" a="1"/>
  <c r="CT46" i="226" s="1"/>
  <c r="AS107" i="226" a="1"/>
  <c r="AS107" i="226" s="1"/>
  <c r="DN53" i="226"/>
  <c r="AS13" i="226" a="1"/>
  <c r="AS13" i="226" s="1"/>
  <c r="CD46" i="226"/>
  <c r="CA107" i="226"/>
  <c r="BS13" i="226" a="1"/>
  <c r="BS13" i="226" s="1"/>
  <c r="CC46" i="226"/>
  <c r="CB107" i="226"/>
  <c r="DH107" i="226"/>
  <c r="CT112" i="226" a="1"/>
  <c r="CT112" i="226" s="1"/>
  <c r="BR10" i="226" a="1"/>
  <c r="BR10" i="226" s="1"/>
  <c r="CD103" i="226"/>
  <c r="CD35" i="226"/>
  <c r="DN66" i="226"/>
  <c r="DP35" i="226"/>
  <c r="DL112" i="226"/>
  <c r="DL60" i="226"/>
  <c r="BU111" i="226" a="1"/>
  <c r="BU111" i="226" s="1"/>
  <c r="C103" i="226" a="1"/>
  <c r="C103" i="226" s="1"/>
  <c r="O103" i="226" s="1"/>
  <c r="BU35" i="226" a="1"/>
  <c r="BU35" i="226" s="1"/>
  <c r="DJ38" i="226"/>
  <c r="AI103" i="226" a="1"/>
  <c r="AI103" i="226" s="1"/>
  <c r="BX35" i="226"/>
  <c r="AQ60" i="226" a="1"/>
  <c r="AQ60" i="226" s="1"/>
  <c r="AS66" i="226" a="1"/>
  <c r="AS66" i="226" s="1"/>
  <c r="BZ112" i="226"/>
  <c r="CA48" i="226"/>
  <c r="BP71" i="207"/>
  <c r="BP10" i="226" a="1"/>
  <c r="BP10" i="226" s="1"/>
  <c r="A38" i="226"/>
  <c r="AH112" i="226" a="1"/>
  <c r="AH112" i="226" s="1"/>
  <c r="AH10" i="226" a="1"/>
  <c r="AH10" i="226" s="1"/>
  <c r="AQ38" i="226" a="1"/>
  <c r="AQ38" i="226" s="1"/>
  <c r="DR88" i="226"/>
  <c r="DH88" i="226"/>
  <c r="CB88" i="226"/>
  <c r="AI88" i="226" a="1"/>
  <c r="AI88" i="226" s="1"/>
  <c r="AJ88" i="226"/>
  <c r="DT88" i="226"/>
  <c r="DP88" i="226"/>
  <c r="CT88" i="226" a="1"/>
  <c r="CT88" i="226" s="1"/>
  <c r="BU88" i="226" a="1"/>
  <c r="BU88" i="226" s="1"/>
  <c r="CD88" i="226"/>
  <c r="AQ88" i="226" a="1"/>
  <c r="AQ88" i="226" s="1"/>
  <c r="BW88" i="226"/>
  <c r="BR88" i="226" a="1"/>
  <c r="BR88" i="226" s="1"/>
  <c r="BS88" i="226" a="1"/>
  <c r="BS88" i="226" s="1"/>
  <c r="AO88" i="226" a="1"/>
  <c r="AO88" i="226" s="1"/>
  <c r="DN88" i="226"/>
  <c r="AN88" i="226" a="1"/>
  <c r="AN88" i="226" s="1"/>
  <c r="AL88" i="226" s="1"/>
  <c r="BZ88" i="226"/>
  <c r="C88" i="226" a="1"/>
  <c r="C88" i="226" s="1"/>
  <c r="L88" i="226" s="1"/>
  <c r="CA88" i="226"/>
  <c r="BV88" i="226" a="1"/>
  <c r="BV88" i="226" s="1"/>
  <c r="DF88" i="226"/>
  <c r="BY88" i="226" a="1"/>
  <c r="BY88" i="226" s="1"/>
  <c r="AS88" i="226" a="1"/>
  <c r="AS88" i="226" s="1"/>
  <c r="B88" i="226"/>
  <c r="BP88" i="226" a="1"/>
  <c r="BP88" i="226" s="1"/>
  <c r="CC88" i="226"/>
  <c r="DL88" i="226"/>
  <c r="AH88" i="226" a="1"/>
  <c r="AH88" i="226" s="1"/>
  <c r="AK88" i="226" a="1"/>
  <c r="AK88" i="226" s="1"/>
  <c r="CC83" i="226"/>
  <c r="CT57" i="226" a="1"/>
  <c r="CT57" i="226" s="1"/>
  <c r="AJ32" i="226"/>
  <c r="AO68" i="226" a="1"/>
  <c r="AO68" i="226" s="1"/>
  <c r="DH28" i="226"/>
  <c r="DH40" i="226"/>
  <c r="BY40" i="226" a="1"/>
  <c r="BY40" i="226" s="1"/>
  <c r="BZ40" i="226"/>
  <c r="BX40" i="226"/>
  <c r="DT40" i="226"/>
  <c r="DF40" i="226"/>
  <c r="AO40" i="226" a="1"/>
  <c r="AO40" i="226" s="1"/>
  <c r="CC40" i="226"/>
  <c r="B40" i="226"/>
  <c r="C40" i="226" a="1"/>
  <c r="C40" i="226" s="1"/>
  <c r="H40" i="226" s="1"/>
  <c r="DR40" i="226"/>
  <c r="DJ40" i="226"/>
  <c r="A40" i="226"/>
  <c r="CB40" i="226"/>
  <c r="DN40" i="226"/>
  <c r="AK40" i="226" a="1"/>
  <c r="AK40" i="226" s="1"/>
  <c r="AS40" i="226" a="1"/>
  <c r="AS40" i="226" s="1"/>
  <c r="AQ40" i="226" a="1"/>
  <c r="AQ40" i="226" s="1"/>
  <c r="CA40" i="226"/>
  <c r="AI40" i="226" a="1"/>
  <c r="AI40" i="226" s="1"/>
  <c r="CS40" i="226" a="1"/>
  <c r="CS40" i="226" s="1"/>
  <c r="CT40" i="226" a="1"/>
  <c r="CT40" i="226" s="1"/>
  <c r="BP40" i="226" a="1"/>
  <c r="BP40" i="226" s="1"/>
  <c r="DL40" i="226"/>
  <c r="BV40" i="226" a="1"/>
  <c r="BV40" i="226" s="1"/>
  <c r="AN40" i="226" a="1"/>
  <c r="AN40" i="226" s="1"/>
  <c r="AL40" i="226" s="1"/>
  <c r="DP40" i="226"/>
  <c r="CD40" i="226"/>
  <c r="AH40" i="226" a="1"/>
  <c r="AH40" i="226" s="1"/>
  <c r="BR40" i="226" a="1"/>
  <c r="BR40" i="226" s="1"/>
  <c r="BU57" i="226" a="1"/>
  <c r="BU57" i="226" s="1"/>
  <c r="AG88" i="226" a="1"/>
  <c r="AG88" i="226" s="1"/>
  <c r="BW40" i="226"/>
  <c r="BS98" i="226" a="1"/>
  <c r="BS98" i="226" s="1"/>
  <c r="DF98" i="226"/>
  <c r="DP98" i="226"/>
  <c r="BU40" i="226" a="1"/>
  <c r="BU40" i="226" s="1"/>
  <c r="DJ68" i="226"/>
  <c r="AH68" i="226" a="1"/>
  <c r="AH68" i="226" s="1"/>
  <c r="B68" i="226"/>
  <c r="CB68" i="226"/>
  <c r="DF68" i="226"/>
  <c r="CS68" i="226" a="1"/>
  <c r="CS68" i="226" s="1"/>
  <c r="CA68" i="226"/>
  <c r="AK68" i="226" a="1"/>
  <c r="AK68" i="226" s="1"/>
  <c r="DL68" i="226"/>
  <c r="BU68" i="226" a="1"/>
  <c r="BU68" i="226" s="1"/>
  <c r="CC68" i="226"/>
  <c r="BV68" i="226" a="1"/>
  <c r="BV68" i="226" s="1"/>
  <c r="AI68" i="226" a="1"/>
  <c r="AI68" i="226" s="1"/>
  <c r="BZ68" i="226"/>
  <c r="BS68" i="226" a="1"/>
  <c r="BS68" i="226" s="1"/>
  <c r="A68" i="226"/>
  <c r="BP68" i="226" a="1"/>
  <c r="BP68" i="226" s="1"/>
  <c r="BY68" i="226" a="1"/>
  <c r="BY68" i="226" s="1"/>
  <c r="AJ68" i="226"/>
  <c r="C68" i="226" a="1"/>
  <c r="C68" i="226" s="1"/>
  <c r="L68" i="226" s="1"/>
  <c r="BX68" i="226"/>
  <c r="DR68" i="226"/>
  <c r="DH68" i="226"/>
  <c r="BR68" i="226" a="1"/>
  <c r="BR68" i="226" s="1"/>
  <c r="BW68" i="226"/>
  <c r="AQ68" i="226" a="1"/>
  <c r="AQ68" i="226" s="1"/>
  <c r="DN68" i="226"/>
  <c r="CD68" i="226"/>
  <c r="AS68" i="226" a="1"/>
  <c r="AS68" i="226" s="1"/>
  <c r="B26" i="226"/>
  <c r="AK26" i="226" a="1"/>
  <c r="AK26" i="226" s="1"/>
  <c r="AI26" i="226" a="1"/>
  <c r="AI26" i="226" s="1"/>
  <c r="BS26" i="226" a="1"/>
  <c r="BS26" i="226" s="1"/>
  <c r="DR26" i="226"/>
  <c r="DL26" i="226"/>
  <c r="CB26" i="226"/>
  <c r="BZ26" i="226"/>
  <c r="AO26" i="226" a="1"/>
  <c r="AO26" i="226" s="1"/>
  <c r="CS26" i="226" a="1"/>
  <c r="CS26" i="226" s="1"/>
  <c r="DT26" i="226"/>
  <c r="DJ26" i="226"/>
  <c r="CT26" i="226" a="1"/>
  <c r="CT26" i="226" s="1"/>
  <c r="BY26" i="226" a="1"/>
  <c r="BY26" i="226" s="1"/>
  <c r="AN26" i="226" a="1"/>
  <c r="AN26" i="226" s="1"/>
  <c r="AL26" i="226" s="1"/>
  <c r="DN26" i="226"/>
  <c r="AQ26" i="226" a="1"/>
  <c r="AQ26" i="226" s="1"/>
  <c r="CD26" i="226"/>
  <c r="DF26" i="226"/>
  <c r="C26" i="226" a="1"/>
  <c r="C26" i="226" s="1"/>
  <c r="L26" i="226" s="1"/>
  <c r="BP26" i="226" a="1"/>
  <c r="BP26" i="226" s="1"/>
  <c r="CC26" i="226"/>
  <c r="CA26" i="226"/>
  <c r="DP26" i="226"/>
  <c r="BW26" i="226"/>
  <c r="BU26" i="226" a="1"/>
  <c r="BU26" i="226" s="1"/>
  <c r="AJ26" i="226"/>
  <c r="AG26" i="226" a="1"/>
  <c r="AG26" i="226" s="1"/>
  <c r="AH26" i="226" a="1"/>
  <c r="AH26" i="226" s="1"/>
  <c r="BV26" i="226" a="1"/>
  <c r="BV26" i="226" s="1"/>
  <c r="A26" i="226"/>
  <c r="AS26" i="226" a="1"/>
  <c r="AS26" i="226" s="1"/>
  <c r="CS28" i="226" a="1"/>
  <c r="CS28" i="226" s="1"/>
  <c r="BV28" i="226" a="1"/>
  <c r="BV28" i="226" s="1"/>
  <c r="A28" i="226"/>
  <c r="CB28" i="226"/>
  <c r="B28" i="226"/>
  <c r="BZ28" i="226"/>
  <c r="BR28" i="226" a="1"/>
  <c r="BR28" i="226" s="1"/>
  <c r="DN28" i="226"/>
  <c r="CC28" i="226"/>
  <c r="DJ28" i="226"/>
  <c r="AK28" i="226" a="1"/>
  <c r="AK28" i="226" s="1"/>
  <c r="AN28" i="226" a="1"/>
  <c r="AN28" i="226" s="1"/>
  <c r="AL28" i="226" s="1"/>
  <c r="AS28" i="226" a="1"/>
  <c r="AS28" i="226" s="1"/>
  <c r="DF28" i="226"/>
  <c r="BX28" i="226"/>
  <c r="AQ28" i="226" a="1"/>
  <c r="AQ28" i="226" s="1"/>
  <c r="AG28" i="226" a="1"/>
  <c r="AG28" i="226" s="1"/>
  <c r="DT28" i="226"/>
  <c r="DL28" i="226"/>
  <c r="CT28" i="226" a="1"/>
  <c r="CT28" i="226" s="1"/>
  <c r="CA28" i="226"/>
  <c r="CD28" i="226"/>
  <c r="AH28" i="226" a="1"/>
  <c r="AH28" i="226" s="1"/>
  <c r="BW28" i="226"/>
  <c r="DP28" i="226"/>
  <c r="AJ28" i="226"/>
  <c r="C28" i="226" a="1"/>
  <c r="C28" i="226" s="1"/>
  <c r="G28" i="226" s="1"/>
  <c r="AO28" i="226" a="1"/>
  <c r="AO28" i="226" s="1"/>
  <c r="BU28" i="226" a="1"/>
  <c r="BU28" i="226" s="1"/>
  <c r="BP28" i="226" a="1"/>
  <c r="BP28" i="226" s="1"/>
  <c r="DF13" i="226"/>
  <c r="CT13" i="226" a="1"/>
  <c r="CT13" i="226" s="1"/>
  <c r="BP13" i="226" a="1"/>
  <c r="BP13" i="226" s="1"/>
  <c r="CA13" i="226"/>
  <c r="AH13" i="226" a="1"/>
  <c r="AH13" i="226" s="1"/>
  <c r="CS13" i="226" a="1"/>
  <c r="CS13" i="226" s="1"/>
  <c r="AG13" i="226" a="1"/>
  <c r="AG13" i="226" s="1"/>
  <c r="BX13" i="226"/>
  <c r="CB13" i="226"/>
  <c r="AO13" i="226" a="1"/>
  <c r="AO13" i="226" s="1"/>
  <c r="AK13" i="226" a="1"/>
  <c r="AK13" i="226" s="1"/>
  <c r="C13" i="226" a="1"/>
  <c r="C13" i="226" s="1"/>
  <c r="O13" i="226" s="1"/>
  <c r="BZ13" i="226"/>
  <c r="DL13" i="226"/>
  <c r="BR13" i="226" a="1"/>
  <c r="BR13" i="226" s="1"/>
  <c r="DP13" i="226"/>
  <c r="AN13" i="226" a="1"/>
  <c r="AN13" i="226" s="1"/>
  <c r="AL13" i="226" s="1"/>
  <c r="BW13" i="226"/>
  <c r="CD13" i="226"/>
  <c r="BU13" i="226" a="1"/>
  <c r="BU13" i="226" s="1"/>
  <c r="DR13" i="226"/>
  <c r="DN13" i="226"/>
  <c r="AI13" i="226" a="1"/>
  <c r="AI13" i="226" s="1"/>
  <c r="B13" i="226"/>
  <c r="BY13" i="226" a="1"/>
  <c r="BY13" i="226" s="1"/>
  <c r="A13" i="226"/>
  <c r="CC13" i="226"/>
  <c r="AJ13" i="226"/>
  <c r="BV13" i="226" a="1"/>
  <c r="BV13" i="226" s="1"/>
  <c r="DJ13" i="226"/>
  <c r="C31" i="226" a="1"/>
  <c r="C31" i="226" s="1"/>
  <c r="H31" i="226" s="1"/>
  <c r="DP31" i="226"/>
  <c r="CD31" i="226"/>
  <c r="DH31" i="226"/>
  <c r="CB31" i="226"/>
  <c r="BZ31" i="226"/>
  <c r="DF31" i="226"/>
  <c r="CT31" i="226" a="1"/>
  <c r="CT31" i="226" s="1"/>
  <c r="AI31" i="226" a="1"/>
  <c r="AI31" i="226" s="1"/>
  <c r="BW31" i="226"/>
  <c r="AS31" i="226" a="1"/>
  <c r="AS31" i="226" s="1"/>
  <c r="BR31" i="226" a="1"/>
  <c r="BR31" i="226" s="1"/>
  <c r="DR31" i="226"/>
  <c r="AH31" i="226" a="1"/>
  <c r="AH31" i="226" s="1"/>
  <c r="AN31" i="226" a="1"/>
  <c r="AN31" i="226" s="1"/>
  <c r="AL31" i="226" s="1"/>
  <c r="BZ85" i="226"/>
  <c r="DN85" i="226"/>
  <c r="AJ85" i="226"/>
  <c r="AO85" i="226" a="1"/>
  <c r="AO85" i="226" s="1"/>
  <c r="AS85" i="226" a="1"/>
  <c r="AS85" i="226" s="1"/>
  <c r="AG85" i="226" a="1"/>
  <c r="AG85" i="226" s="1"/>
  <c r="DJ85" i="226"/>
  <c r="AK85" i="226" a="1"/>
  <c r="AK85" i="226" s="1"/>
  <c r="DT85" i="226"/>
  <c r="AI85" i="226" a="1"/>
  <c r="AI85" i="226" s="1"/>
  <c r="C85" i="226" a="1"/>
  <c r="C85" i="226" s="1"/>
  <c r="L85" i="226" s="1"/>
  <c r="B85" i="226"/>
  <c r="DR85" i="226"/>
  <c r="CA85" i="226"/>
  <c r="AN85" i="226" a="1"/>
  <c r="AN85" i="226" s="1"/>
  <c r="AL85" i="226" s="1"/>
  <c r="BS85" i="226" a="1"/>
  <c r="BS85" i="226" s="1"/>
  <c r="BW85" i="226"/>
  <c r="DP85" i="226"/>
  <c r="BY85" i="226" a="1"/>
  <c r="BY85" i="226" s="1"/>
  <c r="A85" i="226"/>
  <c r="AH85" i="226" a="1"/>
  <c r="AH85" i="226" s="1"/>
  <c r="CC85" i="226"/>
  <c r="CT85" i="226" a="1"/>
  <c r="CT85" i="226" s="1"/>
  <c r="DL85" i="226"/>
  <c r="BU85" i="226" a="1"/>
  <c r="BU85" i="226" s="1"/>
  <c r="CS85" i="226" a="1"/>
  <c r="CS85" i="226" s="1"/>
  <c r="DF85" i="226"/>
  <c r="CB85" i="226"/>
  <c r="BP85" i="226" a="1"/>
  <c r="BP85" i="226" s="1"/>
  <c r="AQ85" i="226" a="1"/>
  <c r="AQ85" i="226" s="1"/>
  <c r="BX85" i="226"/>
  <c r="CD85" i="226"/>
  <c r="DJ56" i="226"/>
  <c r="BU56" i="226" a="1"/>
  <c r="BU56" i="226" s="1"/>
  <c r="CS56" i="226" a="1"/>
  <c r="CS56" i="226" s="1"/>
  <c r="AS56" i="226" a="1"/>
  <c r="AS56" i="226" s="1"/>
  <c r="A56" i="226"/>
  <c r="CA56" i="226"/>
  <c r="DH56" i="226"/>
  <c r="B56" i="226"/>
  <c r="BS56" i="226" a="1"/>
  <c r="BS56" i="226" s="1"/>
  <c r="BZ56" i="226"/>
  <c r="AI56" i="226" a="1"/>
  <c r="AI56" i="226" s="1"/>
  <c r="DN56" i="226"/>
  <c r="C56" i="226" a="1"/>
  <c r="C56" i="226" s="1"/>
  <c r="H56" i="226" s="1"/>
  <c r="AN56" i="226" a="1"/>
  <c r="AN56" i="226" s="1"/>
  <c r="AL56" i="226" s="1"/>
  <c r="BR56" i="226" a="1"/>
  <c r="BR56" i="226" s="1"/>
  <c r="BP56" i="226" a="1"/>
  <c r="BP56" i="226" s="1"/>
  <c r="BX56" i="226"/>
  <c r="AG56" i="226" a="1"/>
  <c r="AG56" i="226" s="1"/>
  <c r="BV56" i="226" a="1"/>
  <c r="BV56" i="226" s="1"/>
  <c r="BW56" i="226"/>
  <c r="AO56" i="226" a="1"/>
  <c r="AO56" i="226" s="1"/>
  <c r="DT56" i="226"/>
  <c r="DP56" i="226"/>
  <c r="AH56" i="226" a="1"/>
  <c r="AH56" i="226" s="1"/>
  <c r="CT56" i="226" a="1"/>
  <c r="CT56" i="226" s="1"/>
  <c r="CB56" i="226"/>
  <c r="DR56" i="226"/>
  <c r="DF56" i="226"/>
  <c r="AQ56" i="226" a="1"/>
  <c r="AQ56" i="226" s="1"/>
  <c r="CD56" i="226"/>
  <c r="AK56" i="226" a="1"/>
  <c r="AK56" i="226" s="1"/>
  <c r="AJ56" i="226"/>
  <c r="DF55" i="226"/>
  <c r="C55" i="226" a="1"/>
  <c r="C55" i="226" s="1"/>
  <c r="G55" i="226" s="1"/>
  <c r="AS55" i="226" a="1"/>
  <c r="AS55" i="226" s="1"/>
  <c r="DL55" i="226"/>
  <c r="CD55" i="226"/>
  <c r="CB55" i="226"/>
  <c r="B55" i="226"/>
  <c r="BW55" i="226"/>
  <c r="BY55" i="226" a="1"/>
  <c r="BY55" i="226" s="1"/>
  <c r="A55" i="226"/>
  <c r="AH55" i="226" a="1"/>
  <c r="AH55" i="226" s="1"/>
  <c r="BS55" i="226" a="1"/>
  <c r="BS55" i="226" s="1"/>
  <c r="CS55" i="226" a="1"/>
  <c r="CS55" i="226" s="1"/>
  <c r="CT55" i="226" a="1"/>
  <c r="CT55" i="226" s="1"/>
  <c r="DN55" i="226"/>
  <c r="AQ55" i="226" a="1"/>
  <c r="AQ55" i="226" s="1"/>
  <c r="AI55" i="226" a="1"/>
  <c r="AI55" i="226" s="1"/>
  <c r="CC55" i="226"/>
  <c r="DR55" i="226"/>
  <c r="DP55" i="226"/>
  <c r="BU55" i="226" a="1"/>
  <c r="BU55" i="226" s="1"/>
  <c r="AK55" i="226" a="1"/>
  <c r="AK55" i="226" s="1"/>
  <c r="AG55" i="226" a="1"/>
  <c r="AG55" i="226" s="1"/>
  <c r="BP55" i="226" a="1"/>
  <c r="BP55" i="226" s="1"/>
  <c r="DT55" i="226"/>
  <c r="DH55" i="226"/>
  <c r="AN55" i="226" a="1"/>
  <c r="AN55" i="226" s="1"/>
  <c r="AL55" i="226" s="1"/>
  <c r="BR55" i="226" a="1"/>
  <c r="BR55" i="226" s="1"/>
  <c r="BV55" i="226" a="1"/>
  <c r="BV55" i="226" s="1"/>
  <c r="AO55" i="226" a="1"/>
  <c r="AO55" i="226" s="1"/>
  <c r="BZ55" i="226"/>
  <c r="CC56" i="226"/>
  <c r="BR85" i="226" a="1"/>
  <c r="BR85" i="226" s="1"/>
  <c r="DH85" i="226"/>
  <c r="DH57" i="226"/>
  <c r="BX57" i="226"/>
  <c r="BS57" i="226" a="1"/>
  <c r="BS57" i="226" s="1"/>
  <c r="AI57" i="226" a="1"/>
  <c r="AI57" i="226" s="1"/>
  <c r="BW57" i="226"/>
  <c r="DJ57" i="226"/>
  <c r="CA57" i="226"/>
  <c r="BY57" i="226" a="1"/>
  <c r="BY57" i="226" s="1"/>
  <c r="BP57" i="226" a="1"/>
  <c r="BP57" i="226" s="1"/>
  <c r="DF57" i="226"/>
  <c r="AQ57" i="226" a="1"/>
  <c r="AQ57" i="226" s="1"/>
  <c r="BZ57" i="226"/>
  <c r="DN57" i="226"/>
  <c r="CS57" i="226" a="1"/>
  <c r="CS57" i="226" s="1"/>
  <c r="BR57" i="226" a="1"/>
  <c r="BR57" i="226" s="1"/>
  <c r="CB57" i="226"/>
  <c r="DT57" i="226"/>
  <c r="AH57" i="226" a="1"/>
  <c r="AH57" i="226" s="1"/>
  <c r="AO57" i="226" a="1"/>
  <c r="AO57" i="226" s="1"/>
  <c r="AS57" i="226" a="1"/>
  <c r="AS57" i="226" s="1"/>
  <c r="B57" i="226"/>
  <c r="DL57" i="226"/>
  <c r="AJ57" i="226"/>
  <c r="C57" i="226" a="1"/>
  <c r="C57" i="226" s="1"/>
  <c r="L57" i="226" s="1"/>
  <c r="AK57" i="226" a="1"/>
  <c r="AK57" i="226" s="1"/>
  <c r="AG57" i="226" a="1"/>
  <c r="AG57" i="226" s="1"/>
  <c r="DP57" i="226"/>
  <c r="A57" i="226"/>
  <c r="AN57" i="226" a="1"/>
  <c r="AN57" i="226" s="1"/>
  <c r="AL57" i="226" s="1"/>
  <c r="BV57" i="226" a="1"/>
  <c r="BV57" i="226" s="1"/>
  <c r="DH83" i="226"/>
  <c r="B83" i="226"/>
  <c r="CT83" i="226" a="1"/>
  <c r="CT83" i="226" s="1"/>
  <c r="AN83" i="226" a="1"/>
  <c r="AN83" i="226" s="1"/>
  <c r="AL83" i="226" s="1"/>
  <c r="CB83" i="226"/>
  <c r="DN83" i="226"/>
  <c r="BY83" i="226" a="1"/>
  <c r="BY83" i="226" s="1"/>
  <c r="AG83" i="226" a="1"/>
  <c r="AG83" i="226" s="1"/>
  <c r="DT83" i="226"/>
  <c r="DJ83" i="226"/>
  <c r="BR83" i="226" a="1"/>
  <c r="BR83" i="226" s="1"/>
  <c r="AK83" i="226" a="1"/>
  <c r="AK83" i="226" s="1"/>
  <c r="CA83" i="226"/>
  <c r="BU83" i="226" a="1"/>
  <c r="BU83" i="226" s="1"/>
  <c r="C83" i="226" a="1"/>
  <c r="C83" i="226" s="1"/>
  <c r="H83" i="226" s="1"/>
  <c r="DR83" i="226"/>
  <c r="AH83" i="226" a="1"/>
  <c r="AH83" i="226" s="1"/>
  <c r="BS83" i="226" a="1"/>
  <c r="BS83" i="226" s="1"/>
  <c r="AO83" i="226" a="1"/>
  <c r="AO83" i="226" s="1"/>
  <c r="AS83" i="226" a="1"/>
  <c r="AS83" i="226" s="1"/>
  <c r="BV83" i="226" a="1"/>
  <c r="BV83" i="226" s="1"/>
  <c r="AQ83" i="226" a="1"/>
  <c r="AQ83" i="226" s="1"/>
  <c r="AI83" i="226" a="1"/>
  <c r="AI83" i="226" s="1"/>
  <c r="DF83" i="226"/>
  <c r="BX83" i="226"/>
  <c r="BZ83" i="226"/>
  <c r="DP83" i="226"/>
  <c r="CS83" i="226" a="1"/>
  <c r="CS83" i="226" s="1"/>
  <c r="BP83" i="226" a="1"/>
  <c r="BP83" i="226" s="1"/>
  <c r="BW83" i="226"/>
  <c r="DN32" i="226"/>
  <c r="BP32" i="226" a="1"/>
  <c r="BP32" i="226" s="1"/>
  <c r="BU32" i="226" a="1"/>
  <c r="BU32" i="226" s="1"/>
  <c r="CS32" i="226" a="1"/>
  <c r="CS32" i="226" s="1"/>
  <c r="DT32" i="226"/>
  <c r="DJ32" i="226"/>
  <c r="AI32" i="226" a="1"/>
  <c r="AI32" i="226" s="1"/>
  <c r="AS32" i="226" a="1"/>
  <c r="AS32" i="226" s="1"/>
  <c r="DR32" i="226"/>
  <c r="DF32" i="226"/>
  <c r="CA32" i="226"/>
  <c r="CB32" i="226"/>
  <c r="AH32" i="226" a="1"/>
  <c r="AH32" i="226" s="1"/>
  <c r="AN32" i="226" a="1"/>
  <c r="AN32" i="226" s="1"/>
  <c r="AL32" i="226" s="1"/>
  <c r="BX32" i="226"/>
  <c r="AQ32" i="226" a="1"/>
  <c r="AQ32" i="226" s="1"/>
  <c r="C32" i="226" a="1"/>
  <c r="C32" i="226" s="1"/>
  <c r="L32" i="226" s="1"/>
  <c r="AO32" i="226" a="1"/>
  <c r="AO32" i="226" s="1"/>
  <c r="A32" i="226"/>
  <c r="CD32" i="226"/>
  <c r="AK32" i="226" a="1"/>
  <c r="AK32" i="226" s="1"/>
  <c r="CC32" i="226"/>
  <c r="DH32" i="226"/>
  <c r="BR32" i="226" a="1"/>
  <c r="BR32" i="226" s="1"/>
  <c r="BS32" i="226" a="1"/>
  <c r="BS32" i="226" s="1"/>
  <c r="BZ32" i="226"/>
  <c r="B32" i="226"/>
  <c r="DL32" i="226"/>
  <c r="CT32" i="226" a="1"/>
  <c r="CT32" i="226" s="1"/>
  <c r="BV32" i="226" a="1"/>
  <c r="BV32" i="226" s="1"/>
  <c r="AG32" i="226" a="1"/>
  <c r="AG32" i="226" s="1"/>
  <c r="A88" i="226"/>
  <c r="CD83" i="226"/>
  <c r="CC57" i="226"/>
  <c r="CS88" i="226" a="1"/>
  <c r="CS88" i="226" s="1"/>
  <c r="A83" i="226"/>
  <c r="BS28" i="226" a="1"/>
  <c r="BS28" i="226" s="1"/>
  <c r="AK31" i="226" a="1"/>
  <c r="AK31" i="226" s="1"/>
  <c r="AJ55" i="226"/>
  <c r="BY56" i="226" a="1"/>
  <c r="BY56" i="226" s="1"/>
  <c r="BV85" i="226" a="1"/>
  <c r="BV85" i="226" s="1"/>
  <c r="DL56" i="226"/>
  <c r="DP68" i="226"/>
  <c r="DT68" i="226"/>
  <c r="AO98" i="226" a="1"/>
  <c r="AO98" i="226" s="1"/>
  <c r="C98" i="226" a="1"/>
  <c r="C98" i="226" s="1"/>
  <c r="CC112" i="226"/>
  <c r="BY111" i="226" a="1"/>
  <c r="BY111" i="226" s="1"/>
  <c r="BZ10" i="226"/>
  <c r="BV35" i="226" a="1"/>
  <c r="BV35" i="226" s="1"/>
  <c r="BX46" i="226"/>
  <c r="C46" i="226" a="1"/>
  <c r="C46" i="226" s="1"/>
  <c r="L46" i="226" s="1"/>
  <c r="AH46" i="226" a="1"/>
  <c r="AH46" i="226" s="1"/>
  <c r="AJ46" i="226"/>
  <c r="BS46" i="226" a="1"/>
  <c r="BS46" i="226" s="1"/>
  <c r="AJ30" i="226"/>
  <c r="AQ30" i="226" a="1"/>
  <c r="AQ30" i="226" s="1"/>
  <c r="A30" i="226"/>
  <c r="CT30" i="226" a="1"/>
  <c r="CT30" i="226" s="1"/>
  <c r="AA68" i="207"/>
  <c r="BP112" i="226" a="1"/>
  <c r="BP112" i="226" s="1"/>
  <c r="BX112" i="226"/>
  <c r="BW112" i="226"/>
  <c r="AH111" i="226" a="1"/>
  <c r="AH111" i="226" s="1"/>
  <c r="AK111" i="226" a="1"/>
  <c r="AK111" i="226" s="1"/>
  <c r="AO111" i="226" a="1"/>
  <c r="AO111" i="226" s="1"/>
  <c r="AQ111" i="226" a="1"/>
  <c r="AQ111" i="226" s="1"/>
  <c r="BV111" i="226" a="1"/>
  <c r="BV111" i="226" s="1"/>
  <c r="CD50" i="226"/>
  <c r="BW50" i="226"/>
  <c r="A107" i="226"/>
  <c r="BU107" i="226" a="1"/>
  <c r="BU107" i="226" s="1"/>
  <c r="AS10" i="226" a="1"/>
  <c r="AS10" i="226" s="1"/>
  <c r="CS10" i="226" a="1"/>
  <c r="CS10" i="226" s="1"/>
  <c r="AQ10" i="226" a="1"/>
  <c r="AQ10" i="226" s="1"/>
  <c r="B103" i="226"/>
  <c r="AN103" i="226" a="1"/>
  <c r="AN103" i="226" s="1"/>
  <c r="AL103" i="226" s="1"/>
  <c r="BP48" i="226" a="1"/>
  <c r="BP48" i="226" s="1"/>
  <c r="B48" i="226"/>
  <c r="AS60" i="226" a="1"/>
  <c r="AS60" i="226" s="1"/>
  <c r="BX60" i="226"/>
  <c r="AG35" i="226" a="1"/>
  <c r="AG35" i="226" s="1"/>
  <c r="CT35" i="226" a="1"/>
  <c r="CT35" i="226" s="1"/>
  <c r="AO110" i="226" a="1"/>
  <c r="AO110" i="226" s="1"/>
  <c r="AN110" i="226" a="1"/>
  <c r="AN110" i="226" s="1"/>
  <c r="AL110" i="226" s="1"/>
  <c r="BS110" i="226" a="1"/>
  <c r="BS110" i="226" s="1"/>
  <c r="AN38" i="226" a="1"/>
  <c r="AN38" i="226" s="1"/>
  <c r="AL38" i="226" s="1"/>
  <c r="BZ66" i="226"/>
  <c r="DF50" i="226"/>
  <c r="DP110" i="226"/>
  <c r="DJ46" i="226"/>
  <c r="DT46" i="226"/>
  <c r="DT50" i="226"/>
  <c r="BW98" i="226"/>
  <c r="CC98" i="226"/>
  <c r="BU98" i="226" a="1"/>
  <c r="BU98" i="226" s="1"/>
  <c r="CT98" i="226" a="1"/>
  <c r="CT98" i="226" s="1"/>
  <c r="AP74" i="207"/>
  <c r="AN46" i="226" a="1"/>
  <c r="AN46" i="226" s="1"/>
  <c r="AL46" i="226" s="1"/>
  <c r="BW46" i="226"/>
  <c r="BP30" i="226" a="1"/>
  <c r="BP30" i="226" s="1"/>
  <c r="AS30" i="226" a="1"/>
  <c r="AS30" i="226" s="1"/>
  <c r="AO30" i="226" a="1"/>
  <c r="AO30" i="226" s="1"/>
  <c r="AO112" i="226" a="1"/>
  <c r="AO112" i="226" s="1"/>
  <c r="BV112" i="226" a="1"/>
  <c r="BV112" i="226" s="1"/>
  <c r="B112" i="226"/>
  <c r="BY112" i="226" a="1"/>
  <c r="BY112" i="226" s="1"/>
  <c r="CS111" i="226" a="1"/>
  <c r="CS111" i="226" s="1"/>
  <c r="AI111" i="226" a="1"/>
  <c r="AI111" i="226" s="1"/>
  <c r="BZ111" i="226"/>
  <c r="BW111" i="226"/>
  <c r="B111" i="226"/>
  <c r="AN50" i="226" a="1"/>
  <c r="AN50" i="226" s="1"/>
  <c r="AL50" i="226" s="1"/>
  <c r="CC50" i="226"/>
  <c r="B50" i="226"/>
  <c r="AO107" i="226" a="1"/>
  <c r="AO107" i="226" s="1"/>
  <c r="AN107" i="226" a="1"/>
  <c r="AN107" i="226" s="1"/>
  <c r="AL107" i="226" s="1"/>
  <c r="A10" i="226"/>
  <c r="CC10" i="226"/>
  <c r="C10" i="226" a="1"/>
  <c r="C10" i="226" s="1"/>
  <c r="L10" i="226" s="1"/>
  <c r="AG10" i="226" a="1"/>
  <c r="AG10" i="226" s="1"/>
  <c r="BP103" i="226" a="1"/>
  <c r="BP103" i="226" s="1"/>
  <c r="AJ103" i="226"/>
  <c r="BV48" i="226" a="1"/>
  <c r="BV48" i="226" s="1"/>
  <c r="AS48" i="226" a="1"/>
  <c r="AS48" i="226" s="1"/>
  <c r="B60" i="226"/>
  <c r="CS35" i="226" a="1"/>
  <c r="CS35" i="226" s="1"/>
  <c r="BR35" i="226" a="1"/>
  <c r="BR35" i="226" s="1"/>
  <c r="AH110" i="226" a="1"/>
  <c r="AH110" i="226" s="1"/>
  <c r="BX110" i="226"/>
  <c r="AQ110" i="226" a="1"/>
  <c r="AQ110" i="226" s="1"/>
  <c r="B110" i="226"/>
  <c r="CC110" i="226"/>
  <c r="AI38" i="226" a="1"/>
  <c r="AI38" i="226" s="1"/>
  <c r="BZ34" i="226"/>
  <c r="CS66" i="226" a="1"/>
  <c r="CS66" i="226" s="1"/>
  <c r="DJ66" i="226"/>
  <c r="DJ50" i="226"/>
  <c r="DL35" i="226"/>
  <c r="DL110" i="226"/>
  <c r="DN46" i="226"/>
  <c r="DN103" i="226"/>
  <c r="DR46" i="226"/>
  <c r="CB98" i="226"/>
  <c r="BR98" i="226" a="1"/>
  <c r="BR98" i="226" s="1"/>
  <c r="AQ98" i="226" a="1"/>
  <c r="AQ98" i="226" s="1"/>
  <c r="CS98" i="226" a="1"/>
  <c r="CS98" i="226" s="1"/>
  <c r="AN98" i="226" a="1"/>
  <c r="AN98" i="226" s="1"/>
  <c r="AL98" i="226" s="1"/>
  <c r="AH98" i="226" a="1"/>
  <c r="AH98" i="226" s="1"/>
  <c r="BW103" i="226"/>
  <c r="AS98" i="226" a="1"/>
  <c r="AS98" i="226" s="1"/>
  <c r="BZ98" i="226"/>
  <c r="BP98" i="226" a="1"/>
  <c r="BP98" i="226" s="1"/>
  <c r="BY98" i="226" a="1"/>
  <c r="BY98" i="226" s="1"/>
  <c r="BR112" i="226" a="1"/>
  <c r="BR112" i="226" s="1"/>
  <c r="BS103" i="226" a="1"/>
  <c r="BS103" i="226" s="1"/>
  <c r="CD48" i="226"/>
  <c r="BX34" i="226"/>
  <c r="BP66" i="226" a="1"/>
  <c r="BP66" i="226" s="1"/>
  <c r="AS46" i="226" a="1"/>
  <c r="AS46" i="226" s="1"/>
  <c r="BY30" i="226" a="1"/>
  <c r="BY30" i="226" s="1"/>
  <c r="AN30" i="226" a="1"/>
  <c r="AN30" i="226" s="1"/>
  <c r="AL30" i="226" s="1"/>
  <c r="BU30" i="226" a="1"/>
  <c r="BU30" i="226" s="1"/>
  <c r="AN112" i="226" a="1"/>
  <c r="AN112" i="226" s="1"/>
  <c r="AL112" i="226" s="1"/>
  <c r="A112" i="226"/>
  <c r="BS112" i="226" a="1"/>
  <c r="BS112" i="226" s="1"/>
  <c r="C112" i="226" a="1"/>
  <c r="C112" i="226" s="1"/>
  <c r="O112" i="226" s="1"/>
  <c r="AS111" i="226" a="1"/>
  <c r="AS111" i="226" s="1"/>
  <c r="A111" i="226"/>
  <c r="CC111" i="226"/>
  <c r="AG50" i="226" a="1"/>
  <c r="AG50" i="226" s="1"/>
  <c r="CA50" i="226"/>
  <c r="AK50" i="226" a="1"/>
  <c r="AK50" i="226" s="1"/>
  <c r="AO50" i="226" a="1"/>
  <c r="AO50" i="226" s="1"/>
  <c r="BV50" i="226" a="1"/>
  <c r="BV50" i="226" s="1"/>
  <c r="B107" i="226"/>
  <c r="BZ107" i="226"/>
  <c r="CS107" i="226" a="1"/>
  <c r="CS107" i="226" s="1"/>
  <c r="BX107" i="226"/>
  <c r="AI10" i="226" a="1"/>
  <c r="AI10" i="226" s="1"/>
  <c r="CA10" i="226"/>
  <c r="BU10" i="226" a="1"/>
  <c r="BU10" i="226" s="1"/>
  <c r="BW10" i="226"/>
  <c r="AO10" i="226" a="1"/>
  <c r="AO10" i="226" s="1"/>
  <c r="CS103" i="226" a="1"/>
  <c r="CS103" i="226" s="1"/>
  <c r="CC103" i="226"/>
  <c r="BY103" i="226" a="1"/>
  <c r="BY103" i="226" s="1"/>
  <c r="C48" i="226" a="1"/>
  <c r="C48" i="226" s="1"/>
  <c r="H48" i="226" s="1"/>
  <c r="A48" i="226"/>
  <c r="AG48" i="226" a="1"/>
  <c r="AG48" i="226" s="1"/>
  <c r="AG60" i="226" a="1"/>
  <c r="AG60" i="226" s="1"/>
  <c r="AO35" i="226" a="1"/>
  <c r="AO35" i="226" s="1"/>
  <c r="AJ35" i="226"/>
  <c r="CB110" i="226"/>
  <c r="BW110" i="226"/>
  <c r="BY110" i="226" a="1"/>
  <c r="BY110" i="226" s="1"/>
  <c r="CS38" i="226" a="1"/>
  <c r="CS38" i="226" s="1"/>
  <c r="CA66" i="226"/>
  <c r="BS66" i="226" a="1"/>
  <c r="BS66" i="226" s="1"/>
  <c r="DN111" i="226"/>
  <c r="DH50" i="226"/>
  <c r="DL46" i="226"/>
  <c r="DP107" i="226"/>
  <c r="DH48" i="226"/>
  <c r="DT60" i="226"/>
  <c r="DR98" i="226"/>
  <c r="DL98" i="226"/>
  <c r="AG98" i="226" a="1"/>
  <c r="AG98" i="226" s="1"/>
  <c r="B98" i="226"/>
  <c r="AG111" i="226" a="1"/>
  <c r="AG111" i="226" s="1"/>
  <c r="BP111" i="226" a="1"/>
  <c r="BP111" i="226" s="1"/>
  <c r="C60" i="226" a="1"/>
  <c r="C60" i="226" s="1"/>
  <c r="L60" i="226" s="1"/>
  <c r="AI35" i="226" a="1"/>
  <c r="AI35" i="226" s="1"/>
  <c r="DF35" i="226"/>
  <c r="DN112" i="226"/>
  <c r="CB46" i="226"/>
  <c r="BU46" i="226" a="1"/>
  <c r="BU46" i="226" s="1"/>
  <c r="BY46" i="226" a="1"/>
  <c r="BY46" i="226" s="1"/>
  <c r="BP46" i="226" a="1"/>
  <c r="BP46" i="226" s="1"/>
  <c r="BZ46" i="226"/>
  <c r="AH30" i="226" a="1"/>
  <c r="AH30" i="226" s="1"/>
  <c r="AK112" i="226" a="1"/>
  <c r="AK112" i="226" s="1"/>
  <c r="AJ112" i="226"/>
  <c r="CT111" i="226" a="1"/>
  <c r="CT111" i="226" s="1"/>
  <c r="BR111" i="226" a="1"/>
  <c r="BR111" i="226" s="1"/>
  <c r="CD111" i="226"/>
  <c r="BY50" i="226" a="1"/>
  <c r="BY50" i="226" s="1"/>
  <c r="BP50" i="226" a="1"/>
  <c r="BP50" i="226" s="1"/>
  <c r="C50" i="226" a="1"/>
  <c r="C50" i="226" s="1"/>
  <c r="G50" i="226" s="1"/>
  <c r="CB50" i="226"/>
  <c r="AI50" i="226" a="1"/>
  <c r="AI50" i="226" s="1"/>
  <c r="AQ107" i="226" a="1"/>
  <c r="AQ107" i="226" s="1"/>
  <c r="AJ107" i="226"/>
  <c r="BV107" i="226" a="1"/>
  <c r="BV107" i="226" s="1"/>
  <c r="C107" i="226" a="1"/>
  <c r="C107" i="226" s="1"/>
  <c r="G107" i="226" s="1"/>
  <c r="AK107" i="226" a="1"/>
  <c r="AK107" i="226" s="1"/>
  <c r="AK10" i="226" a="1"/>
  <c r="AK10" i="226" s="1"/>
  <c r="BX103" i="226"/>
  <c r="BV103" i="226" a="1"/>
  <c r="BV103" i="226" s="1"/>
  <c r="AN48" i="226" a="1"/>
  <c r="AN48" i="226" s="1"/>
  <c r="AL48" i="226" s="1"/>
  <c r="AK48" i="226" a="1"/>
  <c r="AK48" i="226" s="1"/>
  <c r="CT48" i="226" a="1"/>
  <c r="CT48" i="226" s="1"/>
  <c r="BR60" i="226" a="1"/>
  <c r="BR60" i="226" s="1"/>
  <c r="BV60" i="226" a="1"/>
  <c r="BV60" i="226" s="1"/>
  <c r="CA35" i="226"/>
  <c r="AI110" i="226" a="1"/>
  <c r="AI110" i="226" s="1"/>
  <c r="AG110" i="226" a="1"/>
  <c r="AG110" i="226" s="1"/>
  <c r="BV110" i="226" a="1"/>
  <c r="BV110" i="226" s="1"/>
  <c r="BR38" i="226" a="1"/>
  <c r="BR38" i="226" s="1"/>
  <c r="AJ34" i="226"/>
  <c r="BR66" i="226" a="1"/>
  <c r="BR66" i="226" s="1"/>
  <c r="BX66" i="226"/>
  <c r="DJ111" i="226"/>
  <c r="DJ30" i="226"/>
  <c r="DP50" i="226"/>
  <c r="DH46" i="226"/>
  <c r="DL48" i="226"/>
  <c r="DR110" i="226"/>
  <c r="DR107" i="226"/>
  <c r="DT30" i="226"/>
  <c r="DJ98" i="226"/>
  <c r="AK98" i="226" a="1"/>
  <c r="AK98" i="226" s="1"/>
  <c r="DT98" i="226"/>
  <c r="BV98" i="226" a="1"/>
  <c r="BV98" i="226" s="1"/>
  <c r="CD98" i="226"/>
  <c r="A98" i="226"/>
  <c r="DN98" i="226"/>
  <c r="CA98" i="226"/>
  <c r="CD112" i="226"/>
  <c r="C111" i="226" a="1"/>
  <c r="C111" i="226" s="1"/>
  <c r="H111" i="226" s="1"/>
  <c r="BY10" i="226" a="1"/>
  <c r="BY10" i="226" s="1"/>
  <c r="AK66" i="226" a="1"/>
  <c r="AK66" i="226" s="1"/>
  <c r="DP66" i="226"/>
  <c r="DL34" i="226"/>
  <c r="DJ48" i="226"/>
  <c r="CS30" i="226" a="1"/>
  <c r="CS30" i="226" s="1"/>
  <c r="CA46" i="226"/>
  <c r="CS46" i="226" a="1"/>
  <c r="CS46" i="226" s="1"/>
  <c r="BW30" i="226"/>
  <c r="BZ30" i="226"/>
  <c r="CC30" i="226"/>
  <c r="CA112" i="226"/>
  <c r="AI112" i="226" a="1"/>
  <c r="AI112" i="226" s="1"/>
  <c r="CB112" i="226"/>
  <c r="AQ112" i="226" a="1"/>
  <c r="AQ112" i="226" s="1"/>
  <c r="AN111" i="226" a="1"/>
  <c r="AN111" i="226" s="1"/>
  <c r="AL111" i="226" s="1"/>
  <c r="CB111" i="226"/>
  <c r="AS50" i="226" a="1"/>
  <c r="AS50" i="226" s="1"/>
  <c r="BZ50" i="226"/>
  <c r="BS50" i="226" a="1"/>
  <c r="BS50" i="226" s="1"/>
  <c r="BP107" i="226" a="1"/>
  <c r="BP107" i="226" s="1"/>
  <c r="CT107" i="226" a="1"/>
  <c r="CT107" i="226" s="1"/>
  <c r="AH107" i="226" a="1"/>
  <c r="AH107" i="226" s="1"/>
  <c r="AJ10" i="226"/>
  <c r="BX10" i="226"/>
  <c r="CT10" i="226" a="1"/>
  <c r="CT10" i="226" s="1"/>
  <c r="B10" i="226"/>
  <c r="BU103" i="226" a="1"/>
  <c r="BU103" i="226" s="1"/>
  <c r="AK103" i="226" a="1"/>
  <c r="AK103" i="226" s="1"/>
  <c r="AH48" i="226" a="1"/>
  <c r="AH48" i="226" s="1"/>
  <c r="BW60" i="226"/>
  <c r="A60" i="226"/>
  <c r="CA110" i="226"/>
  <c r="AK110" i="226" a="1"/>
  <c r="AK110" i="226" s="1"/>
  <c r="CT110" i="226" a="1"/>
  <c r="CT110" i="226" s="1"/>
  <c r="BV38" i="226" a="1"/>
  <c r="BV38" i="226" s="1"/>
  <c r="BW34" i="226"/>
  <c r="BY66" i="226" a="1"/>
  <c r="BY66" i="226" s="1"/>
  <c r="BW66" i="226"/>
  <c r="CC66" i="226"/>
  <c r="DF111" i="226"/>
  <c r="DN30" i="226"/>
  <c r="DN110" i="226"/>
  <c r="DP46" i="226"/>
  <c r="DN10" i="226"/>
  <c r="DR35" i="226"/>
  <c r="AJ98" i="226"/>
  <c r="AI98" i="226" a="1"/>
  <c r="AI98" i="226" s="1"/>
  <c r="CD10" i="226"/>
  <c r="AS103" i="226" a="1"/>
  <c r="AS103" i="226" s="1"/>
  <c r="DP60" i="226"/>
  <c r="B46" i="226"/>
  <c r="AQ46" i="226" a="1"/>
  <c r="AQ46" i="226" s="1"/>
  <c r="AI46" i="226" a="1"/>
  <c r="AI46" i="226" s="1"/>
  <c r="A46" i="226"/>
  <c r="BV30" i="226" a="1"/>
  <c r="BV30" i="226" s="1"/>
  <c r="AI30" i="226" a="1"/>
  <c r="AI30" i="226" s="1"/>
  <c r="C30" i="226" a="1"/>
  <c r="C30" i="226" s="1"/>
  <c r="O30" i="226" s="1"/>
  <c r="AG112" i="226" a="1"/>
  <c r="AG112" i="226" s="1"/>
  <c r="BU112" i="226" a="1"/>
  <c r="BU112" i="226" s="1"/>
  <c r="CS112" i="226" a="1"/>
  <c r="CS112" i="226" s="1"/>
  <c r="BS111" i="226" a="1"/>
  <c r="BS111" i="226" s="1"/>
  <c r="AJ111" i="226"/>
  <c r="BX111" i="226"/>
  <c r="BR50" i="226" a="1"/>
  <c r="BR50" i="226" s="1"/>
  <c r="BU50" i="226" a="1"/>
  <c r="BU50" i="226" s="1"/>
  <c r="BX50" i="226"/>
  <c r="A50" i="226"/>
  <c r="BR107" i="226" a="1"/>
  <c r="BR107" i="226" s="1"/>
  <c r="CD107" i="226"/>
  <c r="AI107" i="226" a="1"/>
  <c r="AI107" i="226" s="1"/>
  <c r="BY107" i="226" a="1"/>
  <c r="BY107" i="226" s="1"/>
  <c r="BV10" i="226" a="1"/>
  <c r="BV10" i="226" s="1"/>
  <c r="BS10" i="226" a="1"/>
  <c r="BS10" i="226" s="1"/>
  <c r="CB10" i="226"/>
  <c r="AN10" i="226" a="1"/>
  <c r="AN10" i="226" s="1"/>
  <c r="AL10" i="226" s="1"/>
  <c r="A103" i="226"/>
  <c r="BW48" i="226"/>
  <c r="BS60" i="226" a="1"/>
  <c r="BS60" i="226" s="1"/>
  <c r="CB35" i="226"/>
  <c r="CS110" i="226" a="1"/>
  <c r="CS110" i="226" s="1"/>
  <c r="AS110" i="226" a="1"/>
  <c r="AS110" i="226" s="1"/>
  <c r="BU110" i="226" a="1"/>
  <c r="BU110" i="226" s="1"/>
  <c r="AJ38" i="226"/>
  <c r="BP34" i="226" a="1"/>
  <c r="BP34" i="226" s="1"/>
  <c r="BV66" i="226" a="1"/>
  <c r="BV66" i="226" s="1"/>
  <c r="DP30" i="226"/>
  <c r="DH110" i="226"/>
  <c r="DH98" i="226"/>
  <c r="BX98" i="226"/>
  <c r="AK6" i="226" a="1"/>
  <c r="AK6" i="226" s="1"/>
  <c r="AH64" i="226" a="1"/>
  <c r="AH64" i="226" s="1"/>
  <c r="CA41" i="226"/>
  <c r="Z71" i="207"/>
  <c r="CC6" i="226"/>
  <c r="BV6" i="226" a="1"/>
  <c r="BV6" i="226" s="1"/>
  <c r="BU64" i="226" a="1"/>
  <c r="BU64" i="226" s="1"/>
  <c r="BZ64" i="226"/>
  <c r="AK64" i="226" a="1"/>
  <c r="AK64" i="226" s="1"/>
  <c r="AS84" i="226" a="1"/>
  <c r="AS84" i="226" s="1"/>
  <c r="CT90" i="226" a="1"/>
  <c r="CT90" i="226" s="1"/>
  <c r="AK90" i="226" a="1"/>
  <c r="AK90" i="226" s="1"/>
  <c r="BS41" i="226" a="1"/>
  <c r="BS41" i="226" s="1"/>
  <c r="CS41" i="226" a="1"/>
  <c r="CS41" i="226" s="1"/>
  <c r="AG11" i="226" a="1"/>
  <c r="AG11" i="226" s="1"/>
  <c r="CD101" i="226"/>
  <c r="AQ101" i="226" a="1"/>
  <c r="AQ101" i="226" s="1"/>
  <c r="CD43" i="226"/>
  <c r="DL101" i="226"/>
  <c r="DN41" i="226"/>
  <c r="AN65" i="226" a="1"/>
  <c r="AN65" i="226" s="1"/>
  <c r="AL65" i="226" s="1"/>
  <c r="BX12" i="226"/>
  <c r="BX64" i="226"/>
  <c r="AS90" i="226" a="1"/>
  <c r="AS90" i="226" s="1"/>
  <c r="C43" i="226" a="1"/>
  <c r="C43" i="226" s="1"/>
  <c r="G43" i="226" s="1"/>
  <c r="A6" i="226"/>
  <c r="BR6" i="226" a="1"/>
  <c r="BR6" i="226" s="1"/>
  <c r="BS6" i="226" a="1"/>
  <c r="BS6" i="226" s="1"/>
  <c r="CA6" i="226"/>
  <c r="BY64" i="226" a="1"/>
  <c r="BY64" i="226" s="1"/>
  <c r="B64" i="226"/>
  <c r="BW64" i="226"/>
  <c r="AS64" i="226" a="1"/>
  <c r="AS64" i="226" s="1"/>
  <c r="C90" i="226" a="1"/>
  <c r="C90" i="226" s="1"/>
  <c r="O90" i="226" s="1"/>
  <c r="CS90" i="226" a="1"/>
  <c r="CS90" i="226" s="1"/>
  <c r="CD90" i="226"/>
  <c r="CB24" i="226"/>
  <c r="A41" i="226"/>
  <c r="BP11" i="226" a="1"/>
  <c r="BP11" i="226" s="1"/>
  <c r="AG51" i="226" a="1"/>
  <c r="AG51" i="226" s="1"/>
  <c r="C51" i="226" a="1"/>
  <c r="C51" i="226" s="1"/>
  <c r="H51" i="226" s="1"/>
  <c r="C101" i="226" a="1"/>
  <c r="C101" i="226" s="1"/>
  <c r="H101" i="226" s="1"/>
  <c r="CD65" i="226"/>
  <c r="DJ43" i="226"/>
  <c r="DF41" i="226"/>
  <c r="AH12" i="226" a="1"/>
  <c r="AH12" i="226" s="1"/>
  <c r="CB87" i="226"/>
  <c r="BW12" i="226"/>
  <c r="CA64" i="226"/>
  <c r="BW41" i="226"/>
  <c r="BV101" i="226" a="1"/>
  <c r="BV101" i="226" s="1"/>
  <c r="AO6" i="226" a="1"/>
  <c r="AO6" i="226" s="1"/>
  <c r="CB6" i="226"/>
  <c r="AS6" i="226" a="1"/>
  <c r="AS6" i="226" s="1"/>
  <c r="AQ6" i="226" a="1"/>
  <c r="AQ6" i="226" s="1"/>
  <c r="BP64" i="226" a="1"/>
  <c r="BP64" i="226" s="1"/>
  <c r="CT64" i="226" a="1"/>
  <c r="CT64" i="226" s="1"/>
  <c r="BV90" i="226" a="1"/>
  <c r="BV90" i="226" s="1"/>
  <c r="BY90" i="226" a="1"/>
  <c r="BY90" i="226" s="1"/>
  <c r="B24" i="226"/>
  <c r="BV41" i="226" a="1"/>
  <c r="BV41" i="226" s="1"/>
  <c r="C41" i="226" a="1"/>
  <c r="C41" i="226" s="1"/>
  <c r="L41" i="226" s="1"/>
  <c r="CB41" i="226"/>
  <c r="B11" i="226"/>
  <c r="BR51" i="226" a="1"/>
  <c r="BR51" i="226" s="1"/>
  <c r="CA51" i="226"/>
  <c r="BY101" i="226" a="1"/>
  <c r="BY101" i="226" s="1"/>
  <c r="CA101" i="226"/>
  <c r="CT43" i="226" a="1"/>
  <c r="CT43" i="226" s="1"/>
  <c r="DH41" i="226"/>
  <c r="DJ51" i="226"/>
  <c r="DJ90" i="226"/>
  <c r="DF97" i="226"/>
  <c r="DP24" i="226"/>
  <c r="DT97" i="226"/>
  <c r="BV87" i="226" a="1"/>
  <c r="BV87" i="226" s="1"/>
  <c r="DT101" i="226"/>
  <c r="BZ6" i="226"/>
  <c r="A51" i="226"/>
  <c r="AG101" i="226" a="1"/>
  <c r="AG101" i="226" s="1"/>
  <c r="DP101" i="226"/>
  <c r="DT90" i="226"/>
  <c r="CC74" i="226"/>
  <c r="AG6" i="226" a="1"/>
  <c r="AG6" i="226" s="1"/>
  <c r="C6" i="226" a="1"/>
  <c r="C6" i="226" s="1"/>
  <c r="L6" i="226" s="1"/>
  <c r="AI6" i="226" a="1"/>
  <c r="AI6" i="226" s="1"/>
  <c r="CB64" i="226"/>
  <c r="AN64" i="226" a="1"/>
  <c r="AN64" i="226" s="1"/>
  <c r="AL64" i="226" s="1"/>
  <c r="C64" i="226" a="1"/>
  <c r="C64" i="226" s="1"/>
  <c r="L64" i="226" s="1"/>
  <c r="AI64" i="226" a="1"/>
  <c r="AI64" i="226" s="1"/>
  <c r="CC90" i="226"/>
  <c r="BP90" i="226" a="1"/>
  <c r="BP90" i="226" s="1"/>
  <c r="BW90" i="226"/>
  <c r="BY41" i="226" a="1"/>
  <c r="BY41" i="226" s="1"/>
  <c r="CC41" i="226"/>
  <c r="AO51" i="226" a="1"/>
  <c r="AO51" i="226" s="1"/>
  <c r="A101" i="226"/>
  <c r="B101" i="226"/>
  <c r="CS43" i="226" a="1"/>
  <c r="CS43" i="226" s="1"/>
  <c r="CT65" i="226" a="1"/>
  <c r="CT65" i="226" s="1"/>
  <c r="DJ6" i="226"/>
  <c r="DH51" i="226"/>
  <c r="DR11" i="226"/>
  <c r="BY6" i="226" a="1"/>
  <c r="BY6" i="226" s="1"/>
  <c r="AQ64" i="226" a="1"/>
  <c r="AQ64" i="226" s="1"/>
  <c r="AO90" i="226" a="1"/>
  <c r="AO90" i="226" s="1"/>
  <c r="AJ6" i="226"/>
  <c r="CT6" i="226" a="1"/>
  <c r="CT6" i="226" s="1"/>
  <c r="BX6" i="226"/>
  <c r="CD6" i="226"/>
  <c r="CD64" i="226"/>
  <c r="CC64" i="226"/>
  <c r="CS64" i="226" a="1"/>
  <c r="CS64" i="226" s="1"/>
  <c r="BW84" i="226"/>
  <c r="AH90" i="226" a="1"/>
  <c r="AH90" i="226" s="1"/>
  <c r="CB90" i="226"/>
  <c r="BP41" i="226" a="1"/>
  <c r="BP41" i="226" s="1"/>
  <c r="CC51" i="226"/>
  <c r="CT51" i="226" a="1"/>
  <c r="CT51" i="226" s="1"/>
  <c r="BP51" i="226" a="1"/>
  <c r="BP51" i="226" s="1"/>
  <c r="BU101" i="226" a="1"/>
  <c r="BU101" i="226" s="1"/>
  <c r="CC101" i="226"/>
  <c r="DL6" i="226"/>
  <c r="DP51" i="226"/>
  <c r="DR6" i="226"/>
  <c r="B12" i="226"/>
  <c r="BU6" i="226" a="1"/>
  <c r="BU6" i="226" s="1"/>
  <c r="DR41" i="226"/>
  <c r="BW74" i="226"/>
  <c r="BP6" i="226" a="1"/>
  <c r="BP6" i="226" s="1"/>
  <c r="BW6" i="226"/>
  <c r="CS6" i="226" a="1"/>
  <c r="CS6" i="226" s="1"/>
  <c r="AJ64" i="226"/>
  <c r="BR64" i="226" a="1"/>
  <c r="BR64" i="226" s="1"/>
  <c r="AG64" i="226" a="1"/>
  <c r="AG64" i="226" s="1"/>
  <c r="BV64" i="226" a="1"/>
  <c r="BV64" i="226" s="1"/>
  <c r="AN84" i="226" a="1"/>
  <c r="AN84" i="226" s="1"/>
  <c r="AL84" i="226" s="1"/>
  <c r="BR90" i="226" a="1"/>
  <c r="BR90" i="226" s="1"/>
  <c r="AG90" i="226" a="1"/>
  <c r="AG90" i="226" s="1"/>
  <c r="AH41" i="226" a="1"/>
  <c r="AH41" i="226" s="1"/>
  <c r="CS51" i="226" a="1"/>
  <c r="CS51" i="226" s="1"/>
  <c r="BS51" i="226" a="1"/>
  <c r="BS51" i="226" s="1"/>
  <c r="AJ51" i="226"/>
  <c r="BZ101" i="226"/>
  <c r="A65" i="226"/>
  <c r="CC65" i="226"/>
  <c r="E77" i="226" a="1"/>
  <c r="E77" i="226" s="1"/>
  <c r="D77" i="226" s="1"/>
  <c r="CB109" i="226"/>
  <c r="AJ78" i="226"/>
  <c r="CD78" i="226"/>
  <c r="AI78" i="226" a="1"/>
  <c r="AI78" i="226" s="1"/>
  <c r="C76" i="226" a="1"/>
  <c r="C76" i="226" s="1"/>
  <c r="G76" i="226" s="1"/>
  <c r="BU76" i="226" a="1"/>
  <c r="BU76" i="226" s="1"/>
  <c r="BY76" i="226" a="1"/>
  <c r="BY76" i="226" s="1"/>
  <c r="CC34" i="226"/>
  <c r="AH34" i="226" a="1"/>
  <c r="AH34" i="226" s="1"/>
  <c r="BZ65" i="226"/>
  <c r="BP65" i="226" a="1"/>
  <c r="BP65" i="226" s="1"/>
  <c r="BS65" i="226" a="1"/>
  <c r="BS65" i="226" s="1"/>
  <c r="DJ109" i="226"/>
  <c r="DP38" i="226"/>
  <c r="DJ79" i="226"/>
  <c r="DT65" i="226"/>
  <c r="CD12" i="226"/>
  <c r="AS12" i="226" a="1"/>
  <c r="AS12" i="226" s="1"/>
  <c r="DN31" i="226"/>
  <c r="AQ31" i="226" a="1"/>
  <c r="AQ31" i="226" s="1"/>
  <c r="BY31" i="226" a="1"/>
  <c r="BY31" i="226" s="1"/>
  <c r="A31" i="226"/>
  <c r="DT31" i="226"/>
  <c r="DJ31" i="226"/>
  <c r="B31" i="226"/>
  <c r="BV31" i="226" a="1"/>
  <c r="BV31" i="226" s="1"/>
  <c r="AO31" i="226" a="1"/>
  <c r="AO31" i="226" s="1"/>
  <c r="AG31" i="226" a="1"/>
  <c r="AG31" i="226" s="1"/>
  <c r="BP31" i="226" a="1"/>
  <c r="BP31" i="226" s="1"/>
  <c r="CA31" i="226"/>
  <c r="BS31" i="226" a="1"/>
  <c r="BS31" i="226" s="1"/>
  <c r="CS31" i="226" a="1"/>
  <c r="CS31" i="226" s="1"/>
  <c r="DL31" i="226"/>
  <c r="BX31" i="226"/>
  <c r="AJ31" i="226"/>
  <c r="CC31" i="226"/>
  <c r="AN79" i="226" a="1"/>
  <c r="AN79" i="226" s="1"/>
  <c r="AL79" i="226" s="1"/>
  <c r="BU79" i="226" a="1"/>
  <c r="BU79" i="226" s="1"/>
  <c r="CD109" i="226"/>
  <c r="AJ109" i="226"/>
  <c r="AQ79" i="226" a="1"/>
  <c r="AQ79" i="226" s="1"/>
  <c r="BV79" i="226" a="1"/>
  <c r="BV79" i="226" s="1"/>
  <c r="AH109" i="226" a="1"/>
  <c r="AH109" i="226" s="1"/>
  <c r="BY109" i="226" a="1"/>
  <c r="BY109" i="226" s="1"/>
  <c r="AK109" i="226" a="1"/>
  <c r="AK109" i="226" s="1"/>
  <c r="BV78" i="226" a="1"/>
  <c r="BV78" i="226" s="1"/>
  <c r="C78" i="226" a="1"/>
  <c r="C78" i="226" s="1"/>
  <c r="G78" i="226" s="1"/>
  <c r="BZ78" i="226"/>
  <c r="BR76" i="226" a="1"/>
  <c r="BR76" i="226" s="1"/>
  <c r="AK76" i="226" a="1"/>
  <c r="AK76" i="226" s="1"/>
  <c r="CT76" i="226" a="1"/>
  <c r="CT76" i="226" s="1"/>
  <c r="CA76" i="226"/>
  <c r="A76" i="226"/>
  <c r="AO103" i="226" a="1"/>
  <c r="AO103" i="226" s="1"/>
  <c r="BZ90" i="226"/>
  <c r="B90" i="226"/>
  <c r="BU90" i="226" a="1"/>
  <c r="BU90" i="226" s="1"/>
  <c r="AJ90" i="226"/>
  <c r="B38" i="226"/>
  <c r="BX38" i="226"/>
  <c r="BX65" i="226"/>
  <c r="DP109" i="226"/>
  <c r="DF38" i="226"/>
  <c r="DN79" i="226"/>
  <c r="CC109" i="226"/>
  <c r="BU109" i="226" a="1"/>
  <c r="BU109" i="226" s="1"/>
  <c r="AG109" i="226" a="1"/>
  <c r="AG109" i="226" s="1"/>
  <c r="AH78" i="226" a="1"/>
  <c r="AH78" i="226" s="1"/>
  <c r="BZ76" i="226"/>
  <c r="BX76" i="226"/>
  <c r="BW76" i="226"/>
  <c r="DR34" i="226"/>
  <c r="DN34" i="226"/>
  <c r="AN34" i="226" a="1"/>
  <c r="AN34" i="226" s="1"/>
  <c r="AL34" i="226" s="1"/>
  <c r="BY34" i="226" a="1"/>
  <c r="BY34" i="226" s="1"/>
  <c r="CS34" i="226" a="1"/>
  <c r="CS34" i="226" s="1"/>
  <c r="AI34" i="226" a="1"/>
  <c r="AI34" i="226" s="1"/>
  <c r="DT34" i="226"/>
  <c r="DP34" i="226"/>
  <c r="CA34" i="226"/>
  <c r="AS34" i="226" a="1"/>
  <c r="AS34" i="226" s="1"/>
  <c r="DH34" i="226"/>
  <c r="BU34" i="226" a="1"/>
  <c r="BU34" i="226" s="1"/>
  <c r="BS34" i="226" a="1"/>
  <c r="BS34" i="226" s="1"/>
  <c r="A34" i="226"/>
  <c r="CD34" i="226"/>
  <c r="AO34" i="226" a="1"/>
  <c r="AO34" i="226" s="1"/>
  <c r="BR34" i="226" a="1"/>
  <c r="BR34" i="226" s="1"/>
  <c r="AK34" i="226" a="1"/>
  <c r="AK34" i="226" s="1"/>
  <c r="CB34" i="226"/>
  <c r="DT38" i="226"/>
  <c r="DH38" i="226"/>
  <c r="CB38" i="226"/>
  <c r="AH38" i="226" a="1"/>
  <c r="AH38" i="226" s="1"/>
  <c r="DL38" i="226"/>
  <c r="AS38" i="226" a="1"/>
  <c r="AS38" i="226" s="1"/>
  <c r="CT38" i="226" a="1"/>
  <c r="CT38" i="226" s="1"/>
  <c r="BP38" i="226" a="1"/>
  <c r="BP38" i="226" s="1"/>
  <c r="BU38" i="226" a="1"/>
  <c r="BU38" i="226" s="1"/>
  <c r="BW38" i="226"/>
  <c r="DN38" i="226"/>
  <c r="BS38" i="226" a="1"/>
  <c r="BS38" i="226" s="1"/>
  <c r="BY38" i="226" a="1"/>
  <c r="BY38" i="226" s="1"/>
  <c r="C38" i="226" a="1"/>
  <c r="C38" i="226" s="1"/>
  <c r="O38" i="226" s="1"/>
  <c r="DJ103" i="226"/>
  <c r="DT103" i="226"/>
  <c r="DP103" i="226"/>
  <c r="DR103" i="226"/>
  <c r="DH103" i="226"/>
  <c r="AJ60" i="226"/>
  <c r="CC60" i="226"/>
  <c r="AH60" i="226" a="1"/>
  <c r="AH60" i="226" s="1"/>
  <c r="BU60" i="226" a="1"/>
  <c r="BU60" i="226" s="1"/>
  <c r="BP60" i="226" a="1"/>
  <c r="BP60" i="226" s="1"/>
  <c r="CD60" i="226"/>
  <c r="AN60" i="226" a="1"/>
  <c r="AN60" i="226" s="1"/>
  <c r="AL60" i="226" s="1"/>
  <c r="AO60" i="226" a="1"/>
  <c r="AO60" i="226" s="1"/>
  <c r="DR60" i="226"/>
  <c r="DH60" i="226"/>
  <c r="CB60" i="226"/>
  <c r="AK60" i="226" a="1"/>
  <c r="AK60" i="226" s="1"/>
  <c r="BY60" i="226" a="1"/>
  <c r="BY60" i="226" s="1"/>
  <c r="DN60" i="226"/>
  <c r="BZ60" i="226"/>
  <c r="CS60" i="226" a="1"/>
  <c r="CS60" i="226" s="1"/>
  <c r="CT60" i="226" a="1"/>
  <c r="CT60" i="226" s="1"/>
  <c r="AI60" i="226" a="1"/>
  <c r="AI60" i="226" s="1"/>
  <c r="DT48" i="226"/>
  <c r="DN48" i="226"/>
  <c r="CC48" i="226"/>
  <c r="AJ48" i="226"/>
  <c r="CS48" i="226" a="1"/>
  <c r="CS48" i="226" s="1"/>
  <c r="BR48" i="226" a="1"/>
  <c r="BR48" i="226" s="1"/>
  <c r="DR48" i="226"/>
  <c r="DF48" i="226"/>
  <c r="BY48" i="226" a="1"/>
  <c r="BY48" i="226" s="1"/>
  <c r="AQ48" i="226" a="1"/>
  <c r="AQ48" i="226" s="1"/>
  <c r="AI48" i="226" a="1"/>
  <c r="AI48" i="226" s="1"/>
  <c r="BS48" i="226" a="1"/>
  <c r="BS48" i="226" s="1"/>
  <c r="BZ48" i="226"/>
  <c r="BU48" i="226" a="1"/>
  <c r="BU48" i="226" s="1"/>
  <c r="CB48" i="226"/>
  <c r="BX48" i="226"/>
  <c r="AO48" i="226" a="1"/>
  <c r="AO48" i="226" s="1"/>
  <c r="DJ10" i="226"/>
  <c r="DR10" i="226"/>
  <c r="DP10" i="226"/>
  <c r="DL10" i="226"/>
  <c r="DF10" i="226"/>
  <c r="AN66" i="226" a="1"/>
  <c r="AN66" i="226" s="1"/>
  <c r="AL66" i="226" s="1"/>
  <c r="AH66" i="226" a="1"/>
  <c r="AH66" i="226" s="1"/>
  <c r="AG66" i="226" a="1"/>
  <c r="AG66" i="226" s="1"/>
  <c r="AO66" i="226" a="1"/>
  <c r="AO66" i="226" s="1"/>
  <c r="DT66" i="226"/>
  <c r="DL66" i="226"/>
  <c r="CT66" i="226" a="1"/>
  <c r="CT66" i="226" s="1"/>
  <c r="BU66" i="226" a="1"/>
  <c r="BU66" i="226" s="1"/>
  <c r="DH66" i="226"/>
  <c r="AI66" i="226" a="1"/>
  <c r="AI66" i="226" s="1"/>
  <c r="CD66" i="226"/>
  <c r="B66" i="226"/>
  <c r="DF66" i="226"/>
  <c r="AQ66" i="226" a="1"/>
  <c r="AQ66" i="226" s="1"/>
  <c r="C66" i="226" a="1"/>
  <c r="C66" i="226" s="1"/>
  <c r="H66" i="226" s="1"/>
  <c r="CB66" i="226"/>
  <c r="AJ66" i="226"/>
  <c r="DT111" i="226"/>
  <c r="DH111" i="226"/>
  <c r="DR111" i="226"/>
  <c r="DL111" i="226"/>
  <c r="DP112" i="226"/>
  <c r="DH112" i="226"/>
  <c r="DT112" i="226"/>
  <c r="DJ112" i="226"/>
  <c r="DR112" i="226"/>
  <c r="DF112" i="226"/>
  <c r="DH35" i="226"/>
  <c r="BZ35" i="226"/>
  <c r="BP35" i="226" a="1"/>
  <c r="BP35" i="226" s="1"/>
  <c r="AN35" i="226" a="1"/>
  <c r="AN35" i="226" s="1"/>
  <c r="AL35" i="226" s="1"/>
  <c r="BW35" i="226"/>
  <c r="BY35" i="226" a="1"/>
  <c r="BY35" i="226" s="1"/>
  <c r="BS35" i="226" a="1"/>
  <c r="BS35" i="226" s="1"/>
  <c r="AK35" i="226" a="1"/>
  <c r="AK35" i="226" s="1"/>
  <c r="DN35" i="226"/>
  <c r="C35" i="226" a="1"/>
  <c r="C35" i="226" s="1"/>
  <c r="O35" i="226" s="1"/>
  <c r="AQ35" i="226" a="1"/>
  <c r="AQ35" i="226" s="1"/>
  <c r="B35" i="226"/>
  <c r="DJ35" i="226"/>
  <c r="A35" i="226"/>
  <c r="AH35" i="226" a="1"/>
  <c r="AH35" i="226" s="1"/>
  <c r="AS35" i="226" a="1"/>
  <c r="AS35" i="226" s="1"/>
  <c r="CC35" i="226"/>
  <c r="DT35" i="226"/>
  <c r="BS79" i="226" a="1"/>
  <c r="BS79" i="226" s="1"/>
  <c r="AI79" i="226" a="1"/>
  <c r="AI79" i="226" s="1"/>
  <c r="CT79" i="226" a="1"/>
  <c r="CT79" i="226" s="1"/>
  <c r="AS109" i="226" a="1"/>
  <c r="AS109" i="226" s="1"/>
  <c r="C79" i="226" a="1"/>
  <c r="C79" i="226" s="1"/>
  <c r="G79" i="226" s="1"/>
  <c r="CD79" i="226"/>
  <c r="AK79" i="226" a="1"/>
  <c r="AK79" i="226" s="1"/>
  <c r="CA79" i="226"/>
  <c r="AN109" i="226" a="1"/>
  <c r="AN109" i="226" s="1"/>
  <c r="AL109" i="226" s="1"/>
  <c r="BZ109" i="226"/>
  <c r="BS109" i="226" a="1"/>
  <c r="BS109" i="226" s="1"/>
  <c r="CB78" i="226"/>
  <c r="BP78" i="226" a="1"/>
  <c r="BP78" i="226" s="1"/>
  <c r="AQ78" i="226" a="1"/>
  <c r="AQ78" i="226" s="1"/>
  <c r="AS76" i="226" a="1"/>
  <c r="AS76" i="226" s="1"/>
  <c r="CC76" i="226"/>
  <c r="AJ76" i="226"/>
  <c r="BZ38" i="226"/>
  <c r="CC38" i="226"/>
  <c r="CT34" i="226" a="1"/>
  <c r="CT34" i="226" s="1"/>
  <c r="AG65" i="226" a="1"/>
  <c r="AG65" i="226" s="1"/>
  <c r="DF103" i="226"/>
  <c r="DJ34" i="226"/>
  <c r="DH10" i="226"/>
  <c r="DT109" i="226"/>
  <c r="DR78" i="226"/>
  <c r="DN78" i="226"/>
  <c r="DT78" i="226"/>
  <c r="DH78" i="226"/>
  <c r="DR76" i="226"/>
  <c r="DP76" i="226"/>
  <c r="DL76" i="226"/>
  <c r="DJ76" i="226"/>
  <c r="CC78" i="226"/>
  <c r="B78" i="226"/>
  <c r="BS78" i="226" a="1"/>
  <c r="BS78" i="226" s="1"/>
  <c r="AO78" i="226" a="1"/>
  <c r="AO78" i="226" s="1"/>
  <c r="AI76" i="226" a="1"/>
  <c r="AI76" i="226" s="1"/>
  <c r="AG76" i="226" a="1"/>
  <c r="AG76" i="226" s="1"/>
  <c r="CB76" i="226"/>
  <c r="DJ78" i="226"/>
  <c r="DT76" i="226"/>
  <c r="DP12" i="226"/>
  <c r="BS12" i="226" a="1"/>
  <c r="BS12" i="226" s="1"/>
  <c r="AG12" i="226" a="1"/>
  <c r="AG12" i="226" s="1"/>
  <c r="CB12" i="226"/>
  <c r="BV12" i="226" a="1"/>
  <c r="BV12" i="226" s="1"/>
  <c r="CT12" i="226" a="1"/>
  <c r="CT12" i="226" s="1"/>
  <c r="AO12" i="226" a="1"/>
  <c r="AO12" i="226" s="1"/>
  <c r="DL12" i="226"/>
  <c r="CA12" i="226"/>
  <c r="BP12" i="226" a="1"/>
  <c r="BP12" i="226" s="1"/>
  <c r="DF12" i="226"/>
  <c r="AJ12" i="226"/>
  <c r="BZ12" i="226"/>
  <c r="DH12" i="226"/>
  <c r="CC12" i="226"/>
  <c r="DR65" i="226"/>
  <c r="DF65" i="226"/>
  <c r="BW65" i="226"/>
  <c r="AS65" i="226" a="1"/>
  <c r="AS65" i="226" s="1"/>
  <c r="AI65" i="226" a="1"/>
  <c r="AI65" i="226" s="1"/>
  <c r="AQ65" i="226" a="1"/>
  <c r="AQ65" i="226" s="1"/>
  <c r="BV65" i="226" a="1"/>
  <c r="BV65" i="226" s="1"/>
  <c r="AK65" i="226" a="1"/>
  <c r="AK65" i="226" s="1"/>
  <c r="DP65" i="226"/>
  <c r="BY65" i="226" a="1"/>
  <c r="BY65" i="226" s="1"/>
  <c r="C65" i="226" a="1"/>
  <c r="C65" i="226" s="1"/>
  <c r="O65" i="226" s="1"/>
  <c r="AO65" i="226" a="1"/>
  <c r="AO65" i="226" s="1"/>
  <c r="DN65" i="226"/>
  <c r="AJ65" i="226"/>
  <c r="CS65" i="226" a="1"/>
  <c r="CS65" i="226" s="1"/>
  <c r="DJ65" i="226"/>
  <c r="CA65" i="226"/>
  <c r="CB65" i="226"/>
  <c r="DF90" i="226"/>
  <c r="DR90" i="226"/>
  <c r="DP90" i="226"/>
  <c r="DL90" i="226"/>
  <c r="DF51" i="226"/>
  <c r="BY51" i="226" a="1"/>
  <c r="BY51" i="226" s="1"/>
  <c r="BZ51" i="226"/>
  <c r="B51" i="226"/>
  <c r="AH51" i="226" a="1"/>
  <c r="AH51" i="226" s="1"/>
  <c r="DN51" i="226"/>
  <c r="AK51" i="226" a="1"/>
  <c r="AK51" i="226" s="1"/>
  <c r="AQ51" i="226" a="1"/>
  <c r="AQ51" i="226" s="1"/>
  <c r="CB51" i="226"/>
  <c r="DL51" i="226"/>
  <c r="AI51" i="226" a="1"/>
  <c r="AI51" i="226" s="1"/>
  <c r="BX51" i="226"/>
  <c r="AS51" i="226" a="1"/>
  <c r="AS51" i="226" s="1"/>
  <c r="AN51" i="226" a="1"/>
  <c r="AN51" i="226" s="1"/>
  <c r="AL51" i="226" s="1"/>
  <c r="CD51" i="226"/>
  <c r="BW51" i="226"/>
  <c r="BV51" i="226" a="1"/>
  <c r="BV51" i="226" s="1"/>
  <c r="DR51" i="226"/>
  <c r="DN64" i="226"/>
  <c r="DJ64" i="226"/>
  <c r="DP64" i="226"/>
  <c r="DH64" i="226"/>
  <c r="DR64" i="226"/>
  <c r="DH101" i="226"/>
  <c r="AO101" i="226" a="1"/>
  <c r="AO101" i="226" s="1"/>
  <c r="AN101" i="226" a="1"/>
  <c r="AN101" i="226" s="1"/>
  <c r="AL101" i="226" s="1"/>
  <c r="DN101" i="226"/>
  <c r="BW101" i="226"/>
  <c r="AI101" i="226" a="1"/>
  <c r="AI101" i="226" s="1"/>
  <c r="DJ101" i="226"/>
  <c r="BR101" i="226" a="1"/>
  <c r="BR101" i="226" s="1"/>
  <c r="AS101" i="226" a="1"/>
  <c r="AS101" i="226" s="1"/>
  <c r="BP101" i="226" a="1"/>
  <c r="BP101" i="226" s="1"/>
  <c r="CT101" i="226" a="1"/>
  <c r="CT101" i="226" s="1"/>
  <c r="BX101" i="226"/>
  <c r="AH101" i="226" a="1"/>
  <c r="AH101" i="226" s="1"/>
  <c r="BS101" i="226" a="1"/>
  <c r="BS101" i="226" s="1"/>
  <c r="AK101" i="226" a="1"/>
  <c r="AK101" i="226" s="1"/>
  <c r="DR101" i="226"/>
  <c r="DN6" i="226"/>
  <c r="DF6" i="226"/>
  <c r="DP6" i="226"/>
  <c r="DT6" i="226"/>
  <c r="AI41" i="226" a="1"/>
  <c r="AI41" i="226" s="1"/>
  <c r="CD41" i="226"/>
  <c r="DP41" i="226"/>
  <c r="BZ41" i="226"/>
  <c r="BX41" i="226"/>
  <c r="AO41" i="226" a="1"/>
  <c r="AO41" i="226" s="1"/>
  <c r="B41" i="226"/>
  <c r="DL41" i="226"/>
  <c r="BR41" i="226" a="1"/>
  <c r="BR41" i="226" s="1"/>
  <c r="AJ41" i="226"/>
  <c r="DT41" i="226"/>
  <c r="DJ41" i="226"/>
  <c r="BU41" i="226" a="1"/>
  <c r="BU41" i="226" s="1"/>
  <c r="AK41" i="226" a="1"/>
  <c r="AK41" i="226" s="1"/>
  <c r="CT41" i="226" a="1"/>
  <c r="CT41" i="226" s="1"/>
  <c r="AS41" i="226" a="1"/>
  <c r="AS41" i="226" s="1"/>
  <c r="DP79" i="226"/>
  <c r="DL79" i="226"/>
  <c r="DR79" i="226"/>
  <c r="DT79" i="226"/>
  <c r="DR109" i="226"/>
  <c r="DN109" i="226"/>
  <c r="DL109" i="226"/>
  <c r="DF109" i="226"/>
  <c r="BP79" i="226" a="1"/>
  <c r="BP79" i="226" s="1"/>
  <c r="BX109" i="226"/>
  <c r="AQ109" i="226" a="1"/>
  <c r="AQ109" i="226" s="1"/>
  <c r="BP109" i="226" a="1"/>
  <c r="BP109" i="226" s="1"/>
  <c r="BZ79" i="226"/>
  <c r="B79" i="226"/>
  <c r="BX79" i="226"/>
  <c r="CT109" i="226" a="1"/>
  <c r="CT109" i="226" s="1"/>
  <c r="B109" i="226"/>
  <c r="BW109" i="226"/>
  <c r="AN78" i="226" a="1"/>
  <c r="AN78" i="226" s="1"/>
  <c r="AL78" i="226" s="1"/>
  <c r="AG78" i="226" a="1"/>
  <c r="AG78" i="226" s="1"/>
  <c r="CT78" i="226" a="1"/>
  <c r="CT78" i="226" s="1"/>
  <c r="BU78" i="226" a="1"/>
  <c r="BU78" i="226" s="1"/>
  <c r="AN76" i="226" a="1"/>
  <c r="AN76" i="226" s="1"/>
  <c r="AL76" i="226" s="1"/>
  <c r="CS76" i="226" a="1"/>
  <c r="CS76" i="226" s="1"/>
  <c r="B76" i="226"/>
  <c r="CD76" i="226"/>
  <c r="BR103" i="226" a="1"/>
  <c r="BR103" i="226" s="1"/>
  <c r="CT103" i="226" a="1"/>
  <c r="CT103" i="226" s="1"/>
  <c r="AQ103" i="226" a="1"/>
  <c r="AQ103" i="226" s="1"/>
  <c r="BS90" i="226" a="1"/>
  <c r="BS90" i="226" s="1"/>
  <c r="A90" i="226"/>
  <c r="CA90" i="226"/>
  <c r="CD38" i="226"/>
  <c r="CA38" i="226"/>
  <c r="BV34" i="226" a="1"/>
  <c r="BV34" i="226" s="1"/>
  <c r="AQ34" i="226" a="1"/>
  <c r="AQ34" i="226" s="1"/>
  <c r="DH65" i="226"/>
  <c r="DN90" i="226"/>
  <c r="DN76" i="226"/>
  <c r="DL78" i="226"/>
  <c r="DL103" i="226"/>
  <c r="DF34" i="226"/>
  <c r="DF60" i="226"/>
  <c r="DJ12" i="226"/>
  <c r="BY12" i="226" a="1"/>
  <c r="BY12" i="226" s="1"/>
  <c r="AN12" i="226" a="1"/>
  <c r="AN12" i="226" s="1"/>
  <c r="AL12" i="226" s="1"/>
  <c r="DT64" i="226"/>
  <c r="BY79" i="226" a="1"/>
  <c r="BY79" i="226" s="1"/>
  <c r="AG79" i="226" a="1"/>
  <c r="AG79" i="226" s="1"/>
  <c r="AJ79" i="226"/>
  <c r="BR79" i="226" a="1"/>
  <c r="BR79" i="226" s="1"/>
  <c r="AH79" i="226" a="1"/>
  <c r="AH79" i="226" s="1"/>
  <c r="CS79" i="226" a="1"/>
  <c r="CS79" i="226" s="1"/>
  <c r="CB79" i="226"/>
  <c r="CC79" i="226"/>
  <c r="C109" i="226" a="1"/>
  <c r="C109" i="226" s="1"/>
  <c r="L109" i="226" s="1"/>
  <c r="CA109" i="226"/>
  <c r="AO109" i="226" a="1"/>
  <c r="AO109" i="226" s="1"/>
  <c r="BW78" i="226"/>
  <c r="CA78" i="226"/>
  <c r="BY78" i="226" a="1"/>
  <c r="BY78" i="226" s="1"/>
  <c r="A78" i="226"/>
  <c r="AH76" i="226" a="1"/>
  <c r="AH76" i="226" s="1"/>
  <c r="AQ76" i="226" a="1"/>
  <c r="AQ76" i="226" s="1"/>
  <c r="CB103" i="226"/>
  <c r="AG103" i="226" a="1"/>
  <c r="AG103" i="226" s="1"/>
  <c r="CA103" i="226"/>
  <c r="BZ103" i="226"/>
  <c r="AO38" i="226" a="1"/>
  <c r="AO38" i="226" s="1"/>
  <c r="AK38" i="226" a="1"/>
  <c r="AK38" i="226" s="1"/>
  <c r="C34" i="226" a="1"/>
  <c r="C34" i="226" s="1"/>
  <c r="L34" i="226" s="1"/>
  <c r="AG34" i="226" a="1"/>
  <c r="AG34" i="226" s="1"/>
  <c r="BU65" i="226" a="1"/>
  <c r="BU65" i="226" s="1"/>
  <c r="B65" i="226"/>
  <c r="DL65" i="226"/>
  <c r="DF76" i="226"/>
  <c r="DF78" i="226"/>
  <c r="DH79" i="226"/>
  <c r="DJ60" i="226"/>
  <c r="A12" i="226"/>
  <c r="AQ12" i="226" a="1"/>
  <c r="AQ12" i="226" s="1"/>
  <c r="BU12" i="226" a="1"/>
  <c r="BU12" i="226" s="1"/>
  <c r="DF30" i="226"/>
  <c r="DJ107" i="226"/>
  <c r="DH30" i="226"/>
  <c r="DN107" i="226"/>
  <c r="DT107" i="226"/>
  <c r="DL30" i="226"/>
  <c r="DJ110" i="226"/>
  <c r="DT110" i="226"/>
  <c r="DR12" i="226"/>
  <c r="AI12" i="226" a="1"/>
  <c r="AI12" i="226" s="1"/>
  <c r="DN12" i="226"/>
  <c r="DT12" i="226"/>
  <c r="CS12" i="226" a="1"/>
  <c r="CS12" i="226" s="1"/>
  <c r="C12" i="226" a="1"/>
  <c r="C12" i="226" s="1"/>
  <c r="O12" i="226" s="1"/>
  <c r="BR12" i="226" a="1"/>
  <c r="BR12" i="226" s="1"/>
  <c r="CA86" i="226"/>
  <c r="BS86" i="226" a="1"/>
  <c r="BS86" i="226" s="1"/>
  <c r="AK67" i="226" a="1"/>
  <c r="AK67" i="226" s="1"/>
  <c r="A67" i="226"/>
  <c r="AN67" i="226" a="1"/>
  <c r="AN67" i="226" s="1"/>
  <c r="AL67" i="226" s="1"/>
  <c r="BR67" i="226" a="1"/>
  <c r="BR67" i="226" s="1"/>
  <c r="BX16" i="226"/>
  <c r="BY16" i="226" a="1"/>
  <c r="BY16" i="226" s="1"/>
  <c r="C16" i="226" a="1"/>
  <c r="C16" i="226" s="1"/>
  <c r="O16" i="226" s="1"/>
  <c r="AH70" i="226" a="1"/>
  <c r="AH70" i="226" s="1"/>
  <c r="AO70" i="226" a="1"/>
  <c r="AO70" i="226" s="1"/>
  <c r="AN17" i="226" a="1"/>
  <c r="AN17" i="226" s="1"/>
  <c r="AL17" i="226" s="1"/>
  <c r="CA17" i="226"/>
  <c r="AK17" i="226" a="1"/>
  <c r="AK17" i="226" s="1"/>
  <c r="CB17" i="226"/>
  <c r="AN82" i="226" a="1"/>
  <c r="AN82" i="226" s="1"/>
  <c r="AL82" i="226" s="1"/>
  <c r="CS82" i="226" a="1"/>
  <c r="CS82" i="226" s="1"/>
  <c r="AO45" i="226" a="1"/>
  <c r="AO45" i="226" s="1"/>
  <c r="AI45" i="226" a="1"/>
  <c r="AI45" i="226" s="1"/>
  <c r="BW45" i="226"/>
  <c r="AG53" i="226" a="1"/>
  <c r="AG53" i="226" s="1"/>
  <c r="AO53" i="226" a="1"/>
  <c r="AO53" i="226" s="1"/>
  <c r="CA53" i="226"/>
  <c r="B53" i="226"/>
  <c r="BU53" i="226" a="1"/>
  <c r="BU53" i="226" s="1"/>
  <c r="AQ9" i="226" a="1"/>
  <c r="AQ9" i="226" s="1"/>
  <c r="AG9" i="226" a="1"/>
  <c r="AG9" i="226" s="1"/>
  <c r="B9" i="226"/>
  <c r="AI95" i="226" a="1"/>
  <c r="AI95" i="226" s="1"/>
  <c r="BW95" i="226"/>
  <c r="CS95" i="226" a="1"/>
  <c r="CS95" i="226" s="1"/>
  <c r="BX95" i="226"/>
  <c r="AJ43" i="226"/>
  <c r="BY43" i="226" a="1"/>
  <c r="BY43" i="226" s="1"/>
  <c r="BV43" i="226" a="1"/>
  <c r="BV43" i="226" s="1"/>
  <c r="AQ105" i="226" a="1"/>
  <c r="AQ105" i="226" s="1"/>
  <c r="CC105" i="226"/>
  <c r="AG105" i="226" a="1"/>
  <c r="AG105" i="226" s="1"/>
  <c r="CA105" i="226"/>
  <c r="AS37" i="226" a="1"/>
  <c r="AS37" i="226" s="1"/>
  <c r="BX37" i="226"/>
  <c r="DP45" i="226"/>
  <c r="DP86" i="226"/>
  <c r="DP16" i="226"/>
  <c r="DH105" i="226"/>
  <c r="DL43" i="226"/>
  <c r="DL17" i="226"/>
  <c r="DP37" i="226"/>
  <c r="DN9" i="226"/>
  <c r="DH82" i="226"/>
  <c r="DL67" i="226"/>
  <c r="DF70" i="226"/>
  <c r="DF95" i="226"/>
  <c r="DR9" i="226"/>
  <c r="DR45" i="226"/>
  <c r="DT86" i="226"/>
  <c r="DR43" i="226"/>
  <c r="DT105" i="226"/>
  <c r="CD73" i="226"/>
  <c r="A86" i="226"/>
  <c r="CC86" i="226"/>
  <c r="CT86" i="226" a="1"/>
  <c r="CT86" i="226" s="1"/>
  <c r="AG86" i="226" a="1"/>
  <c r="AG86" i="226" s="1"/>
  <c r="BU67" i="226" a="1"/>
  <c r="BU67" i="226" s="1"/>
  <c r="C67" i="226" a="1"/>
  <c r="C67" i="226" s="1"/>
  <c r="G67" i="226" s="1"/>
  <c r="BS67" i="226" a="1"/>
  <c r="BS67" i="226" s="1"/>
  <c r="AG67" i="226" a="1"/>
  <c r="AG67" i="226" s="1"/>
  <c r="AQ70" i="226" a="1"/>
  <c r="AQ70" i="226" s="1"/>
  <c r="BW70" i="226"/>
  <c r="C70" i="226" a="1"/>
  <c r="C70" i="226" s="1"/>
  <c r="O70" i="226" s="1"/>
  <c r="BZ70" i="226"/>
  <c r="BU17" i="226" a="1"/>
  <c r="BU17" i="226" s="1"/>
  <c r="AG17" i="226" a="1"/>
  <c r="AG17" i="226" s="1"/>
  <c r="C17" i="226" a="1"/>
  <c r="C17" i="226" s="1"/>
  <c r="L17" i="226" s="1"/>
  <c r="CT17" i="226" a="1"/>
  <c r="CT17" i="226" s="1"/>
  <c r="C82" i="226" a="1"/>
  <c r="C82" i="226" s="1"/>
  <c r="O82" i="226" s="1"/>
  <c r="CD82" i="226"/>
  <c r="BY82" i="226" a="1"/>
  <c r="BY82" i="226" s="1"/>
  <c r="CT82" i="226" a="1"/>
  <c r="CT82" i="226" s="1"/>
  <c r="BP82" i="226" a="1"/>
  <c r="BP82" i="226" s="1"/>
  <c r="AJ45" i="226"/>
  <c r="BR45" i="226" a="1"/>
  <c r="BR45" i="226" s="1"/>
  <c r="AK45" i="226" a="1"/>
  <c r="AK45" i="226" s="1"/>
  <c r="A53" i="226"/>
  <c r="BZ53" i="226"/>
  <c r="CT53" i="226" a="1"/>
  <c r="CT53" i="226" s="1"/>
  <c r="BP53" i="226" a="1"/>
  <c r="BP53" i="226" s="1"/>
  <c r="BY9" i="226" a="1"/>
  <c r="BY9" i="226" s="1"/>
  <c r="CD9" i="226"/>
  <c r="AK9" i="226" a="1"/>
  <c r="AK9" i="226" s="1"/>
  <c r="AS9" i="226" a="1"/>
  <c r="AS9" i="226" s="1"/>
  <c r="BZ9" i="226"/>
  <c r="AO95" i="226" a="1"/>
  <c r="AO95" i="226" s="1"/>
  <c r="BV95" i="226" a="1"/>
  <c r="BV95" i="226" s="1"/>
  <c r="AN95" i="226" a="1"/>
  <c r="AN95" i="226" s="1"/>
  <c r="AL95" i="226" s="1"/>
  <c r="AN43" i="226" a="1"/>
  <c r="AN43" i="226" s="1"/>
  <c r="AL43" i="226" s="1"/>
  <c r="CC43" i="226"/>
  <c r="BX43" i="226"/>
  <c r="AQ37" i="226" a="1"/>
  <c r="AQ37" i="226" s="1"/>
  <c r="AK105" i="226" a="1"/>
  <c r="AK105" i="226" s="1"/>
  <c r="C105" i="226" a="1"/>
  <c r="C105" i="226" s="1"/>
  <c r="O105" i="226" s="1"/>
  <c r="BS105" i="226" a="1"/>
  <c r="BS105" i="226" s="1"/>
  <c r="AG37" i="226" a="1"/>
  <c r="AG37" i="226" s="1"/>
  <c r="AJ37" i="226"/>
  <c r="DL45" i="226"/>
  <c r="DJ105" i="226"/>
  <c r="DF37" i="226"/>
  <c r="DP82" i="226"/>
  <c r="DH67" i="226"/>
  <c r="DN70" i="226"/>
  <c r="DH95" i="226"/>
  <c r="CT73" i="226" a="1"/>
  <c r="CT73" i="226" s="1"/>
  <c r="AH73" i="226" a="1"/>
  <c r="AH73" i="226" s="1"/>
  <c r="CB86" i="226"/>
  <c r="BR86" i="226" a="1"/>
  <c r="BR86" i="226" s="1"/>
  <c r="B86" i="226"/>
  <c r="AJ67" i="226"/>
  <c r="AO67" i="226" a="1"/>
  <c r="AO67" i="226" s="1"/>
  <c r="CD67" i="226"/>
  <c r="CC16" i="226"/>
  <c r="BU16" i="226" a="1"/>
  <c r="BU16" i="226" s="1"/>
  <c r="AQ16" i="226" a="1"/>
  <c r="AQ16" i="226" s="1"/>
  <c r="B16" i="226"/>
  <c r="AK70" i="226" a="1"/>
  <c r="AK70" i="226" s="1"/>
  <c r="BR70" i="226" a="1"/>
  <c r="BR70" i="226" s="1"/>
  <c r="BU70" i="226" a="1"/>
  <c r="BU70" i="226" s="1"/>
  <c r="CS17" i="226" a="1"/>
  <c r="CS17" i="226" s="1"/>
  <c r="BS17" i="226" a="1"/>
  <c r="BS17" i="226" s="1"/>
  <c r="AK82" i="226" a="1"/>
  <c r="AK82" i="226" s="1"/>
  <c r="BR82" i="226" a="1"/>
  <c r="BR82" i="226" s="1"/>
  <c r="CB82" i="226"/>
  <c r="CC82" i="226"/>
  <c r="BX45" i="226"/>
  <c r="CT45" i="226" a="1"/>
  <c r="CT45" i="226" s="1"/>
  <c r="CD45" i="226"/>
  <c r="AN53" i="226" a="1"/>
  <c r="AN53" i="226" s="1"/>
  <c r="AL53" i="226" s="1"/>
  <c r="BS53" i="226" a="1"/>
  <c r="BS53" i="226" s="1"/>
  <c r="BV53" i="226" a="1"/>
  <c r="BV53" i="226" s="1"/>
  <c r="AK53" i="226" a="1"/>
  <c r="AK53" i="226" s="1"/>
  <c r="AH9" i="226" a="1"/>
  <c r="AH9" i="226" s="1"/>
  <c r="CT9" i="226" a="1"/>
  <c r="CT9" i="226" s="1"/>
  <c r="CC9" i="226"/>
  <c r="BZ95" i="226"/>
  <c r="C95" i="226" a="1"/>
  <c r="C95" i="226" s="1"/>
  <c r="G95" i="226" s="1"/>
  <c r="AH95" i="226" a="1"/>
  <c r="AH95" i="226" s="1"/>
  <c r="CB43" i="226"/>
  <c r="BP43" i="226" a="1"/>
  <c r="BP43" i="226" s="1"/>
  <c r="BU43" i="226" a="1"/>
  <c r="BU43" i="226" s="1"/>
  <c r="BZ37" i="226"/>
  <c r="BY105" i="226" a="1"/>
  <c r="BY105" i="226" s="1"/>
  <c r="AO105" i="226" a="1"/>
  <c r="AO105" i="226" s="1"/>
  <c r="B105" i="226"/>
  <c r="CD105" i="226"/>
  <c r="BZ105" i="226"/>
  <c r="CT37" i="226" a="1"/>
  <c r="CT37" i="226" s="1"/>
  <c r="DH45" i="226"/>
  <c r="DP105" i="226"/>
  <c r="DJ37" i="226"/>
  <c r="DF82" i="226"/>
  <c r="DP67" i="226"/>
  <c r="DL70" i="226"/>
  <c r="DL53" i="226"/>
  <c r="DP95" i="226"/>
  <c r="DR73" i="226"/>
  <c r="BX86" i="226"/>
  <c r="AQ86" i="226" a="1"/>
  <c r="AQ86" i="226" s="1"/>
  <c r="C86" i="226" a="1"/>
  <c r="C86" i="226" s="1"/>
  <c r="H86" i="226" s="1"/>
  <c r="AJ86" i="226"/>
  <c r="B67" i="226"/>
  <c r="AS67" i="226" a="1"/>
  <c r="AS67" i="226" s="1"/>
  <c r="BW67" i="226"/>
  <c r="AG16" i="226" a="1"/>
  <c r="AG16" i="226" s="1"/>
  <c r="AN16" i="226" a="1"/>
  <c r="AN16" i="226" s="1"/>
  <c r="AL16" i="226" s="1"/>
  <c r="A16" i="226"/>
  <c r="BW16" i="226"/>
  <c r="A70" i="226"/>
  <c r="CS70" i="226" a="1"/>
  <c r="CS70" i="226" s="1"/>
  <c r="CB70" i="226"/>
  <c r="AH17" i="226" a="1"/>
  <c r="AH17" i="226" s="1"/>
  <c r="AQ17" i="226" a="1"/>
  <c r="AQ17" i="226" s="1"/>
  <c r="CD17" i="226"/>
  <c r="AS82" i="226" a="1"/>
  <c r="AS82" i="226" s="1"/>
  <c r="AQ82" i="226" a="1"/>
  <c r="AQ82" i="226" s="1"/>
  <c r="BU82" i="226" a="1"/>
  <c r="BU82" i="226" s="1"/>
  <c r="A82" i="226"/>
  <c r="BU45" i="226" a="1"/>
  <c r="BU45" i="226" s="1"/>
  <c r="BS45" i="226" a="1"/>
  <c r="BS45" i="226" s="1"/>
  <c r="CS53" i="226" a="1"/>
  <c r="CS53" i="226" s="1"/>
  <c r="C53" i="226" a="1"/>
  <c r="C53" i="226" s="1"/>
  <c r="O53" i="226" s="1"/>
  <c r="CD53" i="226"/>
  <c r="CB53" i="226"/>
  <c r="BU9" i="226" a="1"/>
  <c r="BU9" i="226" s="1"/>
  <c r="AN9" i="226" a="1"/>
  <c r="AN9" i="226" s="1"/>
  <c r="AL9" i="226" s="1"/>
  <c r="AQ95" i="226" a="1"/>
  <c r="AQ95" i="226" s="1"/>
  <c r="B95" i="226"/>
  <c r="CB95" i="226"/>
  <c r="A43" i="226"/>
  <c r="CA43" i="226"/>
  <c r="AH43" i="226" a="1"/>
  <c r="AH43" i="226" s="1"/>
  <c r="BS37" i="226" a="1"/>
  <c r="BS37" i="226" s="1"/>
  <c r="C37" i="226" a="1"/>
  <c r="C37" i="226" s="1"/>
  <c r="H37" i="226" s="1"/>
  <c r="CS37" i="226" a="1"/>
  <c r="CS37" i="226" s="1"/>
  <c r="AN105" i="226" a="1"/>
  <c r="AN105" i="226" s="1"/>
  <c r="AL105" i="226" s="1"/>
  <c r="BU105" i="226" a="1"/>
  <c r="BU105" i="226" s="1"/>
  <c r="CT105" i="226" a="1"/>
  <c r="CT105" i="226" s="1"/>
  <c r="BY37" i="226" a="1"/>
  <c r="BY37" i="226" s="1"/>
  <c r="DJ45" i="226"/>
  <c r="DL86" i="226"/>
  <c r="DL16" i="226"/>
  <c r="DN105" i="226"/>
  <c r="DH43" i="226"/>
  <c r="DH17" i="226"/>
  <c r="DN37" i="226"/>
  <c r="DH9" i="226"/>
  <c r="DJ82" i="226"/>
  <c r="DH53" i="226"/>
  <c r="DR16" i="226"/>
  <c r="DR67" i="226"/>
  <c r="DT17" i="226"/>
  <c r="BP73" i="226" a="1"/>
  <c r="BP73" i="226" s="1"/>
  <c r="BU73" i="226" a="1"/>
  <c r="BU73" i="226" s="1"/>
  <c r="DF73" i="226"/>
  <c r="AK86" i="226" a="1"/>
  <c r="AK86" i="226" s="1"/>
  <c r="BU86" i="226" a="1"/>
  <c r="BU86" i="226" s="1"/>
  <c r="CD86" i="226"/>
  <c r="AS86" i="226" a="1"/>
  <c r="AS86" i="226" s="1"/>
  <c r="BV86" i="226" a="1"/>
  <c r="BV86" i="226" s="1"/>
  <c r="BZ67" i="226"/>
  <c r="BY67" i="226" a="1"/>
  <c r="BY67" i="226" s="1"/>
  <c r="AI67" i="226" a="1"/>
  <c r="AI67" i="226" s="1"/>
  <c r="BS16" i="226" a="1"/>
  <c r="BS16" i="226" s="1"/>
  <c r="BR16" i="226" a="1"/>
  <c r="BR16" i="226" s="1"/>
  <c r="AK16" i="226" a="1"/>
  <c r="AK16" i="226" s="1"/>
  <c r="CS16" i="226" a="1"/>
  <c r="CS16" i="226" s="1"/>
  <c r="CT70" i="226" a="1"/>
  <c r="CT70" i="226" s="1"/>
  <c r="BY70" i="226" a="1"/>
  <c r="BY70" i="226" s="1"/>
  <c r="AI70" i="226" a="1"/>
  <c r="AI70" i="226" s="1"/>
  <c r="AS70" i="226" a="1"/>
  <c r="AS70" i="226" s="1"/>
  <c r="BY17" i="226" a="1"/>
  <c r="BY17" i="226" s="1"/>
  <c r="BW17" i="226"/>
  <c r="AS17" i="226" a="1"/>
  <c r="AS17" i="226" s="1"/>
  <c r="BV17" i="226" a="1"/>
  <c r="BV17" i="226" s="1"/>
  <c r="B82" i="226"/>
  <c r="CA82" i="226"/>
  <c r="AI82" i="226" a="1"/>
  <c r="AI82" i="226" s="1"/>
  <c r="BW82" i="226"/>
  <c r="BZ45" i="226"/>
  <c r="BV45" i="226" a="1"/>
  <c r="BV45" i="226" s="1"/>
  <c r="B45" i="226"/>
  <c r="BR53" i="226" a="1"/>
  <c r="BR53" i="226" s="1"/>
  <c r="AJ53" i="226"/>
  <c r="AS53" i="226" a="1"/>
  <c r="AS53" i="226" s="1"/>
  <c r="AO9" i="226" a="1"/>
  <c r="AO9" i="226" s="1"/>
  <c r="BV9" i="226" a="1"/>
  <c r="BV9" i="226" s="1"/>
  <c r="BR9" i="226" a="1"/>
  <c r="BR9" i="226" s="1"/>
  <c r="BW9" i="226"/>
  <c r="CC95" i="226"/>
  <c r="CT95" i="226" a="1"/>
  <c r="CT95" i="226" s="1"/>
  <c r="BP95" i="226" a="1"/>
  <c r="BP95" i="226" s="1"/>
  <c r="AS43" i="226" a="1"/>
  <c r="AS43" i="226" s="1"/>
  <c r="AQ43" i="226" a="1"/>
  <c r="AQ43" i="226" s="1"/>
  <c r="B43" i="226"/>
  <c r="BZ43" i="226"/>
  <c r="BW37" i="226"/>
  <c r="BR37" i="226" a="1"/>
  <c r="BR37" i="226" s="1"/>
  <c r="CD37" i="226"/>
  <c r="AK37" i="226" a="1"/>
  <c r="AK37" i="226" s="1"/>
  <c r="A105" i="226"/>
  <c r="AJ105" i="226"/>
  <c r="AH105" i="226" a="1"/>
  <c r="AH105" i="226" s="1"/>
  <c r="AN37" i="226" a="1"/>
  <c r="AN37" i="226" s="1"/>
  <c r="AL37" i="226" s="1"/>
  <c r="AI37" i="226" a="1"/>
  <c r="AI37" i="226" s="1"/>
  <c r="DN45" i="226"/>
  <c r="DF86" i="226"/>
  <c r="DF16" i="226"/>
  <c r="DL105" i="226"/>
  <c r="DP43" i="226"/>
  <c r="DF17" i="226"/>
  <c r="DP9" i="226"/>
  <c r="DN82" i="226"/>
  <c r="DP53" i="226"/>
  <c r="DT16" i="226"/>
  <c r="DT67" i="226"/>
  <c r="DR17" i="226"/>
  <c r="C73" i="226" a="1"/>
  <c r="C73" i="226" s="1"/>
  <c r="H73" i="226" s="1"/>
  <c r="DJ73" i="226"/>
  <c r="CS73" i="226" a="1"/>
  <c r="CS73" i="226" s="1"/>
  <c r="BY86" i="226" a="1"/>
  <c r="BY86" i="226" s="1"/>
  <c r="CS86" i="226" a="1"/>
  <c r="CS86" i="226" s="1"/>
  <c r="AI86" i="226" a="1"/>
  <c r="AI86" i="226" s="1"/>
  <c r="BW86" i="226"/>
  <c r="CS67" i="226" a="1"/>
  <c r="CS67" i="226" s="1"/>
  <c r="AQ67" i="226" a="1"/>
  <c r="AQ67" i="226" s="1"/>
  <c r="CA67" i="226"/>
  <c r="BX67" i="226"/>
  <c r="CB16" i="226"/>
  <c r="AJ16" i="226"/>
  <c r="AO16" i="226" a="1"/>
  <c r="AO16" i="226" s="1"/>
  <c r="BZ16" i="226"/>
  <c r="BV16" i="226" a="1"/>
  <c r="BV16" i="226" s="1"/>
  <c r="BV70" i="226" a="1"/>
  <c r="BV70" i="226" s="1"/>
  <c r="CD70" i="226"/>
  <c r="BP70" i="226" a="1"/>
  <c r="BP70" i="226" s="1"/>
  <c r="B70" i="226"/>
  <c r="BZ17" i="226"/>
  <c r="CC17" i="226"/>
  <c r="A17" i="226"/>
  <c r="AG82" i="226" a="1"/>
  <c r="AG82" i="226" s="1"/>
  <c r="AJ82" i="226"/>
  <c r="CB45" i="226"/>
  <c r="CS45" i="226" a="1"/>
  <c r="CS45" i="226" s="1"/>
  <c r="BY45" i="226" a="1"/>
  <c r="BY45" i="226" s="1"/>
  <c r="AS45" i="226" a="1"/>
  <c r="AS45" i="226" s="1"/>
  <c r="BX53" i="226"/>
  <c r="CC53" i="226"/>
  <c r="AQ53" i="226" a="1"/>
  <c r="AQ53" i="226" s="1"/>
  <c r="AI53" i="226" a="1"/>
  <c r="AI53" i="226" s="1"/>
  <c r="AI9" i="226" a="1"/>
  <c r="AI9" i="226" s="1"/>
  <c r="BX9" i="226"/>
  <c r="CA9" i="226"/>
  <c r="BS95" i="226" a="1"/>
  <c r="BS95" i="226" s="1"/>
  <c r="BY95" i="226" a="1"/>
  <c r="BY95" i="226" s="1"/>
  <c r="BU95" i="226" a="1"/>
  <c r="BU95" i="226" s="1"/>
  <c r="AK43" i="226" a="1"/>
  <c r="AK43" i="226" s="1"/>
  <c r="BS43" i="226" a="1"/>
  <c r="BS43" i="226" s="1"/>
  <c r="BW43" i="226"/>
  <c r="B37" i="226"/>
  <c r="CC37" i="226"/>
  <c r="AH37" i="226" a="1"/>
  <c r="AH37" i="226" s="1"/>
  <c r="AS105" i="226" a="1"/>
  <c r="AS105" i="226" s="1"/>
  <c r="BV105" i="226" a="1"/>
  <c r="BV105" i="226" s="1"/>
  <c r="BR105" i="226" a="1"/>
  <c r="BR105" i="226" s="1"/>
  <c r="CS105" i="226" a="1"/>
  <c r="CS105" i="226" s="1"/>
  <c r="BV37" i="226" a="1"/>
  <c r="BV37" i="226" s="1"/>
  <c r="DJ86" i="226"/>
  <c r="DJ16" i="226"/>
  <c r="DF43" i="226"/>
  <c r="DJ17" i="226"/>
  <c r="DL9" i="226"/>
  <c r="DJ67" i="226"/>
  <c r="DH70" i="226"/>
  <c r="DF53" i="226"/>
  <c r="DL95" i="226"/>
  <c r="DR95" i="226"/>
  <c r="DT53" i="226"/>
  <c r="AO73" i="226" a="1"/>
  <c r="AO73" i="226" s="1"/>
  <c r="DL73" i="226"/>
  <c r="BZ86" i="226"/>
  <c r="AN86" i="226" a="1"/>
  <c r="AN86" i="226" s="1"/>
  <c r="AL86" i="226" s="1"/>
  <c r="BP67" i="226" a="1"/>
  <c r="BP67" i="226" s="1"/>
  <c r="CC67" i="226"/>
  <c r="AH67" i="226" a="1"/>
  <c r="AH67" i="226" s="1"/>
  <c r="CT67" i="226" a="1"/>
  <c r="CT67" i="226" s="1"/>
  <c r="CT16" i="226" a="1"/>
  <c r="CT16" i="226" s="1"/>
  <c r="AS16" i="226" a="1"/>
  <c r="AS16" i="226" s="1"/>
  <c r="BP16" i="226" a="1"/>
  <c r="BP16" i="226" s="1"/>
  <c r="AN70" i="226" a="1"/>
  <c r="AN70" i="226" s="1"/>
  <c r="AL70" i="226" s="1"/>
  <c r="BS70" i="226" a="1"/>
  <c r="BS70" i="226" s="1"/>
  <c r="AJ70" i="226"/>
  <c r="AG70" i="226" a="1"/>
  <c r="AG70" i="226" s="1"/>
  <c r="AO17" i="226" a="1"/>
  <c r="AO17" i="226" s="1"/>
  <c r="AI17" i="226" a="1"/>
  <c r="AI17" i="226" s="1"/>
  <c r="BX17" i="226"/>
  <c r="B17" i="226"/>
  <c r="AH82" i="226" a="1"/>
  <c r="AH82" i="226" s="1"/>
  <c r="BZ82" i="226"/>
  <c r="BP45" i="226" a="1"/>
  <c r="BP45" i="226" s="1"/>
  <c r="AQ45" i="226" a="1"/>
  <c r="AQ45" i="226" s="1"/>
  <c r="C45" i="226" a="1"/>
  <c r="C45" i="226" s="1"/>
  <c r="G45" i="226" s="1"/>
  <c r="BY53" i="226" a="1"/>
  <c r="BY53" i="226" s="1"/>
  <c r="AH53" i="226" a="1"/>
  <c r="AH53" i="226" s="1"/>
  <c r="BW53" i="226"/>
  <c r="C9" i="226" a="1"/>
  <c r="C9" i="226" s="1"/>
  <c r="G9" i="226" s="1"/>
  <c r="AJ9" i="226"/>
  <c r="AK95" i="226" a="1"/>
  <c r="AK95" i="226" s="1"/>
  <c r="AJ95" i="226"/>
  <c r="CD95" i="226"/>
  <c r="CA95" i="226"/>
  <c r="AO43" i="226" a="1"/>
  <c r="AO43" i="226" s="1"/>
  <c r="AI43" i="226" a="1"/>
  <c r="AI43" i="226" s="1"/>
  <c r="BR43" i="226" a="1"/>
  <c r="BR43" i="226" s="1"/>
  <c r="AO37" i="226" a="1"/>
  <c r="AO37" i="226" s="1"/>
  <c r="CB37" i="226"/>
  <c r="BP105" i="226" a="1"/>
  <c r="BP105" i="226" s="1"/>
  <c r="AI105" i="226" a="1"/>
  <c r="AI105" i="226" s="1"/>
  <c r="BW105" i="226"/>
  <c r="CB105" i="226"/>
  <c r="CA37" i="226"/>
  <c r="BU37" i="226" a="1"/>
  <c r="BU37" i="226" s="1"/>
  <c r="DH37" i="226"/>
  <c r="DF9" i="226"/>
  <c r="DP70" i="226"/>
  <c r="DJ53" i="226"/>
  <c r="DJ95" i="226"/>
  <c r="CB73" i="226"/>
  <c r="BZ73" i="226"/>
  <c r="E106" i="226" a="1"/>
  <c r="E106" i="226" s="1"/>
  <c r="D106" i="226" s="1"/>
  <c r="BX74" i="226"/>
  <c r="CS74" i="226" a="1"/>
  <c r="CS74" i="226" s="1"/>
  <c r="BY74" i="226" a="1"/>
  <c r="BY74" i="226" s="1"/>
  <c r="AG84" i="226" a="1"/>
  <c r="AG84" i="226" s="1"/>
  <c r="CC84" i="226"/>
  <c r="C84" i="226" a="1"/>
  <c r="C84" i="226" s="1"/>
  <c r="O84" i="226" s="1"/>
  <c r="AQ24" i="226" a="1"/>
  <c r="AQ24" i="226" s="1"/>
  <c r="BS24" i="226" a="1"/>
  <c r="BS24" i="226" s="1"/>
  <c r="BX24" i="226"/>
  <c r="AH11" i="226" a="1"/>
  <c r="AH11" i="226" s="1"/>
  <c r="AO11" i="226" a="1"/>
  <c r="AO11" i="226" s="1"/>
  <c r="CD11" i="226"/>
  <c r="AS11" i="226" a="1"/>
  <c r="AS11" i="226" s="1"/>
  <c r="CC97" i="226"/>
  <c r="CS97" i="226" a="1"/>
  <c r="CS97" i="226" s="1"/>
  <c r="AI97" i="226" a="1"/>
  <c r="AI97" i="226" s="1"/>
  <c r="CB97" i="226"/>
  <c r="DJ74" i="226"/>
  <c r="DJ97" i="226"/>
  <c r="DJ84" i="226"/>
  <c r="DH11" i="226"/>
  <c r="DR97" i="226"/>
  <c r="BU87" i="226" a="1"/>
  <c r="BU87" i="226" s="1"/>
  <c r="CD87" i="226"/>
  <c r="AO87" i="226" a="1"/>
  <c r="AO87" i="226" s="1"/>
  <c r="DT87" i="226"/>
  <c r="AS73" i="226" a="1"/>
  <c r="AS73" i="226" s="1"/>
  <c r="AN73" i="226" a="1"/>
  <c r="AN73" i="226" s="1"/>
  <c r="AL73" i="226" s="1"/>
  <c r="DH73" i="226"/>
  <c r="BS73" i="226" a="1"/>
  <c r="BS73" i="226" s="1"/>
  <c r="BY73" i="226" a="1"/>
  <c r="BY73" i="226" s="1"/>
  <c r="AG73" i="226" a="1"/>
  <c r="AG73" i="226" s="1"/>
  <c r="DR71" i="226"/>
  <c r="AH71" i="226" a="1"/>
  <c r="AH71" i="226" s="1"/>
  <c r="CB71" i="226"/>
  <c r="AI71" i="226" a="1"/>
  <c r="AI71" i="226" s="1"/>
  <c r="BZ71" i="226"/>
  <c r="DT71" i="226"/>
  <c r="DN71" i="226"/>
  <c r="AQ71" i="226" a="1"/>
  <c r="AQ71" i="226" s="1"/>
  <c r="CD71" i="226"/>
  <c r="BV71" i="226" a="1"/>
  <c r="BV71" i="226" s="1"/>
  <c r="BX71" i="226"/>
  <c r="B71" i="226"/>
  <c r="DJ71" i="226"/>
  <c r="CT71" i="226" a="1"/>
  <c r="CT71" i="226" s="1"/>
  <c r="BW71" i="226"/>
  <c r="CA71" i="226"/>
  <c r="A71" i="226"/>
  <c r="CC71" i="226"/>
  <c r="DF71" i="226"/>
  <c r="AG71" i="226" a="1"/>
  <c r="AG71" i="226" s="1"/>
  <c r="BU71" i="226" a="1"/>
  <c r="BU71" i="226" s="1"/>
  <c r="AJ71" i="226"/>
  <c r="BY71" i="226" a="1"/>
  <c r="BY71" i="226" s="1"/>
  <c r="AS71" i="226" a="1"/>
  <c r="AS71" i="226" s="1"/>
  <c r="DP71" i="226"/>
  <c r="BS71" i="226" a="1"/>
  <c r="BS71" i="226" s="1"/>
  <c r="DL71" i="226"/>
  <c r="AN71" i="226" a="1"/>
  <c r="AN71" i="226" s="1"/>
  <c r="AL71" i="226" s="1"/>
  <c r="BP71" i="226" a="1"/>
  <c r="BP71" i="226" s="1"/>
  <c r="DH71" i="226"/>
  <c r="CS71" i="226" a="1"/>
  <c r="CS71" i="226" s="1"/>
  <c r="AO71" i="226" a="1"/>
  <c r="AO71" i="226" s="1"/>
  <c r="BR71" i="226" a="1"/>
  <c r="BR71" i="226" s="1"/>
  <c r="AK71" i="226" a="1"/>
  <c r="AK71" i="226" s="1"/>
  <c r="C71" i="226" a="1"/>
  <c r="C71" i="226" s="1"/>
  <c r="C74" i="226" a="1"/>
  <c r="C74" i="226" s="1"/>
  <c r="H74" i="226" s="1"/>
  <c r="CT74" i="226" a="1"/>
  <c r="CT74" i="226" s="1"/>
  <c r="BS74" i="226" a="1"/>
  <c r="BS74" i="226" s="1"/>
  <c r="AJ84" i="226"/>
  <c r="AI84" i="226" a="1"/>
  <c r="AI84" i="226" s="1"/>
  <c r="BX84" i="226"/>
  <c r="BU84" i="226" a="1"/>
  <c r="BU84" i="226" s="1"/>
  <c r="AH24" i="226" a="1"/>
  <c r="AH24" i="226" s="1"/>
  <c r="CS24" i="226" a="1"/>
  <c r="CS24" i="226" s="1"/>
  <c r="AI24" i="226" a="1"/>
  <c r="AI24" i="226" s="1"/>
  <c r="BS11" i="226" a="1"/>
  <c r="BS11" i="226" s="1"/>
  <c r="CA11" i="226"/>
  <c r="C11" i="226" a="1"/>
  <c r="C11" i="226" s="1"/>
  <c r="L11" i="226" s="1"/>
  <c r="CB11" i="226"/>
  <c r="AN97" i="226" a="1"/>
  <c r="AN97" i="226" s="1"/>
  <c r="AL97" i="226" s="1"/>
  <c r="AG97" i="226" a="1"/>
  <c r="AG97" i="226" s="1"/>
  <c r="AJ97" i="226"/>
  <c r="AH97" i="226" a="1"/>
  <c r="AH97" i="226" s="1"/>
  <c r="DP74" i="226"/>
  <c r="DN97" i="226"/>
  <c r="DN84" i="226"/>
  <c r="DP11" i="226"/>
  <c r="AJ87" i="226"/>
  <c r="BZ87" i="226"/>
  <c r="DF87" i="226"/>
  <c r="AQ73" i="226" a="1"/>
  <c r="AQ73" i="226" s="1"/>
  <c r="BW73" i="226"/>
  <c r="A73" i="226"/>
  <c r="DT108" i="226"/>
  <c r="DN108" i="226"/>
  <c r="BW108" i="226"/>
  <c r="A108" i="226"/>
  <c r="AN108" i="226" a="1"/>
  <c r="AN108" i="226" s="1"/>
  <c r="AL108" i="226" s="1"/>
  <c r="DJ108" i="226"/>
  <c r="AI108" i="226" a="1"/>
  <c r="AI108" i="226" s="1"/>
  <c r="AO108" i="226" a="1"/>
  <c r="AO108" i="226" s="1"/>
  <c r="BY108" i="226" a="1"/>
  <c r="BY108" i="226" s="1"/>
  <c r="DF108" i="226"/>
  <c r="CS108" i="226" a="1"/>
  <c r="CS108" i="226" s="1"/>
  <c r="B108" i="226"/>
  <c r="DP108" i="226"/>
  <c r="AH108" i="226" a="1"/>
  <c r="AH108" i="226" s="1"/>
  <c r="CA108" i="226"/>
  <c r="CD108" i="226"/>
  <c r="AQ108" i="226" a="1"/>
  <c r="AQ108" i="226" s="1"/>
  <c r="DH108" i="226"/>
  <c r="BS108" i="226" a="1"/>
  <c r="BS108" i="226" s="1"/>
  <c r="CB108" i="226"/>
  <c r="AG108" i="226" a="1"/>
  <c r="AG108" i="226" s="1"/>
  <c r="DL108" i="226"/>
  <c r="BX108" i="226"/>
  <c r="AK108" i="226" a="1"/>
  <c r="AK108" i="226" s="1"/>
  <c r="BP108" i="226" a="1"/>
  <c r="BP108" i="226" s="1"/>
  <c r="DR108" i="226"/>
  <c r="AJ108" i="226"/>
  <c r="BV108" i="226" a="1"/>
  <c r="BV108" i="226" s="1"/>
  <c r="BU108" i="226" a="1"/>
  <c r="BU108" i="226" s="1"/>
  <c r="CT108" i="226" a="1"/>
  <c r="CT108" i="226" s="1"/>
  <c r="BZ108" i="226"/>
  <c r="AS108" i="226" a="1"/>
  <c r="AS108" i="226" s="1"/>
  <c r="BR108" i="226" a="1"/>
  <c r="BR108" i="226" s="1"/>
  <c r="CC108" i="226"/>
  <c r="C108" i="226" a="1"/>
  <c r="C108" i="226" s="1"/>
  <c r="DP23" i="226"/>
  <c r="CA23" i="226"/>
  <c r="CC23" i="226"/>
  <c r="C23" i="226" a="1"/>
  <c r="C23" i="226" s="1"/>
  <c r="DT23" i="226"/>
  <c r="DH23" i="226"/>
  <c r="AI23" i="226" a="1"/>
  <c r="AI23" i="226" s="1"/>
  <c r="AQ23" i="226" a="1"/>
  <c r="AQ23" i="226" s="1"/>
  <c r="BS23" i="226" a="1"/>
  <c r="BS23" i="226" s="1"/>
  <c r="DR23" i="226"/>
  <c r="DL23" i="226"/>
  <c r="A23" i="226"/>
  <c r="BU23" i="226" a="1"/>
  <c r="BU23" i="226" s="1"/>
  <c r="BV23" i="226" a="1"/>
  <c r="BV23" i="226" s="1"/>
  <c r="CD23" i="226"/>
  <c r="BY23" i="226" a="1"/>
  <c r="BY23" i="226" s="1"/>
  <c r="DF23" i="226"/>
  <c r="B23" i="226"/>
  <c r="CS23" i="226" a="1"/>
  <c r="CS23" i="226" s="1"/>
  <c r="AO23" i="226" a="1"/>
  <c r="AO23" i="226" s="1"/>
  <c r="BP23" i="226" a="1"/>
  <c r="BP23" i="226" s="1"/>
  <c r="BX23" i="226"/>
  <c r="BZ23" i="226"/>
  <c r="AN23" i="226" a="1"/>
  <c r="AN23" i="226" s="1"/>
  <c r="AL23" i="226" s="1"/>
  <c r="DJ23" i="226"/>
  <c r="DN23" i="226"/>
  <c r="BR23" i="226" a="1"/>
  <c r="BR23" i="226" s="1"/>
  <c r="AG23" i="226" a="1"/>
  <c r="AG23" i="226" s="1"/>
  <c r="CT23" i="226" a="1"/>
  <c r="CT23" i="226" s="1"/>
  <c r="AK23" i="226" a="1"/>
  <c r="AK23" i="226" s="1"/>
  <c r="AH23" i="226" a="1"/>
  <c r="AH23" i="226" s="1"/>
  <c r="CB23" i="226"/>
  <c r="BW23" i="226"/>
  <c r="AS23" i="226" a="1"/>
  <c r="AS23" i="226" s="1"/>
  <c r="AJ23" i="226"/>
  <c r="BU74" i="226" a="1"/>
  <c r="BU74" i="226" s="1"/>
  <c r="CD74" i="226"/>
  <c r="AQ84" i="226" a="1"/>
  <c r="AQ84" i="226" s="1"/>
  <c r="CB84" i="226"/>
  <c r="BV84" i="226" a="1"/>
  <c r="BV84" i="226" s="1"/>
  <c r="AK84" i="226" a="1"/>
  <c r="AK84" i="226" s="1"/>
  <c r="BY24" i="226" a="1"/>
  <c r="BY24" i="226" s="1"/>
  <c r="BW24" i="226"/>
  <c r="CT24" i="226" a="1"/>
  <c r="CT24" i="226" s="1"/>
  <c r="BV11" i="226" a="1"/>
  <c r="BV11" i="226" s="1"/>
  <c r="AJ11" i="226"/>
  <c r="CC11" i="226"/>
  <c r="A97" i="226"/>
  <c r="BV97" i="226" a="1"/>
  <c r="BV97" i="226" s="1"/>
  <c r="BU97" i="226" a="1"/>
  <c r="BU97" i="226" s="1"/>
  <c r="AK97" i="226" a="1"/>
  <c r="AK97" i="226" s="1"/>
  <c r="DL74" i="226"/>
  <c r="DF84" i="226"/>
  <c r="DL24" i="226"/>
  <c r="DJ11" i="226"/>
  <c r="DT82" i="226"/>
  <c r="BW87" i="226"/>
  <c r="BS87" i="226" a="1"/>
  <c r="BS87" i="226" s="1"/>
  <c r="BP87" i="226" a="1"/>
  <c r="BP87" i="226" s="1"/>
  <c r="CA87" i="226"/>
  <c r="DH87" i="226"/>
  <c r="DR24" i="226"/>
  <c r="AJ73" i="226"/>
  <c r="B73" i="226"/>
  <c r="CC73" i="226"/>
  <c r="E62" i="226" a="1"/>
  <c r="E62" i="226" s="1"/>
  <c r="D62" i="226" s="1"/>
  <c r="BR74" i="226" a="1"/>
  <c r="BR74" i="226" s="1"/>
  <c r="AK74" i="226" a="1"/>
  <c r="AK74" i="226" s="1"/>
  <c r="AS74" i="226" a="1"/>
  <c r="AS74" i="226" s="1"/>
  <c r="BP74" i="226" a="1"/>
  <c r="BP74" i="226" s="1"/>
  <c r="BP84" i="226" a="1"/>
  <c r="BP84" i="226" s="1"/>
  <c r="CA84" i="226"/>
  <c r="BS84" i="226" a="1"/>
  <c r="BS84" i="226" s="1"/>
  <c r="BV24" i="226" a="1"/>
  <c r="BV24" i="226" s="1"/>
  <c r="AO24" i="226" a="1"/>
  <c r="AO24" i="226" s="1"/>
  <c r="BZ24" i="226"/>
  <c r="BX11" i="226"/>
  <c r="BY11" i="226" a="1"/>
  <c r="BY11" i="226" s="1"/>
  <c r="BS97" i="226" a="1"/>
  <c r="BS97" i="226" s="1"/>
  <c r="CA97" i="226"/>
  <c r="BW97" i="226"/>
  <c r="CT97" i="226" a="1"/>
  <c r="CT97" i="226" s="1"/>
  <c r="BY97" i="226" a="1"/>
  <c r="BY97" i="226" s="1"/>
  <c r="DH84" i="226"/>
  <c r="DF24" i="226"/>
  <c r="DN11" i="226"/>
  <c r="DR84" i="226"/>
  <c r="AK87" i="226" a="1"/>
  <c r="AK87" i="226" s="1"/>
  <c r="C87" i="226" a="1"/>
  <c r="C87" i="226" s="1"/>
  <c r="L87" i="226" s="1"/>
  <c r="AI87" i="226" a="1"/>
  <c r="AI87" i="226" s="1"/>
  <c r="DR87" i="226"/>
  <c r="DT24" i="226"/>
  <c r="CA73" i="226"/>
  <c r="DF44" i="226"/>
  <c r="C44" i="226" a="1"/>
  <c r="C44" i="226" s="1"/>
  <c r="B44" i="226"/>
  <c r="CC44" i="226"/>
  <c r="CS44" i="226" a="1"/>
  <c r="CS44" i="226" s="1"/>
  <c r="AI44" i="226" a="1"/>
  <c r="AI44" i="226" s="1"/>
  <c r="BY44" i="226" a="1"/>
  <c r="BY44" i="226" s="1"/>
  <c r="BP44" i="226" a="1"/>
  <c r="BP44" i="226" s="1"/>
  <c r="DR44" i="226"/>
  <c r="CA44" i="226"/>
  <c r="AJ44" i="226"/>
  <c r="CT44" i="226" a="1"/>
  <c r="CT44" i="226" s="1"/>
  <c r="CD44" i="226"/>
  <c r="A44" i="226"/>
  <c r="DT44" i="226"/>
  <c r="DN44" i="226"/>
  <c r="BS44" i="226" a="1"/>
  <c r="BS44" i="226" s="1"/>
  <c r="AH44" i="226" a="1"/>
  <c r="AH44" i="226" s="1"/>
  <c r="BZ44" i="226"/>
  <c r="DJ44" i="226"/>
  <c r="DL44" i="226"/>
  <c r="BV44" i="226" a="1"/>
  <c r="BV44" i="226" s="1"/>
  <c r="AN44" i="226" a="1"/>
  <c r="AN44" i="226" s="1"/>
  <c r="AL44" i="226" s="1"/>
  <c r="BU44" i="226" a="1"/>
  <c r="BU44" i="226" s="1"/>
  <c r="BW44" i="226"/>
  <c r="DH44" i="226"/>
  <c r="CB44" i="226"/>
  <c r="AO44" i="226" a="1"/>
  <c r="AO44" i="226" s="1"/>
  <c r="BR44" i="226" a="1"/>
  <c r="BR44" i="226" s="1"/>
  <c r="BX44" i="226"/>
  <c r="AK44" i="226" a="1"/>
  <c r="AK44" i="226" s="1"/>
  <c r="DP44" i="226"/>
  <c r="AQ44" i="226" a="1"/>
  <c r="AQ44" i="226" s="1"/>
  <c r="AS44" i="226" a="1"/>
  <c r="AS44" i="226" s="1"/>
  <c r="AK5" i="226" a="1"/>
  <c r="AK5" i="226" s="1"/>
  <c r="BS5" i="226" a="1"/>
  <c r="BS5" i="226" s="1"/>
  <c r="B5" i="226"/>
  <c r="BW5" i="226"/>
  <c r="BP5" i="226" a="1"/>
  <c r="BP5" i="226" s="1"/>
  <c r="C5" i="226" a="1"/>
  <c r="C5" i="226" s="1"/>
  <c r="BX5" i="226"/>
  <c r="DT5" i="226"/>
  <c r="AI5" i="226" a="1"/>
  <c r="AI5" i="226" s="1"/>
  <c r="BR5" i="226" a="1"/>
  <c r="BR5" i="226" s="1"/>
  <c r="DR5" i="226"/>
  <c r="DL5" i="226"/>
  <c r="CC5" i="226"/>
  <c r="AS5" i="226" a="1"/>
  <c r="AS5" i="226" s="1"/>
  <c r="BZ5" i="226"/>
  <c r="AN5" i="226" a="1"/>
  <c r="AN5" i="226" s="1"/>
  <c r="AL5" i="226" s="1"/>
  <c r="BY5" i="226" a="1"/>
  <c r="BY5" i="226" s="1"/>
  <c r="DP5" i="226"/>
  <c r="AQ5" i="226" a="1"/>
  <c r="AQ5" i="226" s="1"/>
  <c r="CA5" i="226"/>
  <c r="CT5" i="226" a="1"/>
  <c r="CT5" i="226" s="1"/>
  <c r="DH5" i="226"/>
  <c r="DJ5" i="226"/>
  <c r="AO5" i="226" a="1"/>
  <c r="AO5" i="226" s="1"/>
  <c r="CS5" i="226" a="1"/>
  <c r="CS5" i="226" s="1"/>
  <c r="BU5" i="226" a="1"/>
  <c r="BU5" i="226" s="1"/>
  <c r="DF5" i="226"/>
  <c r="AJ5" i="226"/>
  <c r="AH5" i="226" a="1"/>
  <c r="AH5" i="226" s="1"/>
  <c r="BV5" i="226" a="1"/>
  <c r="BV5" i="226" s="1"/>
  <c r="CD5" i="226"/>
  <c r="CB5" i="226"/>
  <c r="AG5" i="226" a="1"/>
  <c r="AG5" i="226" s="1"/>
  <c r="DN5" i="226"/>
  <c r="A5" i="226"/>
  <c r="DJ27" i="226"/>
  <c r="BS27" i="226" a="1"/>
  <c r="BS27" i="226" s="1"/>
  <c r="AQ27" i="226" a="1"/>
  <c r="AQ27" i="226" s="1"/>
  <c r="DF27" i="226"/>
  <c r="CA27" i="226"/>
  <c r="A27" i="226"/>
  <c r="DH27" i="226"/>
  <c r="BU27" i="226" a="1"/>
  <c r="BU27" i="226" s="1"/>
  <c r="CC27" i="226"/>
  <c r="BW27" i="226"/>
  <c r="DL27" i="226"/>
  <c r="B27" i="226"/>
  <c r="AK27" i="226" a="1"/>
  <c r="AK27" i="226" s="1"/>
  <c r="AO27" i="226" a="1"/>
  <c r="AO27" i="226" s="1"/>
  <c r="BY27" i="226" a="1"/>
  <c r="BY27" i="226" s="1"/>
  <c r="BP27" i="226" a="1"/>
  <c r="BP27" i="226" s="1"/>
  <c r="BZ27" i="226"/>
  <c r="DP27" i="226"/>
  <c r="BR27" i="226" a="1"/>
  <c r="BR27" i="226" s="1"/>
  <c r="CD27" i="226"/>
  <c r="CB27" i="226"/>
  <c r="AN27" i="226" a="1"/>
  <c r="AN27" i="226" s="1"/>
  <c r="AL27" i="226" s="1"/>
  <c r="AJ27" i="226"/>
  <c r="CT27" i="226" a="1"/>
  <c r="CT27" i="226" s="1"/>
  <c r="AS27" i="226" a="1"/>
  <c r="AS27" i="226" s="1"/>
  <c r="AI27" i="226" a="1"/>
  <c r="AI27" i="226" s="1"/>
  <c r="AG27" i="226" a="1"/>
  <c r="AG27" i="226" s="1"/>
  <c r="BX27" i="226"/>
  <c r="CS27" i="226" a="1"/>
  <c r="CS27" i="226" s="1"/>
  <c r="DN27" i="226"/>
  <c r="BV27" i="226" a="1"/>
  <c r="BV27" i="226" s="1"/>
  <c r="AH27" i="226" a="1"/>
  <c r="AH27" i="226" s="1"/>
  <c r="C27" i="226" a="1"/>
  <c r="C27" i="226" s="1"/>
  <c r="AN74" i="226" a="1"/>
  <c r="AN74" i="226" s="1"/>
  <c r="AL74" i="226" s="1"/>
  <c r="B74" i="226"/>
  <c r="BV74" i="226" a="1"/>
  <c r="BV74" i="226" s="1"/>
  <c r="AO74" i="226" a="1"/>
  <c r="AO74" i="226" s="1"/>
  <c r="CA74" i="226"/>
  <c r="BZ84" i="226"/>
  <c r="CS84" i="226" a="1"/>
  <c r="CS84" i="226" s="1"/>
  <c r="CD84" i="226"/>
  <c r="E39" i="226" a="1"/>
  <c r="E39" i="226" s="1"/>
  <c r="D39" i="226" s="1"/>
  <c r="C24" i="226" a="1"/>
  <c r="C24" i="226" s="1"/>
  <c r="L24" i="226" s="1"/>
  <c r="A24" i="226"/>
  <c r="CC24" i="226"/>
  <c r="AJ24" i="226"/>
  <c r="BZ11" i="226"/>
  <c r="CT11" i="226" a="1"/>
  <c r="CT11" i="226" s="1"/>
  <c r="C97" i="226" a="1"/>
  <c r="C97" i="226" s="1"/>
  <c r="G97" i="226" s="1"/>
  <c r="AO97" i="226" a="1"/>
  <c r="AO97" i="226" s="1"/>
  <c r="AS97" i="226" a="1"/>
  <c r="AS97" i="226" s="1"/>
  <c r="B97" i="226"/>
  <c r="DP97" i="226"/>
  <c r="DP84" i="226"/>
  <c r="DJ24" i="226"/>
  <c r="DT84" i="226"/>
  <c r="AH87" i="226" a="1"/>
  <c r="AH87" i="226" s="1"/>
  <c r="B87" i="226"/>
  <c r="CS87" i="226" a="1"/>
  <c r="CS87" i="226" s="1"/>
  <c r="CT87" i="226" a="1"/>
  <c r="CT87" i="226" s="1"/>
  <c r="DJ87" i="226"/>
  <c r="E52" i="226" a="1"/>
  <c r="E52" i="226" s="1"/>
  <c r="D52" i="226" s="1"/>
  <c r="E7" i="226" a="1"/>
  <c r="E7" i="226" s="1"/>
  <c r="D7" i="226" s="1"/>
  <c r="AJ74" i="226"/>
  <c r="CB74" i="226"/>
  <c r="AH74" i="226" a="1"/>
  <c r="AH74" i="226" s="1"/>
  <c r="BZ74" i="226"/>
  <c r="A74" i="226"/>
  <c r="BY84" i="226" a="1"/>
  <c r="BY84" i="226" s="1"/>
  <c r="AH84" i="226" a="1"/>
  <c r="AH84" i="226" s="1"/>
  <c r="AG24" i="226" a="1"/>
  <c r="AG24" i="226" s="1"/>
  <c r="AK24" i="226" a="1"/>
  <c r="AK24" i="226" s="1"/>
  <c r="BP24" i="226" a="1"/>
  <c r="BP24" i="226" s="1"/>
  <c r="A11" i="226"/>
  <c r="AI11" i="226" a="1"/>
  <c r="AI11" i="226" s="1"/>
  <c r="AQ11" i="226" a="1"/>
  <c r="AQ11" i="226" s="1"/>
  <c r="BX97" i="226"/>
  <c r="AQ97" i="226" a="1"/>
  <c r="AQ97" i="226" s="1"/>
  <c r="CD97" i="226"/>
  <c r="DF74" i="226"/>
  <c r="DH97" i="226"/>
  <c r="DL84" i="226"/>
  <c r="DN24" i="226"/>
  <c r="AG87" i="226" a="1"/>
  <c r="AG87" i="226" s="1"/>
  <c r="CC87" i="226"/>
  <c r="AS87" i="226" a="1"/>
  <c r="AS87" i="226" s="1"/>
  <c r="DN87" i="226"/>
  <c r="DR74" i="226"/>
  <c r="AQ74" i="226" a="1"/>
  <c r="AQ74" i="226" s="1"/>
  <c r="AG74" i="226" a="1"/>
  <c r="AG74" i="226" s="1"/>
  <c r="AI74" i="226" a="1"/>
  <c r="AI74" i="226" s="1"/>
  <c r="E96" i="226" a="1"/>
  <c r="E96" i="226" s="1"/>
  <c r="D96" i="226" s="1"/>
  <c r="B84" i="226"/>
  <c r="CT84" i="226" a="1"/>
  <c r="CT84" i="226" s="1"/>
  <c r="AO84" i="226" a="1"/>
  <c r="AO84" i="226" s="1"/>
  <c r="BR84" i="226" a="1"/>
  <c r="BR84" i="226" s="1"/>
  <c r="BU24" i="226" a="1"/>
  <c r="BU24" i="226" s="1"/>
  <c r="CA24" i="226"/>
  <c r="AS24" i="226" a="1"/>
  <c r="AS24" i="226" s="1"/>
  <c r="BR24" i="226" a="1"/>
  <c r="BR24" i="226" s="1"/>
  <c r="AN24" i="226" a="1"/>
  <c r="AN24" i="226" s="1"/>
  <c r="AL24" i="226" s="1"/>
  <c r="CS11" i="226" a="1"/>
  <c r="CS11" i="226" s="1"/>
  <c r="BW11" i="226"/>
  <c r="BU11" i="226" a="1"/>
  <c r="BU11" i="226" s="1"/>
  <c r="BR11" i="226" a="1"/>
  <c r="BR11" i="226" s="1"/>
  <c r="AK11" i="226" a="1"/>
  <c r="AK11" i="226" s="1"/>
  <c r="BZ97" i="226"/>
  <c r="BR97" i="226" a="1"/>
  <c r="BR97" i="226" s="1"/>
  <c r="BP97" i="226" a="1"/>
  <c r="BP97" i="226" s="1"/>
  <c r="DN74" i="226"/>
  <c r="DL11" i="226"/>
  <c r="A87" i="226"/>
  <c r="BY87" i="226" a="1"/>
  <c r="BY87" i="226" s="1"/>
  <c r="DL87" i="226"/>
  <c r="BR87" i="226" a="1"/>
  <c r="BR87" i="226" s="1"/>
  <c r="AQ87" i="226" a="1"/>
  <c r="AQ87" i="226" s="1"/>
  <c r="BX73" i="226"/>
  <c r="BR73" i="226" a="1"/>
  <c r="BR73" i="226" s="1"/>
  <c r="DT73" i="226"/>
  <c r="AK73" i="226" a="1"/>
  <c r="AK73" i="226" s="1"/>
  <c r="DF75" i="226"/>
  <c r="AS75" i="226" a="1"/>
  <c r="AS75" i="226" s="1"/>
  <c r="BY75" i="226" a="1"/>
  <c r="BY75" i="226" s="1"/>
  <c r="AK75" i="226" a="1"/>
  <c r="AK75" i="226" s="1"/>
  <c r="DT75" i="226"/>
  <c r="AN75" i="226" a="1"/>
  <c r="AN75" i="226" s="1"/>
  <c r="AL75" i="226" s="1"/>
  <c r="BZ75" i="226"/>
  <c r="DR75" i="226"/>
  <c r="AI75" i="226" a="1"/>
  <c r="AI75" i="226" s="1"/>
  <c r="DL75" i="226"/>
  <c r="BV75" i="226" a="1"/>
  <c r="BV75" i="226" s="1"/>
  <c r="CT75" i="226" a="1"/>
  <c r="CT75" i="226" s="1"/>
  <c r="DP75" i="226"/>
  <c r="CD75" i="226"/>
  <c r="DH75" i="226"/>
  <c r="CS75" i="226" a="1"/>
  <c r="CS75" i="226" s="1"/>
  <c r="AQ75" i="226" a="1"/>
  <c r="AQ75" i="226" s="1"/>
  <c r="BR75" i="226" a="1"/>
  <c r="BR75" i="226" s="1"/>
  <c r="BU75" i="226" a="1"/>
  <c r="BU75" i="226" s="1"/>
  <c r="AJ75" i="226"/>
  <c r="DJ75" i="226"/>
  <c r="AH75" i="226" a="1"/>
  <c r="AH75" i="226" s="1"/>
  <c r="B75" i="226"/>
  <c r="BX75" i="226"/>
  <c r="BP75" i="226" a="1"/>
  <c r="BP75" i="226" s="1"/>
  <c r="BS75" i="226" a="1"/>
  <c r="BS75" i="226" s="1"/>
  <c r="AG75" i="226" a="1"/>
  <c r="AG75" i="226" s="1"/>
  <c r="A75" i="226"/>
  <c r="BW75" i="226"/>
  <c r="DN75" i="226"/>
  <c r="CA75" i="226"/>
  <c r="CC75" i="226"/>
  <c r="C75" i="226" a="1"/>
  <c r="C75" i="226" s="1"/>
  <c r="CB75" i="226"/>
  <c r="AO75" i="226" a="1"/>
  <c r="AO75" i="226" s="1"/>
  <c r="BS54" i="14"/>
  <c r="BS57" i="14" s="1"/>
  <c r="AK62" i="14" s="1"/>
  <c r="AL38" i="221"/>
  <c r="P54" i="14"/>
  <c r="L73" i="81"/>
  <c r="U48" i="154"/>
  <c r="E237" i="3"/>
  <c r="CG24" i="167"/>
  <c r="L74" i="81"/>
  <c r="U34" i="154"/>
  <c r="U74" i="154"/>
  <c r="L71" i="81"/>
  <c r="O72" i="226" l="1"/>
  <c r="G72" i="226"/>
  <c r="H72" i="226"/>
  <c r="H42" i="226"/>
  <c r="L42" i="226"/>
  <c r="O42" i="226"/>
  <c r="O61" i="226"/>
  <c r="L61" i="226"/>
  <c r="G61" i="226"/>
  <c r="H99" i="226"/>
  <c r="L20" i="226"/>
  <c r="O99" i="226"/>
  <c r="H20" i="226"/>
  <c r="O20" i="226"/>
  <c r="L99" i="226"/>
  <c r="H49" i="226"/>
  <c r="L49" i="226"/>
  <c r="O49" i="226"/>
  <c r="H89" i="226"/>
  <c r="O18" i="226"/>
  <c r="L18" i="226"/>
  <c r="H92" i="226"/>
  <c r="L15" i="226"/>
  <c r="O15" i="226"/>
  <c r="H15" i="226"/>
  <c r="BV81" i="226" a="1"/>
  <c r="BV81" i="226" s="1"/>
  <c r="O33" i="226"/>
  <c r="H33" i="226"/>
  <c r="L33" i="226"/>
  <c r="L22" i="226"/>
  <c r="H22" i="226"/>
  <c r="O22" i="226"/>
  <c r="L89" i="226"/>
  <c r="G89" i="226"/>
  <c r="L63" i="226"/>
  <c r="G63" i="226"/>
  <c r="H63" i="226"/>
  <c r="DU81" i="226" a="1"/>
  <c r="DU81" i="226" s="1"/>
  <c r="EF81" i="226" a="1"/>
  <c r="EF81" i="226" s="1"/>
  <c r="AP81" i="226" a="1"/>
  <c r="AP81" i="226" s="1"/>
  <c r="ET81" i="226"/>
  <c r="DN81" i="226"/>
  <c r="BR81" i="226" a="1"/>
  <c r="BR81" i="226" s="1"/>
  <c r="A81" i="226"/>
  <c r="AS81" i="226" a="1"/>
  <c r="AS81" i="226" s="1"/>
  <c r="EI81" i="226" a="1"/>
  <c r="EI81" i="226" s="1"/>
  <c r="L92" i="226"/>
  <c r="G18" i="226"/>
  <c r="G92" i="226"/>
  <c r="FC81" i="226" a="1"/>
  <c r="FC81" i="226" s="1"/>
  <c r="G104" i="226"/>
  <c r="L8" i="226"/>
  <c r="H8" i="226"/>
  <c r="G19" i="226"/>
  <c r="L104" i="226"/>
  <c r="O59" i="226"/>
  <c r="O19" i="226"/>
  <c r="L59" i="226"/>
  <c r="H19" i="226"/>
  <c r="H104" i="226"/>
  <c r="G59" i="226"/>
  <c r="G8" i="226"/>
  <c r="CS81" i="226" a="1"/>
  <c r="CS81" i="226" s="1"/>
  <c r="BP81" i="226" a="1"/>
  <c r="BP81" i="226" s="1"/>
  <c r="BW81" i="226"/>
  <c r="AK81" i="226" a="1"/>
  <c r="AK81" i="226" s="1"/>
  <c r="O21" i="226"/>
  <c r="CU81" i="226" a="1"/>
  <c r="CU81" i="226" s="1"/>
  <c r="AM81" i="226"/>
  <c r="ER81" i="226"/>
  <c r="DV81" i="226" a="1"/>
  <c r="DV81" i="226" s="1"/>
  <c r="EM81" i="226" a="1"/>
  <c r="EM81" i="226" s="1"/>
  <c r="ES81" i="226"/>
  <c r="FF81" i="226" a="1"/>
  <c r="FF81" i="226" s="1"/>
  <c r="CB81" i="226"/>
  <c r="AQ81" i="226" a="1"/>
  <c r="AQ81" i="226" s="1"/>
  <c r="AN81" i="226" a="1"/>
  <c r="AN81" i="226" s="1"/>
  <c r="AL81" i="226" s="1"/>
  <c r="CC81" i="226"/>
  <c r="AT81" i="226" a="1"/>
  <c r="AT81" i="226" s="1"/>
  <c r="EC81" i="226" a="1"/>
  <c r="EC81" i="226" s="1"/>
  <c r="EQ81" i="226" a="1"/>
  <c r="EQ81" i="226" s="1"/>
  <c r="EG81" i="226" a="1"/>
  <c r="EG81" i="226" s="1"/>
  <c r="EX81" i="226"/>
  <c r="FJ81" i="226" a="1"/>
  <c r="FJ81" i="226" s="1"/>
  <c r="AJ81" i="226"/>
  <c r="BY81" i="226" a="1"/>
  <c r="BY81" i="226" s="1"/>
  <c r="C81" i="226" a="1"/>
  <c r="C81" i="226" s="1"/>
  <c r="H81" i="226" s="1"/>
  <c r="B81" i="226"/>
  <c r="V81" i="226" a="1"/>
  <c r="V81" i="226" s="1"/>
  <c r="DX81" i="226" a="1"/>
  <c r="DX81" i="226" s="1"/>
  <c r="ED81" i="226" a="1"/>
  <c r="ED81" i="226" s="1"/>
  <c r="EN81" i="226" a="1"/>
  <c r="EN81" i="226" s="1"/>
  <c r="EW81" i="226"/>
  <c r="DP81" i="226"/>
  <c r="BX81" i="226"/>
  <c r="AI81" i="226" a="1"/>
  <c r="AI81" i="226" s="1"/>
  <c r="BT81" i="226" a="1"/>
  <c r="BT81" i="226" s="1"/>
  <c r="EJ81" i="226" a="1"/>
  <c r="EJ81" i="226" s="1"/>
  <c r="EA81" i="226" a="1"/>
  <c r="EA81" i="226" s="1"/>
  <c r="EO81" i="226" a="1"/>
  <c r="EO81" i="226" s="1"/>
  <c r="EV81" i="226"/>
  <c r="CT81" i="226" a="1"/>
  <c r="CT81" i="226" s="1"/>
  <c r="DT81" i="226"/>
  <c r="H21" i="226"/>
  <c r="AG81" i="226" a="1"/>
  <c r="AG81" i="226" s="1"/>
  <c r="AR81" i="226" a="1"/>
  <c r="AR81" i="226" s="1"/>
  <c r="DW81" i="226" a="1"/>
  <c r="DW81" i="226" s="1"/>
  <c r="EE81" i="226" a="1"/>
  <c r="EE81" i="226" s="1"/>
  <c r="EU81" i="226"/>
  <c r="FI81" i="226" a="1"/>
  <c r="FI81" i="226" s="1"/>
  <c r="BU81" i="226" a="1"/>
  <c r="BU81" i="226" s="1"/>
  <c r="DF81" i="226"/>
  <c r="CA81" i="226"/>
  <c r="AH81" i="226" a="1"/>
  <c r="AH81" i="226" s="1"/>
  <c r="AO81" i="226" a="1"/>
  <c r="AO81" i="226" s="1"/>
  <c r="BS81" i="226" a="1"/>
  <c r="BS81" i="226" s="1"/>
  <c r="W81" i="226" a="1"/>
  <c r="W81" i="226" s="1"/>
  <c r="DZ81" i="226" a="1"/>
  <c r="DZ81" i="226" s="1"/>
  <c r="EP81" i="226" a="1"/>
  <c r="EP81" i="226" s="1"/>
  <c r="EK81" i="226" a="1"/>
  <c r="EK81" i="226" s="1"/>
  <c r="EB81" i="226" a="1"/>
  <c r="EB81" i="226" s="1"/>
  <c r="FB81" i="226" a="1"/>
  <c r="FB81" i="226" s="1"/>
  <c r="BZ81" i="226"/>
  <c r="DR81" i="226"/>
  <c r="DH81" i="226"/>
  <c r="CD81" i="226"/>
  <c r="DL81" i="226"/>
  <c r="DJ81" i="226"/>
  <c r="G21" i="226"/>
  <c r="X81" i="226" a="1"/>
  <c r="X81" i="226" s="1"/>
  <c r="DY81" i="226" a="1"/>
  <c r="DY81" i="226" s="1"/>
  <c r="EY81" i="226"/>
  <c r="EL81" i="226" a="1"/>
  <c r="EL81" i="226" s="1"/>
  <c r="EH81" i="226" a="1"/>
  <c r="EH81" i="226" s="1"/>
  <c r="FM81" i="226" a="1"/>
  <c r="FM81" i="226" s="1"/>
  <c r="FG81" i="226" a="1"/>
  <c r="FG81" i="226" s="1"/>
  <c r="FK81" i="226" a="1"/>
  <c r="FK81" i="226" s="1"/>
  <c r="FD81" i="226" a="1"/>
  <c r="FD81" i="226" s="1"/>
  <c r="FA81" i="226" a="1"/>
  <c r="FA81" i="226" s="1"/>
  <c r="EZ81" i="226" a="1"/>
  <c r="EZ81" i="226" s="1"/>
  <c r="FE81" i="226" a="1"/>
  <c r="FE81" i="226" s="1"/>
  <c r="FH81" i="226" a="1"/>
  <c r="FH81" i="226" s="1"/>
  <c r="FA39" i="226" a="1"/>
  <c r="FA39" i="226" s="1"/>
  <c r="FB39" i="226" a="1"/>
  <c r="FB39" i="226" s="1"/>
  <c r="FG39" i="226" a="1"/>
  <c r="FG39" i="226" s="1"/>
  <c r="FL39" i="226" a="1"/>
  <c r="FL39" i="226" s="1"/>
  <c r="FM39" i="226" a="1"/>
  <c r="FM39" i="226" s="1"/>
  <c r="FC39" i="226" a="1"/>
  <c r="FC39" i="226" s="1"/>
  <c r="FH39" i="226" a="1"/>
  <c r="FH39" i="226" s="1"/>
  <c r="FI39" i="226" a="1"/>
  <c r="FI39" i="226" s="1"/>
  <c r="FD39" i="226" a="1"/>
  <c r="FD39" i="226" s="1"/>
  <c r="FJ39" i="226" a="1"/>
  <c r="FJ39" i="226" s="1"/>
  <c r="EZ39" i="226" a="1"/>
  <c r="EZ39" i="226" s="1"/>
  <c r="FE39" i="226" a="1"/>
  <c r="FE39" i="226" s="1"/>
  <c r="FF39" i="226" a="1"/>
  <c r="FF39" i="226" s="1"/>
  <c r="FK39" i="226" a="1"/>
  <c r="FK39" i="226" s="1"/>
  <c r="FB7" i="226" a="1"/>
  <c r="FB7" i="226" s="1"/>
  <c r="FG7" i="226" a="1"/>
  <c r="FG7" i="226" s="1"/>
  <c r="FM7" i="226" a="1"/>
  <c r="FM7" i="226" s="1"/>
  <c r="FD7" i="226" a="1"/>
  <c r="FD7" i="226" s="1"/>
  <c r="FK7" i="226" a="1"/>
  <c r="FK7" i="226" s="1"/>
  <c r="FE7" i="226" a="1"/>
  <c r="FE7" i="226" s="1"/>
  <c r="FL7" i="226" a="1"/>
  <c r="FL7" i="226" s="1"/>
  <c r="FF7" i="226" a="1"/>
  <c r="FF7" i="226" s="1"/>
  <c r="FA7" i="226" a="1"/>
  <c r="FA7" i="226" s="1"/>
  <c r="FH7" i="226" a="1"/>
  <c r="FH7" i="226" s="1"/>
  <c r="EZ7" i="226" a="1"/>
  <c r="EZ7" i="226" s="1"/>
  <c r="FC7" i="226" a="1"/>
  <c r="FC7" i="226" s="1"/>
  <c r="FI7" i="226" a="1"/>
  <c r="FI7" i="226" s="1"/>
  <c r="FJ7" i="226" a="1"/>
  <c r="FJ7" i="226" s="1"/>
  <c r="FF52" i="226" a="1"/>
  <c r="FF52" i="226" s="1"/>
  <c r="FK52" i="226" a="1"/>
  <c r="FK52" i="226" s="1"/>
  <c r="FD52" i="226" a="1"/>
  <c r="FD52" i="226" s="1"/>
  <c r="FM52" i="226" a="1"/>
  <c r="FM52" i="226" s="1"/>
  <c r="FE52" i="226" a="1"/>
  <c r="FE52" i="226" s="1"/>
  <c r="FG52" i="226" a="1"/>
  <c r="FG52" i="226" s="1"/>
  <c r="FH52" i="226" a="1"/>
  <c r="FH52" i="226" s="1"/>
  <c r="FA52" i="226" a="1"/>
  <c r="FA52" i="226" s="1"/>
  <c r="FI52" i="226" a="1"/>
  <c r="FI52" i="226" s="1"/>
  <c r="FJ52" i="226" a="1"/>
  <c r="FJ52" i="226" s="1"/>
  <c r="FL52" i="226" a="1"/>
  <c r="FL52" i="226" s="1"/>
  <c r="FB52" i="226" a="1"/>
  <c r="FB52" i="226" s="1"/>
  <c r="EZ52" i="226" a="1"/>
  <c r="EZ52" i="226" s="1"/>
  <c r="FC52" i="226" a="1"/>
  <c r="FC52" i="226" s="1"/>
  <c r="FA62" i="226" a="1"/>
  <c r="FA62" i="226" s="1"/>
  <c r="FJ62" i="226" a="1"/>
  <c r="FJ62" i="226" s="1"/>
  <c r="FI62" i="226" a="1"/>
  <c r="FI62" i="226" s="1"/>
  <c r="EZ62" i="226" a="1"/>
  <c r="EZ62" i="226" s="1"/>
  <c r="FD62" i="226" a="1"/>
  <c r="FD62" i="226" s="1"/>
  <c r="FK62" i="226" a="1"/>
  <c r="FK62" i="226" s="1"/>
  <c r="FE62" i="226" a="1"/>
  <c r="FE62" i="226" s="1"/>
  <c r="FF62" i="226" a="1"/>
  <c r="FF62" i="226" s="1"/>
  <c r="FL62" i="226" a="1"/>
  <c r="FL62" i="226" s="1"/>
  <c r="FG62" i="226" a="1"/>
  <c r="FG62" i="226" s="1"/>
  <c r="FM62" i="226" a="1"/>
  <c r="FM62" i="226" s="1"/>
  <c r="FB62" i="226" a="1"/>
  <c r="FB62" i="226" s="1"/>
  <c r="FH62" i="226" a="1"/>
  <c r="FH62" i="226" s="1"/>
  <c r="FC62" i="226" a="1"/>
  <c r="FC62" i="226" s="1"/>
  <c r="FD96" i="226" a="1"/>
  <c r="FD96" i="226" s="1"/>
  <c r="FJ96" i="226" a="1"/>
  <c r="FJ96" i="226" s="1"/>
  <c r="FK96" i="226" a="1"/>
  <c r="FK96" i="226" s="1"/>
  <c r="FE96" i="226" a="1"/>
  <c r="FE96" i="226" s="1"/>
  <c r="FL96" i="226" a="1"/>
  <c r="FL96" i="226" s="1"/>
  <c r="FG96" i="226" a="1"/>
  <c r="FG96" i="226" s="1"/>
  <c r="FM96" i="226" a="1"/>
  <c r="FM96" i="226" s="1"/>
  <c r="EZ96" i="226" a="1"/>
  <c r="EZ96" i="226" s="1"/>
  <c r="FA96" i="226" a="1"/>
  <c r="FA96" i="226" s="1"/>
  <c r="FH96" i="226" a="1"/>
  <c r="FH96" i="226" s="1"/>
  <c r="FF96" i="226" a="1"/>
  <c r="FF96" i="226" s="1"/>
  <c r="FB96" i="226" a="1"/>
  <c r="FB96" i="226" s="1"/>
  <c r="FI96" i="226" a="1"/>
  <c r="FI96" i="226" s="1"/>
  <c r="FC96" i="226" a="1"/>
  <c r="FC96" i="226" s="1"/>
  <c r="FE106" i="226" a="1"/>
  <c r="FE106" i="226" s="1"/>
  <c r="FJ106" i="226" a="1"/>
  <c r="FJ106" i="226" s="1"/>
  <c r="FA106" i="226" a="1"/>
  <c r="FA106" i="226" s="1"/>
  <c r="FF106" i="226" a="1"/>
  <c r="FF106" i="226" s="1"/>
  <c r="FK106" i="226" a="1"/>
  <c r="FK106" i="226" s="1"/>
  <c r="EZ106" i="226" a="1"/>
  <c r="EZ106" i="226" s="1"/>
  <c r="FB106" i="226" a="1"/>
  <c r="FB106" i="226" s="1"/>
  <c r="FG106" i="226" a="1"/>
  <c r="FG106" i="226" s="1"/>
  <c r="FM106" i="226" a="1"/>
  <c r="FM106" i="226" s="1"/>
  <c r="FH106" i="226" a="1"/>
  <c r="FH106" i="226" s="1"/>
  <c r="FL106" i="226" a="1"/>
  <c r="FL106" i="226" s="1"/>
  <c r="FC106" i="226" a="1"/>
  <c r="FC106" i="226" s="1"/>
  <c r="FD106" i="226" a="1"/>
  <c r="FD106" i="226" s="1"/>
  <c r="FI106" i="226" a="1"/>
  <c r="FI106" i="226" s="1"/>
  <c r="FB77" i="226" a="1"/>
  <c r="FB77" i="226" s="1"/>
  <c r="FI77" i="226" a="1"/>
  <c r="FI77" i="226" s="1"/>
  <c r="FA77" i="226" a="1"/>
  <c r="FA77" i="226" s="1"/>
  <c r="FG77" i="226" a="1"/>
  <c r="FG77" i="226" s="1"/>
  <c r="FE77" i="226" a="1"/>
  <c r="FE77" i="226" s="1"/>
  <c r="FM77" i="226" a="1"/>
  <c r="FM77" i="226" s="1"/>
  <c r="EZ77" i="226" a="1"/>
  <c r="EZ77" i="226" s="1"/>
  <c r="FF77" i="226" a="1"/>
  <c r="FF77" i="226" s="1"/>
  <c r="FH77" i="226" a="1"/>
  <c r="FH77" i="226" s="1"/>
  <c r="FJ77" i="226" a="1"/>
  <c r="FJ77" i="226" s="1"/>
  <c r="FC77" i="226" a="1"/>
  <c r="FC77" i="226" s="1"/>
  <c r="FD77" i="226" a="1"/>
  <c r="FD77" i="226" s="1"/>
  <c r="FK77" i="226" a="1"/>
  <c r="FK77" i="226" s="1"/>
  <c r="FL77" i="226" a="1"/>
  <c r="FL77" i="226" s="1"/>
  <c r="L78" i="81"/>
  <c r="U57" i="154"/>
  <c r="ET62" i="226"/>
  <c r="EU62" i="226"/>
  <c r="EV62" i="226"/>
  <c r="EW62" i="226"/>
  <c r="EX62" i="226"/>
  <c r="ER62" i="226"/>
  <c r="ED62" i="226" a="1"/>
  <c r="ED62" i="226" s="1"/>
  <c r="EQ62" i="226" a="1"/>
  <c r="EQ62" i="226" s="1"/>
  <c r="EK62" i="226" a="1"/>
  <c r="EK62" i="226" s="1"/>
  <c r="EC62" i="226" a="1"/>
  <c r="EC62" i="226" s="1"/>
  <c r="EY62" i="226"/>
  <c r="EP62" i="226" a="1"/>
  <c r="EP62" i="226" s="1"/>
  <c r="EJ62" i="226" a="1"/>
  <c r="EJ62" i="226" s="1"/>
  <c r="EB62" i="226" a="1"/>
  <c r="EB62" i="226" s="1"/>
  <c r="EI62" i="226" a="1"/>
  <c r="EI62" i="226" s="1"/>
  <c r="EO62" i="226" a="1"/>
  <c r="EO62" i="226" s="1"/>
  <c r="EH62" i="226" a="1"/>
  <c r="EH62" i="226" s="1"/>
  <c r="EN62" i="226" a="1"/>
  <c r="EN62" i="226" s="1"/>
  <c r="EG62" i="226" a="1"/>
  <c r="EG62" i="226" s="1"/>
  <c r="DV62" i="226" a="1"/>
  <c r="DV62" i="226" s="1"/>
  <c r="EA62" i="226" a="1"/>
  <c r="EA62" i="226" s="1"/>
  <c r="EF62" i="226" a="1"/>
  <c r="EF62" i="226" s="1"/>
  <c r="DZ62" i="226" a="1"/>
  <c r="DZ62" i="226" s="1"/>
  <c r="DW62" i="226" a="1"/>
  <c r="DW62" i="226" s="1"/>
  <c r="EE62" i="226" a="1"/>
  <c r="EE62" i="226" s="1"/>
  <c r="DU62" i="226" a="1"/>
  <c r="DU62" i="226" s="1"/>
  <c r="EM62" i="226" a="1"/>
  <c r="EM62" i="226" s="1"/>
  <c r="DX62" i="226" a="1"/>
  <c r="DX62" i="226" s="1"/>
  <c r="ES62" i="226"/>
  <c r="EL62" i="226" a="1"/>
  <c r="EL62" i="226" s="1"/>
  <c r="DY62" i="226" a="1"/>
  <c r="DY62" i="226" s="1"/>
  <c r="ES52" i="226"/>
  <c r="ET52" i="226"/>
  <c r="EU52" i="226"/>
  <c r="ER52" i="226"/>
  <c r="EV52" i="226"/>
  <c r="EY52" i="226"/>
  <c r="EW52" i="226"/>
  <c r="EN52" i="226" a="1"/>
  <c r="EN52" i="226" s="1"/>
  <c r="EG52" i="226" a="1"/>
  <c r="EG52" i="226" s="1"/>
  <c r="EM52" i="226" a="1"/>
  <c r="EM52" i="226" s="1"/>
  <c r="EF52" i="226" a="1"/>
  <c r="EF52" i="226" s="1"/>
  <c r="EX52" i="226"/>
  <c r="EL52" i="226" a="1"/>
  <c r="EL52" i="226" s="1"/>
  <c r="EK52" i="226" a="1"/>
  <c r="EK52" i="226" s="1"/>
  <c r="EE52" i="226" a="1"/>
  <c r="EE52" i="226" s="1"/>
  <c r="EJ52" i="226" a="1"/>
  <c r="EJ52" i="226" s="1"/>
  <c r="ED52" i="226" a="1"/>
  <c r="ED52" i="226" s="1"/>
  <c r="EQ52" i="226" a="1"/>
  <c r="EQ52" i="226" s="1"/>
  <c r="EI52" i="226" a="1"/>
  <c r="EI52" i="226" s="1"/>
  <c r="EC52" i="226" a="1"/>
  <c r="EC52" i="226" s="1"/>
  <c r="EH52" i="226" a="1"/>
  <c r="EH52" i="226" s="1"/>
  <c r="DU52" i="226" a="1"/>
  <c r="DU52" i="226" s="1"/>
  <c r="EB52" i="226" a="1"/>
  <c r="EB52" i="226" s="1"/>
  <c r="DY52" i="226" a="1"/>
  <c r="DY52" i="226" s="1"/>
  <c r="DZ52" i="226" a="1"/>
  <c r="DZ52" i="226" s="1"/>
  <c r="EP52" i="226" a="1"/>
  <c r="EP52" i="226" s="1"/>
  <c r="EA52" i="226" a="1"/>
  <c r="EA52" i="226" s="1"/>
  <c r="DX52" i="226" a="1"/>
  <c r="DX52" i="226" s="1"/>
  <c r="EO52" i="226" a="1"/>
  <c r="EO52" i="226" s="1"/>
  <c r="DV52" i="226" a="1"/>
  <c r="DV52" i="226" s="1"/>
  <c r="DW52" i="226" a="1"/>
  <c r="DW52" i="226" s="1"/>
  <c r="EY39" i="226"/>
  <c r="ES39" i="226"/>
  <c r="ET39" i="226"/>
  <c r="EU39" i="226"/>
  <c r="EV39" i="226"/>
  <c r="EW39" i="226"/>
  <c r="EX39" i="226"/>
  <c r="ER39" i="226"/>
  <c r="EO39" i="226" a="1"/>
  <c r="EO39" i="226" s="1"/>
  <c r="EQ39" i="226" a="1"/>
  <c r="EQ39" i="226" s="1"/>
  <c r="EN39" i="226" a="1"/>
  <c r="EN39" i="226" s="1"/>
  <c r="EG39" i="226" a="1"/>
  <c r="EG39" i="226" s="1"/>
  <c r="DY39" i="226" a="1"/>
  <c r="DY39" i="226" s="1"/>
  <c r="EM39" i="226" a="1"/>
  <c r="EM39" i="226" s="1"/>
  <c r="EF39" i="226" a="1"/>
  <c r="EF39" i="226" s="1"/>
  <c r="EI39" i="226" a="1"/>
  <c r="EI39" i="226" s="1"/>
  <c r="DW39" i="226" a="1"/>
  <c r="DW39" i="226" s="1"/>
  <c r="EL39" i="226" a="1"/>
  <c r="EL39" i="226" s="1"/>
  <c r="DZ39" i="226" a="1"/>
  <c r="DZ39" i="226" s="1"/>
  <c r="DU39" i="226" a="1"/>
  <c r="DU39" i="226" s="1"/>
  <c r="EP39" i="226" a="1"/>
  <c r="EP39" i="226" s="1"/>
  <c r="EK39" i="226" a="1"/>
  <c r="EK39" i="226" s="1"/>
  <c r="EE39" i="226" a="1"/>
  <c r="EE39" i="226" s="1"/>
  <c r="DV39" i="226" a="1"/>
  <c r="DV39" i="226" s="1"/>
  <c r="EH39" i="226" a="1"/>
  <c r="EH39" i="226" s="1"/>
  <c r="EJ39" i="226" a="1"/>
  <c r="EJ39" i="226" s="1"/>
  <c r="ED39" i="226" a="1"/>
  <c r="ED39" i="226" s="1"/>
  <c r="EA39" i="226" a="1"/>
  <c r="EA39" i="226" s="1"/>
  <c r="EC39" i="226" a="1"/>
  <c r="EC39" i="226" s="1"/>
  <c r="EB39" i="226" a="1"/>
  <c r="EB39" i="226" s="1"/>
  <c r="DX39" i="226" a="1"/>
  <c r="DX39" i="226" s="1"/>
  <c r="ES96" i="226"/>
  <c r="ET96" i="226"/>
  <c r="EU96" i="226"/>
  <c r="EV96" i="226"/>
  <c r="EY96" i="226"/>
  <c r="EW96" i="226"/>
  <c r="EL96" i="226" a="1"/>
  <c r="EL96" i="226" s="1"/>
  <c r="ED96" i="226" a="1"/>
  <c r="ED96" i="226" s="1"/>
  <c r="EK96" i="226" a="1"/>
  <c r="EK96" i="226" s="1"/>
  <c r="EC96" i="226" a="1"/>
  <c r="EC96" i="226" s="1"/>
  <c r="EJ96" i="226" a="1"/>
  <c r="EJ96" i="226" s="1"/>
  <c r="EB96" i="226" a="1"/>
  <c r="EB96" i="226" s="1"/>
  <c r="EQ96" i="226" a="1"/>
  <c r="EQ96" i="226" s="1"/>
  <c r="EI96" i="226" a="1"/>
  <c r="EI96" i="226" s="1"/>
  <c r="EP96" i="226" a="1"/>
  <c r="EP96" i="226" s="1"/>
  <c r="EH96" i="226" a="1"/>
  <c r="EH96" i="226" s="1"/>
  <c r="ER96" i="226"/>
  <c r="EO96" i="226" a="1"/>
  <c r="EO96" i="226" s="1"/>
  <c r="EG96" i="226" a="1"/>
  <c r="EG96" i="226" s="1"/>
  <c r="EX96" i="226"/>
  <c r="DW96" i="226" a="1"/>
  <c r="DW96" i="226" s="1"/>
  <c r="DU96" i="226" a="1"/>
  <c r="DU96" i="226" s="1"/>
  <c r="DX96" i="226" a="1"/>
  <c r="DX96" i="226" s="1"/>
  <c r="DV96" i="226" a="1"/>
  <c r="DV96" i="226" s="1"/>
  <c r="EN96" i="226" a="1"/>
  <c r="EN96" i="226" s="1"/>
  <c r="DY96" i="226" a="1"/>
  <c r="DY96" i="226" s="1"/>
  <c r="EM96" i="226" a="1"/>
  <c r="EM96" i="226" s="1"/>
  <c r="EF96" i="226" a="1"/>
  <c r="EF96" i="226" s="1"/>
  <c r="DZ96" i="226" a="1"/>
  <c r="DZ96" i="226" s="1"/>
  <c r="EE96" i="226" a="1"/>
  <c r="EE96" i="226" s="1"/>
  <c r="EA96" i="226" a="1"/>
  <c r="EA96" i="226" s="1"/>
  <c r="ET106" i="226"/>
  <c r="EU106" i="226"/>
  <c r="EV106" i="226"/>
  <c r="EW106" i="226"/>
  <c r="EX106" i="226"/>
  <c r="EP106" i="226" a="1"/>
  <c r="EP106" i="226" s="1"/>
  <c r="EH106" i="226" a="1"/>
  <c r="EH106" i="226" s="1"/>
  <c r="EO106" i="226" a="1"/>
  <c r="EO106" i="226" s="1"/>
  <c r="EG106" i="226" a="1"/>
  <c r="EG106" i="226" s="1"/>
  <c r="EN106" i="226" a="1"/>
  <c r="EN106" i="226" s="1"/>
  <c r="EF106" i="226" a="1"/>
  <c r="EF106" i="226" s="1"/>
  <c r="ES106" i="226"/>
  <c r="EM106" i="226" a="1"/>
  <c r="EM106" i="226" s="1"/>
  <c r="EE106" i="226" a="1"/>
  <c r="EE106" i="226" s="1"/>
  <c r="EY106" i="226"/>
  <c r="EL106" i="226" a="1"/>
  <c r="EL106" i="226" s="1"/>
  <c r="ED106" i="226" a="1"/>
  <c r="ED106" i="226" s="1"/>
  <c r="EK106" i="226" a="1"/>
  <c r="EK106" i="226" s="1"/>
  <c r="EC106" i="226" a="1"/>
  <c r="EC106" i="226" s="1"/>
  <c r="EB106" i="226" a="1"/>
  <c r="EB106" i="226" s="1"/>
  <c r="DX106" i="226" a="1"/>
  <c r="DX106" i="226" s="1"/>
  <c r="EI106" i="226" a="1"/>
  <c r="EI106" i="226" s="1"/>
  <c r="ER106" i="226"/>
  <c r="DY106" i="226" a="1"/>
  <c r="DY106" i="226" s="1"/>
  <c r="DZ106" i="226" a="1"/>
  <c r="DZ106" i="226" s="1"/>
  <c r="DW106" i="226" a="1"/>
  <c r="DW106" i="226" s="1"/>
  <c r="EQ106" i="226" a="1"/>
  <c r="EQ106" i="226" s="1"/>
  <c r="DV106" i="226" a="1"/>
  <c r="DV106" i="226" s="1"/>
  <c r="EA106" i="226" a="1"/>
  <c r="EA106" i="226" s="1"/>
  <c r="EJ106" i="226" a="1"/>
  <c r="EJ106" i="226" s="1"/>
  <c r="DU106" i="226" a="1"/>
  <c r="DU106" i="226" s="1"/>
  <c r="EX77" i="226"/>
  <c r="ES77" i="226"/>
  <c r="EY77" i="226"/>
  <c r="ET77" i="226"/>
  <c r="EU77" i="226"/>
  <c r="EK77" i="226" a="1"/>
  <c r="EK77" i="226" s="1"/>
  <c r="EE77" i="226" a="1"/>
  <c r="EE77" i="226" s="1"/>
  <c r="EQ77" i="226" a="1"/>
  <c r="EQ77" i="226" s="1"/>
  <c r="EJ77" i="226" a="1"/>
  <c r="EJ77" i="226" s="1"/>
  <c r="ED77" i="226" a="1"/>
  <c r="ED77" i="226" s="1"/>
  <c r="EP77" i="226" a="1"/>
  <c r="EP77" i="226" s="1"/>
  <c r="EI77" i="226" a="1"/>
  <c r="EI77" i="226" s="1"/>
  <c r="EH77" i="226" a="1"/>
  <c r="EH77" i="226" s="1"/>
  <c r="EC77" i="226" a="1"/>
  <c r="EC77" i="226" s="1"/>
  <c r="EV77" i="226"/>
  <c r="ER77" i="226"/>
  <c r="EO77" i="226" a="1"/>
  <c r="EO77" i="226" s="1"/>
  <c r="EB77" i="226" a="1"/>
  <c r="EB77" i="226" s="1"/>
  <c r="EW77" i="226"/>
  <c r="EN77" i="226" a="1"/>
  <c r="EN77" i="226" s="1"/>
  <c r="EG77" i="226" a="1"/>
  <c r="EG77" i="226" s="1"/>
  <c r="DW77" i="226" a="1"/>
  <c r="DW77" i="226" s="1"/>
  <c r="EM77" i="226" a="1"/>
  <c r="EM77" i="226" s="1"/>
  <c r="DX77" i="226" a="1"/>
  <c r="DX77" i="226" s="1"/>
  <c r="EL77" i="226" a="1"/>
  <c r="EL77" i="226" s="1"/>
  <c r="DY77" i="226" a="1"/>
  <c r="DY77" i="226" s="1"/>
  <c r="DV77" i="226" a="1"/>
  <c r="DV77" i="226" s="1"/>
  <c r="DU77" i="226" a="1"/>
  <c r="DU77" i="226" s="1"/>
  <c r="EF77" i="226" a="1"/>
  <c r="EF77" i="226" s="1"/>
  <c r="DZ77" i="226" a="1"/>
  <c r="DZ77" i="226" s="1"/>
  <c r="EA77" i="226" a="1"/>
  <c r="EA77" i="226" s="1"/>
  <c r="Q10" i="3"/>
  <c r="Q21" i="3" s="1"/>
  <c r="AU76" i="81" s="1"/>
  <c r="CY18" i="167"/>
  <c r="R10" i="3" s="1"/>
  <c r="R20" i="3" s="1"/>
  <c r="AH42" i="156" s="1"/>
  <c r="EU7" i="226"/>
  <c r="EH7" i="226" a="1"/>
  <c r="EH7" i="226" s="1"/>
  <c r="DZ7" i="226" a="1"/>
  <c r="DZ7" i="226" s="1"/>
  <c r="EV7" i="226"/>
  <c r="EM7" i="226" a="1"/>
  <c r="EM7" i="226" s="1"/>
  <c r="EG7" i="226" a="1"/>
  <c r="EG7" i="226" s="1"/>
  <c r="EB7" i="226" a="1"/>
  <c r="EB7" i="226" s="1"/>
  <c r="EA7" i="226" a="1"/>
  <c r="EA7" i="226" s="1"/>
  <c r="ER7" i="226"/>
  <c r="DX7" i="226" a="1"/>
  <c r="DX7" i="226" s="1"/>
  <c r="EC7" i="226" a="1"/>
  <c r="EC7" i="226" s="1"/>
  <c r="DY7" i="226" a="1"/>
  <c r="DY7" i="226" s="1"/>
  <c r="EY7" i="226"/>
  <c r="EW7" i="226"/>
  <c r="EL7" i="226" a="1"/>
  <c r="EL7" i="226" s="1"/>
  <c r="EX7" i="226"/>
  <c r="EQ7" i="226" a="1"/>
  <c r="EQ7" i="226" s="1"/>
  <c r="EK7" i="226" a="1"/>
  <c r="EK7" i="226" s="1"/>
  <c r="EF7" i="226" a="1"/>
  <c r="EF7" i="226" s="1"/>
  <c r="DV7" i="226" a="1"/>
  <c r="DV7" i="226" s="1"/>
  <c r="EP7" i="226" a="1"/>
  <c r="EP7" i="226" s="1"/>
  <c r="DW7" i="226" a="1"/>
  <c r="DW7" i="226" s="1"/>
  <c r="ES7" i="226"/>
  <c r="EI7" i="226" a="1"/>
  <c r="EI7" i="226" s="1"/>
  <c r="EO7" i="226" a="1"/>
  <c r="EO7" i="226" s="1"/>
  <c r="EJ7" i="226" a="1"/>
  <c r="EJ7" i="226" s="1"/>
  <c r="EE7" i="226" a="1"/>
  <c r="EE7" i="226" s="1"/>
  <c r="DU7" i="226" a="1"/>
  <c r="DU7" i="226" s="1"/>
  <c r="ED7" i="226" a="1"/>
  <c r="ED7" i="226" s="1"/>
  <c r="ET7" i="226"/>
  <c r="EN7" i="226" a="1"/>
  <c r="EN7" i="226" s="1"/>
  <c r="E4" i="226" a="1"/>
  <c r="E4" i="226" s="1"/>
  <c r="D4" i="226" s="1"/>
  <c r="BT52" i="226" a="1"/>
  <c r="BT52" i="226" s="1"/>
  <c r="V52" i="226" a="1"/>
  <c r="V52" i="226" s="1"/>
  <c r="W52" i="226" a="1"/>
  <c r="W52" i="226" s="1"/>
  <c r="X52" i="226" a="1"/>
  <c r="X52" i="226" s="1"/>
  <c r="AR52" i="226" a="1"/>
  <c r="AR52" i="226" s="1"/>
  <c r="AP52" i="226" a="1"/>
  <c r="AP52" i="226" s="1"/>
  <c r="AT52" i="226" a="1"/>
  <c r="AT52" i="226" s="1"/>
  <c r="CU52" i="226" a="1"/>
  <c r="CU52" i="226" s="1"/>
  <c r="BT96" i="226" a="1"/>
  <c r="BT96" i="226" s="1"/>
  <c r="V96" i="226" a="1"/>
  <c r="V96" i="226" s="1"/>
  <c r="W96" i="226" a="1"/>
  <c r="W96" i="226" s="1"/>
  <c r="AP96" i="226" a="1"/>
  <c r="AP96" i="226" s="1"/>
  <c r="X96" i="226" a="1"/>
  <c r="X96" i="226" s="1"/>
  <c r="AT96" i="226" a="1"/>
  <c r="AT96" i="226" s="1"/>
  <c r="AR96" i="226" a="1"/>
  <c r="AR96" i="226" s="1"/>
  <c r="CU96" i="226" a="1"/>
  <c r="CU96" i="226" s="1"/>
  <c r="AP106" i="226" a="1"/>
  <c r="AP106" i="226" s="1"/>
  <c r="AT106" i="226" a="1"/>
  <c r="AT106" i="226" s="1"/>
  <c r="X106" i="226" a="1"/>
  <c r="X106" i="226" s="1"/>
  <c r="W106" i="226" a="1"/>
  <c r="W106" i="226" s="1"/>
  <c r="AR106" i="226" a="1"/>
  <c r="AR106" i="226" s="1"/>
  <c r="BT106" i="226" a="1"/>
  <c r="BT106" i="226" s="1"/>
  <c r="V106" i="226" a="1"/>
  <c r="V106" i="226" s="1"/>
  <c r="CU106" i="226" a="1"/>
  <c r="CU106" i="226" s="1"/>
  <c r="AM77" i="226"/>
  <c r="BT77" i="226" a="1"/>
  <c r="BT77" i="226" s="1"/>
  <c r="V77" i="226" a="1"/>
  <c r="V77" i="226" s="1"/>
  <c r="AT77" i="226" a="1"/>
  <c r="AT77" i="226" s="1"/>
  <c r="X77" i="226" a="1"/>
  <c r="X77" i="226" s="1"/>
  <c r="W77" i="226" a="1"/>
  <c r="W77" i="226" s="1"/>
  <c r="AR77" i="226" a="1"/>
  <c r="AR77" i="226" s="1"/>
  <c r="AP77" i="226" a="1"/>
  <c r="AP77" i="226" s="1"/>
  <c r="CU77" i="226" a="1"/>
  <c r="CU77" i="226" s="1"/>
  <c r="BT7" i="226" a="1"/>
  <c r="BT7" i="226" s="1"/>
  <c r="V7" i="226" a="1"/>
  <c r="V7" i="226" s="1"/>
  <c r="AT7" i="226" a="1"/>
  <c r="AT7" i="226" s="1"/>
  <c r="X7" i="226" a="1"/>
  <c r="X7" i="226" s="1"/>
  <c r="W7" i="226" a="1"/>
  <c r="W7" i="226" s="1"/>
  <c r="AR7" i="226" a="1"/>
  <c r="AR7" i="226" s="1"/>
  <c r="AP7" i="226" a="1"/>
  <c r="AP7" i="226" s="1"/>
  <c r="CU7" i="226" a="1"/>
  <c r="CU7" i="226" s="1"/>
  <c r="X39" i="226" a="1"/>
  <c r="X39" i="226" s="1"/>
  <c r="W39" i="226" a="1"/>
  <c r="W39" i="226" s="1"/>
  <c r="AR39" i="226" a="1"/>
  <c r="AR39" i="226" s="1"/>
  <c r="BT39" i="226" a="1"/>
  <c r="BT39" i="226" s="1"/>
  <c r="V39" i="226" a="1"/>
  <c r="V39" i="226" s="1"/>
  <c r="AT39" i="226" a="1"/>
  <c r="AT39" i="226" s="1"/>
  <c r="CU39" i="226" a="1"/>
  <c r="CU39" i="226" s="1"/>
  <c r="AP39" i="226" a="1"/>
  <c r="AP39" i="226" s="1"/>
  <c r="X62" i="226" a="1"/>
  <c r="X62" i="226" s="1"/>
  <c r="AT62" i="226" a="1"/>
  <c r="AT62" i="226" s="1"/>
  <c r="AR62" i="226" a="1"/>
  <c r="AR62" i="226" s="1"/>
  <c r="AP62" i="226" a="1"/>
  <c r="AP62" i="226" s="1"/>
  <c r="W62" i="226" a="1"/>
  <c r="W62" i="226" s="1"/>
  <c r="BT62" i="226" a="1"/>
  <c r="BT62" i="226" s="1"/>
  <c r="CU62" i="226" a="1"/>
  <c r="CU62" i="226" s="1"/>
  <c r="V62" i="226" a="1"/>
  <c r="V62" i="226" s="1"/>
  <c r="DN7" i="226"/>
  <c r="AM7" i="226"/>
  <c r="DN52" i="226"/>
  <c r="AM52" i="226"/>
  <c r="DT96" i="226"/>
  <c r="AM96" i="226"/>
  <c r="DR39" i="226"/>
  <c r="AM39" i="226"/>
  <c r="DJ106" i="226"/>
  <c r="AM106" i="226"/>
  <c r="DH62" i="226"/>
  <c r="AM62" i="226"/>
  <c r="G105" i="226"/>
  <c r="CG18" i="167"/>
  <c r="S21" i="3"/>
  <c r="S20" i="3"/>
  <c r="H38" i="3" s="1"/>
  <c r="H39" i="3" s="1"/>
  <c r="L28" i="226"/>
  <c r="K77" i="154"/>
  <c r="U76" i="154" s="1"/>
  <c r="H109" i="226"/>
  <c r="O46" i="226"/>
  <c r="O109" i="226"/>
  <c r="H32" i="226"/>
  <c r="L9" i="226"/>
  <c r="L105" i="226"/>
  <c r="G109" i="226"/>
  <c r="G32" i="226"/>
  <c r="H105" i="226"/>
  <c r="O93" i="226"/>
  <c r="H43" i="226"/>
  <c r="G93" i="226"/>
  <c r="O78" i="226"/>
  <c r="H93" i="226"/>
  <c r="O43" i="226"/>
  <c r="L13" i="226"/>
  <c r="H78" i="226"/>
  <c r="H46" i="226"/>
  <c r="H13" i="226"/>
  <c r="G46" i="226"/>
  <c r="G13" i="226"/>
  <c r="O32" i="226"/>
  <c r="L78" i="226"/>
  <c r="L43" i="226"/>
  <c r="O74" i="226"/>
  <c r="O55" i="226"/>
  <c r="L48" i="226"/>
  <c r="O68" i="226"/>
  <c r="H68" i="226"/>
  <c r="L74" i="226"/>
  <c r="H9" i="226"/>
  <c r="O9" i="226"/>
  <c r="G74" i="226"/>
  <c r="O40" i="226"/>
  <c r="O57" i="226"/>
  <c r="O110" i="226"/>
  <c r="AJ52" i="226"/>
  <c r="H24" i="226"/>
  <c r="G88" i="226"/>
  <c r="O17" i="226"/>
  <c r="O28" i="226"/>
  <c r="G40" i="226"/>
  <c r="H79" i="226"/>
  <c r="CT52" i="226" a="1"/>
  <c r="CT52" i="226" s="1"/>
  <c r="H28" i="226"/>
  <c r="O111" i="226"/>
  <c r="O56" i="226"/>
  <c r="L40" i="226"/>
  <c r="O79" i="226"/>
  <c r="BX106" i="226"/>
  <c r="G26" i="226"/>
  <c r="L56" i="226"/>
  <c r="DN106" i="226"/>
  <c r="L83" i="226"/>
  <c r="O26" i="226"/>
  <c r="H94" i="226"/>
  <c r="G56" i="226"/>
  <c r="G85" i="226"/>
  <c r="AS52" i="226" a="1"/>
  <c r="AS52" i="226" s="1"/>
  <c r="B106" i="226"/>
  <c r="H26" i="226"/>
  <c r="O94" i="226"/>
  <c r="H85" i="226"/>
  <c r="L79" i="226"/>
  <c r="G24" i="226"/>
  <c r="O24" i="226"/>
  <c r="G53" i="226"/>
  <c r="AK52" i="226" a="1"/>
  <c r="AK52" i="226" s="1"/>
  <c r="CT106" i="226" a="1"/>
  <c r="CT106" i="226" s="1"/>
  <c r="L94" i="226"/>
  <c r="CD52" i="226"/>
  <c r="H53" i="226"/>
  <c r="C62" i="226" a="1"/>
  <c r="C62" i="226" s="1"/>
  <c r="H62" i="226" s="1"/>
  <c r="H100" i="226"/>
  <c r="DL62" i="226"/>
  <c r="L50" i="226"/>
  <c r="O100" i="226"/>
  <c r="B62" i="226"/>
  <c r="O50" i="226"/>
  <c r="DP62" i="226"/>
  <c r="DT62" i="226"/>
  <c r="BY62" i="226" a="1"/>
  <c r="BY62" i="226" s="1"/>
  <c r="DN62" i="226"/>
  <c r="O31" i="226"/>
  <c r="G37" i="226"/>
  <c r="G112" i="226"/>
  <c r="G10" i="226"/>
  <c r="H38" i="226"/>
  <c r="H112" i="226"/>
  <c r="CT62" i="226" a="1"/>
  <c r="CT62" i="226" s="1"/>
  <c r="AJ62" i="226"/>
  <c r="L35" i="226"/>
  <c r="G38" i="226"/>
  <c r="L66" i="226"/>
  <c r="L100" i="226"/>
  <c r="AS62" i="226" a="1"/>
  <c r="AS62" i="226" s="1"/>
  <c r="BW62" i="226"/>
  <c r="O76" i="226"/>
  <c r="G35" i="226"/>
  <c r="L38" i="226"/>
  <c r="G66" i="226"/>
  <c r="AK62" i="226" a="1"/>
  <c r="AK62" i="226" s="1"/>
  <c r="AO62" i="226" a="1"/>
  <c r="AO62" i="226" s="1"/>
  <c r="L76" i="226"/>
  <c r="H35" i="226"/>
  <c r="H88" i="226"/>
  <c r="G48" i="226"/>
  <c r="H67" i="226"/>
  <c r="G68" i="226"/>
  <c r="G29" i="226"/>
  <c r="O88" i="226"/>
  <c r="H29" i="226"/>
  <c r="L67" i="226"/>
  <c r="L29" i="226"/>
  <c r="O64" i="226"/>
  <c r="H57" i="226"/>
  <c r="G103" i="226"/>
  <c r="L110" i="226"/>
  <c r="G57" i="226"/>
  <c r="L103" i="226"/>
  <c r="G30" i="226"/>
  <c r="H103" i="226"/>
  <c r="G110" i="226"/>
  <c r="H30" i="226"/>
  <c r="L30" i="226"/>
  <c r="H87" i="226"/>
  <c r="G64" i="226"/>
  <c r="O41" i="226"/>
  <c r="H60" i="226"/>
  <c r="O60" i="226"/>
  <c r="L54" i="226"/>
  <c r="G60" i="226"/>
  <c r="G51" i="226"/>
  <c r="H54" i="226"/>
  <c r="BP62" i="226" a="1"/>
  <c r="BP62" i="226" s="1"/>
  <c r="AH62" i="226" a="1"/>
  <c r="AH62" i="226" s="1"/>
  <c r="H76" i="226"/>
  <c r="G54" i="226"/>
  <c r="G70" i="226"/>
  <c r="L55" i="226"/>
  <c r="H41" i="226"/>
  <c r="O66" i="226"/>
  <c r="DJ62" i="226"/>
  <c r="H55" i="226"/>
  <c r="H82" i="226"/>
  <c r="O45" i="226"/>
  <c r="L82" i="226"/>
  <c r="G82" i="226"/>
  <c r="O37" i="226"/>
  <c r="DR62" i="226"/>
  <c r="G41" i="226"/>
  <c r="BV62" i="226" a="1"/>
  <c r="BV62" i="226" s="1"/>
  <c r="A62" i="226"/>
  <c r="CS62" i="226" a="1"/>
  <c r="CS62" i="226" s="1"/>
  <c r="CD62" i="226"/>
  <c r="O48" i="226"/>
  <c r="O67" i="226"/>
  <c r="DF7" i="226"/>
  <c r="BZ62" i="226"/>
  <c r="CA62" i="226"/>
  <c r="H10" i="226"/>
  <c r="L37" i="226"/>
  <c r="L84" i="226"/>
  <c r="DT39" i="226"/>
  <c r="G83" i="226"/>
  <c r="O83" i="226"/>
  <c r="AG62" i="226" a="1"/>
  <c r="AG62" i="226" s="1"/>
  <c r="AI62" i="226" a="1"/>
  <c r="AI62" i="226" s="1"/>
  <c r="BR62" i="226" a="1"/>
  <c r="BR62" i="226" s="1"/>
  <c r="AN62" i="226" a="1"/>
  <c r="AN62" i="226" s="1"/>
  <c r="AL62" i="226" s="1"/>
  <c r="O10" i="226"/>
  <c r="L86" i="226"/>
  <c r="G31" i="226"/>
  <c r="L112" i="226"/>
  <c r="AO52" i="226" a="1"/>
  <c r="AO52" i="226" s="1"/>
  <c r="BX62" i="226"/>
  <c r="AQ62" i="226" a="1"/>
  <c r="AQ62" i="226" s="1"/>
  <c r="BS62" i="226" a="1"/>
  <c r="BS62" i="226" s="1"/>
  <c r="O86" i="226"/>
  <c r="H50" i="226"/>
  <c r="AH96" i="226" a="1"/>
  <c r="AH96" i="226" s="1"/>
  <c r="L31" i="226"/>
  <c r="DF62" i="226"/>
  <c r="G86" i="226"/>
  <c r="CC62" i="226"/>
  <c r="BU62" i="226" a="1"/>
  <c r="BU62" i="226" s="1"/>
  <c r="CB62" i="226"/>
  <c r="DL52" i="226"/>
  <c r="L53" i="226"/>
  <c r="G12" i="226"/>
  <c r="G87" i="226"/>
  <c r="O87" i="226"/>
  <c r="CD7" i="226"/>
  <c r="A7" i="226"/>
  <c r="O85" i="226"/>
  <c r="AK7" i="226" a="1"/>
  <c r="AK7" i="226" s="1"/>
  <c r="G6" i="226"/>
  <c r="BZ39" i="226"/>
  <c r="BR96" i="226" a="1"/>
  <c r="BR96" i="226" s="1"/>
  <c r="L101" i="226"/>
  <c r="BY39" i="226" a="1"/>
  <c r="BY39" i="226" s="1"/>
  <c r="BS96" i="226" a="1"/>
  <c r="BS96" i="226" s="1"/>
  <c r="DR96" i="226"/>
  <c r="O107" i="226"/>
  <c r="G111" i="226"/>
  <c r="L107" i="226"/>
  <c r="L111" i="226"/>
  <c r="DJ39" i="226"/>
  <c r="O6" i="226"/>
  <c r="H107" i="226"/>
  <c r="O101" i="226"/>
  <c r="DL96" i="226"/>
  <c r="H6" i="226"/>
  <c r="AI39" i="226" a="1"/>
  <c r="AI39" i="226" s="1"/>
  <c r="AQ96" i="226" a="1"/>
  <c r="AQ96" i="226" s="1"/>
  <c r="G101" i="226"/>
  <c r="G98" i="226"/>
  <c r="O98" i="226"/>
  <c r="H98" i="226"/>
  <c r="L98" i="226"/>
  <c r="CB39" i="226"/>
  <c r="AJ96" i="226"/>
  <c r="BP7" i="226" a="1"/>
  <c r="BP7" i="226" s="1"/>
  <c r="AQ7" i="226" a="1"/>
  <c r="AQ7" i="226" s="1"/>
  <c r="AO7" i="226" a="1"/>
  <c r="AO7" i="226" s="1"/>
  <c r="BS52" i="226" a="1"/>
  <c r="BS52" i="226" s="1"/>
  <c r="BP52" i="226" a="1"/>
  <c r="BP52" i="226" s="1"/>
  <c r="BX52" i="226"/>
  <c r="H64" i="226"/>
  <c r="H16" i="226"/>
  <c r="H70" i="226"/>
  <c r="L51" i="226"/>
  <c r="L45" i="226"/>
  <c r="DH7" i="226"/>
  <c r="DF52" i="226"/>
  <c r="L65" i="226"/>
  <c r="BZ7" i="226"/>
  <c r="BR7" i="226" a="1"/>
  <c r="BR7" i="226" s="1"/>
  <c r="DR7" i="226"/>
  <c r="L16" i="226"/>
  <c r="AI7" i="226" a="1"/>
  <c r="AI7" i="226" s="1"/>
  <c r="CS7" i="226" a="1"/>
  <c r="CS7" i="226" s="1"/>
  <c r="CB7" i="226"/>
  <c r="AH52" i="226" a="1"/>
  <c r="AH52" i="226" s="1"/>
  <c r="AN52" i="226" a="1"/>
  <c r="AN52" i="226" s="1"/>
  <c r="AL52" i="226" s="1"/>
  <c r="BR52" i="226" a="1"/>
  <c r="BR52" i="226" s="1"/>
  <c r="B52" i="226"/>
  <c r="G90" i="226"/>
  <c r="G16" i="226"/>
  <c r="DT7" i="226"/>
  <c r="CA7" i="226"/>
  <c r="AG7" i="226" a="1"/>
  <c r="AG7" i="226" s="1"/>
  <c r="BV7" i="226" a="1"/>
  <c r="BV7" i="226" s="1"/>
  <c r="AH7" i="226" a="1"/>
  <c r="AH7" i="226" s="1"/>
  <c r="A52" i="226"/>
  <c r="AG52" i="226" a="1"/>
  <c r="AG52" i="226" s="1"/>
  <c r="CB52" i="226"/>
  <c r="CC52" i="226"/>
  <c r="H90" i="226"/>
  <c r="O95" i="226"/>
  <c r="DH52" i="226"/>
  <c r="DT52" i="226"/>
  <c r="BS7" i="226" a="1"/>
  <c r="BS7" i="226" s="1"/>
  <c r="DP7" i="226"/>
  <c r="AJ7" i="226"/>
  <c r="AS7" i="226" a="1"/>
  <c r="AS7" i="226" s="1"/>
  <c r="C7" i="226" a="1"/>
  <c r="C7" i="226" s="1"/>
  <c r="G7" i="226" s="1"/>
  <c r="CT7" i="226" a="1"/>
  <c r="CT7" i="226" s="1"/>
  <c r="C52" i="226" a="1"/>
  <c r="C52" i="226" s="1"/>
  <c r="G52" i="226" s="1"/>
  <c r="BV52" i="226" a="1"/>
  <c r="BV52" i="226" s="1"/>
  <c r="AI52" i="226" a="1"/>
  <c r="AI52" i="226" s="1"/>
  <c r="L90" i="226"/>
  <c r="H95" i="226"/>
  <c r="G65" i="226"/>
  <c r="DL7" i="226"/>
  <c r="DJ52" i="226"/>
  <c r="DR52" i="226"/>
  <c r="AN7" i="226" a="1"/>
  <c r="AN7" i="226" s="1"/>
  <c r="AL7" i="226" s="1"/>
  <c r="BY7" i="226" a="1"/>
  <c r="BY7" i="226" s="1"/>
  <c r="BU7" i="226" a="1"/>
  <c r="BU7" i="226" s="1"/>
  <c r="CA52" i="226"/>
  <c r="CS52" i="226" a="1"/>
  <c r="CS52" i="226" s="1"/>
  <c r="AQ52" i="226" a="1"/>
  <c r="AQ52" i="226" s="1"/>
  <c r="L70" i="226"/>
  <c r="O51" i="226"/>
  <c r="H45" i="226"/>
  <c r="L95" i="226"/>
  <c r="DJ7" i="226"/>
  <c r="DP52" i="226"/>
  <c r="H65" i="226"/>
  <c r="CC7" i="226"/>
  <c r="BX7" i="226"/>
  <c r="BW7" i="226"/>
  <c r="B7" i="226"/>
  <c r="BW52" i="226"/>
  <c r="BU52" i="226" a="1"/>
  <c r="BU52" i="226" s="1"/>
  <c r="BY52" i="226" a="1"/>
  <c r="BY52" i="226" s="1"/>
  <c r="BZ52" i="226"/>
  <c r="BR39" i="226" a="1"/>
  <c r="BR39" i="226" s="1"/>
  <c r="AO39" i="226" a="1"/>
  <c r="AO39" i="226" s="1"/>
  <c r="B39" i="226"/>
  <c r="AG96" i="226" a="1"/>
  <c r="AG96" i="226" s="1"/>
  <c r="AN96" i="226" a="1"/>
  <c r="AN96" i="226" s="1"/>
  <c r="AL96" i="226" s="1"/>
  <c r="AO96" i="226" a="1"/>
  <c r="AO96" i="226" s="1"/>
  <c r="G34" i="226"/>
  <c r="DP39" i="226"/>
  <c r="DF96" i="226"/>
  <c r="CD39" i="226"/>
  <c r="CA39" i="226"/>
  <c r="A39" i="226"/>
  <c r="AI96" i="226" a="1"/>
  <c r="AI96" i="226" s="1"/>
  <c r="BU96" i="226" a="1"/>
  <c r="BU96" i="226" s="1"/>
  <c r="O34" i="226"/>
  <c r="DF39" i="226"/>
  <c r="BW39" i="226"/>
  <c r="CC39" i="226"/>
  <c r="CT39" i="226" a="1"/>
  <c r="CT39" i="226" s="1"/>
  <c r="AQ39" i="226" a="1"/>
  <c r="AQ39" i="226" s="1"/>
  <c r="CC96" i="226"/>
  <c r="C96" i="226" a="1"/>
  <c r="C96" i="226" s="1"/>
  <c r="G96" i="226" s="1"/>
  <c r="CA96" i="226"/>
  <c r="H34" i="226"/>
  <c r="DL39" i="226"/>
  <c r="BP39" i="226" a="1"/>
  <c r="BP39" i="226" s="1"/>
  <c r="BX39" i="226"/>
  <c r="AH39" i="226" a="1"/>
  <c r="AH39" i="226" s="1"/>
  <c r="BY96" i="226" a="1"/>
  <c r="BY96" i="226" s="1"/>
  <c r="A96" i="226"/>
  <c r="BP96" i="226" a="1"/>
  <c r="BP96" i="226" s="1"/>
  <c r="DH96" i="226"/>
  <c r="BU39" i="226" a="1"/>
  <c r="BU39" i="226" s="1"/>
  <c r="C39" i="226" a="1"/>
  <c r="C39" i="226" s="1"/>
  <c r="O39" i="226" s="1"/>
  <c r="CS39" i="226" a="1"/>
  <c r="CS39" i="226" s="1"/>
  <c r="AN39" i="226" a="1"/>
  <c r="AN39" i="226" s="1"/>
  <c r="AL39" i="226" s="1"/>
  <c r="AS96" i="226" a="1"/>
  <c r="AS96" i="226" s="1"/>
  <c r="B96" i="226"/>
  <c r="BX96" i="226"/>
  <c r="DN96" i="226"/>
  <c r="AJ39" i="226"/>
  <c r="AS39" i="226" a="1"/>
  <c r="AS39" i="226" s="1"/>
  <c r="CD96" i="226"/>
  <c r="CS96" i="226" a="1"/>
  <c r="CS96" i="226" s="1"/>
  <c r="CB96" i="226"/>
  <c r="DN39" i="226"/>
  <c r="DP96" i="226"/>
  <c r="BS39" i="226" a="1"/>
  <c r="BS39" i="226" s="1"/>
  <c r="AK39" i="226" a="1"/>
  <c r="AK39" i="226" s="1"/>
  <c r="BV39" i="226" a="1"/>
  <c r="BV39" i="226" s="1"/>
  <c r="AK96" i="226" a="1"/>
  <c r="AK96" i="226" s="1"/>
  <c r="BZ96" i="226"/>
  <c r="BW96" i="226"/>
  <c r="CT96" i="226" a="1"/>
  <c r="CT96" i="226" s="1"/>
  <c r="BV96" i="226" a="1"/>
  <c r="BV96" i="226" s="1"/>
  <c r="DH39" i="226"/>
  <c r="DJ96" i="226"/>
  <c r="DN77" i="226"/>
  <c r="DT77" i="226"/>
  <c r="DJ77" i="226"/>
  <c r="CT77" i="226" a="1"/>
  <c r="CT77" i="226" s="1"/>
  <c r="AN77" i="226" a="1"/>
  <c r="AN77" i="226" s="1"/>
  <c r="AL77" i="226" s="1"/>
  <c r="AK77" i="226" a="1"/>
  <c r="AK77" i="226" s="1"/>
  <c r="AQ77" i="226" a="1"/>
  <c r="AQ77" i="226" s="1"/>
  <c r="BV77" i="226" a="1"/>
  <c r="BV77" i="226" s="1"/>
  <c r="DP77" i="226"/>
  <c r="CC77" i="226"/>
  <c r="CA77" i="226"/>
  <c r="BS77" i="226" a="1"/>
  <c r="BS77" i="226" s="1"/>
  <c r="AG77" i="226" a="1"/>
  <c r="AG77" i="226" s="1"/>
  <c r="DH77" i="226"/>
  <c r="BU77" i="226" a="1"/>
  <c r="BU77" i="226" s="1"/>
  <c r="DF77" i="226"/>
  <c r="AS77" i="226" a="1"/>
  <c r="AS77" i="226" s="1"/>
  <c r="B77" i="226"/>
  <c r="A77" i="226"/>
  <c r="BY77" i="226" a="1"/>
  <c r="BY77" i="226" s="1"/>
  <c r="AO77" i="226" a="1"/>
  <c r="AO77" i="226" s="1"/>
  <c r="AI77" i="226" a="1"/>
  <c r="AI77" i="226" s="1"/>
  <c r="BR77" i="226" a="1"/>
  <c r="BR77" i="226" s="1"/>
  <c r="AH77" i="226" a="1"/>
  <c r="AH77" i="226" s="1"/>
  <c r="BZ77" i="226"/>
  <c r="DR77" i="226"/>
  <c r="DL77" i="226"/>
  <c r="BP77" i="226" a="1"/>
  <c r="BP77" i="226" s="1"/>
  <c r="BX77" i="226"/>
  <c r="CD77" i="226"/>
  <c r="CS77" i="226" a="1"/>
  <c r="CS77" i="226" s="1"/>
  <c r="CB77" i="226"/>
  <c r="AJ77" i="226"/>
  <c r="C77" i="226" a="1"/>
  <c r="C77" i="226" s="1"/>
  <c r="BW77" i="226"/>
  <c r="L12" i="226"/>
  <c r="H12" i="226"/>
  <c r="L97" i="226"/>
  <c r="O11" i="226"/>
  <c r="O97" i="226"/>
  <c r="H11" i="226"/>
  <c r="G11" i="226"/>
  <c r="G17" i="226"/>
  <c r="H17" i="226"/>
  <c r="H97" i="226"/>
  <c r="L73" i="226"/>
  <c r="G73" i="226"/>
  <c r="O73" i="226"/>
  <c r="L27" i="226"/>
  <c r="H27" i="226"/>
  <c r="O27" i="226"/>
  <c r="G27" i="226"/>
  <c r="BZ106" i="226"/>
  <c r="AS106" i="226" a="1"/>
  <c r="AS106" i="226" s="1"/>
  <c r="CD106" i="226"/>
  <c r="BY106" i="226" a="1"/>
  <c r="BY106" i="226" s="1"/>
  <c r="BV106" i="226" a="1"/>
  <c r="BV106" i="226" s="1"/>
  <c r="AO106" i="226" a="1"/>
  <c r="AO106" i="226" s="1"/>
  <c r="AN106" i="226" a="1"/>
  <c r="AN106" i="226" s="1"/>
  <c r="AL106" i="226" s="1"/>
  <c r="CA106" i="226"/>
  <c r="AJ106" i="226"/>
  <c r="BS106" i="226" a="1"/>
  <c r="BS106" i="226" s="1"/>
  <c r="AK106" i="226" a="1"/>
  <c r="AK106" i="226" s="1"/>
  <c r="DH106" i="226"/>
  <c r="DT106" i="226"/>
  <c r="G75" i="226"/>
  <c r="L75" i="226"/>
  <c r="O75" i="226"/>
  <c r="H75" i="226"/>
  <c r="H23" i="226"/>
  <c r="G23" i="226"/>
  <c r="O23" i="226"/>
  <c r="L23" i="226"/>
  <c r="L108" i="226"/>
  <c r="O108" i="226"/>
  <c r="H108" i="226"/>
  <c r="G108" i="226"/>
  <c r="AQ106" i="226" a="1"/>
  <c r="AQ106" i="226" s="1"/>
  <c r="BP106" i="226" a="1"/>
  <c r="BP106" i="226" s="1"/>
  <c r="CS106" i="226" a="1"/>
  <c r="CS106" i="226" s="1"/>
  <c r="BU106" i="226" a="1"/>
  <c r="BU106" i="226" s="1"/>
  <c r="DL106" i="226"/>
  <c r="DR106" i="226"/>
  <c r="H71" i="226"/>
  <c r="G71" i="226"/>
  <c r="L71" i="226"/>
  <c r="O71" i="226"/>
  <c r="AH106" i="226" a="1"/>
  <c r="AH106" i="226" s="1"/>
  <c r="C106" i="226" a="1"/>
  <c r="C106" i="226" s="1"/>
  <c r="H106" i="226" s="1"/>
  <c r="CC106" i="226"/>
  <c r="AG106" i="226" a="1"/>
  <c r="AG106" i="226" s="1"/>
  <c r="G84" i="226"/>
  <c r="DF106" i="226"/>
  <c r="BW106" i="226"/>
  <c r="CB106" i="226"/>
  <c r="H84" i="226"/>
  <c r="DP106" i="226"/>
  <c r="G44" i="226"/>
  <c r="L44" i="226"/>
  <c r="H44" i="226"/>
  <c r="O44" i="226"/>
  <c r="AI106" i="226" a="1"/>
  <c r="AI106" i="226" s="1"/>
  <c r="BR106" i="226" a="1"/>
  <c r="BR106" i="226" s="1"/>
  <c r="A106" i="226"/>
  <c r="G5" i="226"/>
  <c r="O5" i="226"/>
  <c r="L5" i="226"/>
  <c r="H5" i="226"/>
  <c r="AB62" i="14"/>
  <c r="S62" i="14"/>
  <c r="L75" i="81"/>
  <c r="CI18" i="168" l="1"/>
  <c r="CG18" i="168" s="1"/>
  <c r="CI20" i="167"/>
  <c r="O81" i="226"/>
  <c r="L81" i="226"/>
  <c r="G81" i="226"/>
  <c r="Q20" i="3"/>
  <c r="FD4" i="226" a="1"/>
  <c r="FD4" i="226" s="1"/>
  <c r="FI4" i="226" a="1"/>
  <c r="FI4" i="226" s="1"/>
  <c r="FG4" i="226" a="1"/>
  <c r="FG4" i="226" s="1"/>
  <c r="FH4" i="226" a="1"/>
  <c r="FH4" i="226" s="1"/>
  <c r="EZ4" i="226" a="1"/>
  <c r="EZ4" i="226" s="1"/>
  <c r="FA4" i="226" a="1"/>
  <c r="FA4" i="226" s="1"/>
  <c r="FB4" i="226" a="1"/>
  <c r="FB4" i="226" s="1"/>
  <c r="FC4" i="226" a="1"/>
  <c r="FC4" i="226" s="1"/>
  <c r="FJ4" i="226" a="1"/>
  <c r="FJ4" i="226" s="1"/>
  <c r="FK4" i="226" a="1"/>
  <c r="FK4" i="226" s="1"/>
  <c r="FM4" i="226" a="1"/>
  <c r="FM4" i="226" s="1"/>
  <c r="FL4" i="226" a="1"/>
  <c r="FL4" i="226" s="1"/>
  <c r="FE4" i="226" a="1"/>
  <c r="FE4" i="226" s="1"/>
  <c r="FF4" i="226" a="1"/>
  <c r="FF4" i="226" s="1"/>
  <c r="P39" i="230"/>
  <c r="V10" i="3"/>
  <c r="V21" i="3" s="1"/>
  <c r="R21" i="3"/>
  <c r="AD43" i="14" s="1"/>
  <c r="AT4" i="226" a="1"/>
  <c r="AT4" i="226" s="1"/>
  <c r="EW4" i="226"/>
  <c r="EH4" i="226" a="1"/>
  <c r="EH4" i="226" s="1"/>
  <c r="DW4" i="226" a="1"/>
  <c r="DW4" i="226" s="1"/>
  <c r="ER4" i="226"/>
  <c r="DV4" i="226" a="1"/>
  <c r="DV4" i="226" s="1"/>
  <c r="AU78" i="81" s="1"/>
  <c r="EX4" i="226"/>
  <c r="EM4" i="226" a="1"/>
  <c r="EM4" i="226" s="1"/>
  <c r="EG4" i="226" a="1"/>
  <c r="EG4" i="226" s="1"/>
  <c r="EB4" i="226" a="1"/>
  <c r="EB4" i="226" s="1"/>
  <c r="DX4" i="226" a="1"/>
  <c r="DX4" i="226" s="1"/>
  <c r="AU79" i="81" s="1"/>
  <c r="ED4" i="226" a="1"/>
  <c r="ED4" i="226" s="1"/>
  <c r="EV4" i="226"/>
  <c r="EL4" i="226" a="1"/>
  <c r="EL4" i="226" s="1"/>
  <c r="DY4" i="226" a="1"/>
  <c r="DY4" i="226" s="1"/>
  <c r="DU4" i="226" a="1"/>
  <c r="DU4" i="226" s="1"/>
  <c r="EY4" i="226"/>
  <c r="EQ4" i="226" a="1"/>
  <c r="EQ4" i="226" s="1"/>
  <c r="AU83" i="81" s="1"/>
  <c r="EK4" i="226" a="1"/>
  <c r="EK4" i="226" s="1"/>
  <c r="EF4" i="226" a="1"/>
  <c r="EF4" i="226" s="1"/>
  <c r="DZ4" i="226" a="1"/>
  <c r="DZ4" i="226" s="1"/>
  <c r="EN4" i="226" a="1"/>
  <c r="EN4" i="226" s="1"/>
  <c r="ES4" i="226"/>
  <c r="EP4" i="226" a="1"/>
  <c r="EP4" i="226" s="1"/>
  <c r="AU82" i="81" s="1"/>
  <c r="EA4" i="226" a="1"/>
  <c r="EA4" i="226" s="1"/>
  <c r="EU4" i="226"/>
  <c r="EC4" i="226" a="1"/>
  <c r="EC4" i="226" s="1"/>
  <c r="AU80" i="81" s="1"/>
  <c r="ET4" i="226"/>
  <c r="EO4" i="226" a="1"/>
  <c r="EO4" i="226" s="1"/>
  <c r="EJ4" i="226" a="1"/>
  <c r="EJ4" i="226" s="1"/>
  <c r="EE4" i="226" a="1"/>
  <c r="EE4" i="226" s="1"/>
  <c r="AU81" i="81" s="1"/>
  <c r="EI4" i="226" a="1"/>
  <c r="EI4" i="226" s="1"/>
  <c r="CA4" i="226"/>
  <c r="DH4" i="226"/>
  <c r="DN4" i="226"/>
  <c r="DP4" i="226"/>
  <c r="DR4" i="226"/>
  <c r="BV4" i="226" a="1"/>
  <c r="BV4" i="226" s="1"/>
  <c r="BT4" i="226" a="1"/>
  <c r="BT4" i="226" s="1"/>
  <c r="CT4" i="226" a="1"/>
  <c r="CT4" i="226" s="1"/>
  <c r="AI4" i="226" a="1"/>
  <c r="AI4" i="226" s="1"/>
  <c r="CS4" i="226" a="1"/>
  <c r="CS4" i="226" s="1"/>
  <c r="AH4" i="226" a="1"/>
  <c r="AH4" i="226" s="1"/>
  <c r="AQ4" i="226" a="1"/>
  <c r="AQ4" i="226" s="1"/>
  <c r="AN4" i="226" a="1"/>
  <c r="AN4" i="226" s="1"/>
  <c r="AL4" i="226" s="1"/>
  <c r="AU74" i="81" s="1"/>
  <c r="AG4" i="226" a="1"/>
  <c r="AG4" i="226" s="1"/>
  <c r="AS4" i="226" a="1"/>
  <c r="AS4" i="226" s="1"/>
  <c r="BU4" i="226" a="1"/>
  <c r="BU4" i="226" s="1"/>
  <c r="V4" i="226" a="1"/>
  <c r="V4" i="226" s="1"/>
  <c r="AK4" i="226" a="1"/>
  <c r="AK4" i="226" s="1"/>
  <c r="DT4" i="226"/>
  <c r="AJ4" i="226"/>
  <c r="AR4" i="226" a="1"/>
  <c r="AR4" i="226" s="1"/>
  <c r="CB4" i="226"/>
  <c r="DL4" i="226"/>
  <c r="BP4" i="226" a="1"/>
  <c r="BP4" i="226" s="1"/>
  <c r="CD4" i="226"/>
  <c r="W4" i="226" a="1"/>
  <c r="W4" i="226" s="1"/>
  <c r="A4" i="226"/>
  <c r="BX4" i="226"/>
  <c r="BW4" i="226"/>
  <c r="DJ4" i="226"/>
  <c r="X4" i="226" a="1"/>
  <c r="X4" i="226" s="1"/>
  <c r="BR4" i="226" a="1"/>
  <c r="BR4" i="226" s="1"/>
  <c r="C4" i="226" a="1"/>
  <c r="C4" i="226" s="1"/>
  <c r="L4" i="226" s="1"/>
  <c r="B4" i="226"/>
  <c r="BY4" i="226" a="1"/>
  <c r="BY4" i="226" s="1"/>
  <c r="AP4" i="226" a="1"/>
  <c r="AP4" i="226" s="1"/>
  <c r="AM4" i="226"/>
  <c r="CU4" i="226" a="1"/>
  <c r="CU4" i="226" s="1"/>
  <c r="DF4" i="226"/>
  <c r="AO4" i="226" a="1"/>
  <c r="AO4" i="226" s="1"/>
  <c r="CC4" i="226"/>
  <c r="BZ4" i="226"/>
  <c r="BS4" i="226" a="1"/>
  <c r="BS4" i="226" s="1"/>
  <c r="H3" i="3"/>
  <c r="G62" i="226"/>
  <c r="L62" i="226"/>
  <c r="O62" i="226"/>
  <c r="O52" i="226"/>
  <c r="O106" i="226"/>
  <c r="H7" i="226"/>
  <c r="O7" i="226"/>
  <c r="G106" i="226"/>
  <c r="L7" i="226"/>
  <c r="L96" i="226"/>
  <c r="H52" i="226"/>
  <c r="H39" i="226"/>
  <c r="H96" i="226"/>
  <c r="O96" i="226"/>
  <c r="L52" i="226"/>
  <c r="G39" i="226"/>
  <c r="L39" i="226"/>
  <c r="L77" i="226"/>
  <c r="O77" i="226"/>
  <c r="G77" i="226"/>
  <c r="H77" i="226"/>
  <c r="L106" i="226"/>
  <c r="T11" i="3" l="1"/>
  <c r="AP19" i="154" s="1"/>
  <c r="BH20" i="167"/>
  <c r="CG20" i="167"/>
  <c r="T10" i="3"/>
  <c r="AU77" i="81"/>
  <c r="FT2" i="226"/>
  <c r="V20" i="3"/>
  <c r="W38" i="221"/>
  <c r="AH43" i="156"/>
  <c r="H52" i="3"/>
  <c r="H51" i="3"/>
  <c r="H55" i="3"/>
  <c r="G4" i="226"/>
  <c r="H4" i="226"/>
  <c r="O4" i="226"/>
  <c r="H57" i="3"/>
  <c r="H58" i="3"/>
  <c r="H56" i="3"/>
  <c r="H54" i="3"/>
  <c r="H53" i="3"/>
  <c r="T20" i="3" l="1"/>
  <c r="AP18" i="154"/>
  <c r="AP28" i="154" s="1"/>
  <c r="T21" i="3"/>
  <c r="E168" i="3" s="1"/>
  <c r="AC12" i="167"/>
  <c r="AH12" i="167"/>
  <c r="AL12" i="167"/>
  <c r="AT4" i="81"/>
  <c r="LC2" i="226"/>
  <c r="KI2" i="226"/>
  <c r="AX4" i="169" l="1"/>
  <c r="AX4" i="167"/>
  <c r="AX4" i="170"/>
  <c r="AX4" i="13"/>
  <c r="AT4" i="166"/>
  <c r="AT4" i="144"/>
  <c r="AL43" i="156"/>
  <c r="AT4" i="153"/>
  <c r="AX4" i="224"/>
  <c r="W39" i="221"/>
  <c r="W40" i="221" s="1"/>
  <c r="W43" i="221" s="1"/>
  <c r="W45" i="221" s="1"/>
  <c r="AT4" i="151"/>
  <c r="AX4" i="223"/>
  <c r="AU71" i="81"/>
  <c r="H12" i="81" s="1"/>
  <c r="AT4" i="230"/>
  <c r="AX4" i="176"/>
  <c r="AT4" i="221"/>
  <c r="AT4" i="207"/>
  <c r="AT4" i="228"/>
  <c r="AX4" i="171"/>
  <c r="AD41" i="14"/>
  <c r="AT4" i="156"/>
  <c r="AD45" i="14"/>
  <c r="AT4" i="14"/>
  <c r="AT4" i="147"/>
  <c r="AX4" i="175"/>
  <c r="AT4" i="180"/>
  <c r="AT4" i="154"/>
  <c r="AT4" i="148"/>
  <c r="AX4" i="168"/>
  <c r="H41" i="3"/>
  <c r="AL42" i="156"/>
  <c r="H5" i="3"/>
  <c r="AR16" i="154"/>
  <c r="L76" i="81"/>
  <c r="L49" i="81" l="1"/>
  <c r="W41" i="221"/>
  <c r="BG5" i="168"/>
  <c r="BG5" i="167"/>
  <c r="BG5" i="144"/>
  <c r="BG5" i="221"/>
  <c r="BG5" i="169"/>
  <c r="BG5" i="147"/>
  <c r="BG5" i="224"/>
  <c r="BG5" i="176"/>
  <c r="BC5" i="14"/>
  <c r="BG5" i="13"/>
  <c r="BG5" i="153"/>
  <c r="BG5" i="171"/>
  <c r="BG5" i="230"/>
  <c r="BG5" i="223"/>
  <c r="BG5" i="170"/>
  <c r="BG5" i="154"/>
  <c r="BG5" i="156"/>
  <c r="BG5" i="180"/>
  <c r="BG5" i="175"/>
  <c r="BG5" i="166"/>
  <c r="BG5" i="228"/>
  <c r="BG5" i="148"/>
  <c r="BG5" i="81"/>
  <c r="BG5" i="151"/>
  <c r="BG5" i="2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tc={E990F967-8BC8-4EE6-B9C6-722E4F97D700}</author>
    <author>tc={4B2E61C4-67F0-47F4-A3F7-C3FF484164F2}</author>
    <author>tc={C750EF1C-7BD7-4EA8-8068-C8585F7C86D7}</author>
    <author>tc={383B1F31-3E21-4B5E-92FB-DED7D1E98FAE}</author>
  </authors>
  <commentList>
    <comment ref="F10" authorId="0" shapeId="0" xr:uid="{E990F967-8BC8-4EE6-B9C6-722E4F97D700}">
      <text>
        <t>[Threaded comment]
Your version of Excel allows you to read this threaded comment; however, any edits to it will get removed if the file is opened in a newer version of Excel. Learn more: https://go.microsoft.com/fwlink/?linkid=870924
Comment:
    need to update hyperlinks here to correct tabs</t>
      </text>
    </comment>
    <comment ref="B58" authorId="1" shapeId="0" xr:uid="{4B2E61C4-67F0-47F4-A3F7-C3FF484164F2}">
      <text>
        <t>[Threaded comment]
Your version of Excel allows you to read this threaded comment; however, any edits to it will get removed if the file is opened in a newer version of Excel. Learn more: https://go.microsoft.com/fwlink/?linkid=870924
Comment:
    "On-Bill Repayment" Repayment Agreement
Redundant "Repayment"?</t>
      </text>
    </comment>
    <comment ref="G84" authorId="2" shapeId="0" xr:uid="{C750EF1C-7BD7-4EA8-8068-C8585F7C86D7}">
      <text>
        <t>[Threaded comment]
Your version of Excel allows you to read this threaded comment; however, any edits to it will get removed if the file is opened in a newer version of Excel. Learn more: https://go.microsoft.com/fwlink/?linkid=870924
Comment:
    I messed with this cell incase someone wants to review. Before it was set to always TRUE</t>
      </text>
    </comment>
    <comment ref="G97" authorId="3" shapeId="0" xr:uid="{383B1F31-3E21-4B5E-92FB-DED7D1E98FAE}">
      <text>
        <t>[Threaded comment]
Your version of Excel allows you to read this threaded comment; however, any edits to it will get removed if the file is opened in a newer version of Excel. Learn more: https://go.microsoft.com/fwlink/?linkid=870924
Comment:
    Does the "Same as Service Address" Autofill the Mailing Address, or should the answer to that question make these inputs no longer required?
Reply:
    It should autofill (equations *should* be to the right, but I may still need to add them)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tc={338D3AD4-B600-4BB6-BD35-6130F0EA816F}</author>
    <author>tc={518E6FFD-EC43-4AD7-8EEA-C270EEED36BF}</author>
    <author>tc={8348B579-F40D-4D5D-B82E-586F383FE6AC}</author>
    <author>tc={3A398A75-1BA9-4A66-8DB8-C078617E897B}</author>
    <author>tc={E130CDBA-B7D7-41A2-9B1E-682F7644A698}</author>
    <author>tc={D58135E7-6CE9-4DBE-B156-49F0F8778A94}</author>
    <author>tc={316973D2-3A26-4F63-A308-81BB312DE220}</author>
    <author>tc={594A448B-FE03-4C59-B5FF-BE6D3D8A539B}</author>
    <author>tc={4B0E2096-3323-4382-B363-F92E116732CF}</author>
    <author>tc={59374C27-EEE0-49B6-9E4E-3174925DEE5D}</author>
    <author>tc={801A00C7-FDDB-40F8-8560-34C7720FD2D2}</author>
    <author>tc={7EE39EC9-73E0-4C40-9301-8C29DCF745BA}</author>
    <author>tc={260106F5-A0E2-4704-A21D-67343D585641}</author>
    <author>tc={3FD4249C-B0F7-452D-9BD5-9A19702DA20A}</author>
    <author>tc={2D408385-400F-4B6B-AE30-EB305CA1C41E}</author>
    <author>tc={37587403-43F5-4C07-A266-41E4AA2995CB}</author>
    <author>tc={35891301-B990-490B-9AB9-28D9CDEB8581}</author>
    <author>tc={52474B36-5555-4437-8997-57DF5D333E5E}</author>
    <author>tc={FB0A805E-FABA-45AF-AB82-03110E58C9A0}</author>
    <author>tc={1380CAF0-FE68-4615-A88F-5CD698865CE3}</author>
  </authors>
  <commentList>
    <comment ref="X40" authorId="0" shapeId="0" xr:uid="{338D3AD4-B600-4BB6-BD35-6130F0EA816F}">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42" authorId="1" shapeId="0" xr:uid="{518E6FFD-EC43-4AD7-8EEA-C270EEED36BF}">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43" authorId="2" shapeId="0" xr:uid="{8348B579-F40D-4D5D-B82E-586F383FE6AC}">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45" authorId="3" shapeId="0" xr:uid="{3A398A75-1BA9-4A66-8DB8-C078617E897B}">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46" authorId="4" shapeId="0" xr:uid="{E130CDBA-B7D7-41A2-9B1E-682F7644A698}">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47" authorId="5" shapeId="0" xr:uid="{D58135E7-6CE9-4DBE-B156-49F0F8778A94}">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48" authorId="6" shapeId="0" xr:uid="{316973D2-3A26-4F63-A308-81BB312DE220}">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49" authorId="7" shapeId="0" xr:uid="{594A448B-FE03-4C59-B5FF-BE6D3D8A539B}">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A65" authorId="8" shapeId="0" xr:uid="{4B0E2096-3323-4382-B363-F92E116732CF}">
      <text>
        <t>[Threaded comment]
Your version of Excel allows you to read this threaded comment; however, any edits to it will get removed if the file is opened in a newer version of Excel. Learn more: https://go.microsoft.com/fwlink/?linkid=870924
Comment:
    Needs updates for PSE&amp;G</t>
      </text>
    </comment>
    <comment ref="T69" authorId="9" shapeId="0" xr:uid="{59374C27-EEE0-49B6-9E4E-3174925DEE5D}">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W69" authorId="10" shapeId="0" xr:uid="{801A00C7-FDDB-40F8-8560-34C7720FD2D2}">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69" authorId="11" shapeId="0" xr:uid="{7EE39EC9-73E0-4C40-9301-8C29DCF745BA}">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74" authorId="12" shapeId="0" xr:uid="{260106F5-A0E2-4704-A21D-67343D585641}">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A76" authorId="13" shapeId="0" xr:uid="{3FD4249C-B0F7-452D-9BD5-9A19702DA20A}">
      <text>
        <t>[Threaded comment]
Your version of Excel allows you to read this threaded comment; however, any edits to it will get removed if the file is opened in a newer version of Excel. Learn more: https://go.microsoft.com/fwlink/?linkid=870924
Comment:
    needs updates for PSE&amp;G</t>
      </text>
    </comment>
    <comment ref="X76" authorId="14" shapeId="0" xr:uid="{2D408385-400F-4B6B-AE30-EB305CA1C41E}">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77" authorId="15" shapeId="0" xr:uid="{37587403-43F5-4C07-A266-41E4AA2995CB}">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78" authorId="16" shapeId="0" xr:uid="{35891301-B990-490B-9AB9-28D9CDEB8581}">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X80" authorId="17" shapeId="0" xr:uid="{52474B36-5555-4437-8997-57DF5D333E5E}">
      <text>
        <t>[Threaded comment]
Your version of Excel allows you to read this threaded comment; however, any edits to it will get removed if the file is opened in a newer version of Excel. Learn more: https://go.microsoft.com/fwlink/?linkid=870924
Comment:
    Using "Other", as there is no equivalient to this</t>
      </text>
    </comment>
    <comment ref="Y81" authorId="18" shapeId="0" xr:uid="{FB0A805E-FABA-45AF-AB82-03110E58C9A0}">
      <text>
        <t>[Threaded comment]
Your version of Excel allows you to read this threaded comment; however, any edits to it will get removed if the file is opened in a newer version of Excel. Learn more: https://go.microsoft.com/fwlink/?linkid=870924
Comment:
    "Warehouse - Refrigerated" exists, but the cooling hours are far greater.</t>
      </text>
    </comment>
    <comment ref="C131" authorId="19" shapeId="0" xr:uid="{1380CAF0-FE68-4615-A88F-5CD698865CE3}">
      <text>
        <t>[Threaded comment]
Your version of Excel allows you to read this threaded comment; however, any edits to it will get removed if the file is opened in a newer version of Excel. Learn more: https://go.microsoft.com/fwlink/?linkid=870924
Comment:
    @Rush, Meaghan add your space conditioning needs here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Sizemore, Taylor</author>
    <author>tc={2117BAF8-735A-4A1C-B340-628263BF547D}</author>
    <author>tc={C14F1EA7-F32F-4062-82E9-14E5EE0BFE2F}</author>
  </authors>
  <commentList>
    <comment ref="BQ1" authorId="0" shapeId="0" xr:uid="{0F88DA86-A069-475D-94BD-036A9A7C0AAC}">
      <text>
        <r>
          <rPr>
            <b/>
            <sz val="9"/>
            <color indexed="81"/>
            <rFont val="Tahoma"/>
            <family val="2"/>
          </rPr>
          <t>Sizemore, Taylor:</t>
        </r>
        <r>
          <rPr>
            <sz val="9"/>
            <color indexed="81"/>
            <rFont val="Tahoma"/>
            <family val="2"/>
          </rPr>
          <t xml:space="preserve">
eTRM location assumption</t>
        </r>
      </text>
    </comment>
    <comment ref="BR1" authorId="0" shapeId="0" xr:uid="{B44445A3-0EF1-42DA-B319-165FC036D38F}">
      <text>
        <r>
          <rPr>
            <b/>
            <sz val="9"/>
            <color indexed="81"/>
            <rFont val="Tahoma"/>
            <family val="2"/>
          </rPr>
          <t>Sizemore, Taylor:</t>
        </r>
        <r>
          <rPr>
            <sz val="9"/>
            <color indexed="81"/>
            <rFont val="Tahoma"/>
            <family val="2"/>
          </rPr>
          <t xml:space="preserve">
customer indicated install location</t>
        </r>
      </text>
    </comment>
    <comment ref="CR1" authorId="1" shapeId="0" xr:uid="{2117BAF8-735A-4A1C-B340-628263BF547D}">
      <text>
        <t>[Threaded comment]
Your version of Excel allows you to read this threaded comment; however, any edits to it will get removed if the file is opened in a newer version of Excel. Learn more: https://go.microsoft.com/fwlink/?linkid=870924
Comment:
    Category</t>
      </text>
    </comment>
    <comment ref="CT1" authorId="2" shapeId="0" xr:uid="{C14F1EA7-F32F-4062-82E9-14E5EE0BFE2F}">
      <text>
        <t>[Threaded comment]
Your version of Excel allows you to read this threaded comment; however, any edits to it will get removed if the file is opened in a newer version of Excel. Learn more: https://go.microsoft.com/fwlink/?linkid=870924
Comment:
    Sub-Category</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C472C7-8CD6-4D63-B1EB-20F2CA745B3C}" keepAlive="1" name="Query - Refrigeration_BuildingType_Hours" description="Connection to the 'Refrigeration_BuildingType_Hours' query in the workbook." type="5" refreshedVersion="0" background="1" saveData="1">
    <dbPr connection="Provider=Microsoft.Mashup.OleDb.1;Data Source=$Workbook$;Location=Refrigeration_BuildingType_Hours;Extended Properties=&quot;&quot;" command="SELECT * FROM [Refrigeration_BuildingType_Hours]"/>
  </connection>
  <connection id="2" xr16:uid="{B7770360-E9D8-4D00-8E32-B298D1C5DA6F}" keepAlive="1" name="Query - Table_ECMHydro_Hours" description="Connection to the 'Table_ECMHydro_Hours' query in the workbook." type="5" refreshedVersion="0" background="1" saveData="1">
    <dbPr connection="Provider=Microsoft.Mashup.OleDb.1;Data Source=$Workbook$;Location=Table_ECMHydro_Hours;Extended Properties=&quot;&quot;" command="SELECT * FROM [Table_ECMHydro_Hours]"/>
  </connection>
  <connection id="3" xr16:uid="{BB3A1E59-8AD5-48D7-BC44-9DC8F62D0861}" keepAlive="1" name="Query - Table95" description="Connection to the 'Table95' query in the workbook." type="5" refreshedVersion="0" background="1" saveData="1">
    <dbPr connection="Provider=Microsoft.Mashup.OleDb.1;Data Source=$Workbook$;Location=Table95;Extended Properties=&quot;&quot;" command="SELECT * FROM [Table95]"/>
  </connection>
  <connection id="4" xr16:uid="{BF9B5935-4744-433D-9CE6-F2B1D6B45B06}" keepAlive="1" name="Query - Table96" description="Connection to the 'Table96' query in the workbook." type="5" refreshedVersion="0" background="1" saveData="1">
    <dbPr connection="Provider=Microsoft.Mashup.OleDb.1;Data Source=$Workbook$;Location=Table96;Extended Properties=&quot;&quot;" command="SELECT * FROM [Table96]"/>
  </connection>
  <connection id="5" xr16:uid="{EF707648-9A45-4700-8F21-37AA4B2D0D4E}" keepAlive="1" name="Query - TBL_STD_HVAC" description="Connection to the 'TBL_STD_HVAC' query in the workbook." type="5" refreshedVersion="0" background="1" saveData="1">
    <dbPr connection="Provider=Microsoft.Mashup.OleDb.1;Data Source=$Workbook$;Location=TBL_STD_HVAC;Extended Properties=&quot;&quot;" command="SELECT * FROM [TBL_STD_HVAC]"/>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<sst xmlns="http://schemas.openxmlformats.org/spreadsheetml/2006/main" count="4643" uniqueCount="2175">
  <si>
    <t>Change Log</t>
  </si>
  <si>
    <t>Versioning Guidelines (using the highest hierarchy in a group of changes)</t>
  </si>
  <si>
    <t>Current version</t>
  </si>
  <si>
    <t>X.0.0</t>
  </si>
  <si>
    <t>Program Cycle</t>
  </si>
  <si>
    <t>0.X.0</t>
  </si>
  <si>
    <t>Program Year</t>
  </si>
  <si>
    <t>Date Applied</t>
  </si>
  <si>
    <t>Changed By:</t>
  </si>
  <si>
    <t>Version:</t>
  </si>
  <si>
    <t>Tab</t>
  </si>
  <si>
    <t>Action Taken</t>
  </si>
  <si>
    <t>0.0.X</t>
  </si>
  <si>
    <t>Revision # within Program Year</t>
  </si>
  <si>
    <t>Taylor</t>
  </si>
  <si>
    <t>DRAFTv1</t>
  </si>
  <si>
    <t>N/A</t>
  </si>
  <si>
    <t>Created unlocked draft</t>
  </si>
  <si>
    <t>v1.1.0</t>
  </si>
  <si>
    <t>All</t>
  </si>
  <si>
    <t>Locked up first draft for internal testing</t>
  </si>
  <si>
    <t>Sara</t>
  </si>
  <si>
    <t>M05-S01b</t>
  </si>
  <si>
    <t>Added automation for Customer Tax identify and ID based on upstream values</t>
  </si>
  <si>
    <t>Caner</t>
  </si>
  <si>
    <t>M03-S11</t>
  </si>
  <si>
    <t>Added Gas savings for Commercial Clothes Washers, and fixed calculations. Corrected/fixed dryer fuel selection for Clothes Dryers.</t>
  </si>
  <si>
    <t>Taylor/Caner/Sara</t>
  </si>
  <si>
    <t>See summary</t>
  </si>
  <si>
    <t xml:space="preserve">General
-Updated cell protection logic for all fields
-Added arrows to Incentive Rates tab to go back to measure tabs
PC Summary tab
-Add PCs and Engineers to dropdown for PC Summary
Project Information tab
-Fix tool tips for the Account Number fields so they align. 
-Add data validation for 12 digits to these fields.
-Fix Annual Operating Hours and Square Footage Required text conditional formatting
-Unlock Install Date field 
-Removed Space Conditioning as an option on the space conditioning drop down list
-Added note with what the program is looking for on project description field
-Fixed conditional formatting on project description field required text
-Added data validation on install, Start and completion date
OBR tab
-Fixed OBR Account Info autofill for Tax Entity and Fed ID. If payee = site then autofill else blank.
-Fixed OBR Account Info Tax ID Number format to not have decimal places.
-Added BIN field tooltip "Business Identification No."
-Fixed Repayment Funds Recipient Tax Entity to be the dropdown
Project Review tab 
-Added the Instruction fields to the Project Review summary table at the top.
Measure tabs 
-Added Shrink to fit to section headers in measure tabs
Submission Instruction tab
-Default step 3 to OLA instructions if the fields on the instruction tab are blank.
-Fixed the Next Steps language that was cut off
-Update "Pre-Installation" language to "Initial Application Submission" 
-Update "Post-Installation" language to "Post Approval" 
</t>
  </si>
  <si>
    <t>Export tab
-Update any new columns that were not a part of the original import layout to the header "Empty" 
	• Size Unit Label 3
	• Size Units 3
	• Proposed Efficiency Unit Label 4
	• Proposed Efficiency Units 4
	• Proposed Efficiency Unit Label 5
	• Proposed Efficiency Units 5
	• Proposed Efficiency Unit Label 6
	• Proposed Efficiency Units 6
	• Hours of Usage 3
-Make sure name of column was not changed from original import layout naming convention
	• Change Fuel Type 1 back to Fuel Type
	• Equipment Cost 1 back to Equipment Cost
	• Labor Cost 1 back to Labor Cost
-Update all Empty column headings to just "Empty" no numbers on the end
-Fix Project Number formula to pull in "PROJID"
Incentive List tab
-Under HVAC Eligibility Requirement, AHRI Certificates can be downloaded from http - - URL not listed
-Under Water Heating and Boilers Eligibility Requirements, the sentence is cut off
-Under Custom, add letter “t” to Requirement</t>
  </si>
  <si>
    <t>v1.1.1</t>
  </si>
  <si>
    <t>Measures1_M</t>
  </si>
  <si>
    <t>Updated C&amp;I to CI for eTRM codes</t>
  </si>
  <si>
    <t>Measures3</t>
  </si>
  <si>
    <t>Updated measure code duplication for interior lighting 10200</t>
  </si>
  <si>
    <t>MEASURES1_M
-Added TRM references for measures that were missing them
M01-S04
-Fixed errors in wording and formats
M02-S02
-Updated Data Validation for Utility Account Numbers by adding helper cells, and updating tables on DATA TABLES Project
Custom Measures
-Updated decimal formatting</t>
  </si>
  <si>
    <t>MEASURES1_M
-Updated order of measures
M03-S02
-Existing Equipment dropdown for HID replacement bulbs fixed
-MH spelling fix
M03-S03
-Added Motel Occupancy Sensor as a measure
-Fixed VFD 40HP input error
-PTHP/PTAC highlighting bug fix
M05-S02
-OBR section updated to check if user is applying for OBR - does not return "Missing info" anymore
M05-S07
-Updated "Project Consultant" input
-Added "Project Specialist" input
-Added Footer
EXPORT
-Removed import for "Project Specialist"
-Prescriptive measures import measure life</t>
  </si>
  <si>
    <t>General
-Formatted Account Numbers to "Text"
Measures (Except for Prescriptive Lighting)
-Swapped "Reported therms" and "Customer therms", and "Reported therms" now checks if the value is greater than 0. 
M05-S01B
-Tax ID can now have leading zeroes
M05-S07
-Unlocked "Energy Efficiency Advisor" and "Method App Received" cells
-Added new EEA to dropdown
- "Current Project Overview" section pulls in "Reported" savings now, not customer
EXPORT
-Added columns for missing OBR (M05-S01B) values
-Renamed "Empty" Column Titles to appropriate names</t>
  </si>
  <si>
    <t>Meaghan</t>
  </si>
  <si>
    <t>Prescriptive Lighting</t>
  </si>
  <si>
    <t>-Add the following updates to existing replacement categories
For the Energy Star fixture Int fixtures drop down can you add the dropdown INC_CFL
For the Energy Star fixture Ext fixtures drop down can you add the dropdown INC_CFL
For the DLC Linear Replacement Lamp Subcategory 2G11 base can you add the CFL dropdown (INC_CFL) would also work</t>
  </si>
  <si>
    <t>M03-S03
-Added a check and status error if Space Conditioning type does not align with Smart Thermostat selection
-Updated Smart Thermostat kWh savings calculation, and formatting for inputs
Project Review (M05-S02)
-Updated "Trade Ally / Contractor Information" equations to check for new dropdown values to determine if values are Missing or just not required
Export
-Added MMBtu conversions for reported kWh and therms
-Updated Electric and Gas Incentive Calcs
-Added Measure level OBR Total, OBR Electric, and OBR Gas
-Updated Decimal formatting for currency, cost, incentive, kWh, kW, thm, MMBtu fields
-Updated "Building Type (Site)" Column Name</t>
  </si>
  <si>
    <t>Meaghan/Caner</t>
  </si>
  <si>
    <t>v1.1.2</t>
  </si>
  <si>
    <t>Measures_1M
-Added Utility Work Group ID
M02-S02 (Project Information)
-Added tooltip for Square Footage
All Measure Tabs
-Added New Status Error to check if there are "No Savings"
-Added columns "Verified Qty" and "Comments" for inspection purposes
M03-S02 (Lighting)
-Updated tab and tables to enable "Sensors Only" measures
M03-S03 (HVAC)
-Updated backend calculation to remove circular reference error
(M05-S01b) OBR Summary
-New logic to checking if the project is "Fast Track", and return a "Project not Applicable" message if necessary
EXPORT
-New Column for "Status"
-Lighting Equipment and Quantity are now included
M05-S04 (Inspection Report) (New Tab)
-Added new tab
-Updated Headings of other tabs to include link</t>
  </si>
  <si>
    <t>Prescriptive Measures
-Added decimal limits to inputs
M05-S04 (Inspection Report)
-Updated Confirmation and Screening Question format</t>
  </si>
  <si>
    <t>M01-S04 (Incentive Rates)
"Lurninaire" typo corrected
M02-S02 (Project Information)
-Updated "Multifamily" selection
M02-S04 (TA/Contractor Information)
-"Who will install..." is now always required
M03-S02 (Lighting)
-"Sensors Only" now has "LED" as an option
M03-S05 (Water Heating)
-Updated "Multifamily" TRM building types
All Measure Tabs
-Corrected a circular reference error by adding a separate "Savings Status"
Custom Measures
-Added decimal limits to inputs
M05-S03 (Project Summary)
-Now uses "Customer" savings instead of "Report"
EXPORT
-Savings columns will return 0 for measures that report a blank
-New "Savings Status" Column
M05-S05 (Project Completion Certification) and M05-S06 (OBR: Repayment Agreement)
-Now unhidden by default</t>
  </si>
  <si>
    <t>See Summary</t>
  </si>
  <si>
    <t>Export tab
-Incentive Cost split between electric and gas has been updated to handle negative savings
Custom Measure Tabs
-Natural Gas Savings reference updated to line up with Prescriptive tabs
-Savings Status updated for consistency
-Measure Number updated to rely on Savings Status as well; prevents measures from showing up in the Export tab</t>
  </si>
  <si>
    <t>Fixed the lighting tab formulas that were not dragged down</t>
  </si>
  <si>
    <t>v1.1.3</t>
  </si>
  <si>
    <t>MEASURES1_M
-Updated HVAC baseline efficiency values to align with the eTRM instead of the PSE&amp;G qualifying values
-Updated High Speed Fan - Circulation to use units and values that align with the eTRM
-Added columns to HVAC table for PSE&amp;G efficiency criteria
M03-S02 (Lighting)
-Updated Equations to use Coincidence Factor
M03-S03 (HVAC)
-Heat Pump kWh calculations updated to correctly use HSPF value
-Heat Pump kW calculations updated to use only the cooling calculation
-High Speed Fan kWh calculations updated to differentiate between Ventilation and Circulation Fans
-High Volume Low Speed fan calculations updated to reference correct column
M03-S05 (Water Heating and Boilers)
-Updated Standby Loss Factor to return a value of 0 for water heaters &lt;75 MBH
EXPORT
-Lighting Wattage moved to adjacent "Size Unit..." columns
-Total Cost for Lighting is now calculated within the EXPORT tab to provide a correct row by row value.</t>
  </si>
  <si>
    <t>M03-S03 (HVAC)</t>
  </si>
  <si>
    <t>-Added Columns to lookup PSE&amp;G criteria
-Updated proposed efficiency data validation to use PSE&amp;G criteria too
-Updated baseline efficiency for PTAC and PTHP</t>
  </si>
  <si>
    <t>M03-S02 (Lighting)</t>
  </si>
  <si>
    <t>-Hvac formula updated to look for non-AC Space Conditioning Values
-Building Type Formula to look for Exterior Energy Star Fixtures to set to "Exterior"</t>
  </si>
  <si>
    <t>EXPORT
-Updated column values to align with vendor specs for exporting to eTRM
-Limited "install location" to 150 characters
Lighting (M03-S02)
-Added DLC Product ID Input
-Added summary table
-Corrected Refrigeration lighting calcs
-Corrected the incentive type for sensors
-Corrected NLC measure incentive calc
Heating (M03-S04)
-Corrected Boiler Tune Up Calc
Refrigeration (M03-S06)
-Corrected the eTRM code for measure number 15005
-Added measure numbers 15037 and 15038, and updated sub categories for 15011 and 15012 to align with the TRM
Food Service (M03-S07)
-Corrected Calculation error for Refrigerator measures.
-Clarified "Cooking" to "Cooking %" for applicable measures
-Corrected conditional formatting to show when inputs are needed. 
-Corrected Status to not provide savings if inputs are not entered
Payment (M05-S01a)
-Reformatted tab to be more printer friendly
Summary Form (M05-S07)
-Added sections for previous annual energy usage
-Updated EEA and PC list
-Removed "custom - lighting" from options in program field</t>
  </si>
  <si>
    <t>Data Tables_Lighting (Lighting)</t>
  </si>
  <si>
    <t>-Corrected typos in Existing Equipment table "Options" Column</t>
  </si>
  <si>
    <t>EXPORT
-Lighting Sensor information corrected (building type, prefixture quantity)
Incentive Rates (M01-S04)
-Updated names for daylight sensors
-Removed Exterior sensors, which were already excluded from the lighting measures
Lighting (M03-S02)
-Ext. Fixture dropdown fixed
-Updated Summary Table to count eligible measures.
-Minor formatting updates
-Corrected eTrack Building Type for EXPORT
-Updated Sensor Status for specific scenarios that would return an error
-Corrected NLC Savings Value
Food Service (M03-S07)
-Solid Door Refrigerator option was fixed to show subcategory drop down
Summary Form (M05-S07)
-Removed "custom - lighting only" from options in Program and Milestone fields</t>
  </si>
  <si>
    <t>Victoria Anstey</t>
  </si>
  <si>
    <t>v1.1.4</t>
  </si>
  <si>
    <t>M01-S04: Changed year to 2023 
M01-S04: Added High Bay (height &gt;25 ft.) , and Low Bay (height (12-25 ft.)
M01-S04: Added APS Tier 1 &amp; 2 definitions</t>
  </si>
  <si>
    <t>M03-S03-Added Hidden column for EER
M02-S02- updated electric and gas account number's data validation to include leading zeros &amp; changed to text 
M05-S01b-warning message to print to PDF for OBR signature 
M05-S01a-Is Customer applying for OBR*? added to payment authorization 
M05-S01b-updated formula for "customer is applying for OBR to populate from M05-S01a                                                                                                         M01-S04- added fuel use economizer under HVAC-other</t>
  </si>
  <si>
    <t xml:space="preserve">Template: updated gas and electric account info is not required if company other than PSEG is selected </t>
  </si>
  <si>
    <t>M03-S02- updated Lighting Proposed Wattage, to specify DLC or ES listed wattage
M02-S03- added spot for signed application and data validation to print to PDF
M01-S04- removed UL listings for Refrigeration Gaskets, Doors &amp; Strips, and Gas Infrared Heater
M02-S02-added data validation for print to PDF</t>
  </si>
  <si>
    <t>M03-S03- inserted 35 additional line items 
M01-S04- changed Water Source Heat Pump - Tier 2 from seer to eer</t>
  </si>
  <si>
    <t>Export: added additional rows for HVAC to match line items needed
Template: changed formula for labor cost to include taxes and fees</t>
  </si>
  <si>
    <t xml:space="preserve">M01-S04: fixed spelling for under LED lamp to "horizontally", fixed PTHP, PTAC critic, single package vertical systems, air source heat pumps, water source heat pumps, air cooled systems, heating requirements, water heating/boilers to "qualifying"
M05-S01b: fixed spelling of "Application"
M02-S01: changed spelling of "conditions"
M05-S02: changed spelling of "instructions"
M05-S03: changed spelling of "instructions"
M05-S05: changed spelling of "prescriptive", "documentation", and ""complete"
M05-S06: changed spelling of "condition"
Unlocked cells for fees for all equipment tabs </t>
  </si>
  <si>
    <t>M03-S02: updated lighting line items to equal 200 and updated formula for section, section cost, kwh, and thms to include new line items
Template: updated version and prescriptive lighting controls formula to include new line items &amp; hvac 
M03-S03: updated formula for section, section cost, kwh, and thms to include new line items in prior update 
Export: added space and updated formulas for new line items for prescriptive lighting and HVAC</t>
  </si>
  <si>
    <t xml:space="preserve">M01-S04: updated high speed fan Eligibility Standard
Template: added Effective Date 5/1/23 in version cell </t>
  </si>
  <si>
    <t>Meaghan Rush</t>
  </si>
  <si>
    <t>Added columns for EER on HVAC and extended cells for other tabs to accommodate new format</t>
  </si>
  <si>
    <t>M01-S02- added SEER2, EER2, and HSPF2 efficiency to table. Updated EER from SEER to correct prior error</t>
  </si>
  <si>
    <t xml:space="preserve">MEASURES1_M: corrected spelling to ENERGY STAR Commercial Solid Door Refrigerator Electric for category dropdown to populate 
Data_Tables_project: updated PC, EEA, and engineer names for dropdown on POC summary </t>
  </si>
  <si>
    <t>-Changed Smart Thermostat EFLH to match other hvac measures (NY/NJ values)
-Added new baseline Idle energy rate for Hot food Holding Cabinets
-Added Idle Energy Rate and Water Usage for dishwashers
-Combination boilers: Move parenthesis to not multiple water savings by quantity
-Dishwasher savings updated to latest version
-EC Motor Blower Fan: update therms to reference AH over AM
-Combination Oven and Steamer
-Updated values for conveyor ovens, steamers, fryers, and griddles</t>
  </si>
  <si>
    <t xml:space="preserve">Data_Tables_project: updated engineer names for dropdowns
Measure1_M- updated HVAC refer tables to include seer 2etc values and separated eer from eer in columns
M01-S02- updated columns to separate seer/ieer, eer, and hspf/cop and updated formulas to match </t>
  </si>
  <si>
    <t xml:space="preserve">M03-S03: added please select rating drop down data validation for seer2 etc. values and increased columns width </t>
  </si>
  <si>
    <t>M03-S02: Fixed No Savings Logic to account for sensor savings
Combination Boiler: Change Energy Density for MultiFam to be consistent with "Other" per EM&amp;V team
M03-S05: Fixed data validation #Ref error</t>
  </si>
  <si>
    <t xml:space="preserve">M03-S03: unlocked cells for rating seer2 etc. dropdowns </t>
  </si>
  <si>
    <t>Make Up Air Unit moved to Heating
EC Hydro: Switched Existing and Proposed HP rows
Fuel Economizer: Moved kBtu to second quantity bottom row
M03-S03: Updated Blower Fan savings based on latest EM&amp;V guidance 
M03-S06: Updated Floating Head Pressure Control savings based on EM&amp;V guidance 
EXPORT: Updated Efficiency1 2 &amp; 3 to match new inputs</t>
  </si>
  <si>
    <t>M01-S04: Added LLLC sensors to table
Measures-M1 added LLLC sensors to table
Data Tables_Lighting: added LLLC sensors</t>
  </si>
  <si>
    <t xml:space="preserve">OBR: removed formula so if Fast Track not elig for OBR error </t>
  </si>
  <si>
    <t xml:space="preserve">M03-S03: updated SEER2 etc. formulas and reference table to pull correct values 
MEASURE1_M: updated HVAC table to include seer2 etc. values and PSEG seer2 etc. values </t>
  </si>
  <si>
    <t xml:space="preserve">M03-S03: updated baseline values formulas to include SEER2 etc. </t>
  </si>
  <si>
    <t>1.1.4</t>
  </si>
  <si>
    <t>Export tab</t>
  </si>
  <si>
    <t>Updated HVAC, Heating calcs section so the export tab will fill in the appropriate inputs for eTrack</t>
  </si>
  <si>
    <t>Refrigeration</t>
  </si>
  <si>
    <t>Changed all Door Heater controls to either DH2 or DH3 and all collect total demand kW</t>
  </si>
  <si>
    <t>2.0</t>
  </si>
  <si>
    <t>Incentive Guide</t>
  </si>
  <si>
    <t>Incentive Guide: Combined like values, changed Steam, All Except Natural Draft, Non-Condensing Boiler &gt; 2500 MBH to ≤ 4000 MBH, Steam, Natural Draft, Non-Condensing Boiler ≥ 300 MBH to ≤2500 MBH, and Steam, Natural Draft, Non-Condensing Boiler &gt; 2500 MBH to ≤ 4000 MBH to 81% TE, DHW Storage, Gas-Fired to include gallons in classification
Measure1_M: changed Steam, All Except Natural Draft, Non-Condensing Boiler &gt; 2500 MBH to ≤ 4000 MBH, Steam, Natural Draft, Non-Condensing Boiler ≥ 300 MBH to ≤2500 MBH, and Steam, Natural Draft, Non-Condensing Boiler &gt; 2500 MBH to ≤ 4000 MBH to 81%
Export: cell HS2 for OBR updated formula to read OBR_Amount_Requested_Final to test if including payment from customer into captures
Template: updated formulas to correct range for Residential Appliances columns P-T 
M03-S10: corrected ranges for section cost, section incentive, savings section at the top
Export: incentive total column starting at row 1051 changed range to BW</t>
  </si>
  <si>
    <t>M03-S03-M03-S11 (all prescriptive measure tabs aside from lighting): added calcs to right for labor + taxes, and Labor/Taxes + Material, updated section cost to include taxes
Export: updated labor and total cost formulas to include mentioned above range for all measures in tabs mentioned above
Template: updated total cost to include range of new formula Labor/Taxes + Material for all measures in tabs mentioned above</t>
  </si>
  <si>
    <t>M03-S02 and all custom measure tabs: added calcs to right for labor + taxes, and Labor/Taxes + Material, updated section cost to include taxes
Export: updated labor and total cost formulas to include mentioned above range for all measures in tabs mentioned above
Template: updated total cost to include range of new formula Labor/Taxes + Material for all measures in tabs mentioned above</t>
  </si>
  <si>
    <t>Export: change range for Baseline Efficiency Units 1 for hotel occ sensor to be a numeric value 
MEASURE1_M- updated Water Cooler to incentive of $25
DATA TABLES Project- removed Prescriptive &amp; Custom from program dropdown
M5-S07- removed drop downs for PC, Engineer, and EEA</t>
  </si>
  <si>
    <t>Incentive guide: added Commercial Clothes Dryer to table since in backend 
MEASURES1_M: updated 19906 incentive to 50 and 19008 incentive to 100</t>
  </si>
  <si>
    <t>Updated colors and logos</t>
  </si>
  <si>
    <t>MEASURES_M: qual eff for storage gas water heater tier 1&amp;2 for ≥75 MBH and ≤105 MBH and &gt;105 MBH</t>
  </si>
  <si>
    <t>MEASURES1_M: changed incentive to $80 for Unitary HVAC Single and Split Package System, &gt;5.4 Tons &amp; ≤11.25 Tons, Tier 2 and Unitary HVAC Single and Split Package System, &gt;11.25 Tons &amp; ≤20 Tons, Tier 2
Incentive guide: updated HVAC and heating measures to match backend and data collection forms, group like values. Added in new measure mentioned above 
Export tab: added section for OBR customer payment amount</t>
  </si>
  <si>
    <t xml:space="preserve">M05-S01a and M05-S01b: updated project site address to pull from correct cells 
M01-S04: added new misc. measures to elig table
OBR repayment tab: highlighted correct cells </t>
  </si>
  <si>
    <t>MEASURES1_M and Incentive guide: removed electric demand defrost controls, commercial clothes dyer, pool covers, novelty cooler shut offer, and changes 2' replacement lamps to $6</t>
  </si>
  <si>
    <t>MEASURES1_M: Adjusted Gas Furnace to only allow over 95% or 97% efficiency</t>
  </si>
  <si>
    <t>2.1</t>
  </si>
  <si>
    <t xml:space="preserve">M04-S11: fixed labor/taxes formula 
M04-S09: fixed labor/taxes formula 
M05-S06: added section for customer signature and expanded print range </t>
  </si>
  <si>
    <t xml:space="preserve">M03-S02: Fixed formula in estimated incentive to have sensors only populate </t>
  </si>
  <si>
    <t xml:space="preserve">M04-S02: fixed labor/taxes formula 
M04-S03: fixed labor/taxes formula 
M04-S04: fixed labor/taxes formula 
M04-S05: fixed labor/taxes formula 
M04-S06: fixed labor/taxes formula 
M04-S07: fixed labor/taxes formula 
M04-S08: fixed labor/taxes formula 
M04-S10: fixed labor/taxes formula </t>
  </si>
  <si>
    <t>Template: updated formula for S19 and T19 to include entire range</t>
  </si>
  <si>
    <t>Template: updated percentage to not included: OBR repayment agreement print name; OBR repayment signatory title, date signed, and signature; Payment  signatory title, date signed, and signature; T&amp;Cs print name 
M05-S07: updated color for complete post inspection</t>
  </si>
  <si>
    <t>M05-S07: corrected OBR amount requested to =OBR_Amount_Requested_Final
Export tab: rounding formula to columns BT, BU, BV, CB</t>
  </si>
  <si>
    <t>Export: column j equipment types formulas to match etrack for water heaters and pipe wrap</t>
  </si>
  <si>
    <t xml:space="preserve">M03-S07: updated etrack size2 formula in column En for griddle size width                                  
Export: food service size units label 2 column ac formula - updated for rack oven to state either single or double rack
Export: food service size units label 2 column ac formula - updated  Convection Ovens to state either full or half
Export: lighting fuel type column T formula - updated CI-LT-NLC option to be Gas instead of Gas Heat
MEASURES1_M: updated sensors to correct CI-LT-NLC etrack measure code </t>
  </si>
  <si>
    <t>Refrigeration: updated formula in column CA reported kwh savings to tons * the ES_value          
HVAC: updated formula in column CB for reported kw savings HVAC1</t>
  </si>
  <si>
    <t>M03-03: Updated proposed measure category drop down data validation to allow certain dropdown for space cond error  
MEASURES1_M: updated min and max values to include .99 for fuel use economizer      
M02-02: Removed small / large from building type drop down - formula to change based off of peak demand, default to small</t>
  </si>
  <si>
    <t xml:space="preserve">M03-S03: updated SEER and HSPF columns to show required values for customer facing purposes 
M03-S03: Conditional formatting to darken AFUE proposed cell for Smart Thermostat - AC &amp; Gas Heat since not needed for calc
M05-S07: updated therms calc to only include reported therms savings
All Measure tab: added taxes formula </t>
  </si>
  <si>
    <t xml:space="preserve">M03-S03: column CA updated kwh formula for high volume low speed fans, updated user entree options hours in column CJ
Export: column AJ and AM rounded to 4 decimal places to align with captures
Moved building type to project data tables </t>
  </si>
  <si>
    <t>Export: updated column Cu for HVAC to pull correct subcategory
MEASURES1_M: updated inputs for fuel heating to populate 
M03-S03: updated inputs for fuel heating to populate</t>
  </si>
  <si>
    <t xml:space="preserve"> </t>
  </si>
  <si>
    <r>
      <rPr>
        <sz val="11"/>
        <color rgb="FF142C41"/>
        <rFont val="Wingdings"/>
        <charset val="2"/>
      </rPr>
      <t xml:space="preserve">( </t>
    </r>
    <r>
      <rPr>
        <b/>
        <sz val="11"/>
        <color rgb="FF142C41"/>
        <rFont val="Arial"/>
        <family val="2"/>
      </rPr>
      <t xml:space="preserve">
CONTACT US</t>
    </r>
  </si>
  <si>
    <t>Engineered Solutions Tier 2 Advance Custom Program Incentive Application</t>
  </si>
  <si>
    <t>Continue to Instructions</t>
  </si>
  <si>
    <t xml:space="preserve">Your savings start here. </t>
  </si>
  <si>
    <t>PSE&amp;G offers a wide range of incentives designed to help our business customers achieve energy savings by reducing the upfront cost of installations. Not only do you save money by receiving an incentive, you save every day after by reducing the amount of energy your company uses. This application will help you navigate the available incentives and calculate the estimated amount you can expect to receive for completing energy efficiency upgrades.</t>
  </si>
  <si>
    <t xml:space="preserve">Eligibility </t>
  </si>
  <si>
    <t>* Applicant must be a PSE&amp;G electric and/or gas customer contributing to SBC on a non-residential rate schedule</t>
  </si>
  <si>
    <t>* Project must result in a permanent reduction in kWh and/or therms attributable to PSE&amp;G service</t>
  </si>
  <si>
    <r>
      <t xml:space="preserve">* Customers may work with any contractor of their choice, or select a qualified provider from the </t>
    </r>
    <r>
      <rPr>
        <b/>
        <sz val="12"/>
        <color rgb="FFF0532A"/>
        <rFont val="Arial"/>
        <family val="2"/>
      </rPr>
      <t>Trade Ally List</t>
    </r>
  </si>
  <si>
    <t>Engineered Solutions Tier 2 Advance Custom Program Incentives:</t>
  </si>
  <si>
    <t>Additional Incentives:</t>
  </si>
  <si>
    <t>The Engineered Solutions Tier 2 Advance Custom Program offers incentives for the installation of energy efficiency equipment while allowing flexibility for innovation in custom energy-saving projects. Customers can select a comprehensive solution for energy-efficient projects based on their individual facility needs.</t>
  </si>
  <si>
    <t>We also offer incentives for Prescriptive and Small Business Direct Install projects. Reach out to us to learn more.</t>
  </si>
  <si>
    <r>
      <rPr>
        <b/>
        <sz val="12"/>
        <color rgb="FF142C41"/>
        <rFont val="Arial"/>
        <family val="2"/>
      </rPr>
      <t xml:space="preserve">Download the Program Incentive Guide in </t>
    </r>
    <r>
      <rPr>
        <b/>
        <sz val="12"/>
        <color rgb="FFF0532A"/>
        <rFont val="Arial"/>
        <family val="2"/>
      </rPr>
      <t>English</t>
    </r>
    <r>
      <rPr>
        <b/>
        <sz val="12"/>
        <color rgb="FF142C41"/>
        <rFont val="Arial"/>
        <family val="2"/>
      </rPr>
      <t>.</t>
    </r>
  </si>
  <si>
    <t>Read more about Prescriptive Incentives</t>
  </si>
  <si>
    <t>Read more about  Direct Install Incentives</t>
  </si>
  <si>
    <t>Please Note: Pre-approval prior to installation is required for all Engineered Solutions Tier 2 Advance Custom Program Incentive applications.</t>
  </si>
  <si>
    <t>Application Expiration Date:</t>
  </si>
  <si>
    <t>© 2025 TRC Companies, Inc. TRC Companies, Inc. and its affiliates reserve all rights associated with this body of work. Content cannot be edited or replicated without the express, written consent of TRC Companies, Inc. or its affiliates.</t>
  </si>
  <si>
    <t>START</t>
  </si>
  <si>
    <t xml:space="preserve">Instructions for Application </t>
  </si>
  <si>
    <t>I am submitting this application as the:</t>
  </si>
  <si>
    <t>I am submitting this application through:</t>
  </si>
  <si>
    <t>Required</t>
  </si>
  <si>
    <t>What email platform will you use?</t>
  </si>
  <si>
    <t>Your application is complete and ready to submit when the progress meter in the upper right corner reads 100%</t>
  </si>
  <si>
    <t xml:space="preserve">To begin your application, click on the start button. </t>
  </si>
  <si>
    <t xml:space="preserve">Completed the steps from left to right. The step you are currently filling out will be in dark blue text with a white box and the rest in dark blue text with a gray box. Completed steps will be in white text with a dark blue box. Move on to the next step after completing all fields related to your project. </t>
  </si>
  <si>
    <t>Hit Submission to complete your application!</t>
  </si>
  <si>
    <t>Tips:</t>
  </si>
  <si>
    <t xml:space="preserve">Use the arrows to navigate between sections. </t>
  </si>
  <si>
    <t>~ Only fill in a measure line for the equipment type which you are applying</t>
  </si>
  <si>
    <t xml:space="preserve">On form pages, fill in all fields marked required. </t>
  </si>
  <si>
    <t>~ Some fields will have a dropdown list to choose from while others will require data entry. Pop-up boxes will appear to better explain a field's requirements.</t>
  </si>
  <si>
    <t>~ An incentive will not populate until you have completed all the required fields.</t>
  </si>
  <si>
    <t>Questions?</t>
  </si>
  <si>
    <t>We're here to help! Call us at 1-844-300-PSEG (7734) or send us an email at PSEGenergysaver@TRCcompanies.com and we'll guide you through your project.</t>
  </si>
  <si>
    <t>Or click directly on a step to go straight to that section.</t>
  </si>
  <si>
    <t>Website:</t>
  </si>
  <si>
    <t>www.bizsave.PSEG.com</t>
  </si>
  <si>
    <t>Learn more online or contact 
a program representative today!</t>
  </si>
  <si>
    <t>Phone:</t>
  </si>
  <si>
    <t>Email:</t>
  </si>
  <si>
    <t>2025 Commercial &amp; Industrial Programs</t>
  </si>
  <si>
    <t>C&amp;I Energy Efficiency Program</t>
  </si>
  <si>
    <t>Engineered Solutions Tier 2 Advance Custom Program</t>
  </si>
  <si>
    <t>Eligibility Requirements</t>
  </si>
  <si>
    <t>Projects are required to provide the total energy savings of the measure(s). Energy savings analysis must be supported by existing and proposed facility data, such as operating schedules, EMS/BMS data, etc.; standard assumptions and baseline must be set in cases where EMS/BMS data is unavailable.</t>
  </si>
  <si>
    <t>In absence of energy analysis or model, Pre and post installation M&amp;V may be required.  Adjusted savings calculations may be required depending on the results of the metering.</t>
  </si>
  <si>
    <t xml:space="preserve">The energy savings calculations must only include the energy savings related to the custom measure(s). </t>
  </si>
  <si>
    <t xml:space="preserve">Certain measures may require pre and post install M&amp;V for savings validation. In such cases, data points essential to analyzing the savings will be communicated and depending on the SOW, pre and post data measurement timeframe will be set; in case acceptable EMS/BMS data is unavailable, a separate M&amp;V will be required for the set timeframe. </t>
  </si>
  <si>
    <t xml:space="preserve">Proposed measures will not be eligible for Engineered Solutions Tier 2 Advance Custom Program Measure incentives if a Prescriptive incentive is available. Proposed measures must meet or exceed mandated/industry standards &amp; codes where applicable. Applicability of codes &amp; standards will be determined by PSE&amp;G's engineering staff during the application review process. </t>
  </si>
  <si>
    <t>State energy code is ASHRAE 90.1-2016. In cases where ASHRAE 90.1-2016 does not apply, other applicable industry standards will be used, such as the Consortium for Energy Efficiency (CEE), EPA ENERGY STAR, Design Lights Consortium, NEMA, Federal Title 10 or other established resources such as: current New Jersey baseline studies and other market research; experience of the New Jersey utilities; or utility/public program experience from other comparable jurisdictions.</t>
  </si>
  <si>
    <t>Final rebate/incentive payment is based upon installed equipment specifications, operating data, and final energy savings, and may be lower than preapproved amount.</t>
  </si>
  <si>
    <t>Program approval is required prior to purchase and installation for custom measures.</t>
  </si>
  <si>
    <r>
      <t xml:space="preserve">Custom project incentives are </t>
    </r>
    <r>
      <rPr>
        <b/>
        <i/>
        <sz val="11"/>
        <color theme="1"/>
        <rFont val="Arial"/>
        <family val="2"/>
      </rPr>
      <t>capped at 60% of total project cost. Total project cost does NOT include internal labor cost.</t>
    </r>
  </si>
  <si>
    <t xml:space="preserve">Customer/Contractor must complete and submit Data Collection Forms (DCFs) for measures as communicated by PSE&amp;G engineering team. Note that DCFs are available for most measures mentioned in the below table. Anywhere a DCF is not available or developed, customer/contractor must submit supporting information detailing the measure parameters required for energy savings analysis. </t>
  </si>
  <si>
    <t xml:space="preserve">Common Custom Measures </t>
  </si>
  <si>
    <t>Classification</t>
  </si>
  <si>
    <t>Incentive</t>
  </si>
  <si>
    <t>Unit</t>
  </si>
  <si>
    <t>Eligibility Standard</t>
  </si>
  <si>
    <t>Custom Lighting</t>
  </si>
  <si>
    <t>Electric Savings</t>
  </si>
  <si>
    <t>per kWh</t>
  </si>
  <si>
    <t>Measures/equipment must not be prescriptive measures and meet mandated/industry standards &amp; codes where applicable. Analysis and documents supporting the energy savings must be submitted with the application, including measure Data Collection Forms (DCFs) as applicable.</t>
  </si>
  <si>
    <t>Agricultural Lighting</t>
  </si>
  <si>
    <t xml:space="preserve">HVAC/VRF  </t>
  </si>
  <si>
    <t>HVAC Controls &amp; Chiller Plant Optimization</t>
  </si>
  <si>
    <t>Compressed Air Systems</t>
  </si>
  <si>
    <t>Data Center Equipment/Servers</t>
  </si>
  <si>
    <t>Motors/VFD - Large</t>
  </si>
  <si>
    <t>Gas Savings</t>
  </si>
  <si>
    <t>per Therm</t>
  </si>
  <si>
    <t>Building Improvements</t>
  </si>
  <si>
    <t>Process Improvements</t>
  </si>
  <si>
    <t>Agricultural Process</t>
  </si>
  <si>
    <t xml:space="preserve">HVAC/Chillers </t>
  </si>
  <si>
    <t xml:space="preserve">Other Non Prescriptive </t>
  </si>
  <si>
    <t>Version</t>
  </si>
  <si>
    <t>V1.0          Effective Date 1/1/25</t>
  </si>
  <si>
    <t>kWh Status</t>
  </si>
  <si>
    <t>Program</t>
  </si>
  <si>
    <t>PSEG</t>
  </si>
  <si>
    <t>thm Status</t>
  </si>
  <si>
    <t>Application Type</t>
  </si>
  <si>
    <t>Custom App</t>
  </si>
  <si>
    <t>Incentive Status</t>
  </si>
  <si>
    <t>Transfer ID</t>
  </si>
  <si>
    <t>Project Status</t>
  </si>
  <si>
    <t>Expiration Date</t>
  </si>
  <si>
    <t>Progress Status</t>
  </si>
  <si>
    <t>Expiration Status</t>
  </si>
  <si>
    <t>Menu Designation</t>
  </si>
  <si>
    <t>Menu Name</t>
  </si>
  <si>
    <t>Line Items</t>
  </si>
  <si>
    <t>Equipment Count</t>
  </si>
  <si>
    <t>Reported kWh</t>
  </si>
  <si>
    <t>Reported kW</t>
  </si>
  <si>
    <t>Reported thrm</t>
  </si>
  <si>
    <t>Customer kWh</t>
  </si>
  <si>
    <t>Customer kW</t>
  </si>
  <si>
    <t>Customer thm</t>
  </si>
  <si>
    <t>Material  Cost</t>
  </si>
  <si>
    <t>Labor Cost</t>
  </si>
  <si>
    <t>Total Cost</t>
  </si>
  <si>
    <t>Uncapped Incentive</t>
  </si>
  <si>
    <t>Capped Incentive</t>
  </si>
  <si>
    <t>Total Unions Per Measure</t>
  </si>
  <si>
    <t>Union Spend Per Measure</t>
  </si>
  <si>
    <t>MAIN1</t>
  </si>
  <si>
    <t>Custom</t>
  </si>
  <si>
    <t>M1S1</t>
  </si>
  <si>
    <t>WELCOME</t>
  </si>
  <si>
    <t>M1S2</t>
  </si>
  <si>
    <t>INSTRUCTIONS</t>
  </si>
  <si>
    <t>M1S3</t>
  </si>
  <si>
    <t>CONTACT US</t>
  </si>
  <si>
    <t>M1S4</t>
  </si>
  <si>
    <t>INCENTIVE RATES &amp; REQUIREMENTS</t>
  </si>
  <si>
    <t>M1S5</t>
  </si>
  <si>
    <t>M1S6</t>
  </si>
  <si>
    <t>M1S7</t>
  </si>
  <si>
    <t>M1S8</t>
  </si>
  <si>
    <t>MAIN2</t>
  </si>
  <si>
    <t>M2S1</t>
  </si>
  <si>
    <t>Terms &amp; Conditions</t>
  </si>
  <si>
    <t>M2S2</t>
  </si>
  <si>
    <t>Project Information</t>
  </si>
  <si>
    <t>Total Custom Electric</t>
  </si>
  <si>
    <t>M2S3</t>
  </si>
  <si>
    <t>Customer Information</t>
  </si>
  <si>
    <t>Total ALL</t>
  </si>
  <si>
    <t>M2S4</t>
  </si>
  <si>
    <t>Trade Ally / Contractor Information</t>
  </si>
  <si>
    <t>M2S5</t>
  </si>
  <si>
    <t>M2S6</t>
  </si>
  <si>
    <t>M2S7</t>
  </si>
  <si>
    <t>M2S8</t>
  </si>
  <si>
    <t>CB Ratio</t>
  </si>
  <si>
    <t>Payback</t>
  </si>
  <si>
    <t>MAIN3</t>
  </si>
  <si>
    <t>Equipment Input</t>
  </si>
  <si>
    <t>M3S1</t>
  </si>
  <si>
    <t>Equipment Type</t>
  </si>
  <si>
    <t>M3S2</t>
  </si>
  <si>
    <t>Lighting &amp; Lighting Controls</t>
  </si>
  <si>
    <t>M3S3</t>
  </si>
  <si>
    <t>HVAC</t>
  </si>
  <si>
    <t>M3S4</t>
  </si>
  <si>
    <t>Heating</t>
  </si>
  <si>
    <t>M3S5</t>
  </si>
  <si>
    <t>Water Heating &amp; Boilers</t>
  </si>
  <si>
    <t>M3S6</t>
  </si>
  <si>
    <t>M3S7</t>
  </si>
  <si>
    <t>Food Service</t>
  </si>
  <si>
    <t>M3S8</t>
  </si>
  <si>
    <t>Agriculture</t>
  </si>
  <si>
    <t>M3S9</t>
  </si>
  <si>
    <t>Plug Load</t>
  </si>
  <si>
    <t>Internal Labor Cost?</t>
  </si>
  <si>
    <t>M3S10</t>
  </si>
  <si>
    <t>Residential Appliances</t>
  </si>
  <si>
    <t>Project Cost</t>
  </si>
  <si>
    <t>M3S11</t>
  </si>
  <si>
    <t>Miscellaneous</t>
  </si>
  <si>
    <t>MAIN4</t>
  </si>
  <si>
    <t>Incentive/Cost</t>
  </si>
  <si>
    <t>M4S1</t>
  </si>
  <si>
    <t>Cost Cap</t>
  </si>
  <si>
    <t>M4S2</t>
  </si>
  <si>
    <t>M4S3</t>
  </si>
  <si>
    <t>M4S4</t>
  </si>
  <si>
    <t>=IFERROR(IF($BL18="OK",IF(INCENTTOCOST_CUST&gt;CostCap_Cust,BR18/Incent_Total_Uncap_Cust*Cost_Total_Cust_Final*CostCap_Cust,BR18),""),"")</t>
  </si>
  <si>
    <t>M4S5</t>
  </si>
  <si>
    <t>'Alternate equation for incentive cap (custom tabs)</t>
  </si>
  <si>
    <t>M4S6</t>
  </si>
  <si>
    <t>M4S7</t>
  </si>
  <si>
    <t>M4S8</t>
  </si>
  <si>
    <t>M4S9</t>
  </si>
  <si>
    <t>M4S10</t>
  </si>
  <si>
    <t>M4S11</t>
  </si>
  <si>
    <t>Unions</t>
  </si>
  <si>
    <t>Union Project Spend</t>
  </si>
  <si>
    <t>MAIN5</t>
  </si>
  <si>
    <t>Project Review &amp; Summary</t>
  </si>
  <si>
    <t>M5S1a</t>
  </si>
  <si>
    <t>Payment</t>
  </si>
  <si>
    <t>M5S1b</t>
  </si>
  <si>
    <t>On-Bill Repayment</t>
  </si>
  <si>
    <t>M5S2</t>
  </si>
  <si>
    <t>Project Review</t>
  </si>
  <si>
    <t>M5S3</t>
  </si>
  <si>
    <t>Project Summary</t>
  </si>
  <si>
    <t>M5S4</t>
  </si>
  <si>
    <t>Inspection Report</t>
  </si>
  <si>
    <t>M5S5</t>
  </si>
  <si>
    <t xml:space="preserve">Project Completion Certification </t>
  </si>
  <si>
    <t>M5S6</t>
  </si>
  <si>
    <t>OBR: Repayment Agreement</t>
  </si>
  <si>
    <t>M5S7</t>
  </si>
  <si>
    <t>Summary Form</t>
  </si>
  <si>
    <t>M5S8</t>
  </si>
  <si>
    <t xml:space="preserve">Union Information </t>
  </si>
  <si>
    <t>MAIN6</t>
  </si>
  <si>
    <t>M6S1</t>
  </si>
  <si>
    <t>M6S2</t>
  </si>
  <si>
    <t>M6S3</t>
  </si>
  <si>
    <t>M6S4</t>
  </si>
  <si>
    <t>M6S5</t>
  </si>
  <si>
    <t>M6S6</t>
  </si>
  <si>
    <t>M6S7</t>
  </si>
  <si>
    <t>M6S8</t>
  </si>
  <si>
    <t>MAIN7</t>
  </si>
  <si>
    <t>M7S1</t>
  </si>
  <si>
    <t>M7S2</t>
  </si>
  <si>
    <t>M7S3</t>
  </si>
  <si>
    <t>M7S4</t>
  </si>
  <si>
    <t>M7S5</t>
  </si>
  <si>
    <t>M7S6</t>
  </si>
  <si>
    <t>M7S7</t>
  </si>
  <si>
    <t>M7S8</t>
  </si>
  <si>
    <t>Total</t>
  </si>
  <si>
    <t>% Complete</t>
  </si>
  <si>
    <t>Variable Name</t>
  </si>
  <si>
    <t>COMPINSTRUCT</t>
  </si>
  <si>
    <t>Required for submission pathway?</t>
  </si>
  <si>
    <t>current value</t>
  </si>
  <si>
    <t>Is blank?</t>
  </si>
  <si>
    <t>Variable Display Name</t>
  </si>
  <si>
    <t>Text to Display Underneath</t>
  </si>
  <si>
    <t>Online Requirements</t>
  </si>
  <si>
    <t>M01S02F01</t>
  </si>
  <si>
    <t>M01S02F01disp</t>
  </si>
  <si>
    <t>|=if(AND(H80=TRUE,J80=TRUE),"Required","")</t>
  </si>
  <si>
    <t>M01S02F02</t>
  </si>
  <si>
    <t>M01S02F02disp</t>
  </si>
  <si>
    <t>|=if(AND(H81=TRUE,J81=TRUE),"Required","")</t>
  </si>
  <si>
    <t>M01S02F03</t>
  </si>
  <si>
    <t>M01S02F03disp</t>
  </si>
  <si>
    <t>|=if(AND(H82=TRUE,SubmittingThrough=Txt_SubMthdOnline),Txt_SubmitOnline,IF(AND(H82=TRUE,SubmittingThrough=Txt_SubMthdEmail,J82=TRUE),Txt_Rqd,""))</t>
  </si>
  <si>
    <t>COMPTERMS</t>
  </si>
  <si>
    <t>M02S01F01</t>
  </si>
  <si>
    <t>M02S01F01disp</t>
  </si>
  <si>
    <t>||=if(AND(G86=TRUE,SubmittingThrough=Txt_SubMthdOnline),Txt_SubmitOnline,IF(AND(G86=TRUE,SubmittingThrough=Txt_SubMthdEmail,I86=TRUE),Txt_Rqd,""))</t>
  </si>
  <si>
    <t>M02S01F02</t>
  </si>
  <si>
    <t>M02S01F02disp</t>
  </si>
  <si>
    <t>||=if(AND(G87=TRUE,SubmittingThrough=Txt_SubMthdOnline),Txt_SubmitOnline,IF(AND(G87=TRUE,SubmittingThrough=Txt_SubMthdEmail,I87=TRUE),Txt_Rqd,""))</t>
  </si>
  <si>
    <t>M02S01F03</t>
  </si>
  <si>
    <t>M02S01F03disp</t>
  </si>
  <si>
    <t>||=if(AND(G88=TRUE,SubmittingThrough=Txt_SubMthdOnline),Txt_SubmitOnline,IF(AND(G88=TRUE,SubmittingThrough=Txt_SubMthdEmail,I88=TRUE),Txt_Rqd,""))</t>
  </si>
  <si>
    <t>COMPbuild</t>
  </si>
  <si>
    <t>M02S02F01</t>
  </si>
  <si>
    <t>M02S02F01disp</t>
  </si>
  <si>
    <t>||=if(AND(G92=TRUE,SubmittingThrough=Txt_SubMthdOnline),Txt_SubmitOnline,IF(AND(G92=TRUE,SubmittingThrough=Txt_SubMthdEmail,I92=TRUE),Txt_Rqd,""))</t>
  </si>
  <si>
    <t>M02S02F02</t>
  </si>
  <si>
    <t>M02S02F02disp</t>
  </si>
  <si>
    <t>||=if(AND(G93=TRUE,SubmittingThrough=Txt_SubMthdOnline),Txt_SubmitOnline,IF(AND(G93=TRUE,SubmittingThrough=Txt_SubMthdEmail,I93=TRUE),Txt_Rqd,""))</t>
  </si>
  <si>
    <t>M02S02F03</t>
  </si>
  <si>
    <t>M02S02F03disp</t>
  </si>
  <si>
    <t>||=if(AND(G94=TRUE,SubmittingThrough=Txt_SubMthdOnline),Txt_SubmitOnline,IF(AND(G94=TRUE,SubmittingThrough=Txt_SubMthdEmail,I94=TRUE),Txt_Rqd,""))</t>
  </si>
  <si>
    <t>M02S02F04</t>
  </si>
  <si>
    <t>M02S02F04disp</t>
  </si>
  <si>
    <t>||=if(AND(G95=TRUE,SubmittingThrough=Txt_SubMthdOnline),Txt_SubmitOnline,IF(AND(G95=TRUE,SubmittingThrough=Txt_SubMthdEmail,I95=TRUE),Txt_Rqd,""))</t>
  </si>
  <si>
    <t>M02S02F05</t>
  </si>
  <si>
    <t>M02S02F05disp</t>
  </si>
  <si>
    <t>||=if(AND(G96=TRUE,SubmittingThrough=Txt_SubMthdOnline),Txt_SubmitOnline,IF(AND(G96=TRUE,SubmittingThrough=Txt_SubMthdEmail,I96=TRUE),Txt_Rqd,""))</t>
  </si>
  <si>
    <t>M02S02F06</t>
  </si>
  <si>
    <t>M02S02F06disp</t>
  </si>
  <si>
    <t>||=if(AND(G97=TRUE,SubmittingThrough=Txt_SubMthdOnline),Txt_SubmitOnline,IF(AND(G97=TRUE,SubmittingThrough=Txt_SubMthdEmail,I97=TRUE),Txt_Rqd,""))</t>
  </si>
  <si>
    <t>M02S02F07</t>
  </si>
  <si>
    <t>M02S02F07disp</t>
  </si>
  <si>
    <t>||=if(AND(G98=TRUE,SubmittingThrough=Txt_SubMthdOnline),Txt_SubmitOnline,IF(AND(G98=TRUE,SubmittingThrough=Txt_SubMthdEmail,I98=TRUE),Txt_Rqd,""))</t>
  </si>
  <si>
    <t>M02S02F08</t>
  </si>
  <si>
    <t>M02S02F08disp</t>
  </si>
  <si>
    <t>||=if(AND(G99=TRUE,SubmittingThrough=Txt_SubMthdOnline),Txt_SubmitOnline,IF(AND(G99=TRUE,SubmittingThrough=Txt_SubMthdEmail,I99=TRUE),Txt_Rqd,""))</t>
  </si>
  <si>
    <t>M02S02F09</t>
  </si>
  <si>
    <t>M02S02F09disp</t>
  </si>
  <si>
    <t>||=if(AND(G100=TRUE,SubmittingThrough=Txt_SubMthdOnline),Txt_SubmitOnline,IF(AND(G100=TRUE,SubmittingThrough=Txt_SubMthdEmail,I100=TRUE),Txt_Rqd,""))</t>
  </si>
  <si>
    <t>M02S02F10</t>
  </si>
  <si>
    <t>M02S02F10disp</t>
  </si>
  <si>
    <t>||=if(AND(G101=TRUE,SubmittingThrough=Txt_SubMthdOnline),Txt_SubmitOnline,IF(AND(G101=TRUE,SubmittingThrough=Txt_SubMthdEmail,I101=TRUE),Txt_Rqd,""))</t>
  </si>
  <si>
    <t>M02S02F11</t>
  </si>
  <si>
    <t>M02S02F11disp</t>
  </si>
  <si>
    <t>||=if(AND(G102=TRUE,SubmittingThrough=Txt_SubMthdOnline),Txt_SubmitOnline,IF(AND(G102=TRUE,SubmittingThrough=Txt_SubMthdEmail,I102=TRUE),Txt_Rqd,""))</t>
  </si>
  <si>
    <t>M02S02F12</t>
  </si>
  <si>
    <t>M02S02F12disp</t>
  </si>
  <si>
    <t>||=if(AND(G103=TRUE,SubmittingThrough=Txt_SubMthdOnline),Txt_SubmitOnline,IF(AND(G103=TRUE,SubmittingThrough=Txt_SubMthdEmail,I103=TRUE),Txt_Rqd,""))</t>
  </si>
  <si>
    <t>M02S02F13</t>
  </si>
  <si>
    <t>M02S02F13disp</t>
  </si>
  <si>
    <t>||=if(AND(G104=TRUE,SubmittingThrough=Txt_SubMthdOnline),Txt_SubmitOnline,IF(AND(G104=TRUE,SubmittingThrough=Txt_SubMthdEmail,I104=TRUE),Txt_Rqd,""))</t>
  </si>
  <si>
    <t>M02S02F14</t>
  </si>
  <si>
    <t>M02S02F14disp</t>
  </si>
  <si>
    <t>||=if(AND(G105=TRUE,SubmittingThrough=Txt_SubMthdOnline),Txt_SubmitOnline,IF(AND(G105=TRUE,SubmittingThrough=Txt_SubMthdEmail,I105=TRUE),Txt_Rqd,""))</t>
  </si>
  <si>
    <t>M02S02F15</t>
  </si>
  <si>
    <t>M02S02F15disp</t>
  </si>
  <si>
    <t>||=if(AND(G106=TRUE,SubmittingThrough=Txt_SubMthdOnline),Txt_SubmitOnline,IF(AND(G106=TRUE,SubmittingThrough=Txt_SubMthdEmail,I106=TRUE),Txt_Rqd,""))</t>
  </si>
  <si>
    <t>M02S02F16</t>
  </si>
  <si>
    <t>M02S02F16disp</t>
  </si>
  <si>
    <t>||=if(AND(G107=TRUE,SubmittingThrough=Txt_SubMthdOnline),Txt_SubmitOnline,IF(AND(G107=TRUE,SubmittingThrough=Txt_SubMthdEmail,I107=TRUE),Txt_Rqd,""))</t>
  </si>
  <si>
    <t>M02S02F17</t>
  </si>
  <si>
    <t>M02S02F17disp</t>
  </si>
  <si>
    <t>||=if(AND(G108=TRUE,SubmittingThrough=Txt_SubMthdOnline),Txt_SubmitOnline,IF(AND(G108=TRUE,SubmittingThrough=Txt_SubMthdEmail,I108=TRUE),Txt_Rqd,""))</t>
  </si>
  <si>
    <t>M02S02F18</t>
  </si>
  <si>
    <t>M02S02F18disp</t>
  </si>
  <si>
    <t>||=if(AND(G109=TRUE,SubmittingThrough=Txt_SubMthdOnline),Txt_SubmitOnline,IF(AND(G109=TRUE,SubmittingThrough=Txt_SubMthdEmail,I109=TRUE),Txt_Rqd,""))</t>
  </si>
  <si>
    <t>M02S02F19</t>
  </si>
  <si>
    <t>M02S02F19disp</t>
  </si>
  <si>
    <t>||=if(AND(G110=TRUE,SubmittingThrough=Txt_SubMthdOnline),Txt_SubmitOnline,IF(AND(G110=TRUE,SubmittingThrough=Txt_SubMthdEmail,I110=TRUE),Txt_Rqd,""))</t>
  </si>
  <si>
    <t>M02S02F20</t>
  </si>
  <si>
    <t>M02S02F20disp</t>
  </si>
  <si>
    <t>||=if(AND(G111=TRUE,SubmittingThrough=Txt_SubMthdOnline),Txt_SubmitOnline,IF(AND(G111=TRUE,SubmittingThrough=Txt_SubMthdEmail,I111=TRUE),Txt_Rqd,""))</t>
  </si>
  <si>
    <t>M02S02F21</t>
  </si>
  <si>
    <t>M02S02F21disp</t>
  </si>
  <si>
    <t>||=if(AND(G112=TRUE,SubmittingThrough=Txt_SubMthdOnline),Txt_SubmitOnline,IF(AND(G112=TRUE,SubmittingThrough=Txt_SubMthdEmail,I112=TRUE),Txt_Rqd,""))</t>
  </si>
  <si>
    <t>M02S02F22</t>
  </si>
  <si>
    <t>M02S02F22disp</t>
  </si>
  <si>
    <t>||=if(AND(G113=TRUE,SubmittingThrough=Txt_SubMthdOnline),Txt_SubmitOnline,IF(AND(G113=TRUE,SubmittingThrough=Txt_SubMthdEmail,I113=TRUE),Txt_Rqd,""))</t>
  </si>
  <si>
    <t>M02S02F23</t>
  </si>
  <si>
    <t>M02S02F23disp</t>
  </si>
  <si>
    <t>||=if(AND(G114=TRUE,SubmittingThrough=Txt_SubMthdOnline),Txt_SubmitOnline,IF(AND(G114=TRUE,SubmittingThrough=Txt_SubMthdEmail,I114=TRUE),Txt_Rqd,""))</t>
  </si>
  <si>
    <t>M02S02F24</t>
  </si>
  <si>
    <t>M02S02F24disp</t>
  </si>
  <si>
    <t>||=if(AND(G115=TRUE,SubmittingThrough=Txt_SubMthdOnline),Txt_SubmitOnline,IF(AND(G115=TRUE,SubmittingThrough=Txt_SubMthdEmail,I115=TRUE),Txt_Rqd,""))</t>
  </si>
  <si>
    <t>M02S02F25</t>
  </si>
  <si>
    <t>M02S02F25disp</t>
  </si>
  <si>
    <t>||=if(AND(G116=TRUE,SubmittingThrough=Txt_SubMthdOnline),Txt_SubmitOnline,IF(AND(G116=TRUE,SubmittingThrough=Txt_SubMthdEmail,I116=TRUE),Txt_Rqd,""))</t>
  </si>
  <si>
    <t>M02S02F26</t>
  </si>
  <si>
    <t>M02S02F26disp</t>
  </si>
  <si>
    <t>M02S02F27</t>
  </si>
  <si>
    <t>M02S02F27disp</t>
  </si>
  <si>
    <t>||=if(AND(G118=TRUE,SubmittingThrough=Txt_SubMthdOnline),Txt_SubmitOnline,IF(AND(G118=TRUE,SubmittingThrough=Txt_SubMthdEmail,I118=TRUE),Txt_Rqd,""))</t>
  </si>
  <si>
    <t>M02S02F28</t>
  </si>
  <si>
    <t>M02S02F28disp</t>
  </si>
  <si>
    <t>||=if(AND(G119=TRUE,SubmittingThrough=Txt_SubMthdOnline),Txt_SubmitOnline,IF(AND(G119=TRUE,SubmittingThrough=Txt_SubMthdEmail,I119=TRUE),Txt_Rqd,""))</t>
  </si>
  <si>
    <t>M02S02F29</t>
  </si>
  <si>
    <t>M02S02F29disp</t>
  </si>
  <si>
    <t>||=if(AND(G120=TRUE,SubmittingThrough=Txt_SubMthdOnline),Txt_SubmitOnline,IF(AND(G120=TRUE,SubmittingThrough=Txt_SubMthdEmail,I120=TRUE),Txt_Rqd,""))</t>
  </si>
  <si>
    <t>M02S02F30</t>
  </si>
  <si>
    <t>M02S02F30disp</t>
  </si>
  <si>
    <t>||=if(AND(G121=TRUE,SubmittingThrough=Txt_SubMthdOnline),Txt_SubmitOnline,IF(AND(G121=TRUE,SubmittingThrough=Txt_SubMthdEmail,I121=TRUE),Txt_Rqd,""))</t>
  </si>
  <si>
    <t>M02S02F31</t>
  </si>
  <si>
    <t>M02S02F31disp</t>
  </si>
  <si>
    <t>||=if(AND(G122=TRUE,SubmittingThrough=Txt_SubMthdOnline),Txt_SubmitOnline,IF(AND(G122=TRUE,SubmittingThrough=Txt_SubMthdEmail,I122=TRUE),Txt_Rqd,""))</t>
  </si>
  <si>
    <t>M02S02F32</t>
  </si>
  <si>
    <t>M02S02F32disp</t>
  </si>
  <si>
    <t>M02S02F33</t>
  </si>
  <si>
    <t>County</t>
  </si>
  <si>
    <t>M02S02F33disp</t>
  </si>
  <si>
    <t>COMPCUSTOMER</t>
  </si>
  <si>
    <t>M02S03F01</t>
  </si>
  <si>
    <t>M02S03F01disp</t>
  </si>
  <si>
    <t>||=if(AND(G125=TRUE,SubmittingThrough=Txt_SubMthdOnline),Txt_SubmitOnline,IF(AND(G125=TRUE,SubmittingThrough=Txt_SubMthdEmail,I125=TRUE),Txt_Rqd,""))</t>
  </si>
  <si>
    <t>M02S03F02</t>
  </si>
  <si>
    <t>M02S03F02disp</t>
  </si>
  <si>
    <t>||=if(AND(G128=TRUE,SubmittingThrough=Txt_SubMthdOnline),Txt_SubmitOnline,IF(AND(G128=TRUE,SubmittingThrough=Txt_SubMthdEmail,I128=TRUE),Txt_Rqd,""))</t>
  </si>
  <si>
    <t>M02S03F03</t>
  </si>
  <si>
    <t>M02S03F03disp</t>
  </si>
  <si>
    <t>||=if(AND(G127=TRUE,SubmittingThrough=Txt_SubMthdOnline),Txt_SubmitOnline,IF(AND(G127=TRUE,SubmittingThrough=Txt_SubMthdEmail,I127=TRUE),Txt_Rqd,""))</t>
  </si>
  <si>
    <t>M02S03F04</t>
  </si>
  <si>
    <t>M02S03F04disp</t>
  </si>
  <si>
    <t>M02S03F05</t>
  </si>
  <si>
    <t>M02S03F05disp</t>
  </si>
  <si>
    <t>||=if(AND(G129=TRUE,SubmittingThrough=Txt_SubMthdOnline),Txt_SubmitOnline,IF(AND(G129=TRUE,SubmittingThrough=Txt_SubMthdEmail,I129=TRUE),Txt_Rqd,""))</t>
  </si>
  <si>
    <t>M02S03F06</t>
  </si>
  <si>
    <t>M02S03F06disp</t>
  </si>
  <si>
    <t>||=if(AND(G130=TRUE,SubmittingThrough=Txt_SubMthdOnline),Txt_SubmitOnline,IF(AND(G130=TRUE,SubmittingThrough=Txt_SubMthdEmail,I130=TRUE),Txt_Rqd,""))</t>
  </si>
  <si>
    <t>M02S03F07</t>
  </si>
  <si>
    <t>M02S03F07disp</t>
  </si>
  <si>
    <t>||=if(AND(G131=TRUE,SubmittingThrough=Txt_SubMthdOnline),Txt_SubmitOnline,IF(AND(G131=TRUE,SubmittingThrough=Txt_SubMthdEmail,I131=TRUE),Txt_Rqd,""))</t>
  </si>
  <si>
    <t>M02S03F08</t>
  </si>
  <si>
    <t>M02S03F08disp</t>
  </si>
  <si>
    <t>||=if(AND(G132=TRUE,SubmittingThrough=Txt_SubMthdOnline),Txt_SubmitOnline,IF(AND(G132=TRUE,SubmittingThrough=Txt_SubMthdEmail,I132=TRUE),Txt_Rqd,""))</t>
  </si>
  <si>
    <t>M02S03F09</t>
  </si>
  <si>
    <t>M02S03F09disp</t>
  </si>
  <si>
    <t>||=if(AND(G133=TRUE,SubmittingThrough=Txt_SubMthdOnline),Txt_SubmitOnline,IF(AND(G133=TRUE,SubmittingThrough=Txt_SubMthdEmail,I133=TRUE),Txt_Rqd,""))</t>
  </si>
  <si>
    <t>M02S03F10</t>
  </si>
  <si>
    <t>M02S03F10disp</t>
  </si>
  <si>
    <t>||=if(AND(G134=TRUE,SubmittingThrough=Txt_SubMthdOnline),Txt_SubmitOnline,IF(AND(G134=TRUE,SubmittingThrough=Txt_SubMthdEmail,I134=TRUE),Txt_Rqd,""))</t>
  </si>
  <si>
    <t>M02S03F11</t>
  </si>
  <si>
    <t>M02S03F11disp</t>
  </si>
  <si>
    <t>||=if(AND(G135=TRUE,SubmittingThrough=Txt_SubMthdOnline),Txt_SubmitOnline,IF(AND(G135=TRUE,SubmittingThrough=Txt_SubMthdEmail,I135=TRUE),Txt_Rqd,""))</t>
  </si>
  <si>
    <t>M02S03F12</t>
  </si>
  <si>
    <t>M02S03F12disp</t>
  </si>
  <si>
    <t>||=if(AND(G136=TRUE,SubmittingThrough=Txt_SubMthdOnline),Txt_SubmitOnline,IF(AND(G136=TRUE,SubmittingThrough=Txt_SubMthdEmail,I136=TRUE),Txt_Rqd,""))</t>
  </si>
  <si>
    <t>M02S03F13</t>
  </si>
  <si>
    <t>M02S03F13disp</t>
  </si>
  <si>
    <t>||=if(AND(G137=TRUE,SubmittingThrough=Txt_SubMthdOnline),Txt_SubmitOnline,IF(AND(G137=TRUE,SubmittingThrough=Txt_SubMthdEmail,I137=TRUE),Txt_Rqd,""))</t>
  </si>
  <si>
    <t>M02S03F14</t>
  </si>
  <si>
    <t>M02S03F14disp</t>
  </si>
  <si>
    <t>||=if(AND(G138=TRUE,SubmittingThrough=Txt_SubMthdOnline),Txt_SubmitOnline,IF(AND(G138=TRUE,SubmittingThrough=Txt_SubMthdEmail,I138=TRUE),Txt_Rqd,""))</t>
  </si>
  <si>
    <t>M02S03F15</t>
  </si>
  <si>
    <t>M02S03F15disp</t>
  </si>
  <si>
    <t>||=if(AND(G139=TRUE,SubmittingThrough=Txt_SubMthdOnline),Txt_SubmitOnline,IF(AND(G139=TRUE,SubmittingThrough=Txt_SubMthdEmail,I139=TRUE),Txt_Rqd,""))</t>
  </si>
  <si>
    <t>M02S03F16</t>
  </si>
  <si>
    <t>M02S03F16disp</t>
  </si>
  <si>
    <t>||=if(AND(G140=TRUE,SubmittingThrough=Txt_SubMthdOnline),Txt_SubmitOnline,IF(AND(G140=TRUE,SubmittingThrough=Txt_SubMthdEmail,I140=TRUE),Txt_Rqd,""))</t>
  </si>
  <si>
    <t>M02S03F17</t>
  </si>
  <si>
    <t>M02S03F17disp</t>
  </si>
  <si>
    <t>||=if(AND(G141=TRUE,SubmittingThrough=Txt_SubMthdOnline),Txt_SubmitOnline,IF(AND(G141=TRUE,SubmittingThrough=Txt_SubMthdEmail,I141=TRUE),Txt_Rqd,""))</t>
  </si>
  <si>
    <t>COMPTA</t>
  </si>
  <si>
    <t>M02S04F01</t>
  </si>
  <si>
    <t>M02S04F01disp</t>
  </si>
  <si>
    <t>||=if(AND(G145=TRUE,SubmittingThrough=Txt_SubMthdOnline),Txt_SubmitOnline,IF(AND(G145=TRUE,SubmittingThrough=Txt_SubMthdEmail,I145=TRUE),Txt_Rqd,""))</t>
  </si>
  <si>
    <t>M02S04F02</t>
  </si>
  <si>
    <t>M02S04F02disp</t>
  </si>
  <si>
    <t>||=if(AND(G146=TRUE,SubmittingThrough=Txt_SubMthdOnline),Txt_SubmitOnline,IF(AND(G146=TRUE,SubmittingThrough=Txt_SubMthdEmail,I146=TRUE),Txt_Rqd,""))</t>
  </si>
  <si>
    <t>M02S04F03</t>
  </si>
  <si>
    <t>M02S04F03disp</t>
  </si>
  <si>
    <t>||=if(AND(G147=TRUE,SubmittingThrough=Txt_SubMthdOnline),Txt_SubmitOnline,IF(AND(G147=TRUE,SubmittingThrough=Txt_SubMthdEmail,I147=TRUE),Txt_Rqd,""))</t>
  </si>
  <si>
    <t>M02S04F04</t>
  </si>
  <si>
    <t>M02S04F04disp</t>
  </si>
  <si>
    <t>||=if(AND(G148=TRUE,SubmittingThrough=Txt_SubMthdOnline),Txt_SubmitOnline,IF(AND(G148=TRUE,SubmittingThrough=Txt_SubMthdEmail,I148=TRUE),Txt_Rqd,""))</t>
  </si>
  <si>
    <t>M02S04F05</t>
  </si>
  <si>
    <t>M02S04F05disp</t>
  </si>
  <si>
    <t>||=if(AND(G149=TRUE,SubmittingThrough=Txt_SubMthdOnline),Txt_SubmitOnline,IF(AND(G149=TRUE,SubmittingThrough=Txt_SubMthdEmail,I149=TRUE),Txt_Rqd,""))</t>
  </si>
  <si>
    <t>M02S04F06</t>
  </si>
  <si>
    <t>M02S04F06disp</t>
  </si>
  <si>
    <t>||=if(AND(G150=TRUE,SubmittingThrough=Txt_SubMthdOnline),Txt_SubmitOnline,IF(AND(G150=TRUE,SubmittingThrough=Txt_SubMthdEmail,I150=TRUE),Txt_Rqd,""))</t>
  </si>
  <si>
    <t>M02S04F07</t>
  </si>
  <si>
    <t>M02S04F07disp</t>
  </si>
  <si>
    <t>||=if(AND(G151=TRUE,SubmittingThrough=Txt_SubMthdOnline),Txt_SubmitOnline,IF(AND(G151=TRUE,SubmittingThrough=Txt_SubMthdEmail,I151=TRUE),Txt_Rqd,""))</t>
  </si>
  <si>
    <t>M02S04F08</t>
  </si>
  <si>
    <t>M02S04F08disp</t>
  </si>
  <si>
    <t>||=if(AND(G152=TRUE,SubmittingThrough=Txt_SubMthdOnline),Txt_SubmitOnline,IF(AND(G152=TRUE,SubmittingThrough=Txt_SubMthdEmail,I152=TRUE),Txt_Rqd,""))</t>
  </si>
  <si>
    <t>M02S04F09</t>
  </si>
  <si>
    <t>M02S04F09disp</t>
  </si>
  <si>
    <t>||=if(AND(G153=TRUE,SubmittingThrough=Txt_SubMthdOnline),Txt_SubmitOnline,IF(AND(G153=TRUE,SubmittingThrough=Txt_SubMthdEmail,I153=TRUE),Txt_Rqd,""))</t>
  </si>
  <si>
    <t>M02S04F10</t>
  </si>
  <si>
    <t>M02S04F10disp</t>
  </si>
  <si>
    <t>||=if(AND(G154=TRUE,SubmittingThrough=Txt_SubMthdOnline),Txt_SubmitOnline,IF(AND(G154=TRUE,SubmittingThrough=Txt_SubMthdEmail,I154=TRUE),Txt_Rqd,""))</t>
  </si>
  <si>
    <t>M02S04F11</t>
  </si>
  <si>
    <t>M02S04F11disp</t>
  </si>
  <si>
    <t>||=if(AND(G155=TRUE,SubmittingThrough=Txt_SubMthdOnline),Txt_SubmitOnline,IF(AND(G155=TRUE,SubmittingThrough=Txt_SubMthdEmail,I155=TRUE),Txt_Rqd,""))</t>
  </si>
  <si>
    <t>M02S04F12</t>
  </si>
  <si>
    <t>M02S04F12disp</t>
  </si>
  <si>
    <t>||=if(AND(G156=TRUE,SubmittingThrough=Txt_SubMthdOnline),Txt_SubmitOnline,IF(AND(G156=TRUE,SubmittingThrough=Txt_SubMthdEmail,I156=TRUE),Txt_Rqd,""))</t>
  </si>
  <si>
    <t>M02S04F13</t>
  </si>
  <si>
    <t>M02S04F13disp</t>
  </si>
  <si>
    <t>||=if(AND(G157=TRUE,SubmittingThrough=Txt_SubMthdOnline),Txt_SubmitOnline,IF(AND(G157=TRUE,SubmittingThrough=Txt_SubMthdEmail,I157=TRUE),Txt_Rqd,""))</t>
  </si>
  <si>
    <t>M02S04F14</t>
  </si>
  <si>
    <t>M02S04F14disp</t>
  </si>
  <si>
    <t>||=if(AND(G158=TRUE,SubmittingThrough=Txt_SubMthdOnline),Txt_SubmitOnline,IF(AND(G158=TRUE,SubmittingThrough=Txt_SubMthdEmail,I158=TRUE),Txt_Rqd,""))</t>
  </si>
  <si>
    <t>M02S04F15</t>
  </si>
  <si>
    <t>M02S04F15disp</t>
  </si>
  <si>
    <t>||=if(AND(G159=TRUE,SubmittingThrough=Txt_SubMthdOnline),Txt_SubmitOnline,IF(AND(G159=TRUE,SubmittingThrough=Txt_SubMthdEmail,I159=TRUE),Txt_Rqd,""))</t>
  </si>
  <si>
    <t>M02S04F16</t>
  </si>
  <si>
    <t>M02S04F16disp</t>
  </si>
  <si>
    <t>||=if(AND(G160=TRUE,SubmittingThrough=Txt_SubMthdOnline),Txt_SubmitOnline,IF(AND(G160=TRUE,SubmittingThrough=Txt_SubMthdEmail,I160=TRUE),Txt_Rqd,""))</t>
  </si>
  <si>
    <t>M02S04F17</t>
  </si>
  <si>
    <t>M02S04F17disp</t>
  </si>
  <si>
    <t>||=if(AND(G161=TRUE,SubmittingThrough=Txt_SubMthdOnline),Txt_SubmitOnline,IF(AND(G161=TRUE,SubmittingThrough=Txt_SubMthdEmail,I161=TRUE),Txt_Rqd,""))</t>
  </si>
  <si>
    <t>Measure Data</t>
  </si>
  <si>
    <t>COMPMEASURE</t>
  </si>
  <si>
    <t>P or C Incentive &gt; 0</t>
  </si>
  <si>
    <t>COMPpay</t>
  </si>
  <si>
    <t>M05S01AF01</t>
  </si>
  <si>
    <t>M05S01AF01disp</t>
  </si>
  <si>
    <t>||=if(AND(G170=TRUE,SubmittingThrough=Txt_SubMthdOnline),Txt_SubmitOnline,IF(AND(G170=TRUE,SubmittingThrough=Txt_SubMthdEmail,I170=TRUE),Txt_Rqd,""))</t>
  </si>
  <si>
    <t>M05S01AF02</t>
  </si>
  <si>
    <t>M05S01AF02disp</t>
  </si>
  <si>
    <t>||=if(AND(G171=TRUE,SubmittingThrough=Txt_SubMthdOnline),Txt_SubmitOnline,IF(AND(G171=TRUE,SubmittingThrough=Txt_SubMthdEmail,I171=TRUE),Txt_Rqd,""))</t>
  </si>
  <si>
    <t>M05S01AF03</t>
  </si>
  <si>
    <t>M05S01AF03disp</t>
  </si>
  <si>
    <t>||=if(AND(G172=TRUE,SubmittingThrough=Txt_SubMthdOnline),Txt_SubmitOnline,IF(AND(G172=TRUE,SubmittingThrough=Txt_SubMthdEmail,I172=TRUE),Txt_Rqd,""))</t>
  </si>
  <si>
    <t>M05S01AF04</t>
  </si>
  <si>
    <t>M05S01AF04disp</t>
  </si>
  <si>
    <t>||=if(AND(G173=TRUE,SubmittingThrough=Txt_SubMthdOnline),Txt_SubmitOnline,IF(AND(G173=TRUE,SubmittingThrough=Txt_SubMthdEmail,I173=TRUE),Txt_Rqd,""))</t>
  </si>
  <si>
    <t>M05S01AF05</t>
  </si>
  <si>
    <t>M05S01AF05disp</t>
  </si>
  <si>
    <t>||=if(AND(G174=TRUE,SubmittingThrough=Txt_SubMthdOnline),Txt_SubmitOnline,IF(AND(G174=TRUE,SubmittingThrough=Txt_SubMthdEmail,I174=TRUE),Txt_Rqd,""))</t>
  </si>
  <si>
    <t>M05S01AF06</t>
  </si>
  <si>
    <t>M05S01AF06disp</t>
  </si>
  <si>
    <t>||=if(AND(G175=TRUE,SubmittingThrough=Txt_SubMthdOnline),Txt_SubmitOnline,IF(AND(G175=TRUE,SubmittingThrough=Txt_SubMthdEmail,I175=TRUE),Txt_Rqd,""))</t>
  </si>
  <si>
    <t>M05S01AF07</t>
  </si>
  <si>
    <t>M05S01AF07disp</t>
  </si>
  <si>
    <t>||=if(AND(G176=TRUE,SubmittingThrough=Txt_SubMthdOnline),Txt_SubmitOnline,IF(AND(G176=TRUE,SubmittingThrough=Txt_SubMthdEmail,I176=TRUE),Txt_Rqd,""))</t>
  </si>
  <si>
    <t>M05S01AF08</t>
  </si>
  <si>
    <t>M05S01AF08disp</t>
  </si>
  <si>
    <t>||=if(AND(G177=TRUE,SubmittingThrough=Txt_SubMthdOnline),Txt_SubmitOnline,IF(AND(G177=TRUE,SubmittingThrough=Txt_SubMthdEmail,I177=TRUE),Txt_Rqd,""))</t>
  </si>
  <si>
    <t>M05S01AF09</t>
  </si>
  <si>
    <t>M05S01AF09disp</t>
  </si>
  <si>
    <t>||=if(AND(G178=TRUE,SubmittingThrough=Txt_SubMthdOnline),Txt_SubmitOnline,IF(AND(G178=TRUE,SubmittingThrough=Txt_SubMthdEmail,I178=TRUE),Txt_Rqd,""))</t>
  </si>
  <si>
    <t>M05S01AF10</t>
  </si>
  <si>
    <t>M05S01AF10disp</t>
  </si>
  <si>
    <t>||=if(AND(G179=TRUE,SubmittingThrough=Txt_SubMthdOnline),Txt_SubmitOnline,IF(AND(G179=TRUE,SubmittingThrough=Txt_SubMthdEmail,I179=TRUE),Txt_Rqd,""))</t>
  </si>
  <si>
    <t>M05S01AF11</t>
  </si>
  <si>
    <t>M05S01AF11disp</t>
  </si>
  <si>
    <t>||=if(AND(G180=TRUE,SubmittingThrough=Txt_SubMthdOnline),Txt_SubmitOnline,IF(AND(G180=TRUE,SubmittingThrough=Txt_SubMthdEmail,I180=TRUE),Txt_Rqd,""))</t>
  </si>
  <si>
    <t>M05S01AF12</t>
  </si>
  <si>
    <t>M05S01AF12disp</t>
  </si>
  <si>
    <t>||=if(AND(G181=TRUE,SubmittingThrough=Txt_SubMthdOnline),Txt_SubmitOnline,IF(AND(G181=TRUE,SubmittingThrough=Txt_SubMthdEmail,I181=TRUE),Txt_Rqd,""))</t>
  </si>
  <si>
    <t>M05S01AF13</t>
  </si>
  <si>
    <t>M05S01AF13disp</t>
  </si>
  <si>
    <t>||=if(AND(G182=TRUE,SubmittingThrough=Txt_SubMthdOnline),Txt_SubmitOnline,IF(AND(G182=TRUE,SubmittingThrough=Txt_SubMthdEmail,I182=TRUE),Txt_Rqd,""))</t>
  </si>
  <si>
    <t>M05S01AF14</t>
  </si>
  <si>
    <t>M05S01AF14disp</t>
  </si>
  <si>
    <t>||=if(AND(G183=TRUE,SubmittingThrough=Txt_SubMthdOnline),Txt_SubmitOnline,IF(AND(G183=TRUE,SubmittingThrough=Txt_SubMthdEmail,I183=TRUE),Txt_Rqd,""))</t>
  </si>
  <si>
    <t>M05S01AF15</t>
  </si>
  <si>
    <t>M05S01AF15disp</t>
  </si>
  <si>
    <t>||=if(AND(G184=TRUE,SubmittingThrough=Txt_SubMthdOnline),Txt_SubmitOnline,IF(AND(G184=TRUE,SubmittingThrough=Txt_SubMthdEmail,I184=TRUE),Txt_Rqd,""))</t>
  </si>
  <si>
    <t>M05S01AF16</t>
  </si>
  <si>
    <t>M05S01AF16disp</t>
  </si>
  <si>
    <t>||=if(AND(G185=TRUE,SubmittingThrough=Txt_SubMthdOnline),Txt_SubmitOnline,IF(AND(G185=TRUE,SubmittingThrough=Txt_SubMthdEmail,I185=TRUE),Txt_Rqd,""))</t>
  </si>
  <si>
    <t>COMPobr</t>
  </si>
  <si>
    <t>M05S01BF01</t>
  </si>
  <si>
    <t>||=if(AND(G190=TRUE,SubmittingThrough=Txt_SubMthdOnline),Txt_SubmitOnline,IF(AND(G190=TRUE,SubmittingThrough=Txt_SubMthdEmail,I190=TRUE),Txt_Rqd,""))</t>
  </si>
  <si>
    <t>M05S01BF02</t>
  </si>
  <si>
    <t>||=if(AND(G191=TRUE,SubmittingThrough=Txt_SubMthdOnline),Txt_SubmitOnline,IF(AND(G191=TRUE,SubmittingThrough=Txt_SubMthdEmail,I191=TRUE),Txt_Rqd,""))</t>
  </si>
  <si>
    <t>M05S01BF03</t>
  </si>
  <si>
    <t>||=if(AND(G192=TRUE,SubmittingThrough=Txt_SubMthdOnline),Txt_SubmitOnline,IF(AND(G192=TRUE,SubmittingThrough=Txt_SubMthdEmail,I192=TRUE),Txt_Rqd,""))</t>
  </si>
  <si>
    <t>M05S01BF07</t>
  </si>
  <si>
    <t>||=if(AND(G196=TRUE,SubmittingThrough=Txt_SubMthdOnline),Txt_SubmitOnline,IF(AND(G196=TRUE,SubmittingThrough=Txt_SubMthdEmail,I196=TRUE),Txt_Rqd,""))</t>
  </si>
  <si>
    <t>M05S01BF08</t>
  </si>
  <si>
    <t>||=if(AND(G197=TRUE,SubmittingThrough=Txt_SubMthdOnline),Txt_SubmitOnline,IF(AND(G197=TRUE,SubmittingThrough=Txt_SubMthdEmail,I197=TRUE),Txt_Rqd,""))</t>
  </si>
  <si>
    <t>M05S01BF09</t>
  </si>
  <si>
    <t>||=if(AND(G198=TRUE,SubmittingThrough=Txt_SubMthdOnline),Txt_SubmitOnline,IF(AND(G198=TRUE,SubmittingThrough=Txt_SubMthdEmail,I198=TRUE),Txt_Rqd,""))</t>
  </si>
  <si>
    <t>M05S01BF10</t>
  </si>
  <si>
    <t>||=if(AND(G199=TRUE,SubmittingThrough=Txt_SubMthdOnline),Txt_SubmitOnline,IF(AND(G199=TRUE,SubmittingThrough=Txt_SubMthdEmail,I199=TRUE),Txt_Rqd,""))</t>
  </si>
  <si>
    <t>M05S01BF11</t>
  </si>
  <si>
    <t>||=if(AND(G200=TRUE,SubmittingThrough=Txt_SubMthdOnline),Txt_SubmitOnline,IF(AND(G200=TRUE,SubmittingThrough=Txt_SubMthdEmail,I200=TRUE),Txt_Rqd,""))</t>
  </si>
  <si>
    <t>M05S01BF12</t>
  </si>
  <si>
    <t>||=if(AND(G201=TRUE,SubmittingThrough=Txt_SubMthdOnline),Txt_SubmitOnline,IF(AND(G201=TRUE,SubmittingThrough=Txt_SubMthdEmail,I201=TRUE),Txt_Rqd,""))</t>
  </si>
  <si>
    <t>M05S01BF14</t>
  </si>
  <si>
    <t>||=if(AND(G203=TRUE,SubmittingThrough=Txt_SubMthdOnline),Txt_SubmitOnline,IF(AND(G203=TRUE,SubmittingThrough=Txt_SubMthdEmail,I203=TRUE),Txt_Rqd,""))</t>
  </si>
  <si>
    <t>M05S01BF15</t>
  </si>
  <si>
    <t>||=if(AND(G204=TRUE,SubmittingThrough=Txt_SubMthdOnline),Txt_SubmitOnline,IF(AND(G204=TRUE,SubmittingThrough=Txt_SubMthdEmail,I204=TRUE),Txt_Rqd,""))</t>
  </si>
  <si>
    <t>M05S01BF17</t>
  </si>
  <si>
    <t>||=if(AND(G205=TRUE,SubmittingThrough=Txt_SubMthdOnline),Txt_SubmitOnline,IF(AND(G205=TRUE,SubmittingThrough=Txt_SubMthdEmail,I205=TRUE),Txt_Rqd,""))</t>
  </si>
  <si>
    <t>M05S01BF19</t>
  </si>
  <si>
    <t>||=if(AND(G207=TRUE,SubmittingThrough=Txt_SubMthdOnline),Txt_SubmitOnline,IF(AND(G207=TRUE,SubmittingThrough=Txt_SubMthdEmail,I207=TRUE),Txt_Rqd,""))</t>
  </si>
  <si>
    <t>M05S01BF20</t>
  </si>
  <si>
    <t>||=if(AND(G208=TRUE,SubmittingThrough=Txt_SubMthdOnline),Txt_SubmitOnline,IF(AND(G208=TRUE,SubmittingThrough=Txt_SubMthdEmail,I208=TRUE),Txt_Rqd,""))</t>
  </si>
  <si>
    <t>M05S01BF21</t>
  </si>
  <si>
    <t>||=if(AND(G209=TRUE,SubmittingThrough=Txt_SubMthdOnline),Txt_SubmitOnline,IF(AND(G209=TRUE,SubmittingThrough=Txt_SubMthdEmail,I209=TRUE),Txt_Rqd,""))</t>
  </si>
  <si>
    <t>M05S01BF22</t>
  </si>
  <si>
    <t>||=if(AND(G210=TRUE,SubmittingThrough=Txt_SubMthdOnline),Txt_SubmitOnline,IF(AND(G210=TRUE,SubmittingThrough=Txt_SubMthdEmail,I210=TRUE),Txt_Rqd,""))</t>
  </si>
  <si>
    <t>M05S01BF23</t>
  </si>
  <si>
    <t>||=if(AND(G211=TRUE,SubmittingThrough=Txt_SubMthdOnline),Txt_SubmitOnline,IF(AND(G211=TRUE,SubmittingThrough=Txt_SubMthdEmail,I211=TRUE),Txt_Rqd,""))</t>
  </si>
  <si>
    <t>M05S01BF24</t>
  </si>
  <si>
    <t>||=if(AND(G212=TRUE,SubmittingThrough=Txt_SubMthdOnline),Txt_SubmitOnline,IF(AND(G212=TRUE,SubmittingThrough=Txt_SubMthdEmail,I212=TRUE),Txt_Rqd,""))</t>
  </si>
  <si>
    <t>M05S01BF25</t>
  </si>
  <si>
    <t>||=if(AND(G213=TRUE,SubmittingThrough=Txt_SubMthdOnline),Txt_SubmitOnline,IF(AND(G213=TRUE,SubmittingThrough=Txt_SubMthdEmail,I213=TRUE),Txt_Rqd,""))</t>
  </si>
  <si>
    <t>M05S01BF27</t>
  </si>
  <si>
    <t>||=if(AND(G215=TRUE,SubmittingThrough=Txt_SubMthdOnline),Txt_SubmitOnline,IF(AND(G215=TRUE,SubmittingThrough=Txt_SubMthdEmail,I215=TRUE),Txt_Rqd,""))</t>
  </si>
  <si>
    <t>M05S01BF28</t>
  </si>
  <si>
    <t>||=if(AND(G216=TRUE,SubmittingThrough=Txt_SubMthdOnline),Txt_SubmitOnline,IF(AND(G216=TRUE,SubmittingThrough=Txt_SubMthdEmail,I216=TRUE),Txt_Rqd,""))</t>
  </si>
  <si>
    <t>M05S01BF29</t>
  </si>
  <si>
    <t>||=if(AND(G217=TRUE,SubmittingThrough=Txt_SubMthdOnline),Txt_SubmitOnline,IF(AND(G217=TRUE,SubmittingThrough=Txt_SubMthdEmail,I217=TRUE),Txt_Rqd,""))</t>
  </si>
  <si>
    <t>M05S01BF30</t>
  </si>
  <si>
    <t>||=if(AND(G218=TRUE,SubmittingThrough=Txt_SubMthdOnline),Txt_SubmitOnline,IF(AND(G218=TRUE,SubmittingThrough=Txt_SubMthdEmail,I218=TRUE),Txt_Rqd,""))</t>
  </si>
  <si>
    <t>M05S01BF31</t>
  </si>
  <si>
    <t>||=if(AND(G219=TRUE,SubmittingThrough=Txt_SubMthdOnline),Txt_SubmitOnline,IF(AND(G219=TRUE,SubmittingThrough=Txt_SubMthdEmail,I219=TRUE),Txt_Rqd,""))</t>
  </si>
  <si>
    <t>M05S01BF32</t>
  </si>
  <si>
    <t>||=if(AND(G220=TRUE,SubmittingThrough=Txt_SubMthdOnline),Txt_SubmitOnline,IF(AND(G220=TRUE,SubmittingThrough=Txt_SubMthdEmail,I220=TRUE),Txt_Rqd,""))</t>
  </si>
  <si>
    <t>M05S01BF33</t>
  </si>
  <si>
    <t>M05S01BF34</t>
  </si>
  <si>
    <t>M05S01BF35</t>
  </si>
  <si>
    <t>COMPsummary</t>
  </si>
  <si>
    <t>M05S02F01</t>
  </si>
  <si>
    <t>M05S02F02</t>
  </si>
  <si>
    <t>COMPOBRAGREEMENT</t>
  </si>
  <si>
    <t>M05S06F01</t>
  </si>
  <si>
    <t>M05S06F02</t>
  </si>
  <si>
    <t>M05S06F03</t>
  </si>
  <si>
    <t>COMPUNIONINFO</t>
  </si>
  <si>
    <t>M05S08F01</t>
  </si>
  <si>
    <t>M05S08F03</t>
  </si>
  <si>
    <t>M05S08F04</t>
  </si>
  <si>
    <t>M05S08F05</t>
  </si>
  <si>
    <t>M05S08F06</t>
  </si>
  <si>
    <t>M05S08F07</t>
  </si>
  <si>
    <t>M05S08F08</t>
  </si>
  <si>
    <t>M05S08F09</t>
  </si>
  <si>
    <t>M05S08F11</t>
  </si>
  <si>
    <t>M05S08F12</t>
  </si>
  <si>
    <t>M05S08F13</t>
  </si>
  <si>
    <t>M05S08F14</t>
  </si>
  <si>
    <t>M05S08F15</t>
  </si>
  <si>
    <t>PC Summary Dual Check</t>
  </si>
  <si>
    <t>Lighting</t>
  </si>
  <si>
    <t>WH</t>
  </si>
  <si>
    <t>Ref</t>
  </si>
  <si>
    <t>FS</t>
  </si>
  <si>
    <t>Agr</t>
  </si>
  <si>
    <t>PL</t>
  </si>
  <si>
    <t>RA</t>
  </si>
  <si>
    <t>Misc</t>
  </si>
  <si>
    <t>Program Type:</t>
  </si>
  <si>
    <t>Site Name:</t>
  </si>
  <si>
    <t>Status:</t>
  </si>
  <si>
    <t>Estimated Incentive:</t>
  </si>
  <si>
    <t>OBR Amt Requested:</t>
  </si>
  <si>
    <t>Progress</t>
  </si>
  <si>
    <t>Project Location</t>
  </si>
  <si>
    <t>Service Address</t>
  </si>
  <si>
    <t>Mailing Address</t>
  </si>
  <si>
    <t>Same as Service Address?</t>
  </si>
  <si>
    <t>TO COPY AS VALUES ONLY!!!!</t>
  </si>
  <si>
    <t>Name as it appears on PSE&amp;G Bill</t>
  </si>
  <si>
    <t>Customer Type</t>
  </si>
  <si>
    <t>City</t>
  </si>
  <si>
    <t>State</t>
  </si>
  <si>
    <t>ZIP Code</t>
  </si>
  <si>
    <t>NJ</t>
  </si>
  <si>
    <t>Utility Account Information</t>
  </si>
  <si>
    <t>Type of PSE&amp;G Service</t>
  </si>
  <si>
    <t>Electric Utility Name</t>
  </si>
  <si>
    <t>Electric Account Number</t>
  </si>
  <si>
    <t>Acc.Num.Dig.</t>
  </si>
  <si>
    <t>Gas Utility Name</t>
  </si>
  <si>
    <t>Gas Account Number</t>
  </si>
  <si>
    <t>Building Information</t>
  </si>
  <si>
    <t>Building Type</t>
  </si>
  <si>
    <t>Building Ownership</t>
  </si>
  <si>
    <t>Number of Buildings</t>
  </si>
  <si>
    <t>Space Conditioning Type</t>
  </si>
  <si>
    <t>Annual Operating Hours</t>
  </si>
  <si>
    <t>Square Footage</t>
  </si>
  <si>
    <t>Number of Floors</t>
  </si>
  <si>
    <t>Year Built</t>
  </si>
  <si>
    <t>Existing Water Heating Type</t>
  </si>
  <si>
    <t>Project Description/Schedule</t>
  </si>
  <si>
    <t>Project Description</t>
  </si>
  <si>
    <t>Project Name / ID</t>
  </si>
  <si>
    <t>How did you hear about the Program?</t>
  </si>
  <si>
    <t>Is this project already installed?</t>
  </si>
  <si>
    <t>Install Date</t>
  </si>
  <si>
    <t>Estimated Start Date</t>
  </si>
  <si>
    <t>Estimated Completion Date</t>
  </si>
  <si>
    <t>Customer Company Contact</t>
  </si>
  <si>
    <t>"Company" is the headquarters or primary office that is the owner of the site where the project is being implemented.</t>
  </si>
  <si>
    <t>Legal Company Name</t>
  </si>
  <si>
    <t>Company Name:</t>
  </si>
  <si>
    <t>Company Address:</t>
  </si>
  <si>
    <t>Copy from:</t>
  </si>
  <si>
    <t>ONLY FORMULAS ONLY! DO NOT COPY FORMATTING</t>
  </si>
  <si>
    <t>Contact First Name</t>
  </si>
  <si>
    <t>Last Name</t>
  </si>
  <si>
    <t>Address</t>
  </si>
  <si>
    <t>Company Contact:</t>
  </si>
  <si>
    <t>Title</t>
  </si>
  <si>
    <t>Primary Phone</t>
  </si>
  <si>
    <t>Email</t>
  </si>
  <si>
    <t>Technical/Site Contact</t>
  </si>
  <si>
    <t xml:space="preserve">During the application review, we may contact you to collect additional information, to schedule a site inspection, or to answer a brief survey regarding program participation. </t>
  </si>
  <si>
    <t>Technical/Site Contact is the same as the Company Contact (above)?</t>
  </si>
  <si>
    <t>Technical/Site Contact:</t>
  </si>
  <si>
    <t/>
  </si>
  <si>
    <t>Signature (Account Owner or Authorized Representative)</t>
  </si>
  <si>
    <t>Signatory Title</t>
  </si>
  <si>
    <t>Date Signed</t>
  </si>
  <si>
    <t>Please fill out the Trade Ally / contractor information below.</t>
  </si>
  <si>
    <t>TA / Contractor Company</t>
  </si>
  <si>
    <t xml:space="preserve">Is there a Trade Ally (TA) or contractor involved with this project?  </t>
  </si>
  <si>
    <t>Zip Code</t>
  </si>
  <si>
    <t xml:space="preserve">Who will install/installed the equipment for this project? </t>
  </si>
  <si>
    <t>Trade Ally/Contractor Main Contact:</t>
  </si>
  <si>
    <t>Secondary Contact (Optional):</t>
  </si>
  <si>
    <t>Select the appropriate equipment category below to apply for incentives.</t>
  </si>
  <si>
    <t>Measure Number</t>
  </si>
  <si>
    <t>Category</t>
  </si>
  <si>
    <t>Proj Desc 1</t>
  </si>
  <si>
    <t>Inc Rate</t>
  </si>
  <si>
    <t>EUL</t>
  </si>
  <si>
    <t>Measure Group</t>
  </si>
  <si>
    <t>Measure Subgroup 1</t>
  </si>
  <si>
    <t>Measure Subgroup 2</t>
  </si>
  <si>
    <t>Units</t>
  </si>
  <si>
    <t>Order</t>
  </si>
  <si>
    <t>End Use Category</t>
  </si>
  <si>
    <t>Factor</t>
  </si>
  <si>
    <t>Application Tab</t>
  </si>
  <si>
    <t>Unit of Measure</t>
  </si>
  <si>
    <t>ntgValueElectric</t>
  </si>
  <si>
    <t>10###</t>
  </si>
  <si>
    <t>10200</t>
  </si>
  <si>
    <t>Interior Lighting</t>
  </si>
  <si>
    <t>Measure</t>
  </si>
  <si>
    <t>11###</t>
  </si>
  <si>
    <t>Lighting Controls</t>
  </si>
  <si>
    <t>10197</t>
  </si>
  <si>
    <t>Exterior Lighting</t>
  </si>
  <si>
    <t>12###</t>
  </si>
  <si>
    <t>10198</t>
  </si>
  <si>
    <t>Garage Lighting</t>
  </si>
  <si>
    <t>13###</t>
  </si>
  <si>
    <t>11028</t>
  </si>
  <si>
    <t>Interior Lighting Controls</t>
  </si>
  <si>
    <t>14###</t>
  </si>
  <si>
    <t>11029</t>
  </si>
  <si>
    <t>Exterior Lighting Controls</t>
  </si>
  <si>
    <t>15###</t>
  </si>
  <si>
    <t>11030</t>
  </si>
  <si>
    <t>Garage Lighting Controls</t>
  </si>
  <si>
    <t>16###</t>
  </si>
  <si>
    <t>11031</t>
  </si>
  <si>
    <t>Interior Lighting and Lighting Controls</t>
  </si>
  <si>
    <t>17###</t>
  </si>
  <si>
    <t>11032</t>
  </si>
  <si>
    <t>Exterior Lighting and Lighting Controls</t>
  </si>
  <si>
    <t>18###</t>
  </si>
  <si>
    <t>11033</t>
  </si>
  <si>
    <t>Garage Lighting and Lighting Controls</t>
  </si>
  <si>
    <t>19###</t>
  </si>
  <si>
    <t>10199</t>
  </si>
  <si>
    <t>Other Non Prescriptive</t>
  </si>
  <si>
    <t>20###</t>
  </si>
  <si>
    <t>ntgValueNatueralGas</t>
  </si>
  <si>
    <t>12286</t>
  </si>
  <si>
    <t>Chiller</t>
  </si>
  <si>
    <t>12287</t>
  </si>
  <si>
    <t>VRF</t>
  </si>
  <si>
    <t>12288</t>
  </si>
  <si>
    <t>Controls &amp; Chiller Plant Optimization</t>
  </si>
  <si>
    <t>12289</t>
  </si>
  <si>
    <t>Large Motor/VFD</t>
  </si>
  <si>
    <t>12290</t>
  </si>
  <si>
    <t>13011</t>
  </si>
  <si>
    <t>14038</t>
  </si>
  <si>
    <t>15049</t>
  </si>
  <si>
    <t>16072</t>
  </si>
  <si>
    <t>17016</t>
  </si>
  <si>
    <t>Agriculture Lighting</t>
  </si>
  <si>
    <t>17017</t>
  </si>
  <si>
    <t>Agriculture Process</t>
  </si>
  <si>
    <t>17018</t>
  </si>
  <si>
    <t>18020</t>
  </si>
  <si>
    <t>19040</t>
  </si>
  <si>
    <t>20013</t>
  </si>
  <si>
    <t>Building Shell Improvements</t>
  </si>
  <si>
    <t>20014</t>
  </si>
  <si>
    <t>20015</t>
  </si>
  <si>
    <t>Compressed Air System</t>
  </si>
  <si>
    <t>20016</t>
  </si>
  <si>
    <t>Data Center Equipment/Server</t>
  </si>
  <si>
    <t>20017</t>
  </si>
  <si>
    <t>INDEX(CMEMISC[Proj Desc 1],MATCH('M04-S09'!C18,CMEMISC[Project Category],0),1):INDEX(CMEMISC[Proj Desc 1],MATCH('M04-S09'!C18,CMEMISC[Project Category],1),1)</t>
  </si>
  <si>
    <t>FOOT1</t>
  </si>
  <si>
    <t>PSE&amp;G C&amp;I Energy Efficiency Program</t>
  </si>
  <si>
    <t>Building type:</t>
  </si>
  <si>
    <t>FOOT2</t>
  </si>
  <si>
    <t>1-844-300-PSEG (7734)</t>
  </si>
  <si>
    <t>FOOT3</t>
  </si>
  <si>
    <t>PSEGenergysaver@TRCcompanies.com</t>
  </si>
  <si>
    <t>Portal Link</t>
  </si>
  <si>
    <t>FOOT4</t>
  </si>
  <si>
    <t>Engineered Solutions Tier 2 Advance Custom Incentive Application</t>
  </si>
  <si>
    <t xml:space="preserve">https://bizsaveportal.pseg.com </t>
  </si>
  <si>
    <t>FOOT5</t>
  </si>
  <si>
    <t>FOOT6</t>
  </si>
  <si>
    <t>This is a TRC tool</t>
  </si>
  <si>
    <t>FOOTDISCLAIM</t>
  </si>
  <si>
    <t>Options</t>
  </si>
  <si>
    <t>Tax Entity</t>
  </si>
  <si>
    <t>Column1</t>
  </si>
  <si>
    <t>Payment to</t>
  </si>
  <si>
    <t>Company</t>
  </si>
  <si>
    <t>Zip</t>
  </si>
  <si>
    <t>First</t>
  </si>
  <si>
    <t>Last</t>
  </si>
  <si>
    <t>Phone</t>
  </si>
  <si>
    <t>Terms</t>
  </si>
  <si>
    <t>Payment Preference</t>
  </si>
  <si>
    <t>Yes</t>
  </si>
  <si>
    <t>Individual Sole Proprietor</t>
  </si>
  <si>
    <t>Trade Ally (Check)</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</si>
  <si>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</si>
  <si>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MP</t>
  </si>
  <si>
    <t>No</t>
  </si>
  <si>
    <t>C Corporation</t>
  </si>
  <si>
    <t>Company (Check)</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</si>
  <si>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</si>
  <si>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Site</t>
  </si>
  <si>
    <t>S Corporation</t>
  </si>
  <si>
    <t>Site (Check)</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</si>
  <si>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</si>
  <si>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Installer</t>
  </si>
  <si>
    <t>Partnership</t>
  </si>
  <si>
    <t>Site (Bill Credit)</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</si>
  <si>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</si>
  <si>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Other</t>
  </si>
  <si>
    <t>TA/Contractor</t>
  </si>
  <si>
    <t>Trust/Estate</t>
  </si>
  <si>
    <t>Other (Check)</t>
  </si>
  <si>
    <t>Customer/Self-Installed</t>
  </si>
  <si>
    <t>Limited Liability Company C Corporation</t>
  </si>
  <si>
    <t>Limited Liability Company S Corporation</t>
  </si>
  <si>
    <t>Program Type</t>
  </si>
  <si>
    <t>Limited Liability Company Partnership</t>
  </si>
  <si>
    <t>Prescriptive</t>
  </si>
  <si>
    <t>Exempt</t>
  </si>
  <si>
    <t>Energy Management</t>
  </si>
  <si>
    <t>States</t>
  </si>
  <si>
    <t>Abbrev</t>
  </si>
  <si>
    <t>Non-Residential Small Business</t>
  </si>
  <si>
    <t>Alabama</t>
  </si>
  <si>
    <t>AL</t>
  </si>
  <si>
    <t>Submission Method</t>
  </si>
  <si>
    <t>Welcome Tab Instruction</t>
  </si>
  <si>
    <t>Submission Instruction</t>
  </si>
  <si>
    <t>Alaska</t>
  </si>
  <si>
    <t>AK</t>
  </si>
  <si>
    <t>Online Portal</t>
  </si>
  <si>
    <t>Please complete only the fields marked "Required" on Project, Customer, Trade Ally and Payee Information tabs. All other fields will be completed in the Online Portal.</t>
  </si>
  <si>
    <t>Arizona</t>
  </si>
  <si>
    <t>AZ</t>
  </si>
  <si>
    <t>Encrypted Email</t>
  </si>
  <si>
    <t>SubProgram Type</t>
  </si>
  <si>
    <t>Arkansas</t>
  </si>
  <si>
    <t>AR</t>
  </si>
  <si>
    <t>Downstream</t>
  </si>
  <si>
    <t>California</t>
  </si>
  <si>
    <t>CA</t>
  </si>
  <si>
    <t>Named Range</t>
  </si>
  <si>
    <t>Text</t>
  </si>
  <si>
    <t>Instruction</t>
  </si>
  <si>
    <t>Retro-Commissioning (RCx)</t>
  </si>
  <si>
    <t>Colorado</t>
  </si>
  <si>
    <t>CO</t>
  </si>
  <si>
    <t>Txt_Rqd</t>
  </si>
  <si>
    <t>Outlook</t>
  </si>
  <si>
    <t>In the email, select Options, navigate to the Encrypt panel and select the lock icon</t>
  </si>
  <si>
    <t>Strategic Energy Management (SEM)</t>
  </si>
  <si>
    <t>Connecticut</t>
  </si>
  <si>
    <t>CT</t>
  </si>
  <si>
    <t>Txt_SubmitOnline</t>
  </si>
  <si>
    <t>Submit Online</t>
  </si>
  <si>
    <t>Gmail</t>
  </si>
  <si>
    <t>In the email, select the lock-clock icon to toggle on confidential mode. Select "Expires in 1 Month" and click "Save"</t>
  </si>
  <si>
    <t>HVAC Tune-Up</t>
  </si>
  <si>
    <t>Delaware</t>
  </si>
  <si>
    <t>DE</t>
  </si>
  <si>
    <t>Txt_SubMthdOnline</t>
  </si>
  <si>
    <t>Yahoo</t>
  </si>
  <si>
    <t>A third-party tool is required for advanced Yahoo mail encryption. It is strongly encouraged to submit the application via the online portal rather than Yahoo. If not possible, please download a third-party tool to encrypt the email.</t>
  </si>
  <si>
    <t>Non-UEZ</t>
  </si>
  <si>
    <t>Florida</t>
  </si>
  <si>
    <t>FL</t>
  </si>
  <si>
    <t>Txt_SubMthdEmail</t>
  </si>
  <si>
    <t>AOL</t>
  </si>
  <si>
    <t>A third-party tool is required for AOL mail encryption. It is strongly encouraged to submit the application via the online portal rather than AOL. If not possible, please download a third-party tool to encrypt the email.</t>
  </si>
  <si>
    <t>Georgia</t>
  </si>
  <si>
    <t>GA</t>
  </si>
  <si>
    <t>A third-party tool may be necessary for email encryption. It is strongly encouraged to submit the application via the online portal rather than downloading a third-party tool.</t>
  </si>
  <si>
    <t>Customer Info</t>
  </si>
  <si>
    <t>Hawaii</t>
  </si>
  <si>
    <t>HI</t>
  </si>
  <si>
    <t>Billboard</t>
  </si>
  <si>
    <t>Idaho</t>
  </si>
  <si>
    <t>ID</t>
  </si>
  <si>
    <t>Commercial</t>
  </si>
  <si>
    <t>Illinois</t>
  </si>
  <si>
    <t>IL</t>
  </si>
  <si>
    <t>Commercial/Industrial</t>
  </si>
  <si>
    <t>Conference</t>
  </si>
  <si>
    <t>Indiana</t>
  </si>
  <si>
    <t>IN</t>
  </si>
  <si>
    <t>Data Center</t>
  </si>
  <si>
    <t>Online Ad</t>
  </si>
  <si>
    <t>Iowa</t>
  </si>
  <si>
    <t>IA</t>
  </si>
  <si>
    <t>Government/Municipal</t>
  </si>
  <si>
    <t>Print Ad</t>
  </si>
  <si>
    <t>Kansas</t>
  </si>
  <si>
    <t>KS</t>
  </si>
  <si>
    <t>Non-Profit</t>
  </si>
  <si>
    <t>Project Level Building Type</t>
  </si>
  <si>
    <t>Lighting TRM Building Equivalent</t>
  </si>
  <si>
    <t>Foodservice TRM Building Equivalent</t>
  </si>
  <si>
    <t>Water Heating &amp; Boilers TRM Building Equivalent</t>
  </si>
  <si>
    <t>HVAC TRM Building Equivalent</t>
  </si>
  <si>
    <t>HVAC_ECMHydro TRM Building Equivalent</t>
  </si>
  <si>
    <t>HVAC_ECMBlower TRM Building Equivalent</t>
  </si>
  <si>
    <t>NYTRM AppD Building Equivalent</t>
  </si>
  <si>
    <t>HVAC_Dual Enthalpy Economizer Building Equivalent</t>
  </si>
  <si>
    <t>HVAC_Smart Thermostat Building Equivalent</t>
  </si>
  <si>
    <t>NYTRM AppG Building Equivalent</t>
  </si>
  <si>
    <t>PSE&amp;G Representative</t>
  </si>
  <si>
    <t>Kentucky</t>
  </si>
  <si>
    <t>KY</t>
  </si>
  <si>
    <t>School</t>
  </si>
  <si>
    <t>Amusement Parks</t>
  </si>
  <si>
    <t>Average = Miscellaneous</t>
  </si>
  <si>
    <t>Assembly</t>
  </si>
  <si>
    <t>Town Hall</t>
  </si>
  <si>
    <t>PSE&amp;G Website</t>
  </si>
  <si>
    <t>Louisiana</t>
  </si>
  <si>
    <t>LA</t>
  </si>
  <si>
    <t>Unknown</t>
  </si>
  <si>
    <t>Auto Repair</t>
  </si>
  <si>
    <t>Auto Related</t>
  </si>
  <si>
    <t>Manufacturing – Bio Tech/High Tech</t>
  </si>
  <si>
    <t>Radio Ad</t>
  </si>
  <si>
    <t>Maine</t>
  </si>
  <si>
    <t>ME</t>
  </si>
  <si>
    <t>Medical - Clinic</t>
  </si>
  <si>
    <t>Office - Small</t>
  </si>
  <si>
    <t>Small Office</t>
  </si>
  <si>
    <t>Medical Offices</t>
  </si>
  <si>
    <t>Health/Medical - Nursing Home</t>
  </si>
  <si>
    <t>Social Media</t>
  </si>
  <si>
    <t>Maryland</t>
  </si>
  <si>
    <t>MD</t>
  </si>
  <si>
    <t>Water Heating</t>
  </si>
  <si>
    <t>Bakery</t>
  </si>
  <si>
    <t>Education - University</t>
  </si>
  <si>
    <t>Dormitory</t>
  </si>
  <si>
    <t>College - Dormitory</t>
  </si>
  <si>
    <t>College Dormitory</t>
  </si>
  <si>
    <t>Multi-Family (Common Areas)</t>
  </si>
  <si>
    <t>Dormitory*</t>
  </si>
  <si>
    <t>Trade Ally</t>
  </si>
  <si>
    <t>Massachusetts</t>
  </si>
  <si>
    <t>MA</t>
  </si>
  <si>
    <t>Electric</t>
  </si>
  <si>
    <t>Big Box Retail</t>
  </si>
  <si>
    <t>Medical - Hospital</t>
  </si>
  <si>
    <t>Hospital</t>
  </si>
  <si>
    <t>Hospitals</t>
  </si>
  <si>
    <t>Health/Medical - Hospital</t>
  </si>
  <si>
    <t>TRC Energy Efficiency Advisor</t>
  </si>
  <si>
    <t>Michigan</t>
  </si>
  <si>
    <t>MI</t>
  </si>
  <si>
    <t>Natural Gas</t>
  </si>
  <si>
    <t>Car Dealership</t>
  </si>
  <si>
    <t>Manufacturing - Light Industrial</t>
  </si>
  <si>
    <t>Light Industrial</t>
  </si>
  <si>
    <t>Light Manufacturers</t>
  </si>
  <si>
    <t>Manufacturing – 1 Shift/Light Industrial</t>
  </si>
  <si>
    <t>Web Ad</t>
  </si>
  <si>
    <t>Minnesota</t>
  </si>
  <si>
    <t>MN</t>
  </si>
  <si>
    <t>Not Applicable</t>
  </si>
  <si>
    <t xml:space="preserve">Casino </t>
  </si>
  <si>
    <t>Lodging Hotel (Guest Rooms)</t>
  </si>
  <si>
    <t>Lodging - Hotel</t>
  </si>
  <si>
    <t>Hotel</t>
  </si>
  <si>
    <t>Lodging (Hotels/Motels)</t>
  </si>
  <si>
    <t>Webinar</t>
  </si>
  <si>
    <t>Mississippi</t>
  </si>
  <si>
    <t>MS</t>
  </si>
  <si>
    <t>Oil</t>
  </si>
  <si>
    <t>Child Day Care Services</t>
  </si>
  <si>
    <t>Lodging Motel</t>
  </si>
  <si>
    <t>Lodging - Motel</t>
  </si>
  <si>
    <t>Motel</t>
  </si>
  <si>
    <t>Word of Mouth</t>
  </si>
  <si>
    <t>Missouri</t>
  </si>
  <si>
    <t>MO</t>
  </si>
  <si>
    <t>Community College</t>
  </si>
  <si>
    <t>Multifamily - Common Areas</t>
  </si>
  <si>
    <t>Multifamily Low Rise</t>
  </si>
  <si>
    <t>Multifamily Low-Rise</t>
  </si>
  <si>
    <t>Montana</t>
  </si>
  <si>
    <t>MT</t>
  </si>
  <si>
    <t>Propane</t>
  </si>
  <si>
    <t>College/University - Cafeteria</t>
  </si>
  <si>
    <t>Multifamily High Rise</t>
  </si>
  <si>
    <t>Multifamily High-Rise</t>
  </si>
  <si>
    <t>Nebraska</t>
  </si>
  <si>
    <t>NE</t>
  </si>
  <si>
    <t>Steam</t>
  </si>
  <si>
    <t>College/University - Dormitory</t>
  </si>
  <si>
    <t>Office - Large</t>
  </si>
  <si>
    <t>Large Office</t>
  </si>
  <si>
    <t>Office (General Office Types)</t>
  </si>
  <si>
    <t>Nevada</t>
  </si>
  <si>
    <t>NV</t>
  </si>
  <si>
    <t>Country clubs</t>
  </si>
  <si>
    <t>New Hampshire</t>
  </si>
  <si>
    <t>NH</t>
  </si>
  <si>
    <t>Deli Markets</t>
  </si>
  <si>
    <t>Religious</t>
  </si>
  <si>
    <t>Pump Stations</t>
  </si>
  <si>
    <t>Enter Measures</t>
  </si>
  <si>
    <t>New Jersey</t>
  </si>
  <si>
    <t>Dry Cleaning and Laundry Services</t>
  </si>
  <si>
    <t>Standard Only No Pre-approval Required</t>
  </si>
  <si>
    <t>New Mexico</t>
  </si>
  <si>
    <t>NM</t>
  </si>
  <si>
    <t>Elementary School</t>
  </si>
  <si>
    <t>Pre-approval Required</t>
  </si>
  <si>
    <t>New York</t>
  </si>
  <si>
    <t>NY</t>
  </si>
  <si>
    <t>Encrypted Email Instructions</t>
  </si>
  <si>
    <t>Fast Food</t>
  </si>
  <si>
    <t>Please Review and Sign Form</t>
  </si>
  <si>
    <t>North Carolina</t>
  </si>
  <si>
    <t>NC</t>
  </si>
  <si>
    <t>&lt;Encrypted Email Instructions&gt;</t>
  </si>
  <si>
    <t>Fire station</t>
  </si>
  <si>
    <t>App Expired</t>
  </si>
  <si>
    <t>North Dakota</t>
  </si>
  <si>
    <t>ND</t>
  </si>
  <si>
    <t>Fitness and Recreation Center</t>
  </si>
  <si>
    <t>Not Eligible</t>
  </si>
  <si>
    <t>Ohio</t>
  </si>
  <si>
    <t>OH</t>
  </si>
  <si>
    <t xml:space="preserve">Food Production Manufacturing </t>
  </si>
  <si>
    <t>Incentive Less Than $150</t>
  </si>
  <si>
    <t>Oklahoma</t>
  </si>
  <si>
    <t>OK</t>
  </si>
  <si>
    <t>Total Digits</t>
  </si>
  <si>
    <t>Without Leading 0s</t>
  </si>
  <si>
    <t>Used</t>
  </si>
  <si>
    <t>Full Service Restaurant</t>
  </si>
  <si>
    <t>Not Eligible for BizSavers Program</t>
  </si>
  <si>
    <t>Oregon</t>
  </si>
  <si>
    <t>OR</t>
  </si>
  <si>
    <t>Elizabethtown Gas</t>
  </si>
  <si>
    <t>Gasoline Stations / Convenience stores</t>
  </si>
  <si>
    <t>Project Payback Too Fast</t>
  </si>
  <si>
    <t>Pennsylvania</t>
  </si>
  <si>
    <t>PA</t>
  </si>
  <si>
    <t>South Jersey Gas</t>
  </si>
  <si>
    <t>Grocery</t>
  </si>
  <si>
    <t>Project Not Cost Effective</t>
  </si>
  <si>
    <t>Rhode Island</t>
  </si>
  <si>
    <t>RI</t>
  </si>
  <si>
    <t>New Jersey Natural Gas</t>
  </si>
  <si>
    <t>High School</t>
  </si>
  <si>
    <t>RCx Payback over 18 months</t>
  </si>
  <si>
    <t>South Carolina</t>
  </si>
  <si>
    <t>SC</t>
  </si>
  <si>
    <t>PSE&amp;G</t>
  </si>
  <si>
    <t>Custom Payback under 18 months</t>
  </si>
  <si>
    <t>South Dakota</t>
  </si>
  <si>
    <t>SD</t>
  </si>
  <si>
    <t>Tennessee</t>
  </si>
  <si>
    <t>TN</t>
  </si>
  <si>
    <t>Project Specialists</t>
  </si>
  <si>
    <t>Texas</t>
  </si>
  <si>
    <t>TX</t>
  </si>
  <si>
    <t>Atlantic City Electric</t>
  </si>
  <si>
    <t>Adam Bean</t>
  </si>
  <si>
    <t>Utah</t>
  </si>
  <si>
    <t>UT</t>
  </si>
  <si>
    <t>JCP&amp;L</t>
  </si>
  <si>
    <t>Nursing Home</t>
  </si>
  <si>
    <t>April Melody Jones</t>
  </si>
  <si>
    <t>Vermont</t>
  </si>
  <si>
    <t>VT</t>
  </si>
  <si>
    <t>Rockland Electric</t>
  </si>
  <si>
    <t>Medical – Clinic</t>
  </si>
  <si>
    <t>Bonnie Pantelup</t>
  </si>
  <si>
    <t>Virginia</t>
  </si>
  <si>
    <t>VA</t>
  </si>
  <si>
    <t>Monetary Authorities - Central Bank</t>
  </si>
  <si>
    <t>Danielle Stevens</t>
  </si>
  <si>
    <t>Washington</t>
  </si>
  <si>
    <t>WA</t>
  </si>
  <si>
    <t>Museum</t>
  </si>
  <si>
    <t>Parking Garage</t>
  </si>
  <si>
    <t>Parking Garages</t>
  </si>
  <si>
    <t>Jalila Al-Khalil</t>
  </si>
  <si>
    <t>West Virginia</t>
  </si>
  <si>
    <t>WV</t>
  </si>
  <si>
    <t>Multi-Family - High Rise</t>
  </si>
  <si>
    <t>Religious Worship</t>
  </si>
  <si>
    <t>Religious Building</t>
  </si>
  <si>
    <t>Kenyetta Nevous</t>
  </si>
  <si>
    <t>Wisconsin</t>
  </si>
  <si>
    <t>WI</t>
  </si>
  <si>
    <t>Restaurant - Fast-Food</t>
  </si>
  <si>
    <t>Restaurant - Fast Food</t>
  </si>
  <si>
    <t>Fast Food Restaurant</t>
  </si>
  <si>
    <t>Fast Food Restaurants</t>
  </si>
  <si>
    <t>Shana Williams</t>
  </si>
  <si>
    <t>Wyoming</t>
  </si>
  <si>
    <t>WY</t>
  </si>
  <si>
    <t>Office</t>
  </si>
  <si>
    <t>Restaurant - Sit-Down</t>
  </si>
  <si>
    <t>Restaurant - Full Service</t>
  </si>
  <si>
    <t>Full-Service Restaurant</t>
  </si>
  <si>
    <t>Restaurants</t>
  </si>
  <si>
    <t>Yribia Contreras</t>
  </si>
  <si>
    <t>Canada</t>
  </si>
  <si>
    <t>CAN</t>
  </si>
  <si>
    <t>Retail - Large</t>
  </si>
  <si>
    <t>Retail - 3-Story Large</t>
  </si>
  <si>
    <t>Retail - Big Box</t>
  </si>
  <si>
    <t>Retail</t>
  </si>
  <si>
    <t>Big Box</t>
  </si>
  <si>
    <t>Retail - Single-Story Large</t>
  </si>
  <si>
    <t>[Enter Name]</t>
  </si>
  <si>
    <t>Personal Care Services (Salon)</t>
  </si>
  <si>
    <t>Retail - Grocery</t>
  </si>
  <si>
    <t>Food Stores</t>
  </si>
  <si>
    <t>Spillover Text</t>
  </si>
  <si>
    <t>Spillover Reason</t>
  </si>
  <si>
    <t>Postal Service</t>
  </si>
  <si>
    <t>Retail - Small</t>
  </si>
  <si>
    <t>Small Retail</t>
  </si>
  <si>
    <t>Engineers</t>
  </si>
  <si>
    <t>Measure Not Eligible</t>
  </si>
  <si>
    <t>Large Retail</t>
  </si>
  <si>
    <t>Retail - Multistory Large</t>
  </si>
  <si>
    <t>Brian Shen</t>
  </si>
  <si>
    <t>No Savings</t>
  </si>
  <si>
    <t>Education - Community College</t>
  </si>
  <si>
    <t>School - Community College</t>
  </si>
  <si>
    <t>Schools (Technical/Vocational)</t>
  </si>
  <si>
    <t>Brian Swift</t>
  </si>
  <si>
    <t>Payback Too Fast, Submit for Review</t>
  </si>
  <si>
    <t>Payback Under 18 Months</t>
  </si>
  <si>
    <t xml:space="preserve">Storage Conditioned </t>
  </si>
  <si>
    <t>School - Post-Secondary</t>
  </si>
  <si>
    <t>School - Postsecondary</t>
  </si>
  <si>
    <t>University</t>
  </si>
  <si>
    <t>School / University</t>
  </si>
  <si>
    <t>Eric Weinberg</t>
  </si>
  <si>
    <t>Not Cost Effective Submit for Review</t>
  </si>
  <si>
    <t>Not Cost Effective</t>
  </si>
  <si>
    <t>Storage Unconditioned</t>
  </si>
  <si>
    <t>Education - Primary School</t>
  </si>
  <si>
    <t>School - Primary</t>
  </si>
  <si>
    <t>Schools (Preschool/Elementary)</t>
  </si>
  <si>
    <t>Primary School</t>
  </si>
  <si>
    <t>Haiyu Li</t>
  </si>
  <si>
    <t>Submit for Review</t>
  </si>
  <si>
    <t>Warehouse</t>
  </si>
  <si>
    <t>Education - Secondary School</t>
  </si>
  <si>
    <t>School - Secondary</t>
  </si>
  <si>
    <t>Schools (Jr./Sr. High)</t>
  </si>
  <si>
    <t>Hemanth Murugesh</t>
  </si>
  <si>
    <t>Enter Utility Rate (Building Info Tab)</t>
  </si>
  <si>
    <t>Warehouse (Not Refrigerated)</t>
  </si>
  <si>
    <t>Storage - Conditioned</t>
  </si>
  <si>
    <t>Quinn Rozantis</t>
  </si>
  <si>
    <t>Eff. Wattage Not Met</t>
  </si>
  <si>
    <t>Sethuram Kumar</t>
  </si>
  <si>
    <t>Linear Feet Exceeded</t>
  </si>
  <si>
    <t>Table 11: Operating Days/Hours by Building Type</t>
  </si>
  <si>
    <t>yellow highlighted building types are closest fit building types.</t>
  </si>
  <si>
    <t>Operating Hours Invalid</t>
  </si>
  <si>
    <t>Days/Year</t>
  </si>
  <si>
    <t>Hours/Day</t>
  </si>
  <si>
    <t>Red are conservative (lowest hours) in lieu of a closer match</t>
  </si>
  <si>
    <t>Enter Bldg Type (Building Tab)</t>
  </si>
  <si>
    <t>Energy Efficiency Advisor</t>
  </si>
  <si>
    <t>Enter Site City &amp; Zip (Building Tab)</t>
  </si>
  <si>
    <t>Alvin Perhacs</t>
  </si>
  <si>
    <t>Complete Step 1: Lighting Schedule</t>
  </si>
  <si>
    <t>Elijan Avdic</t>
  </si>
  <si>
    <t>10% LPD Reduction Req.</t>
  </si>
  <si>
    <t>Glenn Williams</t>
  </si>
  <si>
    <t>Negative Incremental Cost</t>
  </si>
  <si>
    <t>Jordan Cherry</t>
  </si>
  <si>
    <t>Payback over 18 months, Custom Measure</t>
  </si>
  <si>
    <t>Payback Over 18 Months</t>
  </si>
  <si>
    <t>Kelvin Roberson</t>
  </si>
  <si>
    <t>Payback under 18 months, RCx Measure</t>
  </si>
  <si>
    <t>Louis Abruzzese</t>
  </si>
  <si>
    <t>Scott Herland</t>
  </si>
  <si>
    <t>Tests/Rates/Caps</t>
  </si>
  <si>
    <t>Value</t>
  </si>
  <si>
    <t>Susan Olivos</t>
  </si>
  <si>
    <t>Ted Bresnahan</t>
  </si>
  <si>
    <t>T'Shina Jones</t>
  </si>
  <si>
    <t>Project Category</t>
  </si>
  <si>
    <t>Retrofit</t>
  </si>
  <si>
    <t>Replace Failed Equip.</t>
  </si>
  <si>
    <t>Storage Conditioned</t>
  </si>
  <si>
    <t>20000001</t>
  </si>
  <si>
    <t>Storage Heated or Unconditioned</t>
  </si>
  <si>
    <t>Cost Type</t>
  </si>
  <si>
    <t>Incremental</t>
  </si>
  <si>
    <t>Custom Incentive Rate ($/kWh)</t>
  </si>
  <si>
    <t>Custom Incentive Rate ($/thm)</t>
  </si>
  <si>
    <t>Spillover Measure Number</t>
  </si>
  <si>
    <t>Lighting Only</t>
  </si>
  <si>
    <t>Baseline</t>
  </si>
  <si>
    <t>Principal building activity</t>
  </si>
  <si>
    <t>CBECS 2012 Midwest Electricity Energy Intensity (kWh/sq ft)</t>
  </si>
  <si>
    <t>Single</t>
  </si>
  <si>
    <t>Education</t>
  </si>
  <si>
    <t>Dual</t>
  </si>
  <si>
    <t>Food sales</t>
  </si>
  <si>
    <t>Food service</t>
  </si>
  <si>
    <t>Health care</t>
  </si>
  <si>
    <t>Inpatient</t>
  </si>
  <si>
    <t>Outpatient</t>
  </si>
  <si>
    <t>Lodging</t>
  </si>
  <si>
    <t>Mercantile</t>
  </si>
  <si>
    <t>Contractor Type</t>
  </si>
  <si>
    <t>Retail (other than mall)</t>
  </si>
  <si>
    <t>Enclosed and strip malls</t>
  </si>
  <si>
    <t>Contractor</t>
  </si>
  <si>
    <t>None</t>
  </si>
  <si>
    <t>Public assembly</t>
  </si>
  <si>
    <t>Public order and safety</t>
  </si>
  <si>
    <t>Religious worship</t>
  </si>
  <si>
    <t>Service</t>
  </si>
  <si>
    <t>Payee Type</t>
  </si>
  <si>
    <t>Warehouse and storage</t>
  </si>
  <si>
    <t>Customer (Company)</t>
  </si>
  <si>
    <t>Customer (Site)</t>
  </si>
  <si>
    <t>Vacant</t>
  </si>
  <si>
    <t>Space Conditioning</t>
  </si>
  <si>
    <t>eTRM Space Type - Lighting</t>
  </si>
  <si>
    <t>eTRM Fuel Type - Lighting</t>
  </si>
  <si>
    <t>eTRM Space Type - Smart Thermostat</t>
  </si>
  <si>
    <t>Electric Cooling &amp; Gas Heat</t>
  </si>
  <si>
    <t>AC/NonElec</t>
  </si>
  <si>
    <t>Gas Heat</t>
  </si>
  <si>
    <t>Smart Thermostat - AC &amp; Gas Heat</t>
  </si>
  <si>
    <t>Electric Cooling &amp; Oil Heat</t>
  </si>
  <si>
    <t>Oil Heat</t>
  </si>
  <si>
    <t>Electric Cooling &amp; Propane Heat</t>
  </si>
  <si>
    <t>Electric Cooling &amp; Resistance Heat</t>
  </si>
  <si>
    <t>AC/ElecRes</t>
  </si>
  <si>
    <t>Smart Thermostat - AC &amp; Elec Heat</t>
  </si>
  <si>
    <t>Who is filling out the application</t>
  </si>
  <si>
    <t>Heat Pump</t>
  </si>
  <si>
    <t>Customer</t>
  </si>
  <si>
    <t>Natural Gas Heat Only</t>
  </si>
  <si>
    <t>Contractor on behalf of customer</t>
  </si>
  <si>
    <t>No Electric Cooling (Electric Resistance Heat Only)</t>
  </si>
  <si>
    <t>NoAC/ElecRes</t>
  </si>
  <si>
    <t>Trade Ally on behalf of customer</t>
  </si>
  <si>
    <t>No Electric Cooling (Oil/Propane/Steam/No Heat)</t>
  </si>
  <si>
    <t>Draft Status Types</t>
  </si>
  <si>
    <t>Draft Pre-Application</t>
  </si>
  <si>
    <t>Draft Final Application</t>
  </si>
  <si>
    <t>End Uses</t>
  </si>
  <si>
    <t>Country Clubs</t>
  </si>
  <si>
    <t>Union Ancillary Cost</t>
  </si>
  <si>
    <t>Cranes</t>
  </si>
  <si>
    <t>Duct Sealing</t>
  </si>
  <si>
    <t>Duct Work</t>
  </si>
  <si>
    <t>Electric Panel</t>
  </si>
  <si>
    <t>Scissor Lift</t>
  </si>
  <si>
    <t>International Brotherhood of Electrical Workers</t>
  </si>
  <si>
    <t>United Association of Pipefitters</t>
  </si>
  <si>
    <t>United Association of Plumbers</t>
  </si>
  <si>
    <t>United Association of Plumbers and Pipefitters</t>
  </si>
  <si>
    <t>United Association of Steamfitters</t>
  </si>
  <si>
    <t>Union Name</t>
  </si>
  <si>
    <t>Union Number</t>
  </si>
  <si>
    <t>IBEW 102</t>
  </si>
  <si>
    <t>IBEW 164</t>
  </si>
  <si>
    <t>IBEW 269</t>
  </si>
  <si>
    <t>IBEW 351</t>
  </si>
  <si>
    <t>IBEW 400</t>
  </si>
  <si>
    <t>IBEW 456</t>
  </si>
  <si>
    <t>UA 274</t>
  </si>
  <si>
    <t>UA 24</t>
  </si>
  <si>
    <t>UA 9</t>
  </si>
  <si>
    <t>UA 322</t>
  </si>
  <si>
    <t>UA 475</t>
  </si>
  <si>
    <t>Counties</t>
  </si>
  <si>
    <t>Atlantic</t>
  </si>
  <si>
    <t>Bergen</t>
  </si>
  <si>
    <t>Burlington</t>
  </si>
  <si>
    <t>Camden</t>
  </si>
  <si>
    <t>Cape May</t>
  </si>
  <si>
    <t>Cumberland</t>
  </si>
  <si>
    <t>Essex</t>
  </si>
  <si>
    <t>Gloucester</t>
  </si>
  <si>
    <t>Hudson</t>
  </si>
  <si>
    <t>Hunterdon</t>
  </si>
  <si>
    <t>Mercer</t>
  </si>
  <si>
    <t>Middlesex</t>
  </si>
  <si>
    <t>Monmouth</t>
  </si>
  <si>
    <t>Morris</t>
  </si>
  <si>
    <t>Ocean</t>
  </si>
  <si>
    <t>Passaic</t>
  </si>
  <si>
    <t>Salem</t>
  </si>
  <si>
    <t>Somerset</t>
  </si>
  <si>
    <t>Sussex</t>
  </si>
  <si>
    <t>Union</t>
  </si>
  <si>
    <t>Warren</t>
  </si>
  <si>
    <t>Final Review Date (Year)</t>
  </si>
  <si>
    <t>Year</t>
  </si>
  <si>
    <t>StS Electric Factor</t>
  </si>
  <si>
    <t>Sts Therm Factor</t>
  </si>
  <si>
    <t>Conversion Factors</t>
  </si>
  <si>
    <t>kWh to MMBTU</t>
  </si>
  <si>
    <t>therm to MMBTU</t>
  </si>
  <si>
    <t>Total Taxes &amp; Ancillary Cost (From Invoice):</t>
  </si>
  <si>
    <t xml:space="preserve">DO NOT DRAG DOWN - Line 1 different formula </t>
  </si>
  <si>
    <t>Section Cost</t>
  </si>
  <si>
    <t>Section Incentive</t>
  </si>
  <si>
    <t>Section Savings</t>
  </si>
  <si>
    <t>Standard Savings vs Existing Equipment Savings</t>
  </si>
  <si>
    <t>Existing Equipment</t>
  </si>
  <si>
    <t>Proposed Equipment</t>
  </si>
  <si>
    <t>Install Location</t>
  </si>
  <si>
    <t>Measure Type</t>
  </si>
  <si>
    <t>Equipment Detail</t>
  </si>
  <si>
    <t>Total Annual Usage (kWh)</t>
  </si>
  <si>
    <t>Total Annual Demand (kW)</t>
  </si>
  <si>
    <t>Total Annual Usage (thm)</t>
  </si>
  <si>
    <t>Peak Day (thm)</t>
  </si>
  <si>
    <t>Manufacturer</t>
  </si>
  <si>
    <t>Model</t>
  </si>
  <si>
    <t>Measure Cost</t>
  </si>
  <si>
    <t>Estimated Incentive</t>
  </si>
  <si>
    <t>Electric
Savings</t>
  </si>
  <si>
    <t>Natural Gas Savings</t>
  </si>
  <si>
    <t>Verified Qty</t>
  </si>
  <si>
    <t>Comments</t>
  </si>
  <si>
    <t>EUL Check</t>
  </si>
  <si>
    <t>RUL Check</t>
  </si>
  <si>
    <t>Baseline Selection</t>
  </si>
  <si>
    <t>Consumption kWh</t>
  </si>
  <si>
    <t>Consumption Therms</t>
  </si>
  <si>
    <t>Status</t>
  </si>
  <si>
    <t>Calc Type</t>
  </si>
  <si>
    <t>Incentive Unit Type</t>
  </si>
  <si>
    <t>Incentive Units</t>
  </si>
  <si>
    <t>Incentive/Unit</t>
  </si>
  <si>
    <t>Incentive Total</t>
  </si>
  <si>
    <t>Incentive Cap</t>
  </si>
  <si>
    <t>Reported kWh/Unit</t>
  </si>
  <si>
    <t>Reported kW/Unit</t>
  </si>
  <si>
    <t>Reported thm/Unit</t>
  </si>
  <si>
    <t>Reported kWh Savings</t>
  </si>
  <si>
    <t>Reported kW Savings</t>
  </si>
  <si>
    <t>Reported thm Savings</t>
  </si>
  <si>
    <t>Customer kWh Savings</t>
  </si>
  <si>
    <t>Customer kW Savings</t>
  </si>
  <si>
    <t>Customer thm Savings</t>
  </si>
  <si>
    <t>CF</t>
  </si>
  <si>
    <t>Measure Life</t>
  </si>
  <si>
    <t>Savings
Status</t>
  </si>
  <si>
    <t>Quanity</t>
  </si>
  <si>
    <t xml:space="preserve"> Taxes</t>
  </si>
  <si>
    <t>Labor + Taxes</t>
  </si>
  <si>
    <t>Labor/Taxes + Material</t>
  </si>
  <si>
    <t>NTG Factor Electric</t>
  </si>
  <si>
    <t>Serial Number</t>
  </si>
  <si>
    <t>Material</t>
  </si>
  <si>
    <t>Labor</t>
  </si>
  <si>
    <t>Gross Source kWh</t>
  </si>
  <si>
    <t>Net Site kWh</t>
  </si>
  <si>
    <t>Net Source kWh</t>
  </si>
  <si>
    <t>Gross Site Lifetime kWh</t>
  </si>
  <si>
    <t>Gross Source Lifetime kWh</t>
  </si>
  <si>
    <t>Net Site Lifetime kWh</t>
  </si>
  <si>
    <t>Net Source Lifetime kWh</t>
  </si>
  <si>
    <t>Gross Source therms</t>
  </si>
  <si>
    <t>Net Site therms</t>
  </si>
  <si>
    <t>Net Source therms</t>
  </si>
  <si>
    <t>Gross Site Lifetime therms</t>
  </si>
  <si>
    <t>Gross Source Lifetime therms</t>
  </si>
  <si>
    <t>Net Site Lifetime therms</t>
  </si>
  <si>
    <t>Net Source Lifetime therms</t>
  </si>
  <si>
    <t>Gross Site MMBTU</t>
  </si>
  <si>
    <t xml:space="preserve">Gross Source MMBTU </t>
  </si>
  <si>
    <t xml:space="preserve"> Net Site MMBTU </t>
  </si>
  <si>
    <t>Net Source MMBTU</t>
  </si>
  <si>
    <t>Gross Site Lifetime MMBTU</t>
  </si>
  <si>
    <t>Gross Source Lifetime MMBTU</t>
  </si>
  <si>
    <t>Net Site Lifetime MMBTU</t>
  </si>
  <si>
    <t>Net Source Lifetime MMBTU</t>
  </si>
  <si>
    <t>Peak Day Therm</t>
  </si>
  <si>
    <t>Reported Net Source kW</t>
  </si>
  <si>
    <t>Reported Net Site kW</t>
  </si>
  <si>
    <t>Reported Net Source Peak Day therm</t>
  </si>
  <si>
    <t>Actual Net Source Peak Day therm</t>
  </si>
  <si>
    <t>Reported Net Site Peak Day therm</t>
  </si>
  <si>
    <t>Actual Net Site Peak Day therm</t>
  </si>
  <si>
    <t>Actual Gross Site MMBTU</t>
  </si>
  <si>
    <t xml:space="preserve">Actual Gross Source MMBTU </t>
  </si>
  <si>
    <t xml:space="preserve"> Actual Net Site MMBTU </t>
  </si>
  <si>
    <t>Actual Net Source MMBTU</t>
  </si>
  <si>
    <t>Actual Gross Site Lifetime MMBTU</t>
  </si>
  <si>
    <t>Actual Gross Source Lifetime MMBTU</t>
  </si>
  <si>
    <t>Actual Net Site Lifetime MMBTU</t>
  </si>
  <si>
    <t>Actual Net Source Lifetime MMBTU</t>
  </si>
  <si>
    <t>NTG Factor Natural Gas</t>
  </si>
  <si>
    <t xml:space="preserve">Please enter the Payee Information below. The payee information may be autofilled based on your selection, but you can overwrite the data if necessary. </t>
  </si>
  <si>
    <t xml:space="preserve">How to Print    </t>
  </si>
  <si>
    <r>
      <t>To</t>
    </r>
    <r>
      <rPr>
        <b/>
        <sz val="11"/>
        <rFont val="Airal"/>
      </rPr>
      <t xml:space="preserve"> print </t>
    </r>
    <r>
      <rPr>
        <sz val="11"/>
        <rFont val="Airal"/>
      </rPr>
      <t xml:space="preserve">this application go to File -&gt; Print. Under "Printer" select your local printer to print a paper copy or select a default PDF application to save a digital copy. </t>
    </r>
  </si>
  <si>
    <t>FOR PASTE WITHOUT FORMATTING ONLY</t>
  </si>
  <si>
    <t>Payee Company Name</t>
  </si>
  <si>
    <t>Account Information</t>
  </si>
  <si>
    <t>Project Site Address</t>
  </si>
  <si>
    <t>Electricity Provider</t>
  </si>
  <si>
    <t>Natural Gas Provider</t>
  </si>
  <si>
    <t>Payee First Name</t>
  </si>
  <si>
    <t>Payee Last Name</t>
  </si>
  <si>
    <t>Check Mailing Address</t>
  </si>
  <si>
    <t>Electricity Account Number</t>
  </si>
  <si>
    <t>Natural Gas Account Number</t>
  </si>
  <si>
    <t>Trade Ally / Vendor</t>
  </si>
  <si>
    <t>Contact</t>
  </si>
  <si>
    <t>Phone Number</t>
  </si>
  <si>
    <t>Check should be made payable to:</t>
  </si>
  <si>
    <t>Is Customer applying for OBR*?</t>
  </si>
  <si>
    <t>Federal Tax ID Number</t>
  </si>
  <si>
    <t>-</t>
  </si>
  <si>
    <t>PAYMENT RELEASE AUTHORIZATION</t>
  </si>
  <si>
    <t>By signing below, I am authorizing the payment of the incentive to the third party named above and I understand that I will not be receiving the incentive payment from PSE&amp;G. I also understand that my release of the payment to a third party does not exempt me from the program requirements outlined in the measure specifications and Terms &amp; Conditions.</t>
  </si>
  <si>
    <t>Print Name &amp; Signatory Title</t>
  </si>
  <si>
    <t xml:space="preserve">What is OBR? </t>
  </si>
  <si>
    <t>On-Bill Repayment (OBR) is an option available to customers addressing equipment or project costs not covered by incentives or rebates. Project-related costs can be covered by PSE&amp;G at the time of project completion, with the customer repayment via their utility bill, interest free for five years.</t>
  </si>
  <si>
    <t>How does it work?</t>
  </si>
  <si>
    <t>OBR may be applied for at the pre-approval project phase and may be assigned directly to the customer's trade ally/contractor. The repayment amount is then added to the customer’s utility bill, divided over a 60-month period.</t>
  </si>
  <si>
    <t>Instructions</t>
  </si>
  <si>
    <t>1. Complete the OBR application section below and then print and sign to indicate interest in applying for OBR.</t>
  </si>
  <si>
    <t>2. During incentive application review, the customer is evaluated based on Experian Financial Stability Score Review.</t>
  </si>
  <si>
    <t>3. Upon credit review approval, the project review phase will begin on your specified project. An OBR: Repayment Agreement will be created prior to installation of energy efficiency measures. The OBR: Repayment Agreement will detail the savings and will outline repayment terms.</t>
  </si>
  <si>
    <t>4. Upon successful measure installation, PSE&amp;G issues incentive check and Repayment Obligations are added to Customer Utility Bill.</t>
  </si>
  <si>
    <t>For more information:</t>
  </si>
  <si>
    <t>OBR Frequently Asked Questions</t>
  </si>
  <si>
    <t>OBR Summary</t>
  </si>
  <si>
    <t>Customer is applying for 
On-Bill Repayment (OBR)?</t>
  </si>
  <si>
    <t>Customer is assigning OBR funds to Trade Ally?</t>
  </si>
  <si>
    <t>OBR Amount Requested:</t>
  </si>
  <si>
    <t>Customer OBR Account Info</t>
  </si>
  <si>
    <t>Repayment Funds Recipient</t>
  </si>
  <si>
    <t>Company Name</t>
  </si>
  <si>
    <t>BIN</t>
  </si>
  <si>
    <t>Reference Information</t>
  </si>
  <si>
    <t>Credit Review</t>
  </si>
  <si>
    <r>
      <rPr>
        <b/>
        <sz val="14"/>
        <color theme="1" tint="0.249977111117893"/>
        <rFont val="Arial"/>
        <family val="2"/>
      </rPr>
      <t>Terms and Conditions</t>
    </r>
    <r>
      <rPr>
        <sz val="11"/>
        <color theme="1" tint="0.249977111117893"/>
        <rFont val="Arial"/>
        <family val="2"/>
      </rPr>
      <t xml:space="preserve">
The following terms are required for enrollment in On-Bill Repayment:
     • The project measures entered into this workbook must be eligible for an incentive. 
     • This application is subject to a more detailed review if over $1M of cumulative OBR commitment.
PSE&amp;G reserves the right to accept or reject any OBR Application in its sole discretion.
Upon credit review approval, the project review phase will begin on your specified project. An OBR Repayment Agreement will be created prior to installation of energy efficiency measures. The Agreement will detail the savings and will outline repayment terms. After the energy efficiency project is executed and inspected, the final OBR agreement will be signed by the customer.
I have read, understand and agree to all of the C&amp;I Energy Efficiency Program requirements, terms and conditions set forth in this OBR Application. I understand that repayment calculations will be based on final-inspection results and on the applicable program documentation, and that my agency/company must meet all eligibility criteria and requirements in order to participate in the OBR Program. Any unapproved changes to project scope, costs or run hours, between the time the Repayment Documents are accepted and signed and the project is completed and the project’s and my agency’s/company’s continued eligibility are verified, could result in repayment ineligibility.</t>
    </r>
  </si>
  <si>
    <t>Attachment Confirmation</t>
  </si>
  <si>
    <t>I understand and agree to comply with the Terms and Conditions of the PSE&amp;G C&amp;I Energy Efficiency Program and that all energy efficiency measures identified in this application comply with program rules and will submit a signed copy of this OBR Application tab as an attachment along with this completed PSE&amp;G Engineered Solutions Tier 2 Advance Custom Application.</t>
  </si>
  <si>
    <t>AUTHORIZATION FOR RELEASE OF CUSTOMER ACCOUNT INFORMATION</t>
  </si>
  <si>
    <t>I authorize PSE&amp;G to access energy usage data for the specified accounts at the physical site address of the project listed above and release to the Trade Ally listed on this application. I agree that PSE&amp;G may include my name, city or county of business, Program services/incentives and resulting energy-savings in reports or other documentation submitted to PSE&amp;G and relevant agencies administering energy programs. PSE&amp;G will treat all other information gathered through the Program as confidential.</t>
  </si>
  <si>
    <t>Terms &amp; Conditions - PSE&amp;G C&amp;I Energy Efficiency Program</t>
  </si>
  <si>
    <r>
      <t xml:space="preserve">1) Download and read through the Program Terms and Conditions using the link below
2) Complete and sign a copy of the Program Terms and Conditions
</t>
    </r>
    <r>
      <rPr>
        <b/>
        <sz val="11"/>
        <color theme="1" tint="0.249977111117893"/>
        <rFont val="Arial"/>
        <family val="2"/>
      </rPr>
      <t xml:space="preserve">
</t>
    </r>
    <r>
      <rPr>
        <b/>
        <u/>
        <sz val="11"/>
        <color theme="4" tint="-0.249977111117893"/>
        <rFont val="Arial"/>
        <family val="2"/>
      </rPr>
      <t>Download Program Terms and Conditions</t>
    </r>
  </si>
  <si>
    <t>ATTACHMENT CONFIRMATION</t>
  </si>
  <si>
    <t>I understand and agree to comply with the Terms and Conditions of the PSE&amp;G C&amp;I Energy Efficiency Program and that all energy efficiency measures identified in this application comply with program rules and will submit a signed copy as an attachment along with this application.</t>
  </si>
  <si>
    <t>Print Name</t>
  </si>
  <si>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</si>
  <si>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t xml:space="preserve"> ✎ Update</t>
  </si>
  <si>
    <t>Incentive Summary</t>
  </si>
  <si>
    <t>Custom Category</t>
  </si>
  <si>
    <t>---------------------------------------------------------------------------------------------------</t>
  </si>
  <si>
    <t>ESTIMATED INCENTIVE TOTAL:</t>
  </si>
  <si>
    <t>Payment Agreement</t>
  </si>
  <si>
    <t>OBR Account Info</t>
  </si>
  <si>
    <t>OBR Repayment Funds Recipient</t>
  </si>
  <si>
    <t>Union Information</t>
  </si>
  <si>
    <t>Project Submission</t>
  </si>
  <si>
    <t>Step 1</t>
  </si>
  <si>
    <t>Step 2</t>
  </si>
  <si>
    <t>Step 3</t>
  </si>
  <si>
    <t>Save this application with a unique file name.</t>
  </si>
  <si>
    <r>
      <t xml:space="preserve">Gather all required documents to submit along with your application. 
</t>
    </r>
    <r>
      <rPr>
        <b/>
        <sz val="12"/>
        <color theme="1"/>
        <rFont val="Arial"/>
        <family val="2"/>
      </rPr>
      <t>See below.</t>
    </r>
  </si>
  <si>
    <t>⇾</t>
  </si>
  <si>
    <t>Required Documents for all Projects</t>
  </si>
  <si>
    <t>For Submitted Projects</t>
  </si>
  <si>
    <t>Requirement</t>
  </si>
  <si>
    <t>Document</t>
  </si>
  <si>
    <t>Responsible Party</t>
  </si>
  <si>
    <t>Deliverable Timeline</t>
  </si>
  <si>
    <t>Signed PSE&amp;G Standard and Custom Application</t>
  </si>
  <si>
    <t>Customer/Contractor</t>
  </si>
  <si>
    <t>Initial Application Submission</t>
  </si>
  <si>
    <t>Completed Worksheets (all relevant tabs within this workbook)</t>
  </si>
  <si>
    <t>Pre-Inspection</t>
  </si>
  <si>
    <t>Vendor's proposal (including itemized labor and material costs)</t>
  </si>
  <si>
    <t>Application Workbook (.xls)</t>
  </si>
  <si>
    <t>Specification Sheets for proposed equipment. Circle or highlight the specific model number(s)</t>
  </si>
  <si>
    <t>Signed Terms &amp; Conditions</t>
  </si>
  <si>
    <t>W9, ST-4 or ST-5 form for incentive payee</t>
  </si>
  <si>
    <t>Optional</t>
  </si>
  <si>
    <t>Photos of Existing Equipment</t>
  </si>
  <si>
    <t>Scope of Work</t>
  </si>
  <si>
    <t xml:space="preserve">Signed OBR Application </t>
  </si>
  <si>
    <t>For Installed Projects</t>
  </si>
  <si>
    <t>Certificate of Completion</t>
  </si>
  <si>
    <t>Project Invoices (including itemized labor and material)</t>
  </si>
  <si>
    <t>Post-Inspection</t>
  </si>
  <si>
    <t>Signed Project Completion Certification</t>
  </si>
  <si>
    <t>If the project as-built is different than what was approved, include an explanation of the change, application form with updated measure details, and revised documentation as necessary (specification sheets, calculations, etc.).</t>
  </si>
  <si>
    <t>Signed OBR: Repayment Agreement</t>
  </si>
  <si>
    <t>Additional Required Supporting Documents by Measure</t>
  </si>
  <si>
    <t>For Lighting Measures:</t>
  </si>
  <si>
    <t>Proof of applicable qualified product listing for all eligible fixtures. 
Attach a printout or screenshot from the Design Lights Consortium® or ENERGY STAR® qualified product list showing the specific manufacturer name and model number that you plan to install. The DLC®/ENERGY STAR® logo appearing on a specification sheet is not considered sufficient proof of current listing.</t>
  </si>
  <si>
    <t>Photos of existing lamps, clearly showing lamp wattage. If possible, include photos of existing ballast.</t>
  </si>
  <si>
    <t>For HVAC Measures:</t>
  </si>
  <si>
    <t>An AHRI Certificate or submittal is required for new electric HVAC units. AHRI Certificates can be downloaded from http://www.ahridirectory.com</t>
  </si>
  <si>
    <t>For Custom Measures:</t>
  </si>
  <si>
    <t>Estimated Savings Calculations in Excel or other format</t>
  </si>
  <si>
    <t>Metered Data in Excel format, if available</t>
  </si>
  <si>
    <t>Next Steps:</t>
  </si>
  <si>
    <t>When will I receive approval?</t>
  </si>
  <si>
    <t>The review of a Pre-Application generally takes four to six weeks, unless an inspection is required or project documentation is incomplete.</t>
  </si>
  <si>
    <t>How will I know if my project has been reviewed?</t>
  </si>
  <si>
    <t>You will receive an automated email when your Pre-Application has been reviewed. You can check the status any time on the Track Applications page.</t>
  </si>
  <si>
    <t>Questions about the above process?</t>
  </si>
  <si>
    <t>Contact the PSE&amp;G team for specific questions regarding measure approval and extensions.</t>
  </si>
  <si>
    <r>
      <rPr>
        <sz val="11"/>
        <color rgb="FF333333"/>
        <rFont val="Wingdings"/>
        <charset val="2"/>
      </rPr>
      <t xml:space="preserve">( </t>
    </r>
    <r>
      <rPr>
        <b/>
        <sz val="11"/>
        <color rgb="FF333333"/>
        <rFont val="Arial"/>
        <family val="2"/>
      </rPr>
      <t xml:space="preserve">
CONTACT US</t>
    </r>
  </si>
  <si>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</si>
  <si>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t>Energy Efficiency Incentive Report</t>
  </si>
  <si>
    <t xml:space="preserve">Project ID: </t>
  </si>
  <si>
    <t>Trade Ally:</t>
  </si>
  <si>
    <t>Project Address:</t>
  </si>
  <si>
    <t>Address:</t>
  </si>
  <si>
    <t>Contact:</t>
  </si>
  <si>
    <t xml:space="preserve">Phone: </t>
  </si>
  <si>
    <t xml:space="preserve">Email: </t>
  </si>
  <si>
    <t>Total Incentive</t>
  </si>
  <si>
    <t>Project Cost Without Incentive</t>
  </si>
  <si>
    <t>Project Cost With Incentive</t>
  </si>
  <si>
    <t>Impact Summary</t>
  </si>
  <si>
    <t xml:space="preserve">Saving </t>
  </si>
  <si>
    <t>https://www.eia.gov/tools/faqs/faq.php?id=74&amp;t=11</t>
  </si>
  <si>
    <t>metric tons CO2/kWh</t>
  </si>
  <si>
    <t>kWh Savings</t>
  </si>
  <si>
    <t>metric tons CO2/therm</t>
  </si>
  <si>
    <t>therm Savings</t>
  </si>
  <si>
    <t>metric tons CO2</t>
  </si>
  <si>
    <t>metric tons C02E/vehicle/year</t>
  </si>
  <si>
    <t>is equivalent to…</t>
  </si>
  <si>
    <t>metric tons CO2/home/month.</t>
  </si>
  <si>
    <t>metric tons CO2E/ton of waste recycled instead of landfilled</t>
  </si>
  <si>
    <t>https://www.epa.gov/energy/greenhouse-gases-equivalencies-calculator-calculations-and-references</t>
  </si>
  <si>
    <t xml:space="preserve">vehicles removed </t>
  </si>
  <si>
    <t>homes powered</t>
  </si>
  <si>
    <r>
      <t>tons of landfill CO</t>
    </r>
    <r>
      <rPr>
        <vertAlign val="subscript"/>
        <sz val="13"/>
        <color theme="1"/>
        <rFont val="Arial"/>
        <family val="2"/>
      </rPr>
      <t>2</t>
    </r>
  </si>
  <si>
    <t>from the road</t>
  </si>
  <si>
    <t>for one month</t>
  </si>
  <si>
    <t xml:space="preserve"> emissions eliminated</t>
  </si>
  <si>
    <t>Idea, # of diners powered by your project</t>
  </si>
  <si>
    <t>Additional Resources</t>
  </si>
  <si>
    <t>Already planning future projects?</t>
  </si>
  <si>
    <t>Online:</t>
  </si>
  <si>
    <t>Project Contact</t>
  </si>
  <si>
    <t>Company Contact</t>
  </si>
  <si>
    <t>Trade Ally / Contractor</t>
  </si>
  <si>
    <t>Confirmation Question</t>
  </si>
  <si>
    <t>1.</t>
  </si>
  <si>
    <t>Survey Questions</t>
  </si>
  <si>
    <t>Are you satisfied with your new installation?</t>
  </si>
  <si>
    <t>2.</t>
  </si>
  <si>
    <t>Was your experience with the Trade Ally pleasant?</t>
  </si>
  <si>
    <t>3.</t>
  </si>
  <si>
    <t>Would you participate with the program again and which program would you be interested in participating in?</t>
  </si>
  <si>
    <t>Appliances</t>
  </si>
  <si>
    <t>Notes</t>
  </si>
  <si>
    <t>Additional Projects to Inspect:</t>
  </si>
  <si>
    <t>Other Comments:</t>
  </si>
  <si>
    <t>Inspector and Customer Signature</t>
  </si>
  <si>
    <t>Inspector Name</t>
  </si>
  <si>
    <t>Customer Name</t>
  </si>
  <si>
    <t>Inspector Company Name</t>
  </si>
  <si>
    <t>This signature only certifies that the inspector was on site.</t>
  </si>
  <si>
    <t>Inspector Signature</t>
  </si>
  <si>
    <t>Date</t>
  </si>
  <si>
    <t>Customer Signature</t>
  </si>
  <si>
    <t>Tailboard Form</t>
  </si>
  <si>
    <t>Safety Questions</t>
  </si>
  <si>
    <t>Date:</t>
  </si>
  <si>
    <t>Team Member(s) on site:</t>
  </si>
  <si>
    <t>Potential Safety Risks:</t>
  </si>
  <si>
    <t>Ladders</t>
  </si>
  <si>
    <t>Slips, Trips, Falls</t>
  </si>
  <si>
    <t>Moving Equipment</t>
  </si>
  <si>
    <t>Electrical Hazards</t>
  </si>
  <si>
    <t>Other:</t>
  </si>
  <si>
    <t>Tools Required:</t>
  </si>
  <si>
    <t>PSE&amp;G ID badge</t>
  </si>
  <si>
    <t>Thrower Flashlight</t>
  </si>
  <si>
    <t>Light Meter</t>
  </si>
  <si>
    <t>Counter</t>
  </si>
  <si>
    <t>Laser Measure</t>
  </si>
  <si>
    <t>PPE readily available for each project. If required for inspection please checkbox below:</t>
  </si>
  <si>
    <t xml:space="preserve">First Aid Kit </t>
  </si>
  <si>
    <t>Ear Plugs</t>
  </si>
  <si>
    <t>Safety Vest</t>
  </si>
  <si>
    <t>Steel Toe Shoes</t>
  </si>
  <si>
    <t>Hard Hat</t>
  </si>
  <si>
    <t>Safety glasses</t>
  </si>
  <si>
    <t>Site Emergency Contact(s):</t>
  </si>
  <si>
    <t>Emergency Plan:</t>
  </si>
  <si>
    <t>Post Job Observations and Notes:</t>
  </si>
  <si>
    <t>Emergency Contact Info:</t>
  </si>
  <si>
    <t>Emergency</t>
  </si>
  <si>
    <t>Non-Emergencies</t>
  </si>
  <si>
    <t>WorkCare</t>
  </si>
  <si>
    <t>(888) 449-7787</t>
  </si>
  <si>
    <t>TRC Quality &amp; Performance Manager</t>
  </si>
  <si>
    <t>Meaghan Rush-Hecht</t>
  </si>
  <si>
    <t>(516) 508-2417</t>
  </si>
  <si>
    <t>TRC Safety</t>
  </si>
  <si>
    <t>Andy Boehm</t>
  </si>
  <si>
    <t>(913) 343-2630</t>
  </si>
  <si>
    <t>Incentive Type</t>
  </si>
  <si>
    <t>thm Savings</t>
  </si>
  <si>
    <t>Costs</t>
  </si>
  <si>
    <t>Est. Incentive</t>
  </si>
  <si>
    <t>1. Update Installed Measures</t>
  </si>
  <si>
    <t>2. Review Payee Information</t>
  </si>
  <si>
    <t>Verify the above Incentive Summary is accurate. Has your energy efficiency project scope changed from the original plan? If so, please review and update the measures, quantities, and costs associated with each line item within the completion form and resubmit.</t>
  </si>
  <si>
    <t>Is the following payment information correct? If not, change your selection in the Payment tab.</t>
  </si>
  <si>
    <t>Payment Type</t>
  </si>
  <si>
    <t>Payment To</t>
  </si>
  <si>
    <t>Reviewed Prescriptive Measures Input tabs</t>
  </si>
  <si>
    <t>Reviewed Custom Measures Input tabs</t>
  </si>
  <si>
    <t>Tax Information</t>
  </si>
  <si>
    <t>3. Customer Signature</t>
  </si>
  <si>
    <t>4. Submit Documents</t>
  </si>
  <si>
    <t>Sign and date here to confirm the project is complete, all final documentation has been submitted, and scope changes have been highlighted (if applicable).</t>
  </si>
  <si>
    <t>1)</t>
  </si>
  <si>
    <t>Updated and signed Completion Certificate</t>
  </si>
  <si>
    <t>2)</t>
  </si>
  <si>
    <t>Itemized invoices (including equipment and labor costs)</t>
  </si>
  <si>
    <t>Account Holder Signature</t>
  </si>
  <si>
    <t>Contractor Signature</t>
  </si>
  <si>
    <t>I agree that if: (1) I do not install the related product(s) identified in my application, or (2) I removed the related product(s) identified in my application before a period of five years or the end of the product life, whichever is less, than I shall refund a prorated amount of incentive funds to PSE&amp;G based on the actual period of time in which the related product(s) were installed and operating (or the full amount if the product was never installed). Any measure that I have installed in my facility must provide 100% of the energy benefits as stated in this application for a period of five years, or for the life of the product, whichever is less. I understand that this is necessary to assure that the project’s related energy benefits were achieved. 
By participating in PSE&amp;G’s energy efficiency and peak demand reduction programs, Customers agree their electric utility will maintain ownership of all Capacity Rights from electric savings measures, which refers to the demand reduction associated with any energy efficiency and peak demand reduction measure for which incentives were provided by PSE&amp;G. Customer’s electric utility will aggregate these energy efficiency demand reduction attributes into the PJM capacity market as appropriate, with proceeds being used to reduce Customers’ costs for the programs.</t>
  </si>
  <si>
    <t>Total Project Cost</t>
  </si>
  <si>
    <t>Annual Electrical Savings (kWh)</t>
  </si>
  <si>
    <t>PSE&amp;G Incentive Contribution</t>
  </si>
  <si>
    <t>Average Electric Cost ($/kWh)</t>
  </si>
  <si>
    <t>Maximum Calculated OBR</t>
  </si>
  <si>
    <t>Annual Gas Savings (Therms)</t>
  </si>
  <si>
    <t>Total Cost to Customer</t>
  </si>
  <si>
    <t>Average Gas Cost ($/therm)</t>
  </si>
  <si>
    <t>Customer Payment (Optional)</t>
  </si>
  <si>
    <t>Annual Energy Cost Savings</t>
  </si>
  <si>
    <t>Total Repayment Balance</t>
  </si>
  <si>
    <t>Actual Project Completion Date</t>
  </si>
  <si>
    <t>Terms (Number of Payments</t>
  </si>
  <si>
    <t>years     /</t>
  </si>
  <si>
    <t>months</t>
  </si>
  <si>
    <t>Monthly Repayment Amount</t>
  </si>
  <si>
    <t>Repayment Agreement Terms &amp; Conditions</t>
  </si>
  <si>
    <t>"The undersigned customer (“Customer”) has contracted for the provision of energy efficiency/demand response equipment and services (the “Work”) which qualify for one or more of PSE&amp;G’s applicable rebate or incentive programs. Subject to the conditions (including the process for Adjustment and preconditions to funding) set forth below, Public Service Electric and Gas Company (“PSE&amp;G”) shall extend a repayment (the “Repayment”) to Customer in the amount of the repayment balance (the “Repayment Balance”) pursuant to the terms of this On-Bill Repayment Project Agreement (“Repayment Agreement”). Customer and PSE&amp;G may each be referred to as “Party” or collectively as “the Parties”.
Customer shall arrange for its Contractor, as identified at the end of this Agreement (“Contractor”), to provide the Work as described in the Application. The Work to be performed may also be referred to as the “Project”.
To request the Repayment, Customer has submitted a completed On-Bill Repayment Project Application and associated documentation as required by PSE&amp;G (the “Project Agreement”). Collectively the Project Agreement and this Repayment Agreement (including any Adjustment hereunder) comprise the “Agreement”.
1.) The Estimated Repayment Balance is set forth above. The total cost of the Work as installed, rebate/incentive for qualifying energy efficiency measures, Repayment Balance, monthly payment, and repayment term specified in this Repayment Agreement may be adjusted, if necessary, after the Work and the post-installation inspection described in the Project Agreement and/or herein are completed (the “Adjustment”). The Adjustment will be calculated using the actual total cost of the Work as installed, and the estimated energy savings (as described in the Project Agreement) of such Work. In no event will the Repayment Balance be increased without a revised project application, even if Customer is eligible for such increased Repayment Balance. Accordingly, if after the Adjustment, the Repayment Balance falls above the minimum repayment amount or if the simple payback period exceeds the program maximum payback period, each as described in the Project Agreement, PSE&amp;G shall have no obligation to extend the Repayment, as the Work would not meet program requirements. The Adjustment described in this paragraph will be communicated to the Customer in writing and will automatically become part of this Repayment Agreement, except that any proposed increase in the Repayment Balance will only become part of this Repayment Agreement upon Customer’s written consent to such increase.
2.) PSE&amp;G shall have no liability in connection with, and makes no warranties, expressed or implied, regarding the Work.
Customer will be responsible for any and all losses and damage it may suffer in connection with, and any claims by third parties resulting from, the Work. Customer shall indemnify and hold harmless PSE&amp;G, its affiliates, and their respective owners, officers, directors, employees and agents thereof, from and against all claims, demands, liabilities, damages, fines, settlements or judgments which arise from or are caused by (a) any breach of the Agreement by Customer; (b) any defects or problems with the Work, or the failure of the Work to deliver any anticipated energy efficiencies; (c) Customer’s failure to pay any amount due or claimed by Contractor with respect to the Work; or (d) the wrongful or negligent acts or omissions of any party (including Contractor) in the conduct or performance of the Work.
3.)  Customer represents and warrants that (a) Customer is receiving this Repayment solely for Work obtained in connection with Customer’s business, and not for personal, family or household purposes; (b) Customer, must be in good standing under the laws of its state of formation, and has full power and authority to enter into this Agreement and to carry out the provisions of this Agreement. Customer is duly qualified and in good standing to do business in all jurisdictions where such qualification is required; (c) this Repayment Agreement has been duly authorized by all necessary proceedings, has been duly executed and delivered by Customer and is a valid and legally binding Agreement of Customer duly enforceable in accordance with its terms; (d) no consent, approval, authorization, order, registration or qualification of or with any court or regulatory authority or other governmental body having jurisdiction over Customer is required for, and the absence of which would adversely affect, the legal and valid execution and delivery of this Repayment Agreement, and the performance of the transactions contemplated by this Repayment Agreement; (e) the execution and delivery of this Repayment Agreement by Customer hereunder and the compliance by Customer with all provisions of this Repayment Agreement: (i) will not conflict with or violate any applicable law or regulation; and (ii) will not conflict with or result in a breach of or default under any of the terms or provisions of any repayment Agreement or other contract or Agreement under which Customer is an obligor or by which its property is bound; and (f) all factual information furnished by Customer to PSE&amp;G in the Project Agreement and pursuant to this Agreement is true and accurate.
Customer represents and warrants to PSE&amp;G that Customer has not received or applied for incentives or services for the same Work from another utility, state, or local program.
4.)  The monthly payments will be included by PSE&amp;G on the regular energy service bills of the account maintained by Customer, or by separate bill, in PSE&amp;G’s discretion. Regardless of whether the monthly payments are included in the regular energy service bill or a separate repayment installment bill, the following repayment terms will apply:                                                      
a. The Customer agrees to repay to PSE&amp;G the Repayment Balance in the number of payments listed above and in equal installments (with the final installment adjusted to account for rounding), by the due date set forth in each PSE&amp;G utility bill or repayment installment bill rendered in connection with Customer’s account (identified by the number set forth above)
(“Account”), commencing with the bill which has a due date falling at least 30 days after the date the invoice was issued.
b.      If separate energy service bills and repayment installment bills are provided, amounts due under this Repayment Agreement as shown in the repayment installment bill shall be deemed to be amounts due under each energy services bill to the Account, and a default under this Repayment Agreement shall be treated as a default under the Account.
5.)  Any notice from PSE&amp;G to Customer regarding the Program or the transactions contemplated under the Repayment Agreement may be provided within a PSE&amp;G utility bill or repayment installment bill, and any such notices may also be provided to Customer at the address above or to the Customer’s billing address of record in PSE&amp;G’s customer billing system from time to time.
6.)  The Repayment Balance shall not bear interest.
7.)  Customer may, without prepayment penalty, pay the entire outstanding repayment balance in one lump sum payment provided the customer first notifies PSE&amp;G by telephoning the toll free phone number (1-800-436-PSEG (7734)), and sends written notice to PSE&amp;G On-Bill Repayment Program Administrator at the address listed below, in advance of making the lump sum payment.
8.)  The entire outstanding Repayment Balance will become immediately due and payable, and shall be paid by Customer within 30 days if: (i) the Account is closed or terminated for any reason; (ii) Customer defaults under the Agreement; (iii) Customer sells or transfers ownership of the equipment forming part of the Work to any third party (including as part of a sale or lease of premises or transfer of business or otherwise); or (iv) Customer becomes Insolvent. Customer becomes “Insolvent” if: (i) Customer is unable to pay its debts as they become due or otherwise becomes insolvent, makes a general assignment for the benefit of its creditors, or suffers or permits the appointment of a receiver for its business or assets or otherwise ceases to conduct business in the normal course; or (ii) any proceeding is commenced by or against Customer under any bankruptcy or insolvency law that is not dismissed or stayed within 45 days.
9.) If there is any conflict among the documents comprising the Agreement, the following order of priority shall apply: 1. this Repayment Agreement; 2. the Project Agreement; 3. any documents attached to the Project Agreement.
10.) Independent Counsel
Customer has obtained, to the extent it has deemed necessary or prudent, legal counsel to advise it on this agreement.
11.) Governing Law; Waive Jury Trial
Customer agrees (A) that the laws of the State of New Jersey shall govern this Agreement and any dispute arising hereunder shall be litigated in a Federal or State Court located in the State of New Jersey, and (B) TO WAIVE TO THE FULLEST EXTENT PERMITTED BY LAW THE RIGHT TO A TRIAL BY JURY IN ANY MATTER ARISING OUT OF OR RELATING TO THE PROGRAM.
12.) Severability
In the event any provision of this Agreement shall for any reason be held to be invalid, illegal or unenforceable in any respect, the remaining provisions of this Agreement shall remain in full force and effect to the maximum extent possible.
13.) Entire Agreement; Counterparts
The Agreement constitutes the full, complete and only Agreement between the Parties hereto and supersedes any previous Agreements, representations or undertakings, either oral or written, with respect to the subject matter hereof. This Agreement may be executed and delivered by the Parties in separate counterparts by original, facsimile or in PDF format, each of which when executed and delivered shall be deemed to be an original but all of which taken together shall constitute one and the same Agreement.
14.) Amendments
This Agreement shall not be amended, modified, or otherwise altered, except pursuant to a written agreement signed by the Parties.
15.) No Partnership
This Agreement is neither intended to create, nor shall it be construed as creating, a joint venture, partnership or other form of business association between the Parties, or an agreement to enter into any business relationship.
16.) Limitation of Liability; Limitation of Actions 
In no event will PSE&amp;G or its contractors be liable for any losses, damages, cost, or expenses however caused, arising from or relating to this Agreement. PSE&amp;G’s total liability to Customer for all actions, claims, or suits of any kind, whether based upon warranty, contract, tort (including negligence and strict liability) or otherwise, for any losses, damages, costs or expenses of any kind whatsoever arising out of, resulting from, or related to the performance or breach of this Agreement shall, under no circumstances, exceed the cost of Customer’s contribution to the cost of the Energy Conservation measures (“ECMs”). PSE&amp;G shall not, under any circumstances, be liable for any special, indirect, incidental, punitive, or consequential losses, damages, costs, or expenses whatsoever (including for lost profits, time, or revenue) for anything arising out of the performance or nonperformance of this Agreement, whether claims for said losses or damages are premised on warranty, negligence, strict liability, contract or otherwise. Any action against PSE&amp;G arising out of, resulting from, or related to the performance or breach of this Agreement shall be filed no later than one (1) year after the cause of action has occurred. The provisions of this Paragraph 16 shall survive termination or expiration of this Agreement.
17.) Indemnity
CUSTOMER SHALL DEFEND, INDEMNIFY AND HOLD PSE&amp;G AND ITS AFFILIATES AND EACH OF THEIR RESPECTIVE OFFICERS, DIRECTORS, EMPLOYEES, CONTRACTORS, REPRESENTATIVES, SUCCESSORS AND ASSIGNS (“PSE&amp;G INDEMNITEES”) HARMLESS FROM AND AGAINST ANY AND ALL CLAIMS, LOSSES, DAMAGES, ACTIONS, SUITS, COSTS OR EXPENSES (INCLUDING ATTORNEY’S FEES AND COSTS) OF ANY KIND OR NATURE ARISING OUT OF OR RELATING TO THIS AGREEMENT, THE WORK OR THE PROJECT, INCLUDING BUT NOT LIMITED CLAIMS FOR PERSONAL INJURY, DEATH OR DAMAGE TO REAL OR PERSONAL PROPERTY. CUSTOMER’S OBLIGATION TO DEFEND, INDEMNIFY, AND HOLD HARMLESS THE PSE&amp;G INDEMNITEES SHALL UNDER THE PROVISIONS OF THIS PARAGRAPH EXCLUDE ONLY INSTANCES TO THE EXTENT THAT SUCH INSTANCES ARE DUE TO COMPANY’S INTENTIONAL AND DELIBERATE MISCONDUCT OR WHERE THE PERSONAL INJURY, DEATH, OCCUPATIONAL DISEASE OR LOSS OR DAMAGE TO REAL OR PERSONAL PROPERTY WAS DUE TO COMPANY’S SOLE NEGLIGENCE.
18.) Confidentiality
PSE&amp;G shall consider all information furnished by Customer to be confidential and shall not disclose any such information to any other person or use such information itself for any purpose other than in connection with the Program, without Customer’s prior written consent. Customer shall consider all information furnished by PSE&amp;G to be confidential and shall not disclose any such information to any other person, or use such information itself for any purpose other than in connection with the Program, without PSE&amp;G’s prior written consent; provided, however, either Party may disclose such information as may be required to be disclosed by law or court order from a court of competent jurisdiction, and provided further that, unless otherwise prohibited by law, the Party whose information is required to be disclosed is given reasonable time to take legal action to seek protection of its information. Customer expressly understands and agrees that PSE&amp;G is required to report to New Jersey regulators on a periodic basis all Program data, including customer- specific information (“Regulatory Reporting”) as well as to prepare and submit to New Jersey regulators a Program evaluation report (the “Program Evaluation Report”). Customer expressly further understands and agrees that both the Regulatory Reporting and the Program Evaluation Report may, among other participant and Project information, identify the Program participants by name and Project address, identify the ECMs implemented by each Program participant and the energy and cost savings estimates for each Project.
19.) Sale or Transfer of Property
If Customer chooses to pay Customer’s Repayment Balance over a period of sixty (60) months and then, as applicable, Customer sells its ownership interest in the Facility, terminates its lease agreement or otherwise vacates the Facility prior to making the final Program payment, then in addition to all other remedies available to Company, Company may declare all of the unpaid Repayment Balance immediately due and payable, and Customer shall immediately pay all of the unpaid amount to Company.  Alternatively, PSE&amp;G may allow Customer to transfer the outstanding balance of Customer’s Repayment Balance to a different billing account.
• In the event of (i) a sale or transfer of all or part of the Facility and/or Customer’s ownership interest therein, (ii) a lease termination or Customer vacates the Facility, (iii) bankruptcy, insolvency or liquidation of Customer or (iv) forced shut down of Customer’s operations and/or the Facility, PSE&amp;G’s rights to capture and monitor energy savings shall survive.
• Customer must provide PSE&amp;G with ninety (90) days advance written notice of a change of ownership, change of billing account information, or a “customer of record” modification made to the billing account, at the following address:
PS&amp;G Attention:
80 Park Plaza, M/C T8
Newark, NJ 07102
20.) Timing
Customer shall have thirty (30) days from receipt of this Agreement in which to review, execute and return the Agreement to PSE&amp;G for countersignature.  Failure of Customer to return the executed Agreement may result in Customer’s Project being moved to the end of PSE&amp;G’s review queue and, because of the number of Program applicants and limited Program funding available, Customer may lose funding for its Project.</t>
  </si>
  <si>
    <t xml:space="preserve"> I,</t>
  </si>
  <si>
    <t>(print name) am authorized to sign this agreement for Energy Saver Project</t>
  </si>
  <si>
    <t>(insert project name) and am the property owner. I have read this agreement and hereby agree to the</t>
  </si>
  <si>
    <t>terms set forth in this agreement.</t>
  </si>
  <si>
    <t>Print Name (Customer)</t>
  </si>
  <si>
    <t>Signature</t>
  </si>
  <si>
    <t>Print Name (Trade Ally)</t>
  </si>
  <si>
    <t>Project Notifications:</t>
  </si>
  <si>
    <t>!</t>
  </si>
  <si>
    <t>Site Information</t>
  </si>
  <si>
    <t>Initial Engineering Notes</t>
  </si>
  <si>
    <t>Application Processing Info</t>
  </si>
  <si>
    <t>Account Name</t>
  </si>
  <si>
    <t>Project ID</t>
  </si>
  <si>
    <t>Captures ID</t>
  </si>
  <si>
    <t>Project Specialist</t>
  </si>
  <si>
    <t>Type of PSEG Service</t>
  </si>
  <si>
    <t>How did you hear about this program?</t>
  </si>
  <si>
    <t>Project Consultant</t>
  </si>
  <si>
    <t>Already Installed?</t>
  </si>
  <si>
    <t>Engineer</t>
  </si>
  <si>
    <t>Elec Account #</t>
  </si>
  <si>
    <t>Final Review Date</t>
  </si>
  <si>
    <t>Gas Account #</t>
  </si>
  <si>
    <t>Annual Hrs/Op</t>
  </si>
  <si>
    <t>Final Engineering Notes</t>
  </si>
  <si>
    <t>Sq Ft</t>
  </si>
  <si>
    <t>Method App Received</t>
  </si>
  <si>
    <t>Sub-Program</t>
  </si>
  <si>
    <t>Num of Floors</t>
  </si>
  <si>
    <t>Total Peak kW</t>
  </si>
  <si>
    <t>Milestone Track</t>
  </si>
  <si>
    <t>Annual therms</t>
  </si>
  <si>
    <t>App Version</t>
  </si>
  <si>
    <t>Space Cond Type</t>
  </si>
  <si>
    <t>Forms</t>
  </si>
  <si>
    <t>Exist Water Heat</t>
  </si>
  <si>
    <t>Activate OBR</t>
  </si>
  <si>
    <t>Est. Start Date</t>
  </si>
  <si>
    <t>Activate Completion</t>
  </si>
  <si>
    <t>Est. Completion Date</t>
  </si>
  <si>
    <t>Activate Inspection Report</t>
  </si>
  <si>
    <t>Transfer Status</t>
  </si>
  <si>
    <t>Primary Contact / Site Contact</t>
  </si>
  <si>
    <t>Customer Contact / Parent Company</t>
  </si>
  <si>
    <t>Trade Ally / Contractor Contact</t>
  </si>
  <si>
    <t>Site Name</t>
  </si>
  <si>
    <t>TA Company Name</t>
  </si>
  <si>
    <t>Company Address</t>
  </si>
  <si>
    <t>TA Address</t>
  </si>
  <si>
    <t>Contact Name</t>
  </si>
  <si>
    <t>City, State, Zip</t>
  </si>
  <si>
    <t>Mail Address</t>
  </si>
  <si>
    <t>OBR - Customer Information</t>
  </si>
  <si>
    <t>OBR Account Details</t>
  </si>
  <si>
    <t>OBR Funds Recipient Details</t>
  </si>
  <si>
    <t>Customer is Applying?</t>
  </si>
  <si>
    <t>Assigned to TA/Contractor?</t>
  </si>
  <si>
    <t>Amount Requested</t>
  </si>
  <si>
    <t>Signed</t>
  </si>
  <si>
    <t>Tax Entity / Tax ID</t>
  </si>
  <si>
    <t>Payee Information</t>
  </si>
  <si>
    <t>Misc.</t>
  </si>
  <si>
    <t>Submitter</t>
  </si>
  <si>
    <t>Payee Company</t>
  </si>
  <si>
    <t>Submitted</t>
  </si>
  <si>
    <t>Payee Name</t>
  </si>
  <si>
    <t>Platform</t>
  </si>
  <si>
    <t>Payee Phone</t>
  </si>
  <si>
    <t>Is a TA/Contractor Involved</t>
  </si>
  <si>
    <t>Payee Email</t>
  </si>
  <si>
    <t>Payee Address</t>
  </si>
  <si>
    <t>Bill Credit Acc</t>
  </si>
  <si>
    <t>Application Progress</t>
  </si>
  <si>
    <t>Original Project Overview</t>
  </si>
  <si>
    <t>Current Project Overview</t>
  </si>
  <si>
    <t>T&amp;C</t>
  </si>
  <si>
    <t>Signatory</t>
  </si>
  <si>
    <t>Peak Demand kW</t>
  </si>
  <si>
    <t>Building Info</t>
  </si>
  <si>
    <t>Equip Cost</t>
  </si>
  <si>
    <t>On Bill Repayment</t>
  </si>
  <si>
    <t>OBR Agreement</t>
  </si>
  <si>
    <t>Net Site thm</t>
  </si>
  <si>
    <t>Gross Site Lifetime thm</t>
  </si>
  <si>
    <t>Peak Day thm</t>
  </si>
  <si>
    <t>Annual (Previous Year) Energy Usage (kWh)</t>
  </si>
  <si>
    <t>Annual (Previous Year) Energy Usage (therms)</t>
  </si>
  <si>
    <t>January</t>
  </si>
  <si>
    <t>February</t>
  </si>
  <si>
    <t>March</t>
  </si>
  <si>
    <t>April</t>
  </si>
  <si>
    <t>May</t>
  </si>
  <si>
    <t>June</t>
  </si>
  <si>
    <t>July</t>
  </si>
  <si>
    <t>August</t>
  </si>
  <si>
    <t>September</t>
  </si>
  <si>
    <t>October</t>
  </si>
  <si>
    <t>November</t>
  </si>
  <si>
    <t>December</t>
  </si>
  <si>
    <t>Directions:</t>
  </si>
  <si>
    <t>Please enter only New Jersey union labor information below.</t>
  </si>
  <si>
    <t>If union labor was not used, or if union labor from outside the state of New Jersey was used for this project, please select "no" below.</t>
  </si>
  <si>
    <t>Was a New Jersey union involved in the installation of this project?</t>
  </si>
  <si>
    <t>Did the customer decline union work?</t>
  </si>
  <si>
    <t>Why?</t>
  </si>
  <si>
    <t>Did a union decline the work?</t>
  </si>
  <si>
    <t>Please enter your selection if not found in the dropdown list. Any manual inputs will be reviewed as it is not included in the approved dropdown selection.</t>
  </si>
  <si>
    <t>Union Contact Information</t>
  </si>
  <si>
    <t>Name of Union</t>
  </si>
  <si>
    <t>Contact Last Name</t>
  </si>
  <si>
    <t>Contact Title</t>
  </si>
  <si>
    <t>Contact Phone Number</t>
  </si>
  <si>
    <t>Contact Email</t>
  </si>
  <si>
    <t>Unions By Measure Category</t>
  </si>
  <si>
    <t>Measure Category</t>
  </si>
  <si>
    <t>Unions Used</t>
  </si>
  <si>
    <t xml:space="preserve">For ancillary fees associated with this project that utilized union labor please see below for information required. </t>
  </si>
  <si>
    <t xml:space="preserve">For costs not available under Type of Fee dropdown please select "Other" and describe the type of fee in the description box. </t>
  </si>
  <si>
    <t>Ancillary Fee Information</t>
  </si>
  <si>
    <t>Type of Fee</t>
  </si>
  <si>
    <t>Description</t>
  </si>
  <si>
    <t>Affiliated Union</t>
  </si>
  <si>
    <t>ProjectID</t>
  </si>
  <si>
    <t>UploadID</t>
  </si>
  <si>
    <t>Line Number</t>
  </si>
  <si>
    <t>Measure Code</t>
  </si>
  <si>
    <t>eTRM Measure Code</t>
  </si>
  <si>
    <t>Program Component</t>
  </si>
  <si>
    <t>Equipment Type 2</t>
  </si>
  <si>
    <t>Energy Type</t>
  </si>
  <si>
    <t>Common Measure Name</t>
  </si>
  <si>
    <t>Measure Name</t>
  </si>
  <si>
    <t>Replacement Type</t>
  </si>
  <si>
    <t>Sector Type</t>
  </si>
  <si>
    <t>Space Type</t>
  </si>
  <si>
    <t>Fuel Type</t>
  </si>
  <si>
    <t>Fuel Type 2</t>
  </si>
  <si>
    <t>Model Number</t>
  </si>
  <si>
    <t>Number of Equipment Label</t>
  </si>
  <si>
    <t>Number of Equipment Units</t>
  </si>
  <si>
    <t>Size Unit Label 1</t>
  </si>
  <si>
    <t>Size Units 1</t>
  </si>
  <si>
    <t>Size Unit Label 2</t>
  </si>
  <si>
    <t>Size Units 2</t>
  </si>
  <si>
    <t>Size Unit Label 3</t>
  </si>
  <si>
    <t>Size Units 3</t>
  </si>
  <si>
    <t>Savings Status</t>
  </si>
  <si>
    <t>Reported MMBtu Savings (Electric)</t>
  </si>
  <si>
    <t>Reported MMBtu Savings (Gas)</t>
  </si>
  <si>
    <t>Actual thm Savings</t>
  </si>
  <si>
    <t>Baseline Usage kWh</t>
  </si>
  <si>
    <t>Proposed Usage kWh</t>
  </si>
  <si>
    <t>Baseline Usage kW</t>
  </si>
  <si>
    <t>Proposed Usage kW</t>
  </si>
  <si>
    <t>Baseline Usage thm</t>
  </si>
  <si>
    <t>Proposed Usage thm</t>
  </si>
  <si>
    <t>Baseline Efficiency Unit Label 1</t>
  </si>
  <si>
    <t>Baseline Efficiency Units 1</t>
  </si>
  <si>
    <t>Baseline Efficiency Unit Label 2</t>
  </si>
  <si>
    <t>Baseline Efficiency Units 2</t>
  </si>
  <si>
    <t>Baseline Efficiency Unit Label 3</t>
  </si>
  <si>
    <t>Baseline Efficiency Units 3</t>
  </si>
  <si>
    <t>Proposed Efficiency Unit Label 1</t>
  </si>
  <si>
    <t>Proposed Efficiency Units 1</t>
  </si>
  <si>
    <t>Proposed Efficiency Unit Label 2</t>
  </si>
  <si>
    <t>Proposed Efficiency Units 2</t>
  </si>
  <si>
    <t>Proposed Efficiency Unit Label 3</t>
  </si>
  <si>
    <t>Proposed Efficiency Units 3</t>
  </si>
  <si>
    <t>Proposed Efficiency Unit Label 4</t>
  </si>
  <si>
    <t>Proposed Efficiency Units 4</t>
  </si>
  <si>
    <t>Proposed Efficiency Unit Label 5</t>
  </si>
  <si>
    <t>Proposed Efficiency Units 5</t>
  </si>
  <si>
    <t>Proposed Efficiency Unit Label 6</t>
  </si>
  <si>
    <t>Proposed Efficiency Units 6</t>
  </si>
  <si>
    <t>Hours of Usage 1</t>
  </si>
  <si>
    <t>Hours of Usage 2</t>
  </si>
  <si>
    <t>Hours of Usage 3</t>
  </si>
  <si>
    <t>Coincidence Factor</t>
  </si>
  <si>
    <t>Location</t>
  </si>
  <si>
    <t>Equipment Cost</t>
  </si>
  <si>
    <t>Incentive Unit Label</t>
  </si>
  <si>
    <t>Incentive - Electric</t>
  </si>
  <si>
    <t>Incentive - Gas</t>
  </si>
  <si>
    <t>OBR Total</t>
  </si>
  <si>
    <t>OBR - Electric</t>
  </si>
  <si>
    <t>OBR - Gas</t>
  </si>
  <si>
    <t>Empty</t>
  </si>
  <si>
    <t>Pre Fixture Quantity</t>
  </si>
  <si>
    <t>Post Fixture Quantity</t>
  </si>
  <si>
    <t>Lamp Type</t>
  </si>
  <si>
    <t>Lumens</t>
  </si>
  <si>
    <t>Pre Control Type</t>
  </si>
  <si>
    <t>Post Control Type</t>
  </si>
  <si>
    <t>Baseline Wattage</t>
  </si>
  <si>
    <t>Proposed Wattage</t>
  </si>
  <si>
    <t>Tons</t>
  </si>
  <si>
    <t>HP</t>
  </si>
  <si>
    <t>Baseline Desc 1</t>
  </si>
  <si>
    <t>Proposed Desc 1</t>
  </si>
  <si>
    <t>Baseline Notes</t>
  </si>
  <si>
    <t>Proposed Notes</t>
  </si>
  <si>
    <t>Cost Benefit</t>
  </si>
  <si>
    <t xml:space="preserve">Existing Equipment Type </t>
  </si>
  <si>
    <t>Existing Equipment Type 2</t>
  </si>
  <si>
    <t>Temperature 1</t>
  </si>
  <si>
    <t>Temperature 2</t>
  </si>
  <si>
    <t>Baseline Temp 1</t>
  </si>
  <si>
    <t>Baseline Temp 2</t>
  </si>
  <si>
    <t>ExistingEquipOperational</t>
  </si>
  <si>
    <t>Union Local 1</t>
  </si>
  <si>
    <t>Union Measure Spend 1</t>
  </si>
  <si>
    <t>Union Local 2</t>
  </si>
  <si>
    <t>Union Measure Spend 2</t>
  </si>
  <si>
    <t>Union Local 3</t>
  </si>
  <si>
    <t>Union Measure Spend 3</t>
  </si>
  <si>
    <t>Union Local 4</t>
  </si>
  <si>
    <t>Union Measure Spend 4</t>
  </si>
  <si>
    <t>Union Local 5</t>
  </si>
  <si>
    <t>Union Measure Spend 5</t>
  </si>
  <si>
    <t>Union Local 6</t>
  </si>
  <si>
    <t>Union Measure Spend 6</t>
  </si>
  <si>
    <t>Union Local 7</t>
  </si>
  <si>
    <t>Union Measure Spend 7</t>
  </si>
  <si>
    <t>Union Local 8</t>
  </si>
  <si>
    <t>Union Measure Spend 8</t>
  </si>
  <si>
    <t>Reported Gross Source kWh</t>
  </si>
  <si>
    <t>Reported Net Site kWh</t>
  </si>
  <si>
    <t>Reported Net Source kWh</t>
  </si>
  <si>
    <t>Reported Gross Site Lifetime kWh</t>
  </si>
  <si>
    <t>Reported Gross Source Lifetime kWh</t>
  </si>
  <si>
    <t>Reported Net Site Lifetime kWh</t>
  </si>
  <si>
    <t>Reported Net Source Lifetime kWh</t>
  </si>
  <si>
    <t>Reported Gross Source therms</t>
  </si>
  <si>
    <t>Reported Net Site therms</t>
  </si>
  <si>
    <t>Reported Net Source therms</t>
  </si>
  <si>
    <t>Reported Gross Site Lifetime therms</t>
  </si>
  <si>
    <t>Reported Gross Source Lifetime therms</t>
  </si>
  <si>
    <t>Reported Net Site Lifetime therms</t>
  </si>
  <si>
    <t>Reported Net Source Lifetime therms</t>
  </si>
  <si>
    <t>Reported Gross Site MMBTU</t>
  </si>
  <si>
    <t xml:space="preserve">Reported Gross Source MMBTU </t>
  </si>
  <si>
    <t xml:space="preserve"> Reported Net Site MMBTU </t>
  </si>
  <si>
    <t>Reported Net Source MMBTU</t>
  </si>
  <si>
    <t>Reported Gross Site Lifetime MMBTU</t>
  </si>
  <si>
    <t>Reported Gross Source Lifetime MMBTU</t>
  </si>
  <si>
    <t>Reported Net Site Lifetime MMBTU</t>
  </si>
  <si>
    <t>Reported Net Source Lifetime MMBTU</t>
  </si>
  <si>
    <t>Reported Peak Day Therm</t>
  </si>
  <si>
    <t>Actual Gross Source therms</t>
  </si>
  <si>
    <t>Actual Net Site therms</t>
  </si>
  <si>
    <t>Actual Net Source therms</t>
  </si>
  <si>
    <t>Actual Gross Site Lifetime therms</t>
  </si>
  <si>
    <t>Actual Gross Source Lifetime therms</t>
  </si>
  <si>
    <t>Actual Net Site Lifetime therms</t>
  </si>
  <si>
    <t>Actual Net Source Lifetime therms</t>
  </si>
  <si>
    <t>Actual Peak Day Therm</t>
  </si>
  <si>
    <t>Actual Gross Source MMBTU</t>
  </si>
  <si>
    <t xml:space="preserve"> Actual Net Site MMBTU</t>
  </si>
  <si>
    <t>Project Specialist Name</t>
  </si>
  <si>
    <t>Project Number</t>
  </si>
  <si>
    <t>Application Version</t>
  </si>
  <si>
    <t>Method Received</t>
  </si>
  <si>
    <t>Program (Project)</t>
  </si>
  <si>
    <t>Sub-Program (Project)</t>
  </si>
  <si>
    <t>I am submitting this application as the</t>
  </si>
  <si>
    <t>I am submitting this application through</t>
  </si>
  <si>
    <t>What email platform will you use</t>
  </si>
  <si>
    <t>Electronic Signature (Account Owner or Authorized Representative)</t>
  </si>
  <si>
    <t>Service Address Street</t>
  </si>
  <si>
    <t>Service Address City</t>
  </si>
  <si>
    <t>Service Address State</t>
  </si>
  <si>
    <t>Service Address ZIP Code</t>
  </si>
  <si>
    <t>Mailing Address Street</t>
  </si>
  <si>
    <t>Mailing Address City</t>
  </si>
  <si>
    <t>Mailing Address State</t>
  </si>
  <si>
    <t>Mailing Address ZIP Code</t>
  </si>
  <si>
    <t>Non-PSE&amp;G Electric Account Number</t>
  </si>
  <si>
    <t>Non-PSE&amp;G Gas Account Number</t>
  </si>
  <si>
    <t>Building Type (Site)</t>
  </si>
  <si>
    <t>Project Name ID</t>
  </si>
  <si>
    <t>Company Address Street</t>
  </si>
  <si>
    <t>Company City</t>
  </si>
  <si>
    <t>Company State</t>
  </si>
  <si>
    <t>Company ZIP Code</t>
  </si>
  <si>
    <t>Company Contact First Name</t>
  </si>
  <si>
    <t>Company Contact Last Name</t>
  </si>
  <si>
    <t>Company Contact Title</t>
  </si>
  <si>
    <t>Company Contact Primary Phone</t>
  </si>
  <si>
    <t>Company Contact Email</t>
  </si>
  <si>
    <t>Company Contact Parent Company</t>
  </si>
  <si>
    <t>Primary Contact First Name</t>
  </si>
  <si>
    <t>Primary Contact Last Name</t>
  </si>
  <si>
    <t>Primary Contact Title</t>
  </si>
  <si>
    <t>Primary Contact Primary Phone</t>
  </si>
  <si>
    <t>Primary Contact Email</t>
  </si>
  <si>
    <t>Primary Contact Parent Company</t>
  </si>
  <si>
    <t>Trade Ally Company Name</t>
  </si>
  <si>
    <t>Trade Ally Address Street</t>
  </si>
  <si>
    <t>Trade Ally City</t>
  </si>
  <si>
    <t>Trade Ally State</t>
  </si>
  <si>
    <t>Trade Ally ZIP Code</t>
  </si>
  <si>
    <t>Trade Ally Contact First Name</t>
  </si>
  <si>
    <t>Trade Ally Contact Last Name</t>
  </si>
  <si>
    <t>Trade Ally Contact Title</t>
  </si>
  <si>
    <t>Trade Ally Contact Primary Phone</t>
  </si>
  <si>
    <t>Trade Ally Contact Email</t>
  </si>
  <si>
    <t>Trade Ally Parent Company</t>
  </si>
  <si>
    <t>Trade Ally 2 Contact First Name</t>
  </si>
  <si>
    <t>Trade Ally 2 Contact Last Name</t>
  </si>
  <si>
    <t>Trade Ally 2 Contact Title</t>
  </si>
  <si>
    <t>Trade Ally 2 Contact Primary Phone</t>
  </si>
  <si>
    <t>Trade Ally 2 Contact Email</t>
  </si>
  <si>
    <t>Trade Ally 2 Parent Company</t>
  </si>
  <si>
    <t>Payee Preference</t>
  </si>
  <si>
    <t>Payee City</t>
  </si>
  <si>
    <t>Payee State</t>
  </si>
  <si>
    <t>Payee Zip Code</t>
  </si>
  <si>
    <t>Payee Attn To</t>
  </si>
  <si>
    <t>Payee Phone Number</t>
  </si>
  <si>
    <t>Payee Tax Entity</t>
  </si>
  <si>
    <t>Payee Federal Tax ID Number</t>
  </si>
  <si>
    <t>Customer is applying for OBR</t>
  </si>
  <si>
    <t>Customer is assigning OBR funds to Trade Ally/Contractor</t>
  </si>
  <si>
    <t>OBR Acct Company Name</t>
  </si>
  <si>
    <t>OBR Acct Address</t>
  </si>
  <si>
    <t>OBR Acct City</t>
  </si>
  <si>
    <t>OBR Acct State</t>
  </si>
  <si>
    <t>OBR Acct Zip Code</t>
  </si>
  <si>
    <t>OBR Acct Attn To</t>
  </si>
  <si>
    <t>OBR Acct Phone Number</t>
  </si>
  <si>
    <t>OBR Acct Email</t>
  </si>
  <si>
    <t>OBR Acct Tax Entity</t>
  </si>
  <si>
    <t>OBR Acct Federal Tax ID Number</t>
  </si>
  <si>
    <t>OBR Acct BIN</t>
  </si>
  <si>
    <t>OBR Acct Reference Information</t>
  </si>
  <si>
    <t>OBR Amount Requested</t>
  </si>
  <si>
    <t>OBR Fund Recipient Company Name</t>
  </si>
  <si>
    <t>OBR Fund Recipient Address</t>
  </si>
  <si>
    <t>OBR Fund Recipient City</t>
  </si>
  <si>
    <t>OBR Fund Recipient State</t>
  </si>
  <si>
    <t>OBR Fund Recipient Zip Code</t>
  </si>
  <si>
    <t>OBR Fund Recipient Attn To</t>
  </si>
  <si>
    <t>OBR Fund Recipient Phone Number</t>
  </si>
  <si>
    <t>OBR Fund Recipient Email</t>
  </si>
  <si>
    <t>OBR Fund Recipient Tax Entity</t>
  </si>
  <si>
    <t>OBR Fund Recipient Federal Tax ID Number</t>
  </si>
  <si>
    <t>Customer Payment</t>
  </si>
  <si>
    <t>Offered Date</t>
  </si>
  <si>
    <t>Offer Signature</t>
  </si>
  <si>
    <t>Offer Signed Date</t>
  </si>
  <si>
    <t>Completion Signature</t>
  </si>
  <si>
    <t>Completion Signed Date</t>
  </si>
  <si>
    <t>Customer Declined Union Work</t>
  </si>
  <si>
    <t>Customer Reason</t>
  </si>
  <si>
    <t>Union Declined</t>
  </si>
  <si>
    <t>Union Reason</t>
  </si>
  <si>
    <t>Union Company Name 1</t>
  </si>
  <si>
    <t>Union Number 1</t>
  </si>
  <si>
    <t>Contract Reponse Date 1</t>
  </si>
  <si>
    <t>Union Contact First Name 1</t>
  </si>
  <si>
    <t>Union Contact Last Name 1</t>
  </si>
  <si>
    <t>Union Contact Title 1</t>
  </si>
  <si>
    <t>Union Contact Phone Number 1</t>
  </si>
  <si>
    <t>Union Contact Email 1</t>
  </si>
  <si>
    <t>Union Project Spend 1</t>
  </si>
  <si>
    <t>Union Company Name 2</t>
  </si>
  <si>
    <t>Union Number 2</t>
  </si>
  <si>
    <t>Contract Reponse Date 2</t>
  </si>
  <si>
    <t>Union Contact First Name 2</t>
  </si>
  <si>
    <t>Union Contact Last Name 2</t>
  </si>
  <si>
    <t>Union Contact Title 2</t>
  </si>
  <si>
    <t>Union Contact Phone Number 2</t>
  </si>
  <si>
    <t>Union Contact Email 2</t>
  </si>
  <si>
    <t>Union Project Spend 2</t>
  </si>
  <si>
    <t>Union Company Name 3</t>
  </si>
  <si>
    <t>Union Number 3</t>
  </si>
  <si>
    <t>Contract Reponse Date 3</t>
  </si>
  <si>
    <t>Union Contact First Name 3</t>
  </si>
  <si>
    <t>Union Contact Last Name 3</t>
  </si>
  <si>
    <t>Union Contact Title 3</t>
  </si>
  <si>
    <t>Union Contact Phone Number 3</t>
  </si>
  <si>
    <t>Union Contact Email 3</t>
  </si>
  <si>
    <t>Union Project Spend 3</t>
  </si>
  <si>
    <t>Union Company Name 4</t>
  </si>
  <si>
    <t>Union Number 4</t>
  </si>
  <si>
    <t>Contract Reponse Date 4</t>
  </si>
  <si>
    <t>Union Contact First Name 4</t>
  </si>
  <si>
    <t>Union Contact Last Name 4</t>
  </si>
  <si>
    <t>Union Contact Title 4</t>
  </si>
  <si>
    <t>Union Contact Phone Number 4</t>
  </si>
  <si>
    <t>Union Contact Email 4</t>
  </si>
  <si>
    <t>Union Project Spend 4</t>
  </si>
  <si>
    <t>Union Company Name 5</t>
  </si>
  <si>
    <t>Union Number 5</t>
  </si>
  <si>
    <t>Contract Reponse Date 5</t>
  </si>
  <si>
    <t>Union Contact First Name 5</t>
  </si>
  <si>
    <t>Union Contact Last Name 5</t>
  </si>
  <si>
    <t>Union Contact Title 5</t>
  </si>
  <si>
    <t>Union Contact Phone Number 5</t>
  </si>
  <si>
    <t>Union Contact Email 5</t>
  </si>
  <si>
    <t>Union Project Spend 5</t>
  </si>
  <si>
    <t>Union Company Name 6</t>
  </si>
  <si>
    <t>Union Number 6</t>
  </si>
  <si>
    <t>Contract Reponse Date 6</t>
  </si>
  <si>
    <t>Union Contact First Name 6</t>
  </si>
  <si>
    <t>Union Contact Last Name 6</t>
  </si>
  <si>
    <t>Union Contact Title 6</t>
  </si>
  <si>
    <t>Union Contact Phone Number 6</t>
  </si>
  <si>
    <t>Union Contact Email 6</t>
  </si>
  <si>
    <t>Union Project Spend 6</t>
  </si>
  <si>
    <t>Union Company Name 7</t>
  </si>
  <si>
    <t>Union Number 7</t>
  </si>
  <si>
    <t>Contract Reponse Date 7</t>
  </si>
  <si>
    <t>Union Contact First Name 7</t>
  </si>
  <si>
    <t>Union Contact Last Name 7</t>
  </si>
  <si>
    <t>Union Contact Title 7</t>
  </si>
  <si>
    <t>Union Contact Phone Number 7</t>
  </si>
  <si>
    <t>Union Contact Email 7</t>
  </si>
  <si>
    <t>Union Project Spend 7</t>
  </si>
  <si>
    <t>Union Company Name 8</t>
  </si>
  <si>
    <t>Union Number 8</t>
  </si>
  <si>
    <t>Contract Reponse Date 8</t>
  </si>
  <si>
    <t>Union Contact First Name 8</t>
  </si>
  <si>
    <t>Union Contact Last Name 8</t>
  </si>
  <si>
    <t>Union Contact Title 8</t>
  </si>
  <si>
    <t>Union Contact Phone Number 8</t>
  </si>
  <si>
    <t>Union Contact Email 8</t>
  </si>
  <si>
    <t>Union Project Spend 8</t>
  </si>
  <si>
    <t>EndUses</t>
  </si>
  <si>
    <t>Total Project Measure Quantity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</si>
</sst>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6" formatCode="&quot;$&quot;#,##0_);[Red]\(&quot;$&quot;#,##0\)"/>
    <numFmt numFmtId="8" formatCode="&quot;$&quot;#,##0.00_);[Red]\(&quot;$&quot;#,##0.00\)"/>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0.000"/>
    <numFmt numFmtId="169" formatCode="#,###\ &quot;kWh&quot;"/>
    <numFmt numFmtId="170" formatCode="[&lt;=9999999]###\-####;\(###\)\ ###\-####"/>
    <numFmt numFmtId="171" formatCode="0.0000"/>
    <numFmt numFmtId="172" formatCode="#,##0.0000"/>
    <numFmt numFmtId="173" formatCode="0.0"/>
    <numFmt numFmtId="174" formatCode="0.000000"/>
    <numFmt numFmtId="175" formatCode="&quot;powering&quot;\ #,##0.0"/>
    <numFmt numFmtId="176" formatCode="0.00000"/>
    <numFmt numFmtId="177" formatCode="#,###\ &quot;thm&quot;"/>
    <numFmt numFmtId="178" formatCode="&quot;$&quot;#,##0"/>
    <numFmt numFmtId="179" formatCode="#,##0.0"/>
    <numFmt numFmtId="180" formatCode="#,##0.000000"/>
    <numFmt numFmtId="181" formatCode="0.00000000"/>
    <numFmt numFmtId="182" formatCode="#,##0.0000_);\(#,##0.0000\)"/>
    <numFmt numFmtId="183" formatCode="#,##0.000000_);\(#,##0.000000\)"/>
  </numFmts>
  <fonts count="205">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b/>
      <sz val="11"/>
      <color rgb="FFFF0000"/>
      <name val="Calibri"/>
      <family val="2"/>
    </font>
    <font>
      <sz val="11"/>
      <name val="Calibri"/>
      <family val="2"/>
    </font>
    <font>
      <b/>
      <sz val="11"/>
      <color rgb="FFFF0000"/>
      <name val="Arial"/>
      <family val="2"/>
    </font>
    <font>
      <sz val="11"/>
      <color theme="0"/>
      <name val="Arial"/>
      <family val="2"/>
    </font>
    <font>
      <sz val="12"/>
      <color theme="1"/>
      <name val="Arial"/>
      <family val="2"/>
    </font>
    <font>
      <b/>
      <sz val="12"/>
      <color theme="1"/>
      <name val="Arial"/>
      <family val="2"/>
    </font>
    <font>
      <sz val="10"/>
      <name val="Arial"/>
      <family val="2"/>
    </font>
    <font>
      <b/>
      <sz val="18"/>
      <color rgb="FFFF000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4"/>
      <name val="Arial"/>
      <family val="2"/>
    </font>
    <font>
      <b/>
      <sz val="18"/>
      <name val="Arial"/>
      <family val="2"/>
    </font>
    <font>
      <sz val="16"/>
      <name val="Arial"/>
      <family val="2"/>
    </font>
    <font>
      <sz val="13"/>
      <color theme="1"/>
      <name val="Arial"/>
      <family val="2"/>
    </font>
    <font>
      <vertAlign val="subscript"/>
      <sz val="13"/>
      <color theme="1"/>
      <name val="Arial"/>
      <family val="2"/>
    </font>
    <font>
      <b/>
      <sz val="22"/>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2"/>
      <color theme="1"/>
      <name val="Times New Roman"/>
      <family val="1"/>
    </font>
    <font>
      <b/>
      <sz val="20"/>
      <color rgb="FF1B6CB5"/>
      <name val="Arial"/>
      <family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1.5"/>
      <color theme="1" tint="0.249977111117893"/>
      <name val="Arial"/>
      <family val="2"/>
    </font>
    <font>
      <u/>
      <sz val="11"/>
      <color theme="10"/>
      <name val="Arial"/>
      <family val="2"/>
    </font>
    <font>
      <b/>
      <sz val="11"/>
      <name val="Arial"/>
      <family val="2"/>
    </font>
    <font>
      <sz val="11"/>
      <color rgb="FFFF0000"/>
      <name val="Arial"/>
      <family val="2"/>
    </font>
    <font>
      <sz val="16"/>
      <color theme="0"/>
      <name val="Arial"/>
      <family val="2"/>
    </font>
    <font>
      <sz val="8"/>
      <color theme="1"/>
      <name val="Arial"/>
      <family val="2"/>
      <charset val="204"/>
    </font>
    <font>
      <sz val="8"/>
      <color theme="1"/>
      <name val="Calibri"/>
      <family val="2"/>
    </font>
    <font>
      <sz val="10"/>
      <color theme="1"/>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1"/>
      <color theme="1" tint="0.24994659260841701"/>
      <name val="Arial"/>
      <family val="2"/>
    </font>
    <font>
      <b/>
      <u/>
      <sz val="11"/>
      <color theme="4" tint="-0.249977111117893"/>
      <name val="Arial"/>
      <family val="2"/>
    </font>
    <font>
      <sz val="11"/>
      <name val="Airal"/>
    </font>
    <font>
      <b/>
      <sz val="11"/>
      <name val="Airal"/>
    </font>
    <font>
      <b/>
      <sz val="11"/>
      <color theme="0"/>
      <name val="Calibri"/>
      <family val="2"/>
    </font>
    <font>
      <b/>
      <sz val="20"/>
      <color rgb="FF004E9A"/>
      <name val="Arial"/>
      <family val="2"/>
    </font>
    <font>
      <b/>
      <sz val="10"/>
      <color theme="1" tint="0.249977111117893"/>
      <name val="Arial"/>
      <family val="2"/>
    </font>
    <font>
      <b/>
      <sz val="18.5"/>
      <color theme="0"/>
      <name val="Arial"/>
      <family val="2"/>
    </font>
    <font>
      <sz val="8"/>
      <name val="Calibri"/>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b/>
      <sz val="26"/>
      <color rgb="FFFF0000"/>
      <name val="Arial"/>
      <family val="2"/>
    </font>
    <font>
      <sz val="12"/>
      <color theme="1"/>
      <name val="Calibri"/>
      <family val="2"/>
    </font>
    <font>
      <b/>
      <sz val="12"/>
      <color theme="1"/>
      <name val="Calibri"/>
      <family val="2"/>
    </font>
    <font>
      <b/>
      <sz val="11"/>
      <color rgb="FF333333"/>
      <name val="Arial"/>
      <family val="2"/>
    </font>
    <font>
      <b/>
      <sz val="20"/>
      <color rgb="FF333333"/>
      <name val="Arial"/>
      <family val="2"/>
    </font>
    <font>
      <sz val="11"/>
      <color rgb="FF333333"/>
      <name val="Calibri"/>
      <family val="2"/>
    </font>
    <font>
      <sz val="11"/>
      <color rgb="FFFF6E1E"/>
      <name val="Arial"/>
      <family val="2"/>
    </font>
    <font>
      <sz val="11"/>
      <color rgb="FF333333"/>
      <name val="Calibri"/>
      <family val="2"/>
      <charset val="2"/>
    </font>
    <font>
      <sz val="11"/>
      <color rgb="FF333333"/>
      <name val="Wingdings"/>
      <charset val="2"/>
    </font>
    <font>
      <sz val="11"/>
      <color rgb="FF333333"/>
      <name val="Arial"/>
      <family val="2"/>
    </font>
    <font>
      <b/>
      <i/>
      <sz val="11"/>
      <color theme="1"/>
      <name val="Arial"/>
      <family val="2"/>
    </font>
    <font>
      <b/>
      <sz val="14"/>
      <color rgb="FF0079C1"/>
      <name val="Arial"/>
      <family val="2"/>
    </font>
    <font>
      <b/>
      <sz val="14"/>
      <color rgb="FF333333"/>
      <name val="Arial"/>
      <family val="2"/>
    </font>
    <font>
      <i/>
      <sz val="11"/>
      <name val="Arial"/>
      <family val="2"/>
    </font>
    <font>
      <b/>
      <sz val="9"/>
      <color indexed="81"/>
      <name val="Tahoma"/>
      <family val="2"/>
    </font>
    <font>
      <sz val="9"/>
      <color indexed="81"/>
      <name val="Tahoma"/>
      <family val="2"/>
    </font>
    <font>
      <sz val="14"/>
      <color rgb="FF252525"/>
      <name val="Arial"/>
      <family val="2"/>
    </font>
    <font>
      <sz val="11"/>
      <color rgb="FF0079C1"/>
      <name val="Arial"/>
      <family val="2"/>
    </font>
    <font>
      <i/>
      <sz val="11"/>
      <color rgb="FF333333"/>
      <name val="Arial"/>
      <family val="2"/>
    </font>
    <font>
      <sz val="10"/>
      <color rgb="FF0079C1"/>
      <name val="Arial"/>
      <family val="2"/>
    </font>
    <font>
      <sz val="10"/>
      <color theme="1" tint="0.249977111117893"/>
      <name val="Arial"/>
      <family val="2"/>
    </font>
    <font>
      <sz val="10"/>
      <color theme="1" tint="0.249977111117893"/>
      <name val="Calibri"/>
      <family val="2"/>
    </font>
    <font>
      <sz val="10"/>
      <color theme="1"/>
      <name val="Calibri"/>
      <family val="2"/>
    </font>
    <font>
      <i/>
      <sz val="11"/>
      <color rgb="FF0079C1"/>
      <name val="Arial"/>
      <family val="2"/>
    </font>
    <font>
      <i/>
      <sz val="14"/>
      <color rgb="FF252525"/>
      <name val="Arial"/>
      <family val="2"/>
    </font>
    <font>
      <b/>
      <sz val="16"/>
      <color rgb="FF0079C1"/>
      <name val="Arial"/>
      <family val="2"/>
    </font>
    <font>
      <sz val="26"/>
      <color rgb="FF0079C1"/>
      <name val="Arial"/>
      <family val="2"/>
    </font>
    <font>
      <b/>
      <sz val="12"/>
      <color rgb="FF1B6CB5"/>
      <name val="Arial"/>
      <family val="2"/>
    </font>
    <font>
      <b/>
      <sz val="8"/>
      <color theme="1"/>
      <name val="Bookman Old Style"/>
      <family val="1"/>
    </font>
    <font>
      <sz val="8"/>
      <color theme="1"/>
      <name val="Cambria"/>
      <family val="1"/>
    </font>
    <font>
      <b/>
      <sz val="11"/>
      <color rgb="FF616161"/>
      <name val="Arial"/>
      <family val="2"/>
    </font>
    <font>
      <b/>
      <sz val="11"/>
      <color rgb="FFFF6E1E"/>
      <name val="Arial"/>
      <family val="2"/>
    </font>
    <font>
      <b/>
      <sz val="22"/>
      <color rgb="FFFF6E1E"/>
      <name val="Arial Narrow"/>
      <family val="2"/>
    </font>
    <font>
      <b/>
      <sz val="24"/>
      <color rgb="FFFF6E1E"/>
      <name val="Arial Narrow"/>
      <family val="2"/>
    </font>
    <font>
      <sz val="14"/>
      <color rgb="FF333333"/>
      <name val="Arial"/>
      <family val="2"/>
    </font>
    <font>
      <u/>
      <sz val="11"/>
      <color rgb="FF0079C1"/>
      <name val="Arial"/>
      <family val="2"/>
    </font>
    <font>
      <sz val="11"/>
      <color rgb="FF252525"/>
      <name val="Arial"/>
      <family val="2"/>
    </font>
    <font>
      <sz val="11"/>
      <color rgb="FF252525"/>
      <name val="Calibri"/>
      <family val="2"/>
    </font>
    <font>
      <sz val="11"/>
      <color theme="0"/>
      <name val="Calibri"/>
      <family val="2"/>
    </font>
    <font>
      <b/>
      <sz val="11"/>
      <color rgb="FF000000"/>
      <name val="Calibri"/>
      <family val="2"/>
    </font>
    <font>
      <strike/>
      <sz val="11"/>
      <color theme="1"/>
      <name val="Calibri"/>
      <family val="2"/>
    </font>
    <font>
      <b/>
      <sz val="14"/>
      <color rgb="FFFF6E1E"/>
      <name val="Arial"/>
      <family val="2"/>
    </font>
    <font>
      <b/>
      <u/>
      <sz val="11"/>
      <color theme="1"/>
      <name val="Arial"/>
      <family val="2"/>
    </font>
    <font>
      <u/>
      <sz val="11"/>
      <color theme="1"/>
      <name val="Arial"/>
      <family val="2"/>
    </font>
    <font>
      <u/>
      <sz val="11"/>
      <color theme="1"/>
      <name val="Calibri"/>
      <family val="2"/>
    </font>
    <font>
      <sz val="10"/>
      <color theme="0"/>
      <name val="Arial"/>
      <family val="2"/>
    </font>
    <font>
      <b/>
      <sz val="18"/>
      <color rgb="FFFF6E1E"/>
      <name val="Arial"/>
      <family val="2"/>
    </font>
    <font>
      <sz val="10.5"/>
      <name val="Arial"/>
      <family val="2"/>
    </font>
    <font>
      <u/>
      <sz val="12"/>
      <color theme="10"/>
      <name val="AIral"/>
    </font>
    <font>
      <b/>
      <sz val="18"/>
      <color theme="0"/>
      <name val="Arial"/>
      <family val="2"/>
    </font>
    <font>
      <sz val="11"/>
      <color theme="0" tint="-0.14999847407452621"/>
      <name val="Arial"/>
      <family val="2"/>
    </font>
    <font>
      <b/>
      <sz val="18"/>
      <color theme="1" tint="0.249977111117893"/>
      <name val="Arial"/>
      <family val="2"/>
    </font>
    <font>
      <b/>
      <sz val="20"/>
      <color theme="0"/>
      <name val="Calibri"/>
      <family val="2"/>
      <scheme val="minor"/>
    </font>
    <font>
      <i/>
      <sz val="12"/>
      <color theme="1"/>
      <name val="Arial"/>
      <family val="2"/>
    </font>
    <font>
      <b/>
      <sz val="12"/>
      <color theme="0"/>
      <name val="Arial"/>
      <family val="2"/>
    </font>
    <font>
      <b/>
      <sz val="10"/>
      <color theme="0"/>
      <name val="Arial"/>
      <family val="2"/>
    </font>
    <font>
      <sz val="10"/>
      <color rgb="FF000000"/>
      <name val="Arial"/>
      <family val="2"/>
    </font>
    <font>
      <i/>
      <sz val="14"/>
      <color rgb="FFF85208"/>
      <name val="Arial"/>
      <family val="2"/>
    </font>
    <font>
      <i/>
      <sz val="22"/>
      <name val="Arial"/>
      <family val="2"/>
    </font>
    <font>
      <b/>
      <sz val="14"/>
      <color theme="1" tint="0.249977111117893"/>
      <name val="Arial"/>
      <family val="2"/>
    </font>
    <font>
      <i/>
      <sz val="11"/>
      <color theme="1"/>
      <name val="Calibri"/>
      <family val="2"/>
    </font>
    <font>
      <b/>
      <sz val="11"/>
      <color rgb="FFF0532A"/>
      <name val="Arial"/>
      <family val="2"/>
    </font>
    <font>
      <b/>
      <sz val="11"/>
      <color rgb="FF9BA4B8"/>
      <name val="Arial"/>
      <family val="2"/>
    </font>
    <font>
      <b/>
      <sz val="24"/>
      <color rgb="FFF0532A"/>
      <name val="Arial Narrow"/>
      <family val="2"/>
    </font>
    <font>
      <sz val="11"/>
      <color rgb="FF142C41"/>
      <name val="Calibri"/>
      <family val="2"/>
    </font>
    <font>
      <b/>
      <sz val="11"/>
      <color rgb="FF142C41"/>
      <name val="Arial"/>
      <family val="2"/>
    </font>
    <font>
      <sz val="11"/>
      <color rgb="FF142C41"/>
      <name val="Calibri"/>
      <family val="2"/>
      <charset val="2"/>
    </font>
    <font>
      <sz val="11"/>
      <color rgb="FF142C41"/>
      <name val="Wingdings"/>
      <charset val="2"/>
    </font>
    <font>
      <u/>
      <sz val="11"/>
      <color rgb="FF142C41"/>
      <name val="Calibri"/>
      <family val="2"/>
    </font>
    <font>
      <sz val="11"/>
      <color rgb="FF9BA4B8"/>
      <name val="Calibri"/>
      <family val="2"/>
    </font>
    <font>
      <sz val="11"/>
      <color rgb="FF142C41"/>
      <name val="Arial"/>
      <family val="2"/>
    </font>
    <font>
      <b/>
      <sz val="20"/>
      <color rgb="FF142C41"/>
      <name val="Arial"/>
      <family val="2"/>
    </font>
    <font>
      <b/>
      <sz val="15"/>
      <color rgb="FF142C41"/>
      <name val="Arial"/>
      <family val="2"/>
    </font>
    <font>
      <b/>
      <sz val="16"/>
      <name val="Arial"/>
      <family val="2"/>
    </font>
    <font>
      <b/>
      <sz val="16"/>
      <color rgb="FF9BA4B8"/>
      <name val="Arial"/>
      <family val="2"/>
    </font>
    <font>
      <b/>
      <sz val="14"/>
      <color rgb="FFF0532A"/>
      <name val="Arial"/>
      <family val="2"/>
    </font>
    <font>
      <i/>
      <sz val="11"/>
      <color rgb="FF9BA4B8"/>
      <name val="Arial"/>
      <family val="2"/>
    </font>
    <font>
      <b/>
      <sz val="15"/>
      <color rgb="FFF0532A"/>
      <name val="Arial Narrow"/>
      <family val="2"/>
    </font>
    <font>
      <sz val="11"/>
      <color rgb="FF142C41"/>
      <name val="Arial"/>
      <family val="2"/>
      <charset val="2"/>
    </font>
    <font>
      <u/>
      <sz val="11"/>
      <color rgb="FF142C41"/>
      <name val="Arial"/>
      <family val="2"/>
    </font>
    <font>
      <i/>
      <sz val="16"/>
      <color rgb="FFF0532A"/>
      <name val="Arial"/>
      <family val="2"/>
    </font>
    <font>
      <i/>
      <sz val="14"/>
      <color rgb="FFF0532A"/>
      <name val="Arial"/>
      <family val="2"/>
    </font>
    <font>
      <b/>
      <sz val="20"/>
      <color theme="0"/>
      <name val="Arial"/>
      <family val="2"/>
    </font>
    <font>
      <sz val="16"/>
      <color rgb="FF142C41"/>
      <name val="Arial"/>
      <family val="2"/>
    </font>
    <font>
      <b/>
      <sz val="16"/>
      <color rgb="FF142C41"/>
      <name val="Arial"/>
      <family val="2"/>
    </font>
    <font>
      <b/>
      <sz val="36"/>
      <color rgb="FFF0532A"/>
      <name val="Arial"/>
      <family val="2"/>
    </font>
    <font>
      <sz val="11"/>
      <color rgb="FFF0532A"/>
      <name val="Arial"/>
      <family val="2"/>
    </font>
    <font>
      <b/>
      <sz val="36"/>
      <color rgb="FFF0532A"/>
      <name val="Arial Narrow"/>
      <family val="2"/>
    </font>
    <font>
      <b/>
      <sz val="20"/>
      <color rgb="FF9BA4B8"/>
      <name val="Arial"/>
      <family val="2"/>
    </font>
    <font>
      <sz val="12"/>
      <color rgb="FF142C41"/>
      <name val="Arial"/>
      <family val="2"/>
    </font>
    <font>
      <b/>
      <sz val="12"/>
      <color rgb="FF142C41"/>
      <name val="Arial"/>
      <family val="2"/>
    </font>
    <font>
      <b/>
      <sz val="12"/>
      <color rgb="FFF0532A"/>
      <name val="Arial"/>
      <family val="2"/>
    </font>
    <font>
      <b/>
      <sz val="14"/>
      <color rgb="FF142C41"/>
      <name val="Arial"/>
      <family val="2"/>
    </font>
    <font>
      <sz val="11"/>
      <color theme="1"/>
      <name val="Times New Roman"/>
      <family val="1"/>
    </font>
    <font>
      <sz val="11"/>
      <color rgb="FFFF0000"/>
      <name val="Calibri"/>
      <family val="2"/>
    </font>
    <font>
      <b/>
      <u/>
      <sz val="11"/>
      <name val="Calibri"/>
      <family val="2"/>
    </font>
    <font>
      <sz val="11"/>
      <name val="Calibri"/>
      <family val="2"/>
      <scheme val="minor"/>
    </font>
    <font>
      <b/>
      <sz val="20"/>
      <color rgb="FFFF0000"/>
      <name val="Arial"/>
      <family val="2"/>
    </font>
    <font>
      <sz val="10"/>
      <color rgb="FF000000"/>
      <name val="Calibri"/>
      <family val="2"/>
      <scheme val="minor"/>
    </font>
    <font>
      <sz val="9"/>
      <color rgb="FF000000"/>
      <name val="Calibri"/>
      <family val="2"/>
      <scheme val="minor"/>
    </font>
    <font>
      <b/>
      <sz val="10"/>
      <color rgb="FF142C41"/>
      <name val="Arial"/>
      <family val="2"/>
    </font>
    <font>
      <b/>
      <sz val="10"/>
      <name val="Arial"/>
      <family val="2"/>
    </font>
    <font>
      <i/>
      <sz val="11"/>
      <color theme="0"/>
      <name val="Arial"/>
      <family val="2"/>
    </font>
    <font>
      <sz val="11"/>
      <color rgb="FF000000"/>
      <name val="Arial"/>
      <family val="2"/>
    </font>
  </fonts>
  <fills count="79">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D98C24"/>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5"/>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333333"/>
        <bgColor indexed="64"/>
      </patternFill>
    </fill>
    <fill>
      <patternFill patternType="solid">
        <fgColor rgb="FFFFFFFF"/>
        <bgColor indexed="64"/>
      </patternFill>
    </fill>
    <fill>
      <patternFill patternType="solid">
        <fgColor rgb="FFFFFFFF"/>
        <bgColor auto="1"/>
      </patternFill>
    </fill>
    <fill>
      <patternFill patternType="solid">
        <fgColor rgb="FFCCCCCC"/>
        <bgColor indexed="64"/>
      </patternFill>
    </fill>
    <fill>
      <patternFill patternType="solid">
        <fgColor rgb="FF616161"/>
        <bgColor indexed="64"/>
      </patternFill>
    </fill>
    <fill>
      <patternFill patternType="solid">
        <fgColor rgb="FFF1F1F1"/>
        <bgColor indexed="64"/>
      </patternFill>
    </fill>
    <fill>
      <patternFill patternType="solid">
        <fgColor theme="2" tint="-0.249977111117893"/>
        <bgColor indexed="64"/>
      </patternFill>
    </fill>
    <fill>
      <patternFill patternType="solid">
        <fgColor rgb="FFFF0000"/>
        <bgColor indexed="64"/>
      </patternFill>
    </fill>
    <fill>
      <patternFill patternType="solid">
        <fgColor rgb="FF70AD47"/>
        <bgColor rgb="FF000000"/>
      </patternFill>
    </fill>
    <fill>
      <patternFill patternType="solid">
        <fgColor rgb="FF00B0F0"/>
        <bgColor indexed="64"/>
      </patternFill>
    </fill>
    <fill>
      <patternFill patternType="solid">
        <fgColor rgb="FFFFFF00"/>
        <bgColor theme="4" tint="0.79998168889431442"/>
      </patternFill>
    </fill>
    <fill>
      <patternFill patternType="solid">
        <fgColor rgb="FFE2E2E2"/>
        <bgColor indexed="64"/>
      </patternFill>
    </fill>
    <fill>
      <patternFill patternType="solid">
        <fgColor rgb="FFFFC000"/>
        <bgColor rgb="FF000000"/>
      </patternFill>
    </fill>
    <fill>
      <patternFill patternType="solid">
        <fgColor rgb="FFA5A5A5"/>
        <bgColor rgb="FF000000"/>
      </patternFill>
    </fill>
    <fill>
      <patternFill patternType="solid">
        <fgColor theme="9"/>
        <bgColor rgb="FF000000"/>
      </patternFill>
    </fill>
    <fill>
      <patternFill patternType="lightUp">
        <fgColor rgb="FF000000"/>
      </patternFill>
    </fill>
    <fill>
      <patternFill patternType="lightUp"/>
    </fill>
    <fill>
      <patternFill patternType="solid">
        <fgColor rgb="FFFF6D6D"/>
        <bgColor indexed="64"/>
      </patternFill>
    </fill>
    <fill>
      <patternFill patternType="solid">
        <fgColor rgb="FF142C41"/>
        <bgColor indexed="64"/>
      </patternFill>
    </fill>
    <fill>
      <patternFill patternType="solid">
        <fgColor rgb="FF9BA4B8"/>
        <bgColor indexed="64"/>
      </patternFill>
    </fill>
    <fill>
      <patternFill patternType="solid">
        <fgColor rgb="FFE4EBF7"/>
        <bgColor indexed="64"/>
      </patternFill>
    </fill>
    <fill>
      <patternFill patternType="solid">
        <fgColor rgb="FFF0532A"/>
        <bgColor indexed="64"/>
      </patternFill>
    </fill>
    <fill>
      <patternFill patternType="solid">
        <fgColor rgb="FFFFCCFF"/>
        <bgColor indexed="64"/>
      </patternFill>
    </fill>
    <fill>
      <patternFill patternType="solid">
        <fgColor rgb="FFEF5BBA"/>
        <bgColor rgb="FF000000"/>
      </patternFill>
    </fill>
    <fill>
      <patternFill patternType="solid">
        <fgColor rgb="FFEF5BBA"/>
        <bgColor indexed="64"/>
      </patternFill>
    </fill>
    <fill>
      <patternFill patternType="solid">
        <fgColor rgb="FFFFC000"/>
        <bgColor indexed="64"/>
      </patternFill>
    </fill>
    <fill>
      <patternFill patternType="solid">
        <fgColor rgb="FF002060"/>
        <bgColor indexed="64"/>
      </patternFill>
    </fill>
    <fill>
      <patternFill patternType="solid">
        <fgColor rgb="FFE4EBF7"/>
        <bgColor rgb="FF000000"/>
      </patternFill>
    </fill>
    <fill>
      <patternFill patternType="solid">
        <fgColor rgb="FF9BA4B8"/>
        <bgColor rgb="FF000000"/>
      </patternFill>
    </fill>
  </fills>
  <borders count="19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499984740745262"/>
      </bottom>
      <diagonal/>
    </border>
    <border>
      <left/>
      <right/>
      <top/>
      <bottom style="medium">
        <color theme="0" tint="-0.14996795556505021"/>
      </bottom>
      <diagonal/>
    </border>
    <border>
      <left/>
      <right/>
      <top style="medium">
        <color theme="0" tint="-0.14996795556505021"/>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dotted">
        <color theme="0" tint="-0.14996795556505021"/>
      </bottom>
      <diagonal/>
    </border>
    <border>
      <left/>
      <right style="thin">
        <color theme="0" tint="-0.34998626667073579"/>
      </right>
      <top/>
      <bottom style="dotted">
        <color theme="0" tint="-0.14996795556505021"/>
      </bottom>
      <diagonal/>
    </border>
    <border>
      <left style="thin">
        <color theme="0" tint="-0.34998626667073579"/>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theme="0" tint="-0.1499374370555742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top style="medium">
        <color theme="0"/>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right/>
      <top/>
      <bottom style="thick">
        <color rgb="FFFF6E1E"/>
      </bottom>
      <diagonal/>
    </border>
    <border>
      <left style="thin">
        <color theme="0" tint="-0.14993743705557422"/>
      </left>
      <right/>
      <top/>
      <bottom/>
      <diagonal/>
    </border>
    <border>
      <left/>
      <right style="thin">
        <color theme="0" tint="-0.14993743705557422"/>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top style="thin">
        <color rgb="FFCCCCCC"/>
      </top>
      <bottom/>
      <diagonal/>
    </border>
    <border>
      <left style="thin">
        <color rgb="FFCCCCCC"/>
      </left>
      <right/>
      <top style="thin">
        <color rgb="FFCCCCCC"/>
      </top>
      <bottom/>
      <diagonal/>
    </border>
    <border>
      <left/>
      <right style="thin">
        <color rgb="FFCCCCCC"/>
      </right>
      <top style="thin">
        <color rgb="FFCCCCCC"/>
      </top>
      <bottom/>
      <diagonal/>
    </border>
    <border>
      <left style="thin">
        <color rgb="FFCCCCCC"/>
      </left>
      <right/>
      <top/>
      <bottom/>
      <diagonal/>
    </border>
    <border>
      <left/>
      <right style="thin">
        <color rgb="FFCCCCCC"/>
      </right>
      <top/>
      <bottom/>
      <diagonal/>
    </border>
    <border>
      <left style="thin">
        <color rgb="FFCCCCCC"/>
      </left>
      <right style="thin">
        <color theme="0" tint="-0.34998626667073579"/>
      </right>
      <top style="thin">
        <color rgb="FFCCCCCC"/>
      </top>
      <bottom style="medium">
        <color rgb="FF0079C1"/>
      </bottom>
      <diagonal/>
    </border>
    <border>
      <left style="thin">
        <color theme="0" tint="-0.34998626667073579"/>
      </left>
      <right style="thin">
        <color theme="0" tint="-0.34998626667073579"/>
      </right>
      <top style="thin">
        <color rgb="FFCCCCCC"/>
      </top>
      <bottom style="medium">
        <color rgb="FF0079C1"/>
      </bottom>
      <diagonal/>
    </border>
    <border>
      <left style="thin">
        <color theme="0" tint="-0.34998626667073579"/>
      </left>
      <right style="thin">
        <color rgb="FFCCCCCC"/>
      </right>
      <top style="thin">
        <color rgb="FFCCCCCC"/>
      </top>
      <bottom style="medium">
        <color rgb="FF0079C1"/>
      </bottom>
      <diagonal/>
    </border>
    <border>
      <left style="thin">
        <color rgb="FFCCCCCC"/>
      </left>
      <right/>
      <top style="thin">
        <color rgb="FFCCCCCC"/>
      </top>
      <bottom style="medium">
        <color rgb="FF0079C1"/>
      </bottom>
      <diagonal/>
    </border>
    <border>
      <left/>
      <right/>
      <top style="thin">
        <color rgb="FFCCCCCC"/>
      </top>
      <bottom style="medium">
        <color rgb="FF0079C1"/>
      </bottom>
      <diagonal/>
    </border>
    <border>
      <left/>
      <right style="thin">
        <color rgb="FFCCCCCC"/>
      </right>
      <top style="thin">
        <color rgb="FFCCCCCC"/>
      </top>
      <bottom style="medium">
        <color rgb="FF0079C1"/>
      </bottom>
      <diagonal/>
    </border>
    <border>
      <left style="thin">
        <color rgb="FFCCCCCC"/>
      </left>
      <right style="thin">
        <color rgb="FFCCCCCC"/>
      </right>
      <top style="thin">
        <color rgb="FFCCCCCC"/>
      </top>
      <bottom style="medium">
        <color rgb="FF0079C1"/>
      </bottom>
      <diagonal/>
    </border>
    <border>
      <left style="thin">
        <color rgb="FFCCCCCC"/>
      </left>
      <right/>
      <top/>
      <bottom style="thin">
        <color rgb="FFCCCCCC"/>
      </bottom>
      <diagonal/>
    </border>
    <border>
      <left/>
      <right/>
      <top/>
      <bottom style="thin">
        <color rgb="FFCCCCCC"/>
      </bottom>
      <diagonal/>
    </border>
    <border>
      <left/>
      <right style="thin">
        <color rgb="FFCCCCCC"/>
      </right>
      <top/>
      <bottom style="thin">
        <color rgb="FFCCCCCC"/>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right style="thin">
        <color theme="0" tint="-0.34998626667073579"/>
      </right>
      <top style="thin">
        <color rgb="FFCCCCCC"/>
      </top>
      <bottom style="medium">
        <color rgb="FF0079C1"/>
      </bottom>
      <diagonal/>
    </border>
    <border>
      <left style="thin">
        <color rgb="FFCCCCCC"/>
      </left>
      <right style="thin">
        <color rgb="FFCCCCCC"/>
      </right>
      <top style="thin">
        <color rgb="FFCCCCCC"/>
      </top>
      <bottom style="thin">
        <color rgb="FFCCCCCC"/>
      </bottom>
      <diagonal/>
    </border>
    <border>
      <left style="thin">
        <color theme="0" tint="-0.14993743705557422"/>
      </left>
      <right/>
      <top/>
      <bottom style="thin">
        <color theme="0" tint="-0.14993743705557422"/>
      </bottom>
      <diagonal/>
    </border>
    <border>
      <left/>
      <right/>
      <top/>
      <bottom style="thin">
        <color theme="0" tint="-0.14993743705557422"/>
      </bottom>
      <diagonal/>
    </border>
    <border>
      <left/>
      <right style="thin">
        <color theme="0" tint="-0.14993743705557422"/>
      </right>
      <top/>
      <bottom style="thin">
        <color theme="0" tint="-0.1499374370555742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medium">
        <color theme="0" tint="-0.14996795556505021"/>
      </top>
      <bottom style="thin">
        <color theme="0" tint="-0.14993743705557422"/>
      </bottom>
      <diagonal/>
    </border>
    <border>
      <left/>
      <right/>
      <top style="medium">
        <color rgb="FF0079C1"/>
      </top>
      <bottom/>
      <diagonal/>
    </border>
    <border>
      <left/>
      <right/>
      <top style="medium">
        <color rgb="FF4C4C4C"/>
      </top>
      <bottom/>
      <diagonal/>
    </border>
    <border>
      <left style="thin">
        <color rgb="FF616161"/>
      </left>
      <right/>
      <top style="thin">
        <color rgb="FF616161"/>
      </top>
      <bottom/>
      <diagonal/>
    </border>
    <border>
      <left/>
      <right/>
      <top style="thin">
        <color rgb="FF616161"/>
      </top>
      <bottom/>
      <diagonal/>
    </border>
    <border>
      <left/>
      <right style="thin">
        <color rgb="FF616161"/>
      </right>
      <top style="thin">
        <color rgb="FF616161"/>
      </top>
      <bottom/>
      <diagonal/>
    </border>
    <border>
      <left style="thin">
        <color rgb="FF616161"/>
      </left>
      <right/>
      <top/>
      <bottom style="thin">
        <color rgb="FF616161"/>
      </bottom>
      <diagonal/>
    </border>
    <border>
      <left/>
      <right/>
      <top/>
      <bottom style="thin">
        <color rgb="FF616161"/>
      </bottom>
      <diagonal/>
    </border>
    <border>
      <left/>
      <right style="thin">
        <color rgb="FF616161"/>
      </right>
      <top/>
      <bottom style="thin">
        <color rgb="FF616161"/>
      </bottom>
      <diagonal/>
    </border>
    <border>
      <left/>
      <right/>
      <top style="medium">
        <color theme="0" tint="-0.14996795556505021"/>
      </top>
      <bottom style="medium">
        <color theme="0" tint="-0.14996795556505021"/>
      </bottom>
      <diagonal/>
    </border>
    <border>
      <left style="thin">
        <color theme="0" tint="-0.34998626667073579"/>
      </left>
      <right/>
      <top style="dotted">
        <color theme="0" tint="-0.14996795556505021"/>
      </top>
      <bottom style="thin">
        <color theme="0" tint="-0.34998626667073579"/>
      </bottom>
      <diagonal/>
    </border>
    <border>
      <left/>
      <right/>
      <top style="dotted">
        <color theme="0" tint="-0.14996795556505021"/>
      </top>
      <bottom style="thin">
        <color theme="0" tint="-0.34998626667073579"/>
      </bottom>
      <diagonal/>
    </border>
    <border>
      <left/>
      <right style="thin">
        <color theme="0" tint="-0.34998626667073579"/>
      </right>
      <top style="dotted">
        <color theme="0" tint="-0.14996795556505021"/>
      </top>
      <bottom style="dotted">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ck">
        <color theme="2" tint="-0.499984740745262"/>
      </left>
      <right/>
      <top style="thick">
        <color theme="2" tint="-0.499984740745262"/>
      </top>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bottom/>
      <diagonal/>
    </border>
    <border>
      <left/>
      <right style="thick">
        <color theme="2" tint="-0.499984740745262"/>
      </right>
      <top/>
      <bottom/>
      <diagonal/>
    </border>
    <border>
      <left style="thick">
        <color theme="2" tint="-0.499984740745262"/>
      </left>
      <right/>
      <top/>
      <bottom style="thick">
        <color theme="2" tint="-0.499984740745262"/>
      </bottom>
      <diagonal/>
    </border>
    <border>
      <left/>
      <right/>
      <top/>
      <bottom style="thick">
        <color theme="2" tint="-0.499984740745262"/>
      </bottom>
      <diagonal/>
    </border>
    <border>
      <left/>
      <right style="thick">
        <color theme="2" tint="-0.499984740745262"/>
      </right>
      <top/>
      <bottom style="thick">
        <color theme="2" tint="-0.499984740745262"/>
      </bottom>
      <diagonal/>
    </border>
    <border>
      <left/>
      <right style="medium">
        <color indexed="64"/>
      </right>
      <top/>
      <bottom style="medium">
        <color indexed="64"/>
      </bottom>
      <diagonal/>
    </border>
    <border>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0" tint="-0.499984740745262"/>
      </bottom>
      <diagonal/>
    </border>
    <border>
      <left style="thin">
        <color rgb="FFCCCCCC"/>
      </left>
      <right/>
      <top/>
      <bottom style="medium">
        <color rgb="FF0079C1"/>
      </bottom>
      <diagonal/>
    </border>
    <border>
      <left/>
      <right/>
      <top/>
      <bottom style="medium">
        <color rgb="FF0079C1"/>
      </bottom>
      <diagonal/>
    </border>
    <border>
      <left/>
      <right style="thin">
        <color rgb="FFCCCCCC"/>
      </right>
      <top/>
      <bottom style="medium">
        <color rgb="FF0079C1"/>
      </bottom>
      <diagonal/>
    </border>
    <border>
      <left style="thin">
        <color theme="0" tint="-0.24994659260841701"/>
      </left>
      <right/>
      <top style="thin">
        <color theme="0" tint="-0.24994659260841701"/>
      </top>
      <bottom style="medium">
        <color rgb="FF0079C1"/>
      </bottom>
      <diagonal/>
    </border>
    <border>
      <left/>
      <right style="thin">
        <color theme="0" tint="-0.24994659260841701"/>
      </right>
      <top style="thin">
        <color theme="0" tint="-0.24994659260841701"/>
      </top>
      <bottom style="medium">
        <color rgb="FF0079C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14990691854609822"/>
      </bottom>
      <diagonal/>
    </border>
    <border>
      <left style="thin">
        <color theme="0" tint="-0.14990691854609822"/>
      </left>
      <right style="thin">
        <color theme="0" tint="-0.14990691854609822"/>
      </right>
      <top/>
      <bottom/>
      <diagonal/>
    </border>
    <border>
      <left style="thin">
        <color theme="0" tint="-0.14990691854609822"/>
      </left>
      <right/>
      <top/>
      <bottom/>
      <diagonal/>
    </border>
    <border>
      <left/>
      <right style="thin">
        <color theme="0" tint="-0.14990691854609822"/>
      </right>
      <top/>
      <bottom/>
      <diagonal/>
    </border>
    <border>
      <left/>
      <right/>
      <top style="medium">
        <color theme="0" tint="-0.14996795556505021"/>
      </top>
      <bottom style="thin">
        <color rgb="FFCCCCCC"/>
      </bottom>
      <diagonal/>
    </border>
    <border>
      <left style="thin">
        <color theme="0" tint="-0.14990691854609822"/>
      </left>
      <right style="thin">
        <color theme="0" tint="-0.14990691854609822"/>
      </right>
      <top/>
      <bottom style="thin">
        <color theme="0" tint="-0.14990691854609822"/>
      </bottom>
      <diagonal/>
    </border>
    <border>
      <left style="double">
        <color theme="0" tint="-0.24994659260841701"/>
      </left>
      <right/>
      <top/>
      <bottom style="thin">
        <color theme="0" tint="-0.499984740745262"/>
      </bottom>
      <diagonal/>
    </border>
    <border>
      <left/>
      <right/>
      <top style="medium">
        <color rgb="FFCCCCCC"/>
      </top>
      <bottom style="thin">
        <color rgb="FFCCCCCC"/>
      </bottom>
      <diagonal/>
    </border>
    <border>
      <left/>
      <right/>
      <top style="thin">
        <color rgb="FFCCCCCC"/>
      </top>
      <bottom style="thin">
        <color indexed="64"/>
      </bottom>
      <diagonal/>
    </border>
    <border>
      <left style="medium">
        <color indexed="64"/>
      </left>
      <right/>
      <top style="medium">
        <color indexed="64"/>
      </top>
      <bottom style="medium">
        <color indexed="64"/>
      </bottom>
      <diagonal/>
    </border>
    <border>
      <left/>
      <right/>
      <top/>
      <bottom style="medium">
        <color rgb="FFCCCCCC"/>
      </bottom>
      <diagonal/>
    </border>
    <border>
      <left/>
      <right/>
      <top style="medium">
        <color theme="0" tint="-0.14996795556505021"/>
      </top>
      <bottom style="medium">
        <color rgb="FFCCCCCC"/>
      </bottom>
      <diagonal/>
    </border>
    <border>
      <left/>
      <right/>
      <top/>
      <bottom style="medium">
        <color rgb="FFF0532A"/>
      </bottom>
      <diagonal/>
    </border>
    <border>
      <left/>
      <right style="thin">
        <color theme="0" tint="-0.14990691854609822"/>
      </right>
      <top/>
      <bottom style="thin">
        <color theme="0" tint="-0.14990691854609822"/>
      </bottom>
      <diagonal/>
    </border>
    <border>
      <left style="thin">
        <color theme="0" tint="-0.14990691854609822"/>
      </left>
      <right/>
      <top style="medium">
        <color rgb="FFCCCCCC"/>
      </top>
      <bottom/>
      <diagonal/>
    </border>
    <border>
      <left/>
      <right/>
      <top style="medium">
        <color rgb="FFCCCCCC"/>
      </top>
      <bottom/>
      <diagonal/>
    </border>
    <border>
      <left/>
      <right style="thin">
        <color theme="0" tint="-0.14990691854609822"/>
      </right>
      <top style="medium">
        <color rgb="FFCCCCCC"/>
      </top>
      <bottom/>
      <diagonal/>
    </border>
    <border>
      <left style="thin">
        <color theme="0" tint="-0.14990691854609822"/>
      </left>
      <right/>
      <top/>
      <bottom style="thin">
        <color theme="0" tint="-0.1499069185460982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double">
        <color theme="0" tint="-0.24994659260841701"/>
      </left>
      <right/>
      <top/>
      <bottom/>
      <diagonal/>
    </border>
    <border>
      <left/>
      <right/>
      <top/>
      <bottom style="medium">
        <color indexed="64"/>
      </bottom>
      <diagonal/>
    </border>
    <border>
      <left/>
      <right style="medium">
        <color indexed="64"/>
      </right>
      <top/>
      <bottom/>
      <diagonal/>
    </border>
    <border>
      <left style="medium">
        <color theme="0"/>
      </left>
      <right style="medium">
        <color theme="0"/>
      </right>
      <top style="medium">
        <color theme="0"/>
      </top>
      <bottom/>
      <diagonal/>
    </border>
  </borders>
  <cellStyleXfs count="120">
    <xf numFmtId="0" fontId="0" fillId="0" borderId="0"/>
    <xf numFmtId="0" fontId="5" fillId="0" borderId="0" applyNumberFormat="0" applyFill="0" applyBorder="0" applyAlignment="0" applyProtection="0"/>
    <xf numFmtId="0" fontId="6" fillId="0" borderId="0" applyNumberFormat="0" applyAlignment="0" applyProtection="0"/>
    <xf numFmtId="9" fontId="9" fillId="0" borderId="0" applyFont="0" applyFill="0" applyBorder="0" applyAlignment="0" applyProtection="0"/>
    <xf numFmtId="0" fontId="6" fillId="0" borderId="0" applyNumberFormat="0" applyAlignment="0" applyProtection="0"/>
    <xf numFmtId="0" fontId="12" fillId="0" borderId="0"/>
    <xf numFmtId="9" fontId="6" fillId="0" borderId="0" applyFont="0" applyFill="0" applyBorder="0" applyAlignment="0" applyProtection="0"/>
    <xf numFmtId="0" fontId="23" fillId="0" borderId="0"/>
    <xf numFmtId="0" fontId="6" fillId="0" borderId="0"/>
    <xf numFmtId="0" fontId="28" fillId="0" borderId="0"/>
    <xf numFmtId="0" fontId="29" fillId="0" borderId="0" applyNumberForma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6" fillId="0" borderId="0" applyFont="0" applyFill="0" applyBorder="0" applyAlignment="0" applyProtection="0"/>
    <xf numFmtId="0" fontId="23" fillId="0" borderId="0"/>
    <xf numFmtId="43" fontId="6" fillId="0" borderId="0" applyFont="0" applyFill="0" applyBorder="0" applyAlignment="0" applyProtection="0"/>
    <xf numFmtId="0" fontId="80" fillId="0" borderId="72" applyNumberFormat="0" applyFill="0" applyAlignment="0" applyProtection="0"/>
    <xf numFmtId="0" fontId="81" fillId="0" borderId="73" applyNumberFormat="0" applyFill="0" applyAlignment="0" applyProtection="0"/>
    <xf numFmtId="0" fontId="82" fillId="0" borderId="74" applyNumberFormat="0" applyFill="0" applyAlignment="0" applyProtection="0"/>
    <xf numFmtId="0" fontId="82" fillId="0" borderId="0" applyNumberFormat="0" applyFill="0" applyBorder="0" applyAlignment="0" applyProtection="0"/>
    <xf numFmtId="0" fontId="83" fillId="20" borderId="0" applyNumberFormat="0" applyBorder="0" applyAlignment="0" applyProtection="0"/>
    <xf numFmtId="0" fontId="84" fillId="21" borderId="0" applyNumberFormat="0" applyBorder="0" applyAlignment="0" applyProtection="0"/>
    <xf numFmtId="0" fontId="85" fillId="23" borderId="75" applyNumberFormat="0" applyAlignment="0" applyProtection="0"/>
    <xf numFmtId="0" fontId="86" fillId="24" borderId="76" applyNumberFormat="0" applyAlignment="0" applyProtection="0"/>
    <xf numFmtId="0" fontId="87" fillId="24" borderId="75" applyNumberFormat="0" applyAlignment="0" applyProtection="0"/>
    <xf numFmtId="0" fontId="88" fillId="0" borderId="77" applyNumberFormat="0" applyFill="0" applyAlignment="0" applyProtection="0"/>
    <xf numFmtId="0" fontId="89" fillId="25" borderId="78" applyNumberFormat="0" applyAlignment="0" applyProtection="0"/>
    <xf numFmtId="0" fontId="79" fillId="0" borderId="0" applyNumberFormat="0" applyFill="0" applyBorder="0" applyAlignment="0" applyProtection="0"/>
    <xf numFmtId="0" fontId="90" fillId="0" borderId="0" applyNumberFormat="0" applyFill="0" applyBorder="0" applyAlignment="0" applyProtection="0"/>
    <xf numFmtId="0" fontId="91" fillId="0" borderId="80" applyNumberFormat="0" applyFill="0" applyAlignment="0" applyProtection="0"/>
    <xf numFmtId="0" fontId="92"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92"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92" fillId="35" borderId="0" applyNumberFormat="0" applyBorder="0" applyAlignment="0" applyProtection="0"/>
    <xf numFmtId="0" fontId="4" fillId="36" borderId="0" applyNumberFormat="0" applyBorder="0" applyAlignment="0" applyProtection="0"/>
    <xf numFmtId="0" fontId="92"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92"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92" fillId="46"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0" borderId="0"/>
    <xf numFmtId="0" fontId="4" fillId="18" borderId="0" applyNumberFormat="0" applyBorder="0" applyAlignment="0" applyProtection="0"/>
    <xf numFmtId="0" fontId="92" fillId="30" borderId="0" applyNumberFormat="0" applyBorder="0" applyAlignment="0" applyProtection="0"/>
    <xf numFmtId="0" fontId="92" fillId="34" borderId="0" applyNumberFormat="0" applyBorder="0" applyAlignment="0" applyProtection="0"/>
    <xf numFmtId="0" fontId="92" fillId="37" borderId="0" applyNumberFormat="0" applyBorder="0" applyAlignment="0" applyProtection="0"/>
    <xf numFmtId="0" fontId="92" fillId="41" borderId="0" applyNumberFormat="0" applyBorder="0" applyAlignment="0" applyProtection="0"/>
    <xf numFmtId="0" fontId="92" fillId="45" borderId="0" applyNumberFormat="0" applyBorder="0" applyAlignment="0" applyProtection="0"/>
    <xf numFmtId="0" fontId="92" fillId="49" borderId="0" applyNumberFormat="0" applyBorder="0" applyAlignment="0" applyProtection="0"/>
    <xf numFmtId="0" fontId="93" fillId="0" borderId="81" applyNumberFormat="0" applyFont="0" applyProtection="0">
      <alignment wrapText="1"/>
    </xf>
    <xf numFmtId="0" fontId="94" fillId="0" borderId="0" applyNumberFormat="0" applyFill="0" applyBorder="0" applyAlignment="0" applyProtection="0">
      <alignment vertical="top"/>
      <protection locked="0"/>
    </xf>
    <xf numFmtId="0" fontId="93" fillId="0" borderId="0" applyNumberFormat="0" applyFill="0" applyBorder="0" applyAlignment="0" applyProtection="0"/>
    <xf numFmtId="0" fontId="93" fillId="0" borderId="0" applyNumberFormat="0" applyProtection="0">
      <alignment vertical="top" wrapText="1"/>
    </xf>
    <xf numFmtId="0" fontId="93" fillId="0" borderId="82" applyNumberFormat="0" applyProtection="0">
      <alignment vertical="top" wrapText="1"/>
    </xf>
    <xf numFmtId="0" fontId="95" fillId="0" borderId="72" applyNumberFormat="0" applyProtection="0">
      <alignment wrapText="1"/>
    </xf>
    <xf numFmtId="0" fontId="95" fillId="0" borderId="83" applyNumberFormat="0" applyProtection="0">
      <alignment horizontal="left" wrapText="1"/>
    </xf>
    <xf numFmtId="0" fontId="96" fillId="0" borderId="0" applyNumberFormat="0" applyFill="0" applyBorder="0" applyAlignment="0" applyProtection="0">
      <alignment vertical="top"/>
      <protection locked="0"/>
    </xf>
    <xf numFmtId="0" fontId="97" fillId="22" borderId="0" applyNumberFormat="0" applyBorder="0" applyAlignment="0" applyProtection="0"/>
    <xf numFmtId="0" fontId="23" fillId="0" borderId="0"/>
    <xf numFmtId="0" fontId="4" fillId="26" borderId="79" applyNumberFormat="0" applyFont="0" applyAlignment="0" applyProtection="0"/>
    <xf numFmtId="0" fontId="95" fillId="0" borderId="84" applyNumberFormat="0" applyProtection="0">
      <alignment wrapText="1"/>
    </xf>
    <xf numFmtId="0" fontId="93" fillId="0" borderId="85" applyNumberFormat="0" applyFont="0" applyFill="0" applyProtection="0">
      <alignment wrapText="1"/>
    </xf>
    <xf numFmtId="0" fontId="95" fillId="0" borderId="86" applyNumberFormat="0" applyFill="0" applyProtection="0">
      <alignment wrapText="1"/>
    </xf>
    <xf numFmtId="0" fontId="98" fillId="0" borderId="0" applyNumberFormat="0" applyProtection="0">
      <alignment horizontal="left"/>
    </xf>
    <xf numFmtId="0" fontId="99" fillId="0" borderId="0" applyNumberFormat="0" applyFill="0" applyBorder="0" applyAlignment="0" applyProtection="0"/>
    <xf numFmtId="0" fontId="3" fillId="0" borderId="0"/>
    <xf numFmtId="0" fontId="23" fillId="0" borderId="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18" borderId="0" applyNumberFormat="0" applyBorder="0" applyAlignment="0" applyProtection="0"/>
    <xf numFmtId="0" fontId="2" fillId="26" borderId="79" applyNumberFormat="0" applyFont="0" applyAlignment="0" applyProtection="0"/>
    <xf numFmtId="0" fontId="2" fillId="0" borderId="0"/>
    <xf numFmtId="0" fontId="23" fillId="0" borderId="0"/>
    <xf numFmtId="44" fontId="23" fillId="0" borderId="0" applyFont="0" applyFill="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0" borderId="0"/>
    <xf numFmtId="0" fontId="1" fillId="18" borderId="0" applyNumberFormat="0" applyBorder="0" applyAlignment="0" applyProtection="0"/>
    <xf numFmtId="0" fontId="1" fillId="26" borderId="79"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0" borderId="0"/>
    <xf numFmtId="0" fontId="1" fillId="18" borderId="0" applyNumberFormat="0" applyBorder="0" applyAlignment="0" applyProtection="0"/>
    <xf numFmtId="0" fontId="1" fillId="26" borderId="79" applyNumberFormat="0" applyFont="0" applyAlignment="0" applyProtection="0"/>
    <xf numFmtId="0" fontId="1" fillId="0" borderId="0"/>
  </cellStyleXfs>
  <cellXfs count="1703">
    <xf numFmtId="0" fontId="0" fillId="0" borderId="0" xfId="0"/>
    <xf numFmtId="0" fontId="0" fillId="0" borderId="0" xfId="0" applyAlignment="1">
      <alignment wrapText="1"/>
    </xf>
    <xf numFmtId="0" fontId="14" fillId="0" borderId="0" xfId="0" applyFont="1"/>
    <xf numFmtId="0" fontId="14" fillId="0" borderId="0" xfId="0" applyFont="1" applyAlignment="1">
      <alignment horizontal="center"/>
    </xf>
    <xf numFmtId="0" fontId="15" fillId="0" borderId="0" xfId="0" applyFont="1"/>
    <xf numFmtId="0" fontId="0" fillId="0" borderId="1" xfId="0" applyBorder="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17" fillId="0" borderId="0" xfId="0" applyFont="1" applyAlignment="1">
      <alignment horizontal="left"/>
    </xf>
    <xf numFmtId="0" fontId="0" fillId="0" borderId="0" xfId="0" applyAlignment="1">
      <alignment horizontal="left"/>
    </xf>
    <xf numFmtId="49" fontId="0" fillId="0" borderId="0" xfId="0" applyNumberFormat="1"/>
    <xf numFmtId="0" fontId="8" fillId="0" borderId="0" xfId="0" applyFont="1"/>
    <xf numFmtId="0" fontId="6" fillId="0" borderId="0" xfId="0" applyFont="1"/>
    <xf numFmtId="49" fontId="6" fillId="0" borderId="0" xfId="0" applyNumberFormat="1" applyFont="1"/>
    <xf numFmtId="0" fontId="0" fillId="0" borderId="11" xfId="0" applyBorder="1"/>
    <xf numFmtId="1" fontId="0" fillId="0" borderId="0" xfId="0" applyNumberFormat="1"/>
    <xf numFmtId="0" fontId="0" fillId="0" borderId="12" xfId="0" applyBorder="1"/>
    <xf numFmtId="0" fontId="0" fillId="0" borderId="14" xfId="0" applyBorder="1"/>
    <xf numFmtId="0" fontId="0" fillId="0" borderId="5" xfId="0" applyBorder="1"/>
    <xf numFmtId="171" fontId="0" fillId="0" borderId="0" xfId="0" applyNumberFormat="1"/>
    <xf numFmtId="0" fontId="0" fillId="0" borderId="0" xfId="0" quotePrefix="1"/>
    <xf numFmtId="0" fontId="18" fillId="0" borderId="0" xfId="0" applyFont="1"/>
    <xf numFmtId="0" fontId="21" fillId="0" borderId="0" xfId="0" applyFont="1"/>
    <xf numFmtId="0" fontId="21" fillId="0" borderId="0" xfId="0" applyFont="1" applyAlignment="1">
      <alignment horizontal="center"/>
    </xf>
    <xf numFmtId="167" fontId="0" fillId="0" borderId="0" xfId="0" applyNumberFormat="1"/>
    <xf numFmtId="0" fontId="8" fillId="0" borderId="0" xfId="0" applyFont="1" applyAlignment="1">
      <alignment horizontal="center"/>
    </xf>
    <xf numFmtId="0" fontId="32" fillId="0" borderId="0" xfId="1" applyFont="1" applyBorder="1" applyAlignment="1">
      <alignment horizontal="center"/>
    </xf>
    <xf numFmtId="0" fontId="21" fillId="0" borderId="0" xfId="0" applyFont="1" applyAlignment="1">
      <alignment horizontal="center" vertical="center" wrapText="1"/>
    </xf>
    <xf numFmtId="0" fontId="0" fillId="11" borderId="0" xfId="0" applyFill="1"/>
    <xf numFmtId="0" fontId="22" fillId="0" borderId="0" xfId="0" applyFont="1" applyAlignment="1">
      <alignment horizontal="left"/>
    </xf>
    <xf numFmtId="0" fontId="22" fillId="0" borderId="0" xfId="0" applyFont="1"/>
    <xf numFmtId="0" fontId="25" fillId="0" borderId="0" xfId="0" applyFont="1" applyAlignment="1">
      <alignment horizontal="left"/>
    </xf>
    <xf numFmtId="0" fontId="10" fillId="0" borderId="0" xfId="0" applyFont="1"/>
    <xf numFmtId="9" fontId="0" fillId="0" borderId="0" xfId="6" applyFont="1"/>
    <xf numFmtId="0" fontId="45" fillId="0" borderId="0" xfId="0" applyFont="1" applyAlignment="1">
      <alignment vertical="center"/>
    </xf>
    <xf numFmtId="0" fontId="0" fillId="4" borderId="0" xfId="0" applyFill="1"/>
    <xf numFmtId="0" fontId="0" fillId="0" borderId="31" xfId="0" applyBorder="1"/>
    <xf numFmtId="0" fontId="0" fillId="0" borderId="32" xfId="0" applyBorder="1"/>
    <xf numFmtId="0" fontId="0" fillId="4" borderId="32" xfId="0" applyFill="1" applyBorder="1"/>
    <xf numFmtId="0" fontId="46" fillId="0" borderId="0" xfId="0" applyFont="1" applyAlignment="1">
      <alignment vertical="center"/>
    </xf>
    <xf numFmtId="0" fontId="48" fillId="0" borderId="0" xfId="0" applyFont="1" applyAlignment="1">
      <alignment horizontal="center" vertical="top" wrapText="1"/>
    </xf>
    <xf numFmtId="0" fontId="51" fillId="0" borderId="0" xfId="0" applyFont="1" applyAlignment="1">
      <alignment horizontal="center"/>
    </xf>
    <xf numFmtId="0" fontId="53" fillId="0" borderId="0" xfId="0" applyFont="1"/>
    <xf numFmtId="0" fontId="52" fillId="0" borderId="0" xfId="0" applyFont="1" applyAlignment="1">
      <alignment vertical="center"/>
    </xf>
    <xf numFmtId="0" fontId="49" fillId="0" borderId="0" xfId="0" applyFont="1" applyAlignment="1">
      <alignment vertical="center"/>
    </xf>
    <xf numFmtId="0" fontId="54" fillId="0" borderId="0" xfId="1" applyFont="1" applyAlignment="1">
      <alignment horizontal="center" vertical="center" wrapText="1"/>
    </xf>
    <xf numFmtId="0" fontId="50" fillId="0" borderId="0" xfId="0" applyFont="1"/>
    <xf numFmtId="0" fontId="50" fillId="0" borderId="0" xfId="0" applyFont="1" applyAlignment="1">
      <alignment horizontal="left"/>
    </xf>
    <xf numFmtId="0" fontId="52" fillId="0" borderId="0" xfId="0" applyFont="1" applyAlignment="1">
      <alignment horizontal="center" vertical="center"/>
    </xf>
    <xf numFmtId="0" fontId="57" fillId="0" borderId="0" xfId="0" applyFont="1"/>
    <xf numFmtId="1" fontId="8" fillId="0" borderId="0" xfId="0" applyNumberFormat="1" applyFont="1"/>
    <xf numFmtId="171" fontId="8" fillId="0" borderId="0" xfId="0" applyNumberFormat="1" applyFont="1"/>
    <xf numFmtId="0" fontId="8" fillId="0" borderId="13" xfId="0" applyFont="1" applyBorder="1"/>
    <xf numFmtId="0" fontId="8" fillId="0" borderId="10" xfId="0" applyFont="1" applyBorder="1"/>
    <xf numFmtId="0" fontId="8" fillId="0" borderId="3" xfId="0" applyFont="1" applyBorder="1"/>
    <xf numFmtId="0" fontId="0" fillId="0" borderId="4" xfId="0" applyBorder="1"/>
    <xf numFmtId="0" fontId="8" fillId="0" borderId="0" xfId="0" applyFont="1" applyAlignment="1">
      <alignment vertical="top" wrapText="1"/>
    </xf>
    <xf numFmtId="0" fontId="63" fillId="0" borderId="11" xfId="2" applyFont="1" applyBorder="1" applyAlignment="1" applyProtection="1">
      <alignment horizontal="left"/>
    </xf>
    <xf numFmtId="0" fontId="64" fillId="0" borderId="11" xfId="2" applyFont="1" applyBorder="1" applyProtection="1"/>
    <xf numFmtId="0" fontId="8" fillId="0" borderId="0" xfId="0" applyFont="1" applyProtection="1">
      <protection hidden="1"/>
    </xf>
    <xf numFmtId="0" fontId="32" fillId="0" borderId="0" xfId="1" applyFont="1" applyBorder="1" applyAlignment="1">
      <alignment horizontal="left"/>
    </xf>
    <xf numFmtId="0" fontId="21" fillId="0" borderId="0" xfId="0" applyFont="1" applyAlignment="1">
      <alignment vertical="center" wrapText="1"/>
    </xf>
    <xf numFmtId="0" fontId="5" fillId="0" borderId="0" xfId="1"/>
    <xf numFmtId="49" fontId="0" fillId="0" borderId="1" xfId="0" applyNumberFormat="1" applyBorder="1"/>
    <xf numFmtId="0" fontId="0" fillId="0" borderId="0" xfId="0" applyProtection="1">
      <protection locked="0"/>
    </xf>
    <xf numFmtId="0" fontId="0" fillId="3" borderId="1" xfId="0" applyFill="1" applyBorder="1" applyAlignment="1" applyProtection="1">
      <alignment horizontal="right"/>
      <protection locked="0"/>
    </xf>
    <xf numFmtId="0" fontId="0" fillId="6" borderId="1" xfId="0" applyFill="1" applyBorder="1" applyProtection="1">
      <protection locked="0"/>
    </xf>
    <xf numFmtId="0" fontId="0" fillId="0" borderId="1" xfId="0" applyBorder="1" applyProtection="1">
      <protection locked="0"/>
    </xf>
    <xf numFmtId="0" fontId="45" fillId="0" borderId="0" xfId="0" applyFont="1" applyAlignment="1" applyProtection="1">
      <alignment vertical="center"/>
      <protection locked="0"/>
    </xf>
    <xf numFmtId="0" fontId="0" fillId="3" borderId="1" xfId="0" applyFill="1" applyBorder="1" applyProtection="1">
      <protection locked="0"/>
    </xf>
    <xf numFmtId="0" fontId="0" fillId="3" borderId="2" xfId="0" applyFill="1" applyBorder="1" applyProtection="1">
      <protection locked="0"/>
    </xf>
    <xf numFmtId="0" fontId="0" fillId="7" borderId="1" xfId="0" applyFill="1" applyBorder="1" applyProtection="1">
      <protection locked="0"/>
    </xf>
    <xf numFmtId="0" fontId="0" fillId="2" borderId="6" xfId="0" applyFill="1" applyBorder="1" applyAlignment="1" applyProtection="1">
      <alignment horizontal="right"/>
      <protection locked="0"/>
    </xf>
    <xf numFmtId="0" fontId="0" fillId="2" borderId="3" xfId="0" applyFill="1" applyBorder="1" applyProtection="1">
      <protection locked="0"/>
    </xf>
    <xf numFmtId="0" fontId="5" fillId="7" borderId="1" xfId="1" applyFill="1" applyBorder="1" applyProtection="1">
      <protection locked="0"/>
    </xf>
    <xf numFmtId="1" fontId="0" fillId="0" borderId="1" xfId="0" applyNumberFormat="1" applyBorder="1" applyProtection="1">
      <protection locked="0"/>
    </xf>
    <xf numFmtId="171" fontId="0" fillId="0" borderId="1" xfId="0" applyNumberFormat="1" applyBorder="1" applyProtection="1">
      <protection locked="0"/>
    </xf>
    <xf numFmtId="167" fontId="0" fillId="0" borderId="1" xfId="0" applyNumberFormat="1" applyBorder="1" applyProtection="1">
      <protection locked="0"/>
    </xf>
    <xf numFmtId="0" fontId="0" fillId="2" borderId="7" xfId="0" applyFill="1" applyBorder="1" applyAlignment="1" applyProtection="1">
      <alignment horizontal="right"/>
      <protection locked="0"/>
    </xf>
    <xf numFmtId="0" fontId="0" fillId="2" borderId="4" xfId="0" applyFill="1" applyBorder="1" applyProtection="1">
      <protection locked="0"/>
    </xf>
    <xf numFmtId="0" fontId="0" fillId="2" borderId="8" xfId="0" applyFill="1" applyBorder="1" applyAlignment="1" applyProtection="1">
      <alignment horizontal="right"/>
      <protection locked="0"/>
    </xf>
    <xf numFmtId="0" fontId="0" fillId="2" borderId="5" xfId="0" applyFill="1" applyBorder="1" applyProtection="1">
      <protection locked="0"/>
    </xf>
    <xf numFmtId="0" fontId="0" fillId="2" borderId="4" xfId="0" applyFill="1" applyBorder="1" applyAlignment="1" applyProtection="1">
      <alignment wrapText="1"/>
      <protection locked="0"/>
    </xf>
    <xf numFmtId="0" fontId="0" fillId="5" borderId="1" xfId="0" applyFill="1" applyBorder="1" applyProtection="1">
      <protection locked="0"/>
    </xf>
    <xf numFmtId="1" fontId="0" fillId="8" borderId="1" xfId="0" applyNumberFormat="1" applyFill="1" applyBorder="1" applyProtection="1">
      <protection locked="0"/>
    </xf>
    <xf numFmtId="171" fontId="0" fillId="8" borderId="1" xfId="0" applyNumberFormat="1" applyFill="1" applyBorder="1" applyProtection="1">
      <protection locked="0"/>
    </xf>
    <xf numFmtId="0" fontId="26" fillId="0" borderId="0" xfId="0" applyFont="1" applyAlignment="1" applyProtection="1">
      <alignment horizontal="right"/>
      <protection locked="0"/>
    </xf>
    <xf numFmtId="0" fontId="26" fillId="0" borderId="0" xfId="0" applyFont="1" applyProtection="1">
      <protection locked="0"/>
    </xf>
    <xf numFmtId="0" fontId="0" fillId="0" borderId="0" xfId="0" applyAlignment="1">
      <alignment shrinkToFit="1"/>
    </xf>
    <xf numFmtId="0" fontId="8" fillId="0" borderId="0" xfId="0" applyFont="1" applyAlignment="1">
      <alignment shrinkToFit="1"/>
    </xf>
    <xf numFmtId="0" fontId="0" fillId="0" borderId="61" xfId="0" applyBorder="1"/>
    <xf numFmtId="0" fontId="0" fillId="0" borderId="64" xfId="0" applyBorder="1"/>
    <xf numFmtId="0" fontId="65" fillId="0" borderId="0" xfId="0" applyFont="1" applyAlignment="1">
      <alignment vertical="top" wrapText="1"/>
    </xf>
    <xf numFmtId="0" fontId="0" fillId="2" borderId="6" xfId="0" applyFill="1" applyBorder="1" applyProtection="1">
      <protection locked="0"/>
    </xf>
    <xf numFmtId="0" fontId="0" fillId="2" borderId="7" xfId="0" applyFill="1" applyBorder="1" applyProtection="1">
      <protection locked="0"/>
    </xf>
    <xf numFmtId="0" fontId="0" fillId="2" borderId="7" xfId="0" applyFill="1" applyBorder="1" applyAlignment="1" applyProtection="1">
      <alignment wrapText="1"/>
      <protection locked="0"/>
    </xf>
    <xf numFmtId="0" fontId="0" fillId="17" borderId="61" xfId="0" applyFill="1" applyBorder="1"/>
    <xf numFmtId="0" fontId="0" fillId="0" borderId="0" xfId="0" applyAlignment="1">
      <alignment horizontal="center"/>
    </xf>
    <xf numFmtId="0" fontId="0" fillId="0" borderId="60" xfId="0" applyBorder="1"/>
    <xf numFmtId="0" fontId="74" fillId="16" borderId="63" xfId="0" applyFont="1" applyFill="1" applyBorder="1"/>
    <xf numFmtId="0" fontId="0" fillId="17" borderId="64" xfId="0" applyFill="1" applyBorder="1"/>
    <xf numFmtId="171" fontId="8" fillId="0" borderId="0" xfId="0" applyNumberFormat="1" applyFont="1" applyAlignment="1">
      <alignment shrinkToFit="1"/>
    </xf>
    <xf numFmtId="0" fontId="75" fillId="0" borderId="0" xfId="0" applyFont="1" applyAlignment="1">
      <alignment vertical="center"/>
    </xf>
    <xf numFmtId="0" fontId="100" fillId="0" borderId="84" xfId="66" applyFont="1">
      <alignment wrapText="1"/>
    </xf>
    <xf numFmtId="0" fontId="0" fillId="0" borderId="1" xfId="0" applyBorder="1" applyAlignment="1">
      <alignment horizontal="left"/>
    </xf>
    <xf numFmtId="0" fontId="0" fillId="3" borderId="1" xfId="0" applyFill="1" applyBorder="1" applyAlignment="1" applyProtection="1">
      <alignment horizontal="center"/>
      <protection locked="0"/>
    </xf>
    <xf numFmtId="0" fontId="15" fillId="0" borderId="1" xfId="0" applyFont="1" applyBorder="1" applyAlignment="1">
      <alignment horizontal="left" vertical="top" wrapText="1"/>
    </xf>
    <xf numFmtId="0" fontId="15" fillId="0" borderId="1" xfId="0" applyFont="1" applyBorder="1" applyAlignment="1">
      <alignment horizontal="left" wrapText="1"/>
    </xf>
    <xf numFmtId="176" fontId="0" fillId="0" borderId="0" xfId="0" applyNumberFormat="1"/>
    <xf numFmtId="0" fontId="24" fillId="0" borderId="0" xfId="0" applyFont="1" applyAlignment="1">
      <alignment wrapText="1"/>
    </xf>
    <xf numFmtId="0" fontId="102" fillId="0" borderId="0" xfId="0" applyFont="1" applyAlignment="1">
      <alignment wrapText="1"/>
    </xf>
    <xf numFmtId="0" fontId="0" fillId="11" borderId="11" xfId="0" applyFill="1" applyBorder="1" applyProtection="1">
      <protection locked="0"/>
    </xf>
    <xf numFmtId="9" fontId="0" fillId="11" borderId="0" xfId="6" applyFont="1" applyFill="1" applyProtection="1">
      <protection locked="0"/>
    </xf>
    <xf numFmtId="0" fontId="0" fillId="11" borderId="0" xfId="0" applyFill="1" applyProtection="1">
      <protection locked="0"/>
    </xf>
    <xf numFmtId="168" fontId="0" fillId="11" borderId="1" xfId="0" applyNumberFormat="1" applyFill="1" applyBorder="1" applyProtection="1">
      <protection locked="0"/>
    </xf>
    <xf numFmtId="0" fontId="0" fillId="0" borderId="11" xfId="0" applyBorder="1" applyProtection="1">
      <protection locked="0"/>
    </xf>
    <xf numFmtId="14" fontId="15" fillId="0" borderId="1" xfId="0" applyNumberFormat="1" applyFont="1" applyBorder="1" applyAlignment="1">
      <alignment horizontal="center" vertical="top"/>
    </xf>
    <xf numFmtId="0" fontId="15" fillId="0" borderId="1" xfId="0" applyFont="1" applyBorder="1" applyAlignment="1">
      <alignment horizontal="center" vertical="top" wrapText="1"/>
    </xf>
    <xf numFmtId="49" fontId="15" fillId="0" borderId="1" xfId="0" applyNumberFormat="1" applyFont="1" applyBorder="1" applyAlignment="1">
      <alignment horizontal="left" vertical="top" wrapText="1"/>
    </xf>
    <xf numFmtId="49" fontId="74" fillId="16" borderId="62" xfId="0" applyNumberFormat="1" applyFont="1" applyFill="1" applyBorder="1"/>
    <xf numFmtId="0" fontId="13" fillId="0" borderId="0" xfId="0" applyFont="1" applyAlignment="1">
      <alignment vertical="center"/>
    </xf>
    <xf numFmtId="0" fontId="106" fillId="51" borderId="0" xfId="0" applyFont="1" applyFill="1"/>
    <xf numFmtId="0" fontId="107" fillId="0" borderId="10" xfId="0" applyFont="1" applyBorder="1"/>
    <xf numFmtId="0" fontId="0" fillId="17" borderId="60" xfId="0" applyFill="1" applyBorder="1"/>
    <xf numFmtId="0" fontId="8" fillId="4" borderId="0" xfId="0" applyFont="1" applyFill="1"/>
    <xf numFmtId="0" fontId="0" fillId="17" borderId="61" xfId="0" quotePrefix="1" applyFill="1" applyBorder="1"/>
    <xf numFmtId="0" fontId="0" fillId="17" borderId="0" xfId="0" applyFill="1"/>
    <xf numFmtId="0" fontId="74" fillId="16" borderId="90" xfId="0" applyFont="1" applyFill="1" applyBorder="1"/>
    <xf numFmtId="0" fontId="8" fillId="0" borderId="0" xfId="0" applyFont="1" applyAlignment="1">
      <alignment vertical="center"/>
    </xf>
    <xf numFmtId="0" fontId="0" fillId="17" borderId="90" xfId="0" quotePrefix="1" applyFill="1" applyBorder="1"/>
    <xf numFmtId="0" fontId="5" fillId="0" borderId="1" xfId="1" applyBorder="1"/>
    <xf numFmtId="0" fontId="50" fillId="0" borderId="0" xfId="0" applyFont="1" applyAlignment="1" applyProtection="1">
      <alignment horizontal="left"/>
      <protection locked="0"/>
    </xf>
    <xf numFmtId="14" fontId="50" fillId="0" borderId="0" xfId="0" applyNumberFormat="1" applyFont="1" applyAlignment="1" applyProtection="1">
      <alignment horizontal="left"/>
      <protection locked="0"/>
    </xf>
    <xf numFmtId="0" fontId="120" fillId="0" borderId="0" xfId="0" applyFont="1" applyAlignment="1">
      <alignment horizontal="right"/>
    </xf>
    <xf numFmtId="3" fontId="0" fillId="0" borderId="0" xfId="0" applyNumberFormat="1"/>
    <xf numFmtId="2" fontId="16" fillId="0" borderId="0" xfId="0" applyNumberFormat="1" applyFont="1"/>
    <xf numFmtId="0" fontId="124" fillId="0" borderId="0" xfId="0" applyFont="1"/>
    <xf numFmtId="0" fontId="114" fillId="0" borderId="0" xfId="0" applyFont="1"/>
    <xf numFmtId="0" fontId="0" fillId="51" borderId="0" xfId="0" applyFill="1"/>
    <xf numFmtId="0" fontId="61" fillId="0" borderId="0" xfId="0" applyFont="1" applyAlignment="1">
      <alignment horizontal="left" vertical="top" wrapText="1"/>
    </xf>
    <xf numFmtId="0" fontId="8" fillId="0" borderId="94" xfId="0" applyFont="1" applyBorder="1"/>
    <xf numFmtId="0" fontId="0" fillId="0" borderId="94" xfId="0" applyBorder="1"/>
    <xf numFmtId="0" fontId="126" fillId="0" borderId="0" xfId="0" applyFont="1"/>
    <xf numFmtId="0" fontId="44" fillId="0" borderId="0" xfId="0" applyFont="1"/>
    <xf numFmtId="0" fontId="128" fillId="0" borderId="0" xfId="0" applyFont="1" applyAlignment="1">
      <alignment vertical="center"/>
    </xf>
    <xf numFmtId="0" fontId="32" fillId="0" borderId="0" xfId="1" applyFont="1" applyAlignment="1">
      <alignment horizontal="left"/>
    </xf>
    <xf numFmtId="0" fontId="0" fillId="0" borderId="107" xfId="0" applyBorder="1"/>
    <xf numFmtId="0" fontId="8" fillId="0" borderId="0" xfId="0" applyFont="1" applyAlignment="1">
      <alignment wrapText="1"/>
    </xf>
    <xf numFmtId="0" fontId="48" fillId="0" borderId="0" xfId="0" applyFont="1" applyAlignment="1">
      <alignment vertical="center" wrapText="1"/>
    </xf>
    <xf numFmtId="0" fontId="44" fillId="0" borderId="0" xfId="0" applyFont="1" applyAlignment="1">
      <alignment vertical="top"/>
    </xf>
    <xf numFmtId="0" fontId="129" fillId="0" borderId="120" xfId="0" applyFont="1" applyBorder="1" applyAlignment="1">
      <alignment horizontal="center" vertical="center" wrapText="1"/>
    </xf>
    <xf numFmtId="0" fontId="129" fillId="0" borderId="121" xfId="0" applyFont="1" applyBorder="1" applyAlignment="1">
      <alignment horizontal="center" vertical="center" wrapText="1"/>
    </xf>
    <xf numFmtId="0" fontId="130" fillId="0" borderId="121" xfId="0" applyFont="1" applyBorder="1" applyAlignment="1">
      <alignment horizontal="center" vertical="center" wrapText="1"/>
    </xf>
    <xf numFmtId="0" fontId="0" fillId="0" borderId="54" xfId="0" applyBorder="1"/>
    <xf numFmtId="0" fontId="131" fillId="4" borderId="122" xfId="1" applyFont="1" applyFill="1" applyBorder="1" applyAlignment="1" applyProtection="1">
      <alignment horizontal="right" vertical="center"/>
      <protection hidden="1"/>
    </xf>
    <xf numFmtId="0" fontId="132" fillId="4" borderId="122" xfId="1" applyFont="1" applyFill="1" applyBorder="1" applyAlignment="1" applyProtection="1">
      <alignment horizontal="left" vertical="center"/>
      <protection hidden="1"/>
    </xf>
    <xf numFmtId="0" fontId="132" fillId="4" borderId="122" xfId="1" applyFont="1" applyFill="1" applyBorder="1" applyAlignment="1" applyProtection="1">
      <alignment horizontal="right" vertical="center"/>
      <protection hidden="1"/>
    </xf>
    <xf numFmtId="167" fontId="133" fillId="0" borderId="0" xfId="0" applyNumberFormat="1" applyFont="1"/>
    <xf numFmtId="9" fontId="133" fillId="0" borderId="0" xfId="0" applyNumberFormat="1" applyFont="1" applyAlignment="1">
      <alignment vertical="center"/>
    </xf>
    <xf numFmtId="0" fontId="130" fillId="0" borderId="120" xfId="0" applyFont="1" applyBorder="1" applyAlignment="1">
      <alignment horizontal="center" vertical="center" wrapText="1"/>
    </xf>
    <xf numFmtId="2" fontId="0" fillId="17" borderId="61" xfId="0" applyNumberFormat="1" applyFill="1" applyBorder="1"/>
    <xf numFmtId="2" fontId="0" fillId="0" borderId="61" xfId="0" applyNumberFormat="1" applyBorder="1"/>
    <xf numFmtId="0" fontId="8" fillId="4" borderId="0" xfId="0" applyFont="1" applyFill="1" applyAlignment="1">
      <alignment vertical="top" wrapText="1"/>
    </xf>
    <xf numFmtId="0" fontId="117" fillId="0" borderId="94" xfId="0" applyFont="1" applyBorder="1" applyAlignment="1">
      <alignment vertical="center"/>
    </xf>
    <xf numFmtId="0" fontId="117" fillId="4" borderId="94" xfId="0" applyFont="1" applyFill="1" applyBorder="1" applyAlignment="1">
      <alignment vertical="center"/>
    </xf>
    <xf numFmtId="0" fontId="139" fillId="0" borderId="0" xfId="0" applyFont="1"/>
    <xf numFmtId="0" fontId="66" fillId="0" borderId="0" xfId="0" applyFont="1"/>
    <xf numFmtId="0" fontId="25" fillId="0" borderId="0" xfId="0" applyFont="1" applyAlignment="1">
      <alignment vertical="center" wrapText="1"/>
    </xf>
    <xf numFmtId="0" fontId="21" fillId="4" borderId="0" xfId="0" applyFont="1" applyFill="1" applyAlignment="1">
      <alignment vertical="center" wrapText="1"/>
    </xf>
    <xf numFmtId="0" fontId="0" fillId="57" borderId="0" xfId="0" applyFill="1"/>
    <xf numFmtId="0" fontId="106" fillId="0" borderId="0" xfId="0" applyFont="1"/>
    <xf numFmtId="0" fontId="141" fillId="0" borderId="0" xfId="0" applyFont="1" applyProtection="1">
      <protection locked="0"/>
    </xf>
    <xf numFmtId="0" fontId="5" fillId="0" borderId="11" xfId="1" applyBorder="1" applyProtection="1">
      <protection locked="0"/>
    </xf>
    <xf numFmtId="0" fontId="143" fillId="0" borderId="0" xfId="0" applyFont="1"/>
    <xf numFmtId="0" fontId="142" fillId="0" borderId="0" xfId="0" applyFont="1"/>
    <xf numFmtId="0" fontId="44" fillId="11" borderId="0" xfId="0" applyFont="1" applyFill="1"/>
    <xf numFmtId="0" fontId="0" fillId="0" borderId="0" xfId="0" applyProtection="1">
      <protection hidden="1"/>
    </xf>
    <xf numFmtId="0" fontId="53" fillId="0" borderId="0" xfId="0" applyFont="1" applyProtection="1">
      <protection hidden="1"/>
    </xf>
    <xf numFmtId="0" fontId="52" fillId="0" borderId="0" xfId="0" applyFont="1" applyAlignment="1" applyProtection="1">
      <alignment vertical="center"/>
      <protection hidden="1"/>
    </xf>
    <xf numFmtId="0" fontId="52" fillId="0" borderId="0" xfId="0" applyFont="1" applyAlignment="1" applyProtection="1">
      <alignment horizontal="center" vertical="center"/>
      <protection hidden="1"/>
    </xf>
    <xf numFmtId="0" fontId="48" fillId="0" borderId="0" xfId="0" applyFont="1" applyAlignment="1" applyProtection="1">
      <alignment horizontal="center" vertical="top" wrapText="1"/>
      <protection hidden="1"/>
    </xf>
    <xf numFmtId="0" fontId="0" fillId="50" borderId="0" xfId="0" applyFill="1" applyProtection="1">
      <protection hidden="1"/>
    </xf>
    <xf numFmtId="0" fontId="139" fillId="50" borderId="0" xfId="0" applyFont="1" applyFill="1" applyProtection="1">
      <protection hidden="1"/>
    </xf>
    <xf numFmtId="0" fontId="139" fillId="50" borderId="0" xfId="0" applyFont="1" applyFill="1" applyAlignment="1" applyProtection="1">
      <alignment horizontal="right"/>
      <protection hidden="1"/>
    </xf>
    <xf numFmtId="0" fontId="139" fillId="50" borderId="0" xfId="0" applyFont="1" applyFill="1" applyAlignment="1" applyProtection="1">
      <alignment horizontal="center"/>
      <protection hidden="1"/>
    </xf>
    <xf numFmtId="0" fontId="52" fillId="0" borderId="33" xfId="0" applyFont="1" applyBorder="1" applyAlignment="1" applyProtection="1">
      <alignment vertical="center"/>
      <protection hidden="1"/>
    </xf>
    <xf numFmtId="0" fontId="0" fillId="60" borderId="60" xfId="0" applyFill="1" applyBorder="1"/>
    <xf numFmtId="0" fontId="0" fillId="11" borderId="60" xfId="0" applyFill="1" applyBorder="1"/>
    <xf numFmtId="0" fontId="104" fillId="0" borderId="0" xfId="0" applyFont="1" applyAlignment="1">
      <alignment vertical="center" wrapText="1"/>
    </xf>
    <xf numFmtId="0" fontId="19" fillId="0" borderId="0" xfId="0" applyFont="1" applyAlignment="1">
      <alignment vertical="center" wrapText="1"/>
    </xf>
    <xf numFmtId="0" fontId="104" fillId="0" borderId="32" xfId="0" applyFont="1" applyBorder="1" applyAlignment="1">
      <alignment vertical="center" wrapText="1"/>
    </xf>
    <xf numFmtId="0" fontId="19" fillId="0" borderId="32" xfId="0" applyFont="1" applyBorder="1" applyAlignment="1">
      <alignment vertical="center" wrapText="1"/>
    </xf>
    <xf numFmtId="0" fontId="48" fillId="0" borderId="0" xfId="0" applyFont="1" applyAlignment="1">
      <alignment vertical="center"/>
    </xf>
    <xf numFmtId="0" fontId="48" fillId="0" borderId="32" xfId="0" applyFont="1" applyBorder="1" applyAlignment="1">
      <alignment vertical="center"/>
    </xf>
    <xf numFmtId="0" fontId="48" fillId="0" borderId="54" xfId="0" applyFont="1" applyBorder="1" applyAlignment="1">
      <alignment vertical="center"/>
    </xf>
    <xf numFmtId="0" fontId="48" fillId="0" borderId="54" xfId="0" applyFont="1" applyBorder="1" applyAlignment="1" applyProtection="1">
      <alignment vertical="center"/>
      <protection hidden="1"/>
    </xf>
    <xf numFmtId="0" fontId="20" fillId="0" borderId="0" xfId="0" applyFont="1"/>
    <xf numFmtId="0" fontId="8" fillId="0" borderId="32" xfId="0" applyFont="1" applyBorder="1"/>
    <xf numFmtId="0" fontId="10" fillId="0" borderId="0" xfId="0" applyFont="1" applyProtection="1">
      <protection hidden="1"/>
    </xf>
    <xf numFmtId="0" fontId="105" fillId="0" borderId="0" xfId="0" applyFont="1" applyAlignment="1">
      <alignment horizontal="center" vertical="center"/>
    </xf>
    <xf numFmtId="0" fontId="144" fillId="0" borderId="0" xfId="0" applyFont="1"/>
    <xf numFmtId="0" fontId="145" fillId="0" borderId="0" xfId="0" applyFont="1"/>
    <xf numFmtId="0" fontId="132" fillId="4" borderId="122" xfId="1" applyFont="1" applyFill="1" applyBorder="1" applyAlignment="1" applyProtection="1">
      <alignment vertical="center" wrapText="1"/>
      <protection hidden="1"/>
    </xf>
    <xf numFmtId="0" fontId="18" fillId="7" borderId="1" xfId="1" applyFont="1" applyFill="1" applyBorder="1" applyProtection="1">
      <protection locked="0"/>
    </xf>
    <xf numFmtId="0" fontId="0" fillId="0" borderId="0" xfId="0" applyAlignment="1">
      <alignment vertical="top"/>
    </xf>
    <xf numFmtId="49" fontId="18" fillId="0" borderId="0" xfId="0" applyNumberFormat="1" applyFont="1"/>
    <xf numFmtId="49" fontId="18" fillId="0" borderId="0" xfId="0" applyNumberFormat="1" applyFont="1" applyAlignment="1">
      <alignment horizontal="left"/>
    </xf>
    <xf numFmtId="0" fontId="18" fillId="0" borderId="0" xfId="0" quotePrefix="1" applyFont="1"/>
    <xf numFmtId="0" fontId="18" fillId="0" borderId="0" xfId="0" applyFont="1" applyAlignment="1">
      <alignment vertical="center"/>
    </xf>
    <xf numFmtId="0" fontId="103" fillId="0" borderId="0" xfId="0" applyFont="1" applyAlignment="1">
      <alignment wrapText="1"/>
    </xf>
    <xf numFmtId="0" fontId="132" fillId="4" borderId="122" xfId="1" applyFont="1" applyFill="1" applyBorder="1" applyAlignment="1" applyProtection="1">
      <alignment vertical="center"/>
      <protection hidden="1"/>
    </xf>
    <xf numFmtId="0" fontId="10" fillId="0" borderId="0" xfId="0" applyFont="1" applyAlignment="1">
      <alignment horizontal="left" vertical="top"/>
    </xf>
    <xf numFmtId="0" fontId="44" fillId="62" borderId="0" xfId="0" applyFont="1" applyFill="1" applyAlignment="1">
      <alignment vertical="top"/>
    </xf>
    <xf numFmtId="0" fontId="44" fillId="58" borderId="0" xfId="0" applyFont="1" applyFill="1" applyAlignment="1">
      <alignment vertical="top"/>
    </xf>
    <xf numFmtId="0" fontId="44" fillId="63" borderId="0" xfId="0" applyFont="1" applyFill="1" applyAlignment="1">
      <alignment vertical="top"/>
    </xf>
    <xf numFmtId="0" fontId="44" fillId="64" borderId="0" xfId="0" applyFont="1" applyFill="1" applyAlignment="1">
      <alignment vertical="top"/>
    </xf>
    <xf numFmtId="0" fontId="44" fillId="65" borderId="0" xfId="0" applyFont="1" applyFill="1" applyAlignment="1">
      <alignment vertical="top"/>
    </xf>
    <xf numFmtId="0" fontId="5" fillId="12" borderId="0" xfId="1" applyFill="1"/>
    <xf numFmtId="0" fontId="0" fillId="0" borderId="1" xfId="0" applyBorder="1" applyAlignment="1">
      <alignment horizontal="center"/>
    </xf>
    <xf numFmtId="0" fontId="105" fillId="0" borderId="0" xfId="0" applyFont="1" applyAlignment="1">
      <alignment vertical="center"/>
    </xf>
    <xf numFmtId="167" fontId="0" fillId="0" borderId="1" xfId="0" applyNumberFormat="1" applyBorder="1" applyAlignment="1">
      <alignment horizontal="center"/>
    </xf>
    <xf numFmtId="9" fontId="0" fillId="0" borderId="1" xfId="6" applyFont="1" applyBorder="1" applyAlignment="1">
      <alignment horizontal="center"/>
    </xf>
    <xf numFmtId="9" fontId="0" fillId="0" borderId="1" xfId="0" applyNumberFormat="1" applyBorder="1" applyAlignment="1">
      <alignment horizontal="center"/>
    </xf>
    <xf numFmtId="0" fontId="53" fillId="0" borderId="1" xfId="0" applyFont="1" applyBorder="1"/>
    <xf numFmtId="0" fontId="25" fillId="0" borderId="0" xfId="0" applyFont="1" applyAlignment="1">
      <alignment horizontal="center" vertical="top" wrapText="1"/>
    </xf>
    <xf numFmtId="0" fontId="139" fillId="0" borderId="12" xfId="0" applyFont="1" applyBorder="1"/>
    <xf numFmtId="0" fontId="152" fillId="0" borderId="107" xfId="0" applyFont="1" applyBorder="1" applyAlignment="1">
      <alignment horizontal="center" vertical="center"/>
    </xf>
    <xf numFmtId="0" fontId="152" fillId="0" borderId="0" xfId="0" applyFont="1" applyAlignment="1">
      <alignment horizontal="center" vertical="center"/>
    </xf>
    <xf numFmtId="0" fontId="154" fillId="0" borderId="0" xfId="88" applyFont="1" applyAlignment="1" applyProtection="1">
      <alignment vertical="center"/>
      <protection hidden="1"/>
    </xf>
    <xf numFmtId="0" fontId="23" fillId="0" borderId="0" xfId="5" applyFont="1" applyAlignment="1" applyProtection="1">
      <alignment horizontal="center" vertical="center" wrapText="1"/>
      <protection hidden="1"/>
    </xf>
    <xf numFmtId="178" fontId="23" fillId="0" borderId="0" xfId="89" applyNumberFormat="1" applyFont="1" applyBorder="1" applyAlignment="1" applyProtection="1">
      <alignment horizontal="center" vertical="center" wrapText="1"/>
      <protection hidden="1"/>
    </xf>
    <xf numFmtId="178" fontId="65" fillId="0" borderId="0" xfId="5" applyNumberFormat="1" applyFont="1" applyAlignment="1" applyProtection="1">
      <alignment horizontal="center" vertical="center" wrapText="1"/>
      <protection hidden="1"/>
    </xf>
    <xf numFmtId="0" fontId="139" fillId="0" borderId="0" xfId="0" applyFont="1" applyProtection="1">
      <protection locked="0"/>
    </xf>
    <xf numFmtId="0" fontId="105" fillId="0" borderId="33" xfId="0" applyFont="1" applyBorder="1" applyAlignment="1">
      <alignment horizontal="center" vertical="center"/>
    </xf>
    <xf numFmtId="0" fontId="157" fillId="0" borderId="0" xfId="0" applyFont="1" applyAlignment="1">
      <alignment horizontal="center" vertical="center"/>
    </xf>
    <xf numFmtId="0" fontId="157" fillId="0" borderId="0" xfId="0" applyFont="1" applyAlignment="1">
      <alignment horizontal="center" vertical="center" wrapText="1"/>
    </xf>
    <xf numFmtId="0" fontId="65" fillId="0" borderId="0" xfId="5" applyFont="1" applyAlignment="1" applyProtection="1">
      <alignment horizontal="center" vertical="center"/>
      <protection hidden="1"/>
    </xf>
    <xf numFmtId="0" fontId="0" fillId="0" borderId="0" xfId="0" applyAlignment="1" applyProtection="1">
      <alignment horizontal="center"/>
      <protection hidden="1"/>
    </xf>
    <xf numFmtId="0" fontId="0" fillId="4" borderId="0" xfId="0" applyFill="1" applyProtection="1">
      <protection hidden="1"/>
    </xf>
    <xf numFmtId="0" fontId="139" fillId="0" borderId="0" xfId="0" applyFont="1" applyProtection="1">
      <protection hidden="1"/>
    </xf>
    <xf numFmtId="0" fontId="104" fillId="0" borderId="0" xfId="0" applyFont="1" applyAlignment="1" applyProtection="1">
      <alignment vertical="center" wrapText="1"/>
      <protection hidden="1"/>
    </xf>
    <xf numFmtId="0" fontId="19" fillId="0" borderId="0" xfId="0" applyFont="1" applyAlignment="1" applyProtection="1">
      <alignment vertical="center" wrapText="1"/>
      <protection hidden="1"/>
    </xf>
    <xf numFmtId="0" fontId="0" fillId="0" borderId="32" xfId="0" applyBorder="1" applyProtection="1">
      <protection hidden="1"/>
    </xf>
    <xf numFmtId="0" fontId="0" fillId="4" borderId="32" xfId="0" applyFill="1" applyBorder="1" applyProtection="1">
      <protection hidden="1"/>
    </xf>
    <xf numFmtId="0" fontId="104" fillId="0" borderId="32" xfId="0" applyFont="1" applyBorder="1" applyAlignment="1" applyProtection="1">
      <alignment vertical="center" wrapText="1"/>
      <protection hidden="1"/>
    </xf>
    <xf numFmtId="0" fontId="19" fillId="0" borderId="32" xfId="0" applyFont="1" applyBorder="1" applyAlignment="1" applyProtection="1">
      <alignment vertical="center" wrapText="1"/>
      <protection hidden="1"/>
    </xf>
    <xf numFmtId="0" fontId="20" fillId="50" borderId="0" xfId="0" applyFont="1" applyFill="1" applyProtection="1">
      <protection hidden="1"/>
    </xf>
    <xf numFmtId="0" fontId="0" fillId="0" borderId="0" xfId="0" applyAlignment="1" applyProtection="1">
      <alignment wrapText="1"/>
      <protection hidden="1"/>
    </xf>
    <xf numFmtId="6" fontId="157" fillId="0" borderId="0" xfId="0" applyNumberFormat="1" applyFont="1" applyAlignment="1">
      <alignment horizontal="center" vertical="center"/>
    </xf>
    <xf numFmtId="0" fontId="47" fillId="0" borderId="0" xfId="5" applyFont="1" applyAlignment="1" applyProtection="1">
      <alignment horizontal="left" vertical="center"/>
      <protection hidden="1"/>
    </xf>
    <xf numFmtId="0" fontId="8" fillId="4" borderId="32" xfId="0" applyFont="1" applyFill="1" applyBorder="1"/>
    <xf numFmtId="0" fontId="43" fillId="0" borderId="0" xfId="5" applyFont="1" applyAlignment="1" applyProtection="1">
      <alignment vertical="center"/>
      <protection hidden="1"/>
    </xf>
    <xf numFmtId="0" fontId="20" fillId="4" borderId="94" xfId="0" applyFont="1" applyFill="1" applyBorder="1"/>
    <xf numFmtId="0" fontId="8" fillId="4" borderId="94" xfId="0" applyFont="1" applyFill="1" applyBorder="1"/>
    <xf numFmtId="0" fontId="159" fillId="0" borderId="0" xfId="5" applyFont="1" applyAlignment="1" applyProtection="1">
      <alignment vertical="center"/>
      <protection hidden="1"/>
    </xf>
    <xf numFmtId="167" fontId="0" fillId="8" borderId="1" xfId="0" applyNumberFormat="1" applyFill="1" applyBorder="1" applyProtection="1">
      <protection locked="0"/>
    </xf>
    <xf numFmtId="167" fontId="0" fillId="0" borderId="0" xfId="0" applyNumberFormat="1" applyProtection="1">
      <protection locked="0"/>
    </xf>
    <xf numFmtId="0" fontId="161" fillId="0" borderId="0" xfId="0" applyFont="1" applyProtection="1">
      <protection locked="0"/>
    </xf>
    <xf numFmtId="0" fontId="0" fillId="0" borderId="0" xfId="0" quotePrefix="1" applyProtection="1">
      <protection locked="0"/>
    </xf>
    <xf numFmtId="0" fontId="0" fillId="0" borderId="4" xfId="0" applyBorder="1" applyProtection="1">
      <protection hidden="1"/>
    </xf>
    <xf numFmtId="0" fontId="120" fillId="4" borderId="123" xfId="0" applyFont="1" applyFill="1" applyBorder="1" applyAlignment="1" applyProtection="1">
      <alignment horizontal="right"/>
      <protection hidden="1"/>
    </xf>
    <xf numFmtId="0" fontId="110" fillId="0" borderId="0" xfId="0" applyFont="1" applyProtection="1">
      <protection hidden="1"/>
    </xf>
    <xf numFmtId="0" fontId="50" fillId="4" borderId="0" xfId="0" applyFont="1" applyFill="1" applyAlignment="1" applyProtection="1">
      <alignment horizontal="left"/>
      <protection hidden="1"/>
    </xf>
    <xf numFmtId="0" fontId="8" fillId="4" borderId="0" xfId="0" applyFont="1" applyFill="1" applyProtection="1">
      <protection hidden="1"/>
    </xf>
    <xf numFmtId="0" fontId="50" fillId="4" borderId="0" xfId="0" applyFont="1" applyFill="1" applyProtection="1">
      <protection hidden="1"/>
    </xf>
    <xf numFmtId="0" fontId="55" fillId="0" borderId="0" xfId="0" applyFont="1" applyAlignment="1" applyProtection="1">
      <alignment horizontal="left"/>
      <protection hidden="1"/>
    </xf>
    <xf numFmtId="0" fontId="50" fillId="0" borderId="0" xfId="0" applyFont="1" applyProtection="1">
      <protection hidden="1"/>
    </xf>
    <xf numFmtId="0" fontId="110" fillId="0" borderId="0" xfId="0" applyFont="1" applyAlignment="1" applyProtection="1">
      <alignment horizontal="left"/>
      <protection hidden="1"/>
    </xf>
    <xf numFmtId="0" fontId="65" fillId="4" borderId="0" xfId="0" applyFont="1" applyFill="1" applyProtection="1">
      <protection hidden="1"/>
    </xf>
    <xf numFmtId="0" fontId="50" fillId="0" borderId="107" xfId="0" applyFont="1" applyBorder="1" applyProtection="1">
      <protection hidden="1"/>
    </xf>
    <xf numFmtId="1" fontId="8" fillId="0" borderId="0" xfId="0" applyNumberFormat="1" applyFont="1" applyAlignment="1" applyProtection="1">
      <alignment horizontal="center"/>
      <protection hidden="1"/>
    </xf>
    <xf numFmtId="0" fontId="123" fillId="0" borderId="0" xfId="0" applyFont="1" applyProtection="1">
      <protection hidden="1"/>
    </xf>
    <xf numFmtId="1" fontId="65" fillId="0" borderId="0" xfId="0" applyNumberFormat="1" applyFont="1" applyAlignment="1" applyProtection="1">
      <alignment horizontal="center"/>
      <protection hidden="1"/>
    </xf>
    <xf numFmtId="0" fontId="50" fillId="0" borderId="4" xfId="0" applyFont="1" applyBorder="1" applyProtection="1">
      <protection hidden="1"/>
    </xf>
    <xf numFmtId="167" fontId="132" fillId="0" borderId="0" xfId="0" applyNumberFormat="1" applyFont="1" applyAlignment="1" applyProtection="1">
      <alignment horizontal="center" vertical="center" wrapText="1"/>
      <protection hidden="1"/>
    </xf>
    <xf numFmtId="0" fontId="47" fillId="0" borderId="107" xfId="0" applyFont="1" applyBorder="1"/>
    <xf numFmtId="0" fontId="47" fillId="0" borderId="0" xfId="0" applyFont="1"/>
    <xf numFmtId="0" fontId="124" fillId="0" borderId="107" xfId="0" applyFont="1" applyBorder="1"/>
    <xf numFmtId="0" fontId="8" fillId="0" borderId="107" xfId="0" applyFont="1" applyBorder="1"/>
    <xf numFmtId="0" fontId="0" fillId="0" borderId="148" xfId="0" applyBorder="1" applyAlignment="1">
      <alignment vertical="center" wrapText="1"/>
    </xf>
    <xf numFmtId="0" fontId="124" fillId="4" borderId="0" xfId="0" applyFont="1" applyFill="1"/>
    <xf numFmtId="0" fontId="0" fillId="0" borderId="0" xfId="0" applyAlignment="1">
      <alignment vertical="center"/>
    </xf>
    <xf numFmtId="0" fontId="50" fillId="0" borderId="0" xfId="0" applyFont="1" applyAlignment="1" applyProtection="1">
      <alignment horizontal="left"/>
      <protection hidden="1"/>
    </xf>
    <xf numFmtId="0" fontId="0" fillId="0" borderId="107" xfId="0" applyBorder="1" applyProtection="1">
      <protection hidden="1"/>
    </xf>
    <xf numFmtId="0" fontId="139" fillId="4" borderId="0" xfId="0" applyFont="1" applyFill="1" applyProtection="1">
      <protection hidden="1"/>
    </xf>
    <xf numFmtId="0" fontId="117" fillId="4" borderId="0" xfId="0" applyFont="1" applyFill="1" applyAlignment="1" applyProtection="1">
      <alignment vertical="center"/>
      <protection hidden="1"/>
    </xf>
    <xf numFmtId="0" fontId="117" fillId="0" borderId="94" xfId="0" applyFont="1" applyBorder="1" applyAlignment="1" applyProtection="1">
      <alignment vertical="center"/>
      <protection hidden="1"/>
    </xf>
    <xf numFmtId="0" fontId="117" fillId="4" borderId="94" xfId="0" applyFont="1" applyFill="1" applyBorder="1" applyAlignment="1" applyProtection="1">
      <alignment vertical="center"/>
      <protection hidden="1"/>
    </xf>
    <xf numFmtId="0" fontId="48" fillId="4" borderId="0" xfId="0" applyFont="1" applyFill="1" applyAlignment="1" applyProtection="1">
      <alignment horizontal="left"/>
      <protection hidden="1"/>
    </xf>
    <xf numFmtId="0" fontId="118" fillId="4" borderId="0" xfId="0" applyFont="1" applyFill="1" applyAlignment="1" applyProtection="1">
      <alignment horizontal="right"/>
      <protection hidden="1"/>
    </xf>
    <xf numFmtId="0" fontId="119" fillId="4" borderId="0" xfId="0" applyFont="1" applyFill="1" applyAlignment="1" applyProtection="1">
      <alignment horizontal="right"/>
      <protection hidden="1"/>
    </xf>
    <xf numFmtId="0" fontId="120" fillId="4" borderId="123" xfId="0" applyFont="1" applyFill="1" applyBorder="1" applyProtection="1">
      <protection hidden="1"/>
    </xf>
    <xf numFmtId="0" fontId="110" fillId="4" borderId="0" xfId="0" applyFont="1" applyFill="1" applyAlignment="1" applyProtection="1">
      <alignment vertical="center"/>
      <protection hidden="1"/>
    </xf>
    <xf numFmtId="0" fontId="8" fillId="4" borderId="0" xfId="0" applyFont="1" applyFill="1" applyAlignment="1" applyProtection="1">
      <alignment horizontal="left"/>
      <protection hidden="1"/>
    </xf>
    <xf numFmtId="0" fontId="110" fillId="11" borderId="0" xfId="0" applyFont="1" applyFill="1" applyAlignment="1" applyProtection="1">
      <alignment vertical="center"/>
      <protection hidden="1"/>
    </xf>
    <xf numFmtId="0" fontId="121" fillId="4" borderId="0" xfId="0" applyFont="1" applyFill="1" applyProtection="1">
      <protection hidden="1"/>
    </xf>
    <xf numFmtId="0" fontId="137" fillId="0" borderId="0" xfId="0" applyFont="1" applyProtection="1">
      <protection hidden="1"/>
    </xf>
    <xf numFmtId="0" fontId="110" fillId="4" borderId="0" xfId="0" applyFont="1" applyFill="1" applyAlignment="1" applyProtection="1">
      <alignment horizontal="left" vertical="center"/>
      <protection hidden="1"/>
    </xf>
    <xf numFmtId="0" fontId="52" fillId="4" borderId="0" xfId="0" applyFont="1" applyFill="1" applyAlignment="1" applyProtection="1">
      <alignment horizontal="left" vertical="center"/>
      <protection hidden="1"/>
    </xf>
    <xf numFmtId="166" fontId="110" fillId="11" borderId="0" xfId="0" applyNumberFormat="1" applyFont="1" applyFill="1" applyAlignment="1" applyProtection="1">
      <alignment vertical="center"/>
      <protection hidden="1"/>
    </xf>
    <xf numFmtId="0" fontId="120" fillId="0" borderId="123" xfId="0" applyFont="1" applyBorder="1" applyProtection="1">
      <protection hidden="1"/>
    </xf>
    <xf numFmtId="0" fontId="139" fillId="4" borderId="94" xfId="0" applyFont="1" applyFill="1" applyBorder="1" applyProtection="1">
      <protection hidden="1"/>
    </xf>
    <xf numFmtId="0" fontId="0" fillId="4" borderId="94" xfId="0" applyFill="1" applyBorder="1" applyProtection="1">
      <protection hidden="1"/>
    </xf>
    <xf numFmtId="0" fontId="48" fillId="0" borderId="0" xfId="0" applyFont="1" applyAlignment="1" applyProtection="1">
      <alignment horizontal="left" indent="2"/>
      <protection hidden="1"/>
    </xf>
    <xf numFmtId="0" fontId="117" fillId="0" borderId="0" xfId="0" applyFont="1" applyAlignment="1" applyProtection="1">
      <alignment vertical="center"/>
      <protection hidden="1"/>
    </xf>
    <xf numFmtId="0" fontId="137" fillId="4" borderId="0" xfId="0" applyFont="1" applyFill="1" applyProtection="1">
      <protection hidden="1"/>
    </xf>
    <xf numFmtId="0" fontId="138" fillId="4" borderId="0" xfId="0" applyFont="1" applyFill="1" applyProtection="1">
      <protection hidden="1"/>
    </xf>
    <xf numFmtId="0" fontId="138" fillId="0" borderId="0" xfId="0" applyFont="1" applyProtection="1">
      <protection hidden="1"/>
    </xf>
    <xf numFmtId="0" fontId="8" fillId="0" borderId="0" xfId="0" applyFont="1" applyAlignment="1" applyProtection="1">
      <alignment horizontal="left"/>
      <protection hidden="1"/>
    </xf>
    <xf numFmtId="0" fontId="0" fillId="0" borderId="0" xfId="0" applyAlignment="1" applyProtection="1">
      <alignment horizontal="left"/>
      <protection hidden="1"/>
    </xf>
    <xf numFmtId="3" fontId="50" fillId="0" borderId="0" xfId="0" applyNumberFormat="1" applyFont="1" applyAlignment="1" applyProtection="1">
      <alignment horizontal="left"/>
      <protection hidden="1"/>
    </xf>
    <xf numFmtId="0" fontId="55" fillId="0" borderId="0" xfId="0" applyFont="1" applyProtection="1">
      <protection hidden="1"/>
    </xf>
    <xf numFmtId="0" fontId="50" fillId="0" borderId="0" xfId="0" applyFont="1" applyAlignment="1" applyProtection="1">
      <alignment wrapText="1"/>
      <protection hidden="1"/>
    </xf>
    <xf numFmtId="0" fontId="7" fillId="0" borderId="0" xfId="0" applyFont="1" applyProtection="1">
      <protection hidden="1"/>
    </xf>
    <xf numFmtId="0" fontId="47" fillId="0" borderId="0" xfId="0" applyFont="1" applyAlignment="1" applyProtection="1">
      <alignment horizontal="right"/>
      <protection hidden="1"/>
    </xf>
    <xf numFmtId="0" fontId="120" fillId="0" borderId="0" xfId="0" applyFont="1" applyAlignment="1" applyProtection="1">
      <alignment horizontal="right"/>
      <protection hidden="1"/>
    </xf>
    <xf numFmtId="0" fontId="110" fillId="0" borderId="0" xfId="0" applyFont="1" applyAlignment="1" applyProtection="1">
      <alignment vertical="center"/>
      <protection hidden="1"/>
    </xf>
    <xf numFmtId="0" fontId="120" fillId="4" borderId="0" xfId="0" applyFont="1" applyFill="1" applyAlignment="1" applyProtection="1">
      <alignment horizontal="right"/>
      <protection hidden="1"/>
    </xf>
    <xf numFmtId="0" fontId="110" fillId="0" borderId="0" xfId="0" applyFont="1" applyAlignment="1" applyProtection="1">
      <alignment horizontal="left" vertical="center"/>
      <protection hidden="1"/>
    </xf>
    <xf numFmtId="0" fontId="8" fillId="0" borderId="0" xfId="0" applyFont="1" applyAlignment="1" applyProtection="1">
      <alignment vertical="center"/>
      <protection hidden="1"/>
    </xf>
    <xf numFmtId="0" fontId="47" fillId="4" borderId="0" xfId="0" applyFont="1" applyFill="1" applyAlignment="1" applyProtection="1">
      <alignment vertical="top" wrapText="1"/>
      <protection hidden="1"/>
    </xf>
    <xf numFmtId="0" fontId="8" fillId="0" borderId="0" xfId="0" applyFont="1" applyAlignment="1" applyProtection="1">
      <alignment horizontal="right" vertical="center"/>
      <protection hidden="1"/>
    </xf>
    <xf numFmtId="0" fontId="47" fillId="0" borderId="0" xfId="0" applyFont="1" applyAlignment="1" applyProtection="1">
      <alignment vertical="top" wrapText="1"/>
      <protection hidden="1"/>
    </xf>
    <xf numFmtId="0" fontId="0" fillId="11" borderId="0" xfId="0" applyFill="1" applyProtection="1">
      <protection hidden="1"/>
    </xf>
    <xf numFmtId="0" fontId="57" fillId="0" borderId="0" xfId="0" applyFont="1" applyProtection="1">
      <protection hidden="1"/>
    </xf>
    <xf numFmtId="0" fontId="112" fillId="0" borderId="0" xfId="0" applyFont="1" applyAlignment="1" applyProtection="1">
      <alignment vertical="center"/>
      <protection hidden="1"/>
    </xf>
    <xf numFmtId="0" fontId="50" fillId="0" borderId="0" xfId="0" applyFont="1" applyAlignment="1" applyProtection="1">
      <alignment vertical="top"/>
      <protection hidden="1"/>
    </xf>
    <xf numFmtId="0" fontId="8" fillId="0" borderId="97" xfId="0" applyFont="1" applyBorder="1" applyProtection="1">
      <protection hidden="1"/>
    </xf>
    <xf numFmtId="0" fontId="50" fillId="0" borderId="0" xfId="0" applyFont="1" applyAlignment="1" applyProtection="1">
      <alignment horizontal="right"/>
      <protection hidden="1"/>
    </xf>
    <xf numFmtId="0" fontId="55" fillId="0" borderId="97" xfId="0" applyFont="1" applyBorder="1" applyProtection="1">
      <protection hidden="1"/>
    </xf>
    <xf numFmtId="0" fontId="0" fillId="0" borderId="97" xfId="0" applyBorder="1" applyProtection="1">
      <protection hidden="1"/>
    </xf>
    <xf numFmtId="0" fontId="8" fillId="4" borderId="97" xfId="0" applyFont="1" applyFill="1" applyBorder="1" applyProtection="1">
      <protection hidden="1"/>
    </xf>
    <xf numFmtId="0" fontId="48" fillId="0" borderId="0" xfId="0" applyFont="1" applyAlignment="1" applyProtection="1">
      <alignment horizontal="left" vertical="center"/>
      <protection hidden="1"/>
    </xf>
    <xf numFmtId="170" fontId="50" fillId="0" borderId="0" xfId="0" applyNumberFormat="1" applyFont="1" applyAlignment="1" applyProtection="1">
      <alignment horizontal="left"/>
      <protection hidden="1"/>
    </xf>
    <xf numFmtId="0" fontId="113" fillId="0" borderId="0" xfId="0" applyFont="1" applyAlignment="1" applyProtection="1">
      <alignment vertical="center"/>
      <protection hidden="1"/>
    </xf>
    <xf numFmtId="0" fontId="0" fillId="17" borderId="90" xfId="0" applyFill="1" applyBorder="1"/>
    <xf numFmtId="0" fontId="0" fillId="0" borderId="90" xfId="0" applyBorder="1"/>
    <xf numFmtId="0" fontId="8" fillId="0" borderId="0" xfId="0" applyFont="1" applyAlignment="1" applyProtection="1">
      <alignment horizontal="center"/>
      <protection hidden="1"/>
    </xf>
    <xf numFmtId="0" fontId="7" fillId="0" borderId="0" xfId="0" applyFont="1" applyAlignment="1" applyProtection="1">
      <alignment horizontal="center"/>
      <protection hidden="1"/>
    </xf>
    <xf numFmtId="0" fontId="0" fillId="0" borderId="31" xfId="0" applyBorder="1" applyProtection="1">
      <protection hidden="1"/>
    </xf>
    <xf numFmtId="0" fontId="114" fillId="51" borderId="0" xfId="0" applyFont="1" applyFill="1" applyAlignment="1" applyProtection="1">
      <alignment vertical="center" wrapText="1"/>
      <protection hidden="1"/>
    </xf>
    <xf numFmtId="0" fontId="0" fillId="51" borderId="0" xfId="0" applyFill="1" applyProtection="1">
      <protection hidden="1"/>
    </xf>
    <xf numFmtId="0" fontId="50" fillId="0" borderId="0" xfId="0" applyFont="1" applyAlignment="1" applyProtection="1">
      <alignment horizontal="left" vertical="top" wrapText="1"/>
      <protection hidden="1"/>
    </xf>
    <xf numFmtId="0" fontId="50" fillId="0" borderId="0" xfId="0" applyFont="1" applyAlignment="1" applyProtection="1">
      <alignment vertical="top" wrapText="1"/>
      <protection hidden="1"/>
    </xf>
    <xf numFmtId="0" fontId="48" fillId="0" borderId="0" xfId="0" applyFont="1" applyAlignment="1" applyProtection="1">
      <alignment horizontal="right" vertical="top"/>
      <protection hidden="1"/>
    </xf>
    <xf numFmtId="0" fontId="121" fillId="0" borderId="0" xfId="0" applyFont="1" applyAlignment="1" applyProtection="1">
      <alignment horizontal="left"/>
      <protection hidden="1"/>
    </xf>
    <xf numFmtId="49" fontId="65" fillId="0" borderId="0" xfId="0" applyNumberFormat="1" applyFont="1" applyAlignment="1" applyProtection="1">
      <alignment horizontal="left"/>
      <protection hidden="1"/>
    </xf>
    <xf numFmtId="0" fontId="122" fillId="0" borderId="0" xfId="0" applyFont="1" applyAlignment="1" applyProtection="1">
      <alignment horizontal="left"/>
      <protection hidden="1"/>
    </xf>
    <xf numFmtId="170" fontId="121" fillId="0" borderId="0" xfId="0" applyNumberFormat="1" applyFont="1" applyAlignment="1" applyProtection="1">
      <alignment horizontal="left"/>
      <protection hidden="1"/>
    </xf>
    <xf numFmtId="0" fontId="123" fillId="0" borderId="0" xfId="0" applyFont="1" applyAlignment="1" applyProtection="1">
      <alignment horizontal="left"/>
      <protection hidden="1"/>
    </xf>
    <xf numFmtId="0" fontId="8" fillId="4" borderId="0" xfId="0" applyFont="1" applyFill="1" applyAlignment="1" applyProtection="1">
      <alignment vertical="top" wrapText="1"/>
      <protection hidden="1"/>
    </xf>
    <xf numFmtId="0" fontId="8" fillId="0" borderId="0" xfId="0" applyFont="1" applyAlignment="1" applyProtection="1">
      <alignment vertical="center" wrapText="1"/>
      <protection hidden="1"/>
    </xf>
    <xf numFmtId="14" fontId="50" fillId="0" borderId="0" xfId="0" applyNumberFormat="1" applyFont="1" applyAlignment="1" applyProtection="1">
      <alignment horizontal="left"/>
      <protection hidden="1"/>
    </xf>
    <xf numFmtId="49" fontId="8" fillId="0" borderId="105" xfId="0" applyNumberFormat="1" applyFont="1" applyBorder="1" applyAlignment="1" applyProtection="1">
      <alignment horizontal="center"/>
      <protection locked="0" hidden="1"/>
    </xf>
    <xf numFmtId="0" fontId="110" fillId="0" borderId="0" xfId="0" applyFont="1" applyAlignment="1" applyProtection="1">
      <alignment vertical="top" wrapText="1"/>
      <protection hidden="1"/>
    </xf>
    <xf numFmtId="0" fontId="110" fillId="0" borderId="0" xfId="0" applyFont="1" applyAlignment="1" applyProtection="1">
      <alignment vertical="center" wrapText="1"/>
      <protection hidden="1"/>
    </xf>
    <xf numFmtId="0" fontId="110" fillId="0" borderId="0" xfId="0" applyFont="1" applyAlignment="1" applyProtection="1">
      <alignment wrapText="1"/>
      <protection hidden="1"/>
    </xf>
    <xf numFmtId="0" fontId="110" fillId="0" borderId="0" xfId="0" applyFont="1" applyAlignment="1" applyProtection="1">
      <alignment horizontal="left" wrapText="1"/>
      <protection hidden="1"/>
    </xf>
    <xf numFmtId="0" fontId="8" fillId="0" borderId="0" xfId="0" applyFont="1" applyAlignment="1" applyProtection="1">
      <alignment wrapText="1"/>
      <protection hidden="1"/>
    </xf>
    <xf numFmtId="0" fontId="104" fillId="0" borderId="0" xfId="0" applyFont="1" applyAlignment="1" applyProtection="1">
      <alignment horizontal="left"/>
      <protection hidden="1"/>
    </xf>
    <xf numFmtId="0" fontId="136" fillId="0" borderId="0" xfId="0" applyFont="1" applyProtection="1">
      <protection hidden="1"/>
    </xf>
    <xf numFmtId="0" fontId="8" fillId="0" borderId="107" xfId="0" applyFont="1" applyBorder="1" applyAlignment="1" applyProtection="1">
      <alignment wrapText="1"/>
      <protection hidden="1"/>
    </xf>
    <xf numFmtId="0" fontId="72" fillId="0" borderId="0" xfId="0" applyFont="1" applyAlignment="1" applyProtection="1">
      <alignment vertical="center" wrapText="1"/>
      <protection hidden="1"/>
    </xf>
    <xf numFmtId="0" fontId="67" fillId="0" borderId="0" xfId="0" applyFont="1" applyAlignment="1" applyProtection="1">
      <alignment vertical="top" wrapText="1"/>
      <protection hidden="1"/>
    </xf>
    <xf numFmtId="0" fontId="8" fillId="0" borderId="13" xfId="0" applyFont="1" applyBorder="1" applyProtection="1">
      <protection hidden="1"/>
    </xf>
    <xf numFmtId="0" fontId="8" fillId="0" borderId="10" xfId="0" applyFont="1" applyBorder="1" applyProtection="1">
      <protection hidden="1"/>
    </xf>
    <xf numFmtId="0" fontId="107" fillId="0" borderId="10" xfId="0" applyFont="1" applyBorder="1" applyProtection="1">
      <protection hidden="1"/>
    </xf>
    <xf numFmtId="0" fontId="8" fillId="0" borderId="3" xfId="0" applyFont="1" applyBorder="1" applyProtection="1">
      <protection hidden="1"/>
    </xf>
    <xf numFmtId="0" fontId="0" fillId="0" borderId="12" xfId="0" applyBorder="1" applyProtection="1">
      <protection hidden="1"/>
    </xf>
    <xf numFmtId="0" fontId="35" fillId="61" borderId="0" xfId="0" applyFont="1" applyFill="1" applyAlignment="1" applyProtection="1">
      <alignment vertical="center" wrapText="1"/>
      <protection hidden="1"/>
    </xf>
    <xf numFmtId="0" fontId="10" fillId="0" borderId="0" xfId="0" applyFont="1" applyAlignment="1" applyProtection="1">
      <alignment horizontal="left" vertical="top"/>
      <protection hidden="1"/>
    </xf>
    <xf numFmtId="0" fontId="60" fillId="61" borderId="0" xfId="0" applyFont="1" applyFill="1" applyAlignment="1" applyProtection="1">
      <alignment vertical="top"/>
      <protection hidden="1"/>
    </xf>
    <xf numFmtId="0" fontId="60" fillId="61" borderId="0" xfId="0" applyFont="1" applyFill="1" applyAlignment="1" applyProtection="1">
      <alignment horizontal="left" vertical="top"/>
      <protection hidden="1"/>
    </xf>
    <xf numFmtId="0" fontId="10" fillId="61" borderId="0" xfId="0" applyFont="1" applyFill="1" applyAlignment="1" applyProtection="1">
      <alignment vertical="top"/>
      <protection hidden="1"/>
    </xf>
    <xf numFmtId="0" fontId="152" fillId="0" borderId="107" xfId="0" applyFont="1" applyBorder="1" applyAlignment="1" applyProtection="1">
      <alignment horizontal="center" vertical="center"/>
      <protection hidden="1"/>
    </xf>
    <xf numFmtId="0" fontId="139" fillId="0" borderId="12" xfId="0" applyFont="1" applyBorder="1" applyProtection="1">
      <protection hidden="1"/>
    </xf>
    <xf numFmtId="2" fontId="8" fillId="0" borderId="105" xfId="0" applyNumberFormat="1" applyFont="1" applyBorder="1" applyAlignment="1" applyProtection="1">
      <alignment horizontal="center"/>
      <protection hidden="1"/>
    </xf>
    <xf numFmtId="0" fontId="152" fillId="0" borderId="0" xfId="0" applyFont="1" applyAlignment="1" applyProtection="1">
      <alignment horizontal="center" vertical="center"/>
      <protection hidden="1"/>
    </xf>
    <xf numFmtId="0" fontId="0" fillId="0" borderId="14" xfId="0" applyBorder="1" applyProtection="1">
      <protection hidden="1"/>
    </xf>
    <xf numFmtId="0" fontId="0" fillId="0" borderId="11" xfId="0" applyBorder="1" applyProtection="1">
      <protection hidden="1"/>
    </xf>
    <xf numFmtId="0" fontId="0" fillId="0" borderId="5" xfId="0" applyBorder="1" applyProtection="1">
      <protection hidden="1"/>
    </xf>
    <xf numFmtId="0" fontId="46" fillId="0" borderId="0" xfId="0" applyFont="1" applyAlignment="1" applyProtection="1">
      <alignment vertical="center"/>
      <protection hidden="1"/>
    </xf>
    <xf numFmtId="0" fontId="46" fillId="4" borderId="0" xfId="0" applyFont="1" applyFill="1" applyAlignment="1" applyProtection="1">
      <alignment vertical="center"/>
      <protection hidden="1"/>
    </xf>
    <xf numFmtId="0" fontId="50" fillId="4" borderId="0" xfId="0" applyFont="1" applyFill="1" applyAlignment="1" applyProtection="1">
      <alignment vertical="center" wrapText="1"/>
      <protection hidden="1"/>
    </xf>
    <xf numFmtId="0" fontId="50" fillId="4" borderId="0" xfId="0" applyFont="1" applyFill="1" applyAlignment="1" applyProtection="1">
      <alignment wrapText="1"/>
      <protection hidden="1"/>
    </xf>
    <xf numFmtId="0" fontId="10" fillId="4" borderId="0" xfId="0" applyFont="1" applyFill="1" applyProtection="1">
      <protection hidden="1"/>
    </xf>
    <xf numFmtId="0" fontId="47" fillId="0" borderId="0" xfId="0" applyFont="1" applyProtection="1">
      <protection hidden="1"/>
    </xf>
    <xf numFmtId="0" fontId="105" fillId="0" borderId="0" xfId="0" applyFont="1" applyAlignment="1" applyProtection="1">
      <alignment vertical="center"/>
      <protection hidden="1"/>
    </xf>
    <xf numFmtId="0" fontId="50" fillId="0" borderId="0" xfId="0" applyFont="1" applyAlignment="1" applyProtection="1">
      <alignment horizontal="center" vertical="top" wrapText="1"/>
      <protection hidden="1"/>
    </xf>
    <xf numFmtId="0" fontId="107" fillId="0" borderId="0" xfId="0" applyFont="1" applyAlignment="1" applyProtection="1">
      <alignment horizontal="center" vertical="top" wrapText="1"/>
      <protection hidden="1"/>
    </xf>
    <xf numFmtId="0" fontId="50" fillId="0" borderId="45" xfId="0" applyFont="1" applyBorder="1" applyProtection="1">
      <protection hidden="1"/>
    </xf>
    <xf numFmtId="0" fontId="50" fillId="0" borderId="9" xfId="0" applyFont="1" applyBorder="1" applyProtection="1">
      <protection hidden="1"/>
    </xf>
    <xf numFmtId="0" fontId="48" fillId="0" borderId="45" xfId="0" applyFont="1" applyBorder="1" applyAlignment="1" applyProtection="1">
      <alignment horizontal="left"/>
      <protection hidden="1"/>
    </xf>
    <xf numFmtId="0" fontId="50" fillId="0" borderId="0" xfId="0" applyFont="1" applyAlignment="1" applyProtection="1">
      <alignment horizontal="center"/>
      <protection hidden="1"/>
    </xf>
    <xf numFmtId="2" fontId="50" fillId="0" borderId="0" xfId="0" applyNumberFormat="1" applyFont="1" applyAlignment="1" applyProtection="1">
      <alignment horizontal="right"/>
      <protection hidden="1"/>
    </xf>
    <xf numFmtId="2" fontId="50" fillId="0" borderId="9" xfId="0" applyNumberFormat="1" applyFont="1" applyBorder="1" applyAlignment="1" applyProtection="1">
      <alignment horizontal="right"/>
      <protection hidden="1"/>
    </xf>
    <xf numFmtId="0" fontId="0" fillId="0" borderId="9" xfId="0" applyBorder="1" applyProtection="1">
      <protection hidden="1"/>
    </xf>
    <xf numFmtId="0" fontId="151" fillId="0" borderId="0" xfId="0" applyFont="1" applyAlignment="1" applyProtection="1">
      <alignment horizontal="center"/>
      <protection hidden="1"/>
    </xf>
    <xf numFmtId="0" fontId="151" fillId="0" borderId="9" xfId="0" applyFont="1" applyBorder="1" applyAlignment="1" applyProtection="1">
      <alignment horizontal="center"/>
      <protection hidden="1"/>
    </xf>
    <xf numFmtId="0" fontId="0" fillId="0" borderId="13" xfId="0" applyBorder="1" applyProtection="1">
      <protection hidden="1"/>
    </xf>
    <xf numFmtId="0" fontId="0" fillId="0" borderId="10" xfId="0" applyBorder="1" applyProtection="1">
      <protection hidden="1"/>
    </xf>
    <xf numFmtId="0" fontId="0" fillId="0" borderId="3" xfId="0" applyBorder="1" applyProtection="1">
      <protection hidden="1"/>
    </xf>
    <xf numFmtId="0" fontId="43" fillId="50" borderId="23" xfId="0" applyFont="1" applyFill="1" applyBorder="1" applyAlignment="1" applyProtection="1">
      <alignment vertical="center"/>
      <protection hidden="1"/>
    </xf>
    <xf numFmtId="0" fontId="30" fillId="50" borderId="24" xfId="0" applyFont="1" applyFill="1" applyBorder="1" applyAlignment="1" applyProtection="1">
      <alignment vertical="center"/>
      <protection hidden="1"/>
    </xf>
    <xf numFmtId="0" fontId="31" fillId="50" borderId="24" xfId="0" applyFont="1" applyFill="1" applyBorder="1" applyAlignment="1" applyProtection="1">
      <alignment vertical="center"/>
      <protection hidden="1"/>
    </xf>
    <xf numFmtId="0" fontId="31" fillId="50" borderId="25" xfId="0" applyFont="1" applyFill="1" applyBorder="1" applyAlignment="1" applyProtection="1">
      <alignment vertical="center"/>
      <protection hidden="1"/>
    </xf>
    <xf numFmtId="0" fontId="31" fillId="0" borderId="4" xfId="0" applyFont="1" applyBorder="1" applyAlignment="1" applyProtection="1">
      <alignment vertical="center"/>
      <protection hidden="1"/>
    </xf>
    <xf numFmtId="0" fontId="31" fillId="0" borderId="0" xfId="0" applyFont="1" applyAlignment="1" applyProtection="1">
      <alignment vertical="center"/>
      <protection hidden="1"/>
    </xf>
    <xf numFmtId="0" fontId="43" fillId="50" borderId="26" xfId="0" applyFont="1" applyFill="1" applyBorder="1" applyAlignment="1" applyProtection="1">
      <alignment vertical="center"/>
      <protection hidden="1"/>
    </xf>
    <xf numFmtId="0" fontId="30" fillId="50" borderId="0" xfId="0" applyFont="1" applyFill="1" applyAlignment="1" applyProtection="1">
      <alignment vertical="center"/>
      <protection hidden="1"/>
    </xf>
    <xf numFmtId="0" fontId="31" fillId="50" borderId="0" xfId="0" applyFont="1" applyFill="1" applyAlignment="1" applyProtection="1">
      <alignment vertical="center"/>
      <protection hidden="1"/>
    </xf>
    <xf numFmtId="0" fontId="31" fillId="50" borderId="27" xfId="0" applyFont="1" applyFill="1" applyBorder="1" applyAlignment="1" applyProtection="1">
      <alignment vertical="center"/>
      <protection hidden="1"/>
    </xf>
    <xf numFmtId="0" fontId="43" fillId="50" borderId="28" xfId="0" applyFont="1" applyFill="1" applyBorder="1" applyAlignment="1" applyProtection="1">
      <alignment vertical="center"/>
      <protection hidden="1"/>
    </xf>
    <xf numFmtId="0" fontId="30" fillId="50" borderId="29" xfId="0" applyFont="1" applyFill="1" applyBorder="1" applyAlignment="1" applyProtection="1">
      <alignment vertical="center"/>
      <protection hidden="1"/>
    </xf>
    <xf numFmtId="0" fontId="31" fillId="50" borderId="29" xfId="0" applyFont="1" applyFill="1" applyBorder="1" applyAlignment="1" applyProtection="1">
      <alignment vertical="center"/>
      <protection hidden="1"/>
    </xf>
    <xf numFmtId="0" fontId="31" fillId="50" borderId="30" xfId="0" applyFont="1" applyFill="1" applyBorder="1" applyAlignment="1" applyProtection="1">
      <alignment vertical="center"/>
      <protection hidden="1"/>
    </xf>
    <xf numFmtId="0" fontId="8" fillId="0" borderId="4" xfId="0" applyFont="1" applyBorder="1" applyProtection="1">
      <protection hidden="1"/>
    </xf>
    <xf numFmtId="0" fontId="27" fillId="0" borderId="0" xfId="0" applyFont="1" applyAlignment="1" applyProtection="1">
      <alignment horizontal="left" indent="1"/>
      <protection hidden="1"/>
    </xf>
    <xf numFmtId="0" fontId="27" fillId="0" borderId="0" xfId="0" applyFont="1" applyProtection="1">
      <protection hidden="1"/>
    </xf>
    <xf numFmtId="0" fontId="39" fillId="0" borderId="0" xfId="0" applyFont="1" applyAlignment="1" applyProtection="1">
      <alignment vertical="center"/>
      <protection hidden="1"/>
    </xf>
    <xf numFmtId="0" fontId="11" fillId="0" borderId="20" xfId="0" applyFont="1" applyBorder="1" applyProtection="1">
      <protection hidden="1"/>
    </xf>
    <xf numFmtId="0" fontId="69" fillId="0" borderId="59" xfId="0" applyFont="1" applyBorder="1" applyAlignment="1" applyProtection="1">
      <alignment vertical="center"/>
      <protection hidden="1"/>
    </xf>
    <xf numFmtId="0" fontId="69" fillId="0" borderId="66" xfId="0" applyFont="1" applyBorder="1" applyAlignment="1" applyProtection="1">
      <alignment vertical="center"/>
      <protection hidden="1"/>
    </xf>
    <xf numFmtId="167" fontId="69" fillId="0" borderId="20" xfId="0" applyNumberFormat="1" applyFont="1" applyBorder="1" applyAlignment="1" applyProtection="1">
      <alignment vertical="center"/>
      <protection hidden="1"/>
    </xf>
    <xf numFmtId="167" fontId="69" fillId="0" borderId="59" xfId="0" applyNumberFormat="1" applyFont="1" applyBorder="1" applyAlignment="1" applyProtection="1">
      <alignment vertical="center"/>
      <protection hidden="1"/>
    </xf>
    <xf numFmtId="167" fontId="69" fillId="0" borderId="66" xfId="0" applyNumberFormat="1" applyFont="1" applyBorder="1" applyAlignment="1" applyProtection="1">
      <alignment vertical="center"/>
      <protection hidden="1"/>
    </xf>
    <xf numFmtId="0" fontId="33" fillId="0" borderId="0" xfId="0" applyFont="1" applyAlignment="1" applyProtection="1">
      <alignment vertical="center" wrapText="1"/>
      <protection hidden="1"/>
    </xf>
    <xf numFmtId="167" fontId="35" fillId="0" borderId="0" xfId="0" applyNumberFormat="1" applyFont="1" applyProtection="1">
      <protection hidden="1"/>
    </xf>
    <xf numFmtId="0" fontId="36" fillId="0" borderId="0" xfId="0" applyFont="1" applyAlignment="1" applyProtection="1">
      <alignment vertical="center"/>
      <protection hidden="1"/>
    </xf>
    <xf numFmtId="0" fontId="21" fillId="0" borderId="0" xfId="0" applyFont="1" applyProtection="1">
      <protection hidden="1"/>
    </xf>
    <xf numFmtId="0" fontId="34" fillId="0" borderId="0" xfId="0" applyFont="1" applyAlignment="1" applyProtection="1">
      <alignment vertical="center"/>
      <protection hidden="1"/>
    </xf>
    <xf numFmtId="0" fontId="5" fillId="0" borderId="0" xfId="1" applyProtection="1">
      <protection hidden="1"/>
    </xf>
    <xf numFmtId="2" fontId="0" fillId="0" borderId="0" xfId="0" applyNumberFormat="1" applyProtection="1">
      <protection hidden="1"/>
    </xf>
    <xf numFmtId="171" fontId="0" fillId="11" borderId="0" xfId="0" applyNumberFormat="1" applyFill="1" applyProtection="1">
      <protection hidden="1"/>
    </xf>
    <xf numFmtId="0" fontId="41" fillId="0" borderId="0" xfId="0" applyFont="1" applyProtection="1">
      <protection hidden="1"/>
    </xf>
    <xf numFmtId="0" fontId="41" fillId="0" borderId="0" xfId="0" applyFont="1" applyAlignment="1" applyProtection="1">
      <alignment vertical="center"/>
      <protection hidden="1"/>
    </xf>
    <xf numFmtId="0" fontId="41" fillId="0" borderId="22" xfId="0" applyFont="1" applyBorder="1" applyProtection="1">
      <protection hidden="1"/>
    </xf>
    <xf numFmtId="173" fontId="0" fillId="0" borderId="0" xfId="0" applyNumberFormat="1" applyProtection="1">
      <protection hidden="1"/>
    </xf>
    <xf numFmtId="2" fontId="37" fillId="0" borderId="0" xfId="0" applyNumberFormat="1" applyFont="1" applyAlignment="1" applyProtection="1">
      <alignment vertical="center" wrapText="1"/>
      <protection hidden="1"/>
    </xf>
    <xf numFmtId="175" fontId="37" fillId="0" borderId="0" xfId="0" applyNumberFormat="1" applyFont="1" applyAlignment="1" applyProtection="1">
      <alignment vertical="center" wrapText="1"/>
      <protection hidden="1"/>
    </xf>
    <xf numFmtId="0" fontId="37" fillId="0" borderId="0" xfId="0" applyFont="1" applyAlignment="1" applyProtection="1">
      <alignment vertical="center" wrapText="1"/>
      <protection hidden="1"/>
    </xf>
    <xf numFmtId="0" fontId="37" fillId="0" borderId="0" xfId="0" applyFont="1" applyAlignment="1" applyProtection="1">
      <alignment vertical="center"/>
      <protection hidden="1"/>
    </xf>
    <xf numFmtId="2" fontId="37" fillId="0" borderId="0" xfId="0" applyNumberFormat="1" applyFont="1" applyAlignment="1" applyProtection="1">
      <alignment vertical="center"/>
      <protection hidden="1"/>
    </xf>
    <xf numFmtId="0" fontId="22" fillId="0" borderId="0" xfId="0" applyFont="1" applyAlignment="1" applyProtection="1">
      <alignment horizontal="left"/>
      <protection hidden="1"/>
    </xf>
    <xf numFmtId="0" fontId="22" fillId="0" borderId="0" xfId="0" applyFont="1" applyProtection="1">
      <protection hidden="1"/>
    </xf>
    <xf numFmtId="0" fontId="149" fillId="0" borderId="0" xfId="1" applyFont="1" applyAlignment="1" applyProtection="1">
      <alignment horizontal="left"/>
      <protection hidden="1"/>
    </xf>
    <xf numFmtId="0" fontId="21" fillId="0" borderId="0" xfId="0" applyFont="1" applyAlignment="1" applyProtection="1">
      <alignment horizontal="center"/>
      <protection hidden="1"/>
    </xf>
    <xf numFmtId="0" fontId="25" fillId="0" borderId="0" xfId="0" applyFont="1" applyAlignment="1" applyProtection="1">
      <alignment horizontal="left"/>
      <protection hidden="1"/>
    </xf>
    <xf numFmtId="0" fontId="21" fillId="0" borderId="0" xfId="0" applyFont="1" applyAlignment="1" applyProtection="1">
      <alignment horizontal="center" vertical="center" wrapText="1"/>
      <protection hidden="1"/>
    </xf>
    <xf numFmtId="0" fontId="32" fillId="0" borderId="0" xfId="1" applyFont="1" applyBorder="1" applyAlignment="1" applyProtection="1">
      <alignment horizontal="left"/>
      <protection hidden="1"/>
    </xf>
    <xf numFmtId="0" fontId="32" fillId="0" borderId="0" xfId="1" applyFont="1" applyBorder="1" applyAlignment="1" applyProtection="1">
      <alignment horizontal="center"/>
      <protection hidden="1"/>
    </xf>
    <xf numFmtId="0" fontId="25" fillId="0" borderId="0" xfId="0" applyFont="1" applyAlignment="1" applyProtection="1">
      <alignment horizontal="center" vertical="top" wrapText="1"/>
      <protection hidden="1"/>
    </xf>
    <xf numFmtId="0" fontId="18" fillId="0" borderId="0" xfId="0" applyFont="1" applyProtection="1">
      <protection hidden="1"/>
    </xf>
    <xf numFmtId="0" fontId="42" fillId="0" borderId="0" xfId="0" applyFont="1" applyProtection="1">
      <protection hidden="1"/>
    </xf>
    <xf numFmtId="0" fontId="42" fillId="0" borderId="0" xfId="0" applyFont="1" applyAlignment="1" applyProtection="1">
      <alignment vertical="center"/>
      <protection hidden="1"/>
    </xf>
    <xf numFmtId="0" fontId="10" fillId="0" borderId="0" xfId="0" applyFont="1" applyAlignment="1" applyProtection="1">
      <alignment vertical="top" wrapText="1"/>
      <protection hidden="1"/>
    </xf>
    <xf numFmtId="0" fontId="42" fillId="0" borderId="0" xfId="0" applyFont="1" applyAlignment="1" applyProtection="1">
      <alignment wrapText="1"/>
      <protection hidden="1"/>
    </xf>
    <xf numFmtId="0" fontId="148" fillId="0" borderId="0" xfId="0" applyFont="1" applyAlignment="1" applyProtection="1">
      <alignment vertical="top" wrapText="1"/>
      <protection hidden="1"/>
    </xf>
    <xf numFmtId="0" fontId="63" fillId="0" borderId="11" xfId="2" applyFont="1" applyBorder="1" applyAlignment="1" applyProtection="1">
      <alignment horizontal="left"/>
      <protection hidden="1"/>
    </xf>
    <xf numFmtId="0" fontId="64" fillId="0" borderId="11" xfId="2" applyFont="1" applyBorder="1" applyProtection="1">
      <protection hidden="1"/>
    </xf>
    <xf numFmtId="0" fontId="65" fillId="0" borderId="0" xfId="0" applyFont="1" applyAlignment="1" applyProtection="1">
      <alignment vertical="top" wrapText="1"/>
      <protection hidden="1"/>
    </xf>
    <xf numFmtId="0" fontId="55" fillId="0" borderId="0" xfId="0" applyFont="1"/>
    <xf numFmtId="1" fontId="55" fillId="0" borderId="0" xfId="0" applyNumberFormat="1" applyFont="1"/>
    <xf numFmtId="171" fontId="55" fillId="0" borderId="0" xfId="0" applyNumberFormat="1" applyFont="1"/>
    <xf numFmtId="0" fontId="55" fillId="0" borderId="0" xfId="0" applyFont="1" applyAlignment="1">
      <alignment shrinkToFit="1"/>
    </xf>
    <xf numFmtId="0" fontId="65" fillId="0" borderId="0" xfId="0" applyFont="1" applyAlignment="1">
      <alignment wrapText="1"/>
    </xf>
    <xf numFmtId="0" fontId="50" fillId="11" borderId="0" xfId="0" applyFont="1" applyFill="1" applyProtection="1">
      <protection hidden="1"/>
    </xf>
    <xf numFmtId="166" fontId="50" fillId="11" borderId="0" xfId="0" applyNumberFormat="1" applyFont="1" applyFill="1" applyProtection="1">
      <protection hidden="1"/>
    </xf>
    <xf numFmtId="0" fontId="8" fillId="4" borderId="0" xfId="0" applyFont="1" applyFill="1" applyAlignment="1" applyProtection="1">
      <alignment horizontal="right"/>
      <protection hidden="1"/>
    </xf>
    <xf numFmtId="0" fontId="8" fillId="0" borderId="0" xfId="0" applyFont="1" applyAlignment="1" applyProtection="1">
      <alignment horizontal="right"/>
      <protection hidden="1"/>
    </xf>
    <xf numFmtId="0" fontId="50" fillId="11" borderId="102" xfId="0" applyFont="1" applyFill="1" applyBorder="1" applyProtection="1">
      <protection hidden="1"/>
    </xf>
    <xf numFmtId="166" fontId="50" fillId="11" borderId="102" xfId="0" applyNumberFormat="1" applyFont="1" applyFill="1" applyBorder="1" applyProtection="1">
      <protection hidden="1"/>
    </xf>
    <xf numFmtId="170" fontId="50" fillId="11" borderId="102" xfId="0" applyNumberFormat="1" applyFont="1" applyFill="1" applyBorder="1" applyProtection="1">
      <protection hidden="1"/>
    </xf>
    <xf numFmtId="0" fontId="5" fillId="11" borderId="102" xfId="1" applyFill="1" applyBorder="1" applyAlignment="1" applyProtection="1">
      <protection hidden="1"/>
    </xf>
    <xf numFmtId="0" fontId="50" fillId="0" borderId="47" xfId="0" applyFont="1" applyBorder="1" applyProtection="1">
      <protection hidden="1"/>
    </xf>
    <xf numFmtId="0" fontId="50" fillId="0" borderId="48" xfId="0" applyFont="1" applyBorder="1" applyProtection="1">
      <protection hidden="1"/>
    </xf>
    <xf numFmtId="0" fontId="50" fillId="0" borderId="46" xfId="0" applyFont="1" applyBorder="1" applyProtection="1">
      <protection hidden="1"/>
    </xf>
    <xf numFmtId="0" fontId="158" fillId="0" borderId="0" xfId="5" applyFont="1" applyProtection="1">
      <protection hidden="1"/>
    </xf>
    <xf numFmtId="0" fontId="120" fillId="0" borderId="0" xfId="0" applyFont="1" applyProtection="1">
      <protection hidden="1"/>
    </xf>
    <xf numFmtId="0" fontId="140" fillId="58" borderId="0" xfId="0" applyFont="1" applyFill="1" applyAlignment="1">
      <alignment vertical="top"/>
    </xf>
    <xf numFmtId="49" fontId="50" fillId="0" borderId="0" xfId="0" applyNumberFormat="1" applyFont="1" applyProtection="1">
      <protection hidden="1"/>
    </xf>
    <xf numFmtId="0" fontId="15" fillId="0" borderId="1" xfId="0" quotePrefix="1" applyFont="1" applyBorder="1" applyAlignment="1">
      <alignment horizontal="left" wrapText="1"/>
    </xf>
    <xf numFmtId="0" fontId="8" fillId="0" borderId="105" xfId="0" applyFont="1" applyBorder="1" applyAlignment="1" applyProtection="1">
      <alignment horizontal="center"/>
      <protection locked="0" hidden="1"/>
    </xf>
    <xf numFmtId="0" fontId="140" fillId="62" borderId="0" xfId="0" applyFont="1" applyFill="1" applyAlignment="1">
      <alignment vertical="top"/>
    </xf>
    <xf numFmtId="0" fontId="15" fillId="0" borderId="0" xfId="0" applyFont="1" applyAlignment="1">
      <alignment horizontal="center" wrapText="1"/>
    </xf>
    <xf numFmtId="14" fontId="0" fillId="0" borderId="0" xfId="0" applyNumberFormat="1"/>
    <xf numFmtId="174" fontId="0" fillId="0" borderId="0" xfId="0" applyNumberFormat="1"/>
    <xf numFmtId="0" fontId="15" fillId="0" borderId="1" xfId="0" applyFont="1" applyBorder="1" applyAlignment="1">
      <alignment horizontal="left" vertical="center" wrapText="1"/>
    </xf>
    <xf numFmtId="0" fontId="110" fillId="0" borderId="94" xfId="0" applyFont="1" applyBorder="1" applyAlignment="1" applyProtection="1">
      <alignment vertical="center" wrapText="1"/>
      <protection hidden="1"/>
    </xf>
    <xf numFmtId="0" fontId="47" fillId="0" borderId="0" xfId="0" applyFont="1" applyAlignment="1" applyProtection="1">
      <alignment vertical="center" wrapText="1"/>
      <protection hidden="1"/>
    </xf>
    <xf numFmtId="0" fontId="15" fillId="0" borderId="1" xfId="0" quotePrefix="1" applyFont="1" applyBorder="1" applyAlignment="1">
      <alignment horizontal="left" vertical="top" wrapText="1"/>
    </xf>
    <xf numFmtId="0" fontId="140" fillId="63" borderId="0" xfId="0" applyFont="1" applyFill="1" applyAlignment="1">
      <alignment vertical="top"/>
    </xf>
    <xf numFmtId="0" fontId="152" fillId="0" borderId="0" xfId="0" applyFont="1" applyAlignment="1" applyProtection="1">
      <alignment vertical="center"/>
      <protection hidden="1"/>
    </xf>
    <xf numFmtId="0" fontId="131" fillId="4" borderId="169" xfId="1" applyFont="1" applyFill="1" applyBorder="1" applyAlignment="1" applyProtection="1">
      <alignment horizontal="right" vertical="center"/>
      <protection hidden="1"/>
    </xf>
    <xf numFmtId="0" fontId="132" fillId="4" borderId="169" xfId="1" applyFont="1" applyFill="1" applyBorder="1" applyAlignment="1" applyProtection="1">
      <alignment horizontal="right" vertical="center"/>
      <protection hidden="1"/>
    </xf>
    <xf numFmtId="0" fontId="0" fillId="4" borderId="107" xfId="0" applyFill="1" applyBorder="1"/>
    <xf numFmtId="0" fontId="0" fillId="4" borderId="172" xfId="0" applyFill="1" applyBorder="1"/>
    <xf numFmtId="0" fontId="132" fillId="4" borderId="172" xfId="1" applyFont="1" applyFill="1" applyBorder="1" applyAlignment="1" applyProtection="1">
      <alignment horizontal="right" vertical="center"/>
      <protection hidden="1"/>
    </xf>
    <xf numFmtId="0" fontId="8" fillId="4" borderId="107" xfId="0" applyFont="1" applyFill="1" applyBorder="1"/>
    <xf numFmtId="0" fontId="0" fillId="2" borderId="1" xfId="0" applyFill="1" applyBorder="1"/>
    <xf numFmtId="14" fontId="0" fillId="0" borderId="1" xfId="0" applyNumberFormat="1" applyBorder="1" applyAlignment="1">
      <alignment horizontal="left"/>
    </xf>
    <xf numFmtId="0" fontId="0" fillId="68" borderId="0" xfId="0" applyFill="1"/>
    <xf numFmtId="0" fontId="139" fillId="68" borderId="0" xfId="0" applyFont="1" applyFill="1"/>
    <xf numFmtId="0" fontId="20" fillId="68" borderId="0" xfId="0" applyFont="1" applyFill="1"/>
    <xf numFmtId="0" fontId="62" fillId="68" borderId="0" xfId="0" applyFont="1" applyFill="1" applyAlignment="1">
      <alignment vertical="center"/>
    </xf>
    <xf numFmtId="0" fontId="35" fillId="69" borderId="0" xfId="0" applyFont="1" applyFill="1" applyAlignment="1">
      <alignment vertical="center" wrapText="1"/>
    </xf>
    <xf numFmtId="0" fontId="60" fillId="69" borderId="0" xfId="0" applyFont="1" applyFill="1" applyAlignment="1" applyProtection="1">
      <alignment vertical="top" wrapText="1"/>
      <protection hidden="1"/>
    </xf>
    <xf numFmtId="0" fontId="10" fillId="69" borderId="0" xfId="0" applyFont="1" applyFill="1" applyAlignment="1" applyProtection="1">
      <alignment horizontal="left" vertical="top" wrapText="1"/>
      <protection hidden="1"/>
    </xf>
    <xf numFmtId="0" fontId="60" fillId="69" borderId="0" xfId="0" applyFont="1" applyFill="1" applyAlignment="1">
      <alignment vertical="top"/>
    </xf>
    <xf numFmtId="0" fontId="60" fillId="69" borderId="0" xfId="0" applyFont="1" applyFill="1" applyAlignment="1">
      <alignment horizontal="left" vertical="top"/>
    </xf>
    <xf numFmtId="0" fontId="10" fillId="69" borderId="0" xfId="0" applyFont="1" applyFill="1" applyAlignment="1">
      <alignment horizontal="left" vertical="top"/>
    </xf>
    <xf numFmtId="0" fontId="10" fillId="69" borderId="0" xfId="0" applyFont="1" applyFill="1" applyAlignment="1">
      <alignment vertical="top"/>
    </xf>
    <xf numFmtId="170" fontId="10" fillId="69" borderId="0" xfId="0" applyNumberFormat="1" applyFont="1" applyFill="1" applyAlignment="1">
      <alignment horizontal="left" vertical="top"/>
    </xf>
    <xf numFmtId="170" fontId="10" fillId="69" borderId="0" xfId="0" applyNumberFormat="1" applyFont="1" applyFill="1" applyAlignment="1">
      <alignment vertical="top"/>
    </xf>
    <xf numFmtId="0" fontId="139" fillId="68" borderId="0" xfId="0" applyFont="1" applyFill="1" applyAlignment="1">
      <alignment horizontal="right"/>
    </xf>
    <xf numFmtId="0" fontId="10" fillId="69" borderId="0" xfId="0" applyFont="1" applyFill="1" applyAlignment="1" applyProtection="1">
      <alignment horizontal="left" vertical="top"/>
      <protection hidden="1"/>
    </xf>
    <xf numFmtId="170" fontId="10" fillId="69" borderId="0" xfId="0" applyNumberFormat="1" applyFont="1" applyFill="1" applyAlignment="1" applyProtection="1">
      <alignment horizontal="left" vertical="top"/>
      <protection hidden="1"/>
    </xf>
    <xf numFmtId="0" fontId="165" fillId="4" borderId="0" xfId="0" applyFont="1" applyFill="1"/>
    <xf numFmtId="0" fontId="170" fillId="4" borderId="0" xfId="0" applyFont="1" applyFill="1"/>
    <xf numFmtId="0" fontId="173" fillId="0" borderId="0" xfId="0" applyFont="1"/>
    <xf numFmtId="0" fontId="0" fillId="68" borderId="0" xfId="0" applyFill="1" applyProtection="1">
      <protection hidden="1"/>
    </xf>
    <xf numFmtId="0" fontId="139" fillId="68" borderId="0" xfId="0" applyFont="1" applyFill="1" applyProtection="1">
      <protection hidden="1"/>
    </xf>
    <xf numFmtId="0" fontId="8" fillId="68" borderId="0" xfId="0" applyFont="1" applyFill="1" applyProtection="1">
      <protection hidden="1"/>
    </xf>
    <xf numFmtId="0" fontId="62" fillId="68" borderId="0" xfId="0" applyFont="1" applyFill="1" applyAlignment="1" applyProtection="1">
      <alignment vertical="center"/>
      <protection hidden="1"/>
    </xf>
    <xf numFmtId="0" fontId="20" fillId="68" borderId="0" xfId="0" applyFont="1" applyFill="1" applyProtection="1">
      <protection hidden="1"/>
    </xf>
    <xf numFmtId="0" fontId="35" fillId="69" borderId="0" xfId="0" applyFont="1" applyFill="1" applyAlignment="1" applyProtection="1">
      <alignment vertical="center" wrapText="1"/>
      <protection hidden="1"/>
    </xf>
    <xf numFmtId="170" fontId="10" fillId="69" borderId="0" xfId="0" applyNumberFormat="1" applyFont="1" applyFill="1" applyAlignment="1" applyProtection="1">
      <alignment horizontal="left" vertical="top" wrapText="1"/>
      <protection hidden="1"/>
    </xf>
    <xf numFmtId="0" fontId="60" fillId="69" borderId="0" xfId="0" applyFont="1" applyFill="1" applyAlignment="1" applyProtection="1">
      <alignment vertical="top"/>
      <protection hidden="1"/>
    </xf>
    <xf numFmtId="0" fontId="60" fillId="69" borderId="0" xfId="0" applyFont="1" applyFill="1" applyAlignment="1" applyProtection="1">
      <alignment horizontal="left" vertical="top"/>
      <protection hidden="1"/>
    </xf>
    <xf numFmtId="0" fontId="10" fillId="69" borderId="0" xfId="0" applyFont="1" applyFill="1" applyAlignment="1" applyProtection="1">
      <alignment vertical="top"/>
      <protection hidden="1"/>
    </xf>
    <xf numFmtId="170" fontId="10" fillId="69" borderId="0" xfId="0" applyNumberFormat="1" applyFont="1" applyFill="1" applyAlignment="1" applyProtection="1">
      <alignment vertical="top"/>
      <protection hidden="1"/>
    </xf>
    <xf numFmtId="0" fontId="18" fillId="69" borderId="0" xfId="0" applyFont="1" applyFill="1" applyProtection="1">
      <protection hidden="1"/>
    </xf>
    <xf numFmtId="0" fontId="42" fillId="69" borderId="0" xfId="0" applyFont="1" applyFill="1" applyAlignment="1" applyProtection="1">
      <alignment vertical="center"/>
      <protection hidden="1"/>
    </xf>
    <xf numFmtId="0" fontId="10" fillId="69" borderId="0" xfId="0" applyFont="1" applyFill="1" applyAlignment="1" applyProtection="1">
      <alignment vertical="top" wrapText="1"/>
      <protection hidden="1"/>
    </xf>
    <xf numFmtId="0" fontId="10" fillId="69" borderId="0" xfId="0" applyFont="1" applyFill="1" applyAlignment="1" applyProtection="1">
      <alignment vertical="center" wrapText="1"/>
      <protection hidden="1"/>
    </xf>
    <xf numFmtId="0" fontId="10" fillId="69" borderId="0" xfId="0" applyFont="1" applyFill="1" applyProtection="1">
      <protection hidden="1"/>
    </xf>
    <xf numFmtId="0" fontId="10" fillId="69" borderId="0" xfId="0" applyFont="1" applyFill="1" applyAlignment="1" applyProtection="1">
      <alignment horizontal="right" vertical="top" wrapText="1"/>
      <protection hidden="1"/>
    </xf>
    <xf numFmtId="0" fontId="10" fillId="69" borderId="0" xfId="4" applyFont="1" applyFill="1" applyProtection="1">
      <protection hidden="1"/>
    </xf>
    <xf numFmtId="0" fontId="10" fillId="69" borderId="0" xfId="4" applyFont="1" applyFill="1" applyAlignment="1" applyProtection="1">
      <alignment vertical="center" wrapText="1"/>
      <protection hidden="1"/>
    </xf>
    <xf numFmtId="0" fontId="18" fillId="69" borderId="0" xfId="0" applyFont="1" applyFill="1" applyAlignment="1" applyProtection="1">
      <alignment horizontal="right"/>
      <protection hidden="1"/>
    </xf>
    <xf numFmtId="0" fontId="10" fillId="69" borderId="0" xfId="4" applyFont="1" applyFill="1" applyAlignment="1" applyProtection="1">
      <alignment vertical="center"/>
      <protection hidden="1"/>
    </xf>
    <xf numFmtId="0" fontId="10" fillId="69" borderId="0" xfId="4" applyFont="1" applyFill="1" applyAlignment="1" applyProtection="1">
      <alignment vertical="top" wrapText="1"/>
      <protection hidden="1"/>
    </xf>
    <xf numFmtId="0" fontId="175" fillId="0" borderId="0" xfId="0" applyFont="1"/>
    <xf numFmtId="0" fontId="0" fillId="70" borderId="140" xfId="0" applyFill="1" applyBorder="1"/>
    <xf numFmtId="0" fontId="0" fillId="70" borderId="141" xfId="0" applyFill="1" applyBorder="1"/>
    <xf numFmtId="0" fontId="8" fillId="70" borderId="141" xfId="0" applyFont="1" applyFill="1" applyBorder="1"/>
    <xf numFmtId="0" fontId="0" fillId="70" borderId="142" xfId="0" applyFill="1" applyBorder="1"/>
    <xf numFmtId="0" fontId="0" fillId="70" borderId="143" xfId="0" applyFill="1" applyBorder="1"/>
    <xf numFmtId="0" fontId="176" fillId="70" borderId="0" xfId="0" applyFont="1" applyFill="1"/>
    <xf numFmtId="0" fontId="142" fillId="70" borderId="0" xfId="0" applyFont="1" applyFill="1"/>
    <xf numFmtId="0" fontId="142" fillId="70" borderId="144" xfId="0" applyFont="1" applyFill="1" applyBorder="1"/>
    <xf numFmtId="0" fontId="0" fillId="70" borderId="0" xfId="0" applyFill="1"/>
    <xf numFmtId="0" fontId="8" fillId="70" borderId="0" xfId="0" applyFont="1" applyFill="1"/>
    <xf numFmtId="0" fontId="125" fillId="70" borderId="0" xfId="0" applyFont="1" applyFill="1" applyAlignment="1">
      <alignment horizontal="left" vertical="center"/>
    </xf>
    <xf numFmtId="0" fontId="0" fillId="70" borderId="144" xfId="0" applyFill="1" applyBorder="1"/>
    <xf numFmtId="0" fontId="8" fillId="70" borderId="0" xfId="0" applyFont="1" applyFill="1" applyAlignment="1">
      <alignment wrapText="1"/>
    </xf>
    <xf numFmtId="0" fontId="0" fillId="70" borderId="145" xfId="0" applyFill="1" applyBorder="1"/>
    <xf numFmtId="0" fontId="0" fillId="70" borderId="146" xfId="0" applyFill="1" applyBorder="1"/>
    <xf numFmtId="0" fontId="0" fillId="70" borderId="147" xfId="0" applyFill="1" applyBorder="1"/>
    <xf numFmtId="0" fontId="177" fillId="0" borderId="0" xfId="0" applyFont="1"/>
    <xf numFmtId="0" fontId="170" fillId="0" borderId="0" xfId="0" applyFont="1"/>
    <xf numFmtId="0" fontId="177" fillId="4" borderId="0" xfId="0" applyFont="1" applyFill="1"/>
    <xf numFmtId="0" fontId="54" fillId="70" borderId="42" xfId="0" applyFont="1" applyFill="1" applyBorder="1" applyProtection="1">
      <protection hidden="1"/>
    </xf>
    <xf numFmtId="0" fontId="54" fillId="70" borderId="43" xfId="0" applyFont="1" applyFill="1" applyBorder="1" applyProtection="1">
      <protection hidden="1"/>
    </xf>
    <xf numFmtId="0" fontId="163" fillId="0" borderId="0" xfId="0" applyFont="1" applyAlignment="1" applyProtection="1">
      <alignment horizontal="right" vertical="top"/>
      <protection hidden="1"/>
    </xf>
    <xf numFmtId="0" fontId="163" fillId="4" borderId="169" xfId="1" applyFont="1" applyFill="1" applyBorder="1" applyAlignment="1" applyProtection="1">
      <alignment horizontal="right" vertical="center"/>
      <protection hidden="1"/>
    </xf>
    <xf numFmtId="0" fontId="162" fillId="4" borderId="169" xfId="1" applyFont="1" applyFill="1" applyBorder="1" applyAlignment="1" applyProtection="1">
      <alignment horizontal="left" vertical="center"/>
      <protection hidden="1"/>
    </xf>
    <xf numFmtId="0" fontId="8" fillId="68" borderId="0" xfId="0" applyFont="1" applyFill="1"/>
    <xf numFmtId="0" fontId="55" fillId="68" borderId="0" xfId="0" applyFont="1" applyFill="1"/>
    <xf numFmtId="0" fontId="18" fillId="70" borderId="0" xfId="0" applyFont="1" applyFill="1" applyProtection="1">
      <protection hidden="1"/>
    </xf>
    <xf numFmtId="0" fontId="42" fillId="70" borderId="0" xfId="0" applyFont="1" applyFill="1" applyAlignment="1" applyProtection="1">
      <alignment vertical="center"/>
      <protection hidden="1"/>
    </xf>
    <xf numFmtId="0" fontId="35" fillId="70" borderId="0" xfId="0" applyFont="1" applyFill="1" applyAlignment="1" applyProtection="1">
      <alignment vertical="center" wrapText="1"/>
      <protection hidden="1"/>
    </xf>
    <xf numFmtId="0" fontId="35" fillId="70" borderId="0" xfId="0" applyFont="1" applyFill="1" applyAlignment="1" applyProtection="1">
      <alignment vertical="top" wrapText="1"/>
      <protection hidden="1"/>
    </xf>
    <xf numFmtId="0" fontId="10" fillId="70" borderId="0" xfId="0" applyFont="1" applyFill="1" applyAlignment="1" applyProtection="1">
      <alignment vertical="top" wrapText="1"/>
      <protection hidden="1"/>
    </xf>
    <xf numFmtId="49" fontId="10" fillId="70" borderId="0" xfId="0" applyNumberFormat="1" applyFont="1" applyFill="1" applyAlignment="1" applyProtection="1">
      <alignment horizontal="right" vertical="center"/>
      <protection hidden="1"/>
    </xf>
    <xf numFmtId="0" fontId="10" fillId="70" borderId="0" xfId="0" applyFont="1" applyFill="1" applyAlignment="1" applyProtection="1">
      <alignment vertical="top"/>
      <protection hidden="1"/>
    </xf>
    <xf numFmtId="0" fontId="10" fillId="70" borderId="0" xfId="0" applyFont="1" applyFill="1" applyAlignment="1" applyProtection="1">
      <alignment horizontal="left" vertical="top" wrapText="1"/>
      <protection hidden="1"/>
    </xf>
    <xf numFmtId="49" fontId="10" fillId="70" borderId="0" xfId="0" applyNumberFormat="1" applyFont="1" applyFill="1" applyAlignment="1" applyProtection="1">
      <alignment horizontal="right" vertical="top"/>
      <protection hidden="1"/>
    </xf>
    <xf numFmtId="0" fontId="60" fillId="70" borderId="0" xfId="0" applyFont="1" applyFill="1" applyAlignment="1" applyProtection="1">
      <alignment vertical="center" wrapText="1"/>
      <protection hidden="1"/>
    </xf>
    <xf numFmtId="0" fontId="5" fillId="71" borderId="0" xfId="1" applyFill="1" applyAlignment="1" applyProtection="1">
      <alignment vertical="center"/>
      <protection hidden="1"/>
    </xf>
    <xf numFmtId="0" fontId="181" fillId="0" borderId="0" xfId="5" applyFont="1" applyAlignment="1" applyProtection="1">
      <alignment horizontal="left"/>
      <protection hidden="1"/>
    </xf>
    <xf numFmtId="0" fontId="182" fillId="0" borderId="0" xfId="5" applyFont="1" applyProtection="1">
      <protection hidden="1"/>
    </xf>
    <xf numFmtId="0" fontId="114" fillId="51" borderId="0" xfId="0" applyFont="1" applyFill="1" applyAlignment="1" applyProtection="1">
      <alignment vertical="center"/>
      <protection hidden="1"/>
    </xf>
    <xf numFmtId="0" fontId="184" fillId="0" borderId="0" xfId="0" applyFont="1" applyAlignment="1" applyProtection="1">
      <alignment vertical="top" wrapText="1"/>
      <protection hidden="1"/>
    </xf>
    <xf numFmtId="0" fontId="8" fillId="69" borderId="13" xfId="0" applyFont="1" applyFill="1" applyBorder="1" applyAlignment="1">
      <alignment vertical="center" wrapText="1"/>
    </xf>
    <xf numFmtId="0" fontId="8" fillId="69" borderId="11" xfId="0" applyFont="1" applyFill="1" applyBorder="1" applyAlignment="1">
      <alignment vertical="center" wrapText="1"/>
    </xf>
    <xf numFmtId="0" fontId="8" fillId="69" borderId="5" xfId="0" applyFont="1" applyFill="1" applyBorder="1" applyAlignment="1">
      <alignment vertical="center" wrapText="1"/>
    </xf>
    <xf numFmtId="0" fontId="50" fillId="0" borderId="107" xfId="0" applyFont="1" applyBorder="1"/>
    <xf numFmtId="0" fontId="15" fillId="0" borderId="6" xfId="0" applyFont="1" applyBorder="1" applyAlignment="1">
      <alignment horizontal="left" vertical="top" wrapText="1"/>
    </xf>
    <xf numFmtId="0" fontId="15" fillId="0" borderId="8" xfId="0" applyFont="1" applyBorder="1" applyAlignment="1">
      <alignment horizontal="left" wrapText="1"/>
    </xf>
    <xf numFmtId="14" fontId="0" fillId="0" borderId="0" xfId="0" applyNumberFormat="1" applyProtection="1">
      <protection locked="0"/>
    </xf>
    <xf numFmtId="0" fontId="15" fillId="0" borderId="1" xfId="0" applyFont="1" applyBorder="1" applyAlignment="1">
      <alignment wrapText="1"/>
    </xf>
    <xf numFmtId="0" fontId="0" fillId="59" borderId="0" xfId="0" applyFill="1"/>
    <xf numFmtId="0" fontId="15" fillId="0" borderId="1" xfId="0" applyFont="1" applyBorder="1" applyAlignment="1">
      <alignment vertical="top" wrapText="1"/>
    </xf>
    <xf numFmtId="0" fontId="10" fillId="72" borderId="0" xfId="0" applyFont="1" applyFill="1" applyProtection="1">
      <protection hidden="1"/>
    </xf>
    <xf numFmtId="0" fontId="0" fillId="0" borderId="174" xfId="0" applyBorder="1"/>
    <xf numFmtId="0" fontId="10" fillId="0" borderId="138" xfId="0" applyFont="1" applyBorder="1" applyProtection="1">
      <protection hidden="1"/>
    </xf>
    <xf numFmtId="0" fontId="0" fillId="57" borderId="0" xfId="0" applyFill="1" applyProtection="1">
      <protection locked="0"/>
    </xf>
    <xf numFmtId="0" fontId="20" fillId="4" borderId="94" xfId="0" applyFont="1" applyFill="1" applyBorder="1" applyProtection="1">
      <protection hidden="1"/>
    </xf>
    <xf numFmtId="0" fontId="8" fillId="4" borderId="94" xfId="0" applyFont="1" applyFill="1" applyBorder="1" applyProtection="1">
      <protection hidden="1"/>
    </xf>
    <xf numFmtId="0" fontId="8" fillId="0" borderId="94" xfId="0" applyFont="1" applyBorder="1" applyProtection="1">
      <protection hidden="1"/>
    </xf>
    <xf numFmtId="0" fontId="21" fillId="4" borderId="0" xfId="0" applyFont="1" applyFill="1" applyAlignment="1" applyProtection="1">
      <alignment vertical="center" wrapText="1"/>
      <protection hidden="1"/>
    </xf>
    <xf numFmtId="0" fontId="21" fillId="4" borderId="0" xfId="0" applyFont="1" applyFill="1" applyProtection="1">
      <protection hidden="1"/>
    </xf>
    <xf numFmtId="0" fontId="22" fillId="4" borderId="0" xfId="0" applyFont="1" applyFill="1" applyProtection="1">
      <protection hidden="1"/>
    </xf>
    <xf numFmtId="0" fontId="187" fillId="0" borderId="107" xfId="0" applyFont="1" applyBorder="1"/>
    <xf numFmtId="0" fontId="8" fillId="0" borderId="175" xfId="0" applyFont="1" applyBorder="1"/>
    <xf numFmtId="0" fontId="8" fillId="4" borderId="175" xfId="0" applyFont="1" applyFill="1" applyBorder="1"/>
    <xf numFmtId="0" fontId="104" fillId="0" borderId="175" xfId="0" applyFont="1" applyBorder="1" applyAlignment="1">
      <alignment vertical="center" wrapText="1"/>
    </xf>
    <xf numFmtId="0" fontId="19" fillId="0" borderId="175" xfId="0" applyFont="1" applyBorder="1" applyAlignment="1">
      <alignment vertical="center" wrapText="1"/>
    </xf>
    <xf numFmtId="0" fontId="21" fillId="0" borderId="0" xfId="88" applyFont="1" applyAlignment="1" applyProtection="1">
      <alignment horizontal="left" vertical="center"/>
      <protection hidden="1"/>
    </xf>
    <xf numFmtId="167" fontId="65" fillId="0" borderId="0" xfId="5" applyNumberFormat="1" applyFont="1" applyAlignment="1" applyProtection="1">
      <alignment horizontal="center" vertical="center"/>
      <protection hidden="1"/>
    </xf>
    <xf numFmtId="9" fontId="0" fillId="11" borderId="0" xfId="6" applyFont="1" applyFill="1"/>
    <xf numFmtId="0" fontId="163" fillId="4" borderId="107" xfId="1" applyFont="1" applyFill="1" applyBorder="1" applyAlignment="1" applyProtection="1">
      <alignment horizontal="right" vertical="center"/>
      <protection hidden="1"/>
    </xf>
    <xf numFmtId="0" fontId="0" fillId="0" borderId="175" xfId="0" applyBorder="1"/>
    <xf numFmtId="0" fontId="131" fillId="4" borderId="107" xfId="1" applyFont="1" applyFill="1" applyBorder="1" applyAlignment="1" applyProtection="1">
      <alignment horizontal="right" vertical="center"/>
      <protection hidden="1"/>
    </xf>
    <xf numFmtId="0" fontId="132" fillId="4" borderId="107" xfId="1" applyFont="1" applyFill="1" applyBorder="1" applyAlignment="1" applyProtection="1">
      <alignment horizontal="left" vertical="center"/>
      <protection hidden="1"/>
    </xf>
    <xf numFmtId="0" fontId="132" fillId="4" borderId="107" xfId="1" applyFont="1" applyFill="1" applyBorder="1" applyAlignment="1" applyProtection="1">
      <alignment horizontal="right" vertical="center"/>
      <protection hidden="1"/>
    </xf>
    <xf numFmtId="0" fontId="162" fillId="4" borderId="107" xfId="1" applyFont="1" applyFill="1" applyBorder="1" applyAlignment="1" applyProtection="1">
      <alignment vertical="center"/>
      <protection hidden="1"/>
    </xf>
    <xf numFmtId="0" fontId="132" fillId="4" borderId="107" xfId="1" applyFont="1" applyFill="1" applyBorder="1" applyAlignment="1" applyProtection="1">
      <alignment vertical="center" wrapText="1"/>
      <protection hidden="1"/>
    </xf>
    <xf numFmtId="0" fontId="132" fillId="4" borderId="107" xfId="1" applyFont="1" applyFill="1" applyBorder="1" applyAlignment="1" applyProtection="1">
      <alignment vertical="center"/>
      <protection hidden="1"/>
    </xf>
    <xf numFmtId="0" fontId="162" fillId="4" borderId="107" xfId="1" applyFont="1" applyFill="1" applyBorder="1" applyAlignment="1" applyProtection="1">
      <alignment horizontal="left" vertical="center"/>
      <protection hidden="1"/>
    </xf>
    <xf numFmtId="167" fontId="133" fillId="0" borderId="0" xfId="0" applyNumberFormat="1" applyFont="1" applyProtection="1">
      <protection hidden="1"/>
    </xf>
    <xf numFmtId="9" fontId="133" fillId="0" borderId="0" xfId="0" applyNumberFormat="1" applyFont="1" applyAlignment="1" applyProtection="1">
      <alignment vertical="center"/>
      <protection hidden="1"/>
    </xf>
    <xf numFmtId="0" fontId="48" fillId="0" borderId="0" xfId="0" applyFont="1" applyAlignment="1" applyProtection="1">
      <alignment vertical="center"/>
      <protection hidden="1"/>
    </xf>
    <xf numFmtId="0" fontId="48" fillId="0" borderId="175" xfId="0" applyFont="1" applyBorder="1" applyAlignment="1" applyProtection="1">
      <alignment vertical="center"/>
      <protection hidden="1"/>
    </xf>
    <xf numFmtId="0" fontId="0" fillId="0" borderId="175" xfId="0" applyBorder="1" applyProtection="1">
      <protection hidden="1"/>
    </xf>
    <xf numFmtId="0" fontId="0" fillId="4" borderId="175" xfId="0" applyFill="1" applyBorder="1"/>
    <xf numFmtId="0" fontId="171" fillId="4" borderId="0" xfId="0" applyFont="1" applyFill="1"/>
    <xf numFmtId="0" fontId="166" fillId="4" borderId="0" xfId="0" applyFont="1" applyFill="1" applyAlignment="1">
      <alignment vertical="center" wrapText="1"/>
    </xf>
    <xf numFmtId="0" fontId="165" fillId="4" borderId="175" xfId="0" applyFont="1" applyFill="1" applyBorder="1"/>
    <xf numFmtId="0" fontId="166" fillId="4" borderId="175" xfId="0" applyFont="1" applyFill="1" applyBorder="1" applyAlignment="1">
      <alignment vertical="center" wrapText="1"/>
    </xf>
    <xf numFmtId="0" fontId="131" fillId="4" borderId="172" xfId="1" applyFont="1" applyFill="1" applyBorder="1" applyAlignment="1" applyProtection="1">
      <alignment horizontal="right" vertical="center"/>
      <protection hidden="1"/>
    </xf>
    <xf numFmtId="0" fontId="132" fillId="4" borderId="172" xfId="1" applyFont="1" applyFill="1" applyBorder="1" applyAlignment="1" applyProtection="1">
      <alignment horizontal="left" vertical="center"/>
      <protection hidden="1"/>
    </xf>
    <xf numFmtId="0" fontId="163" fillId="4" borderId="172" xfId="1" applyFont="1" applyFill="1" applyBorder="1" applyAlignment="1" applyProtection="1">
      <alignment horizontal="right" vertical="center"/>
      <protection hidden="1"/>
    </xf>
    <xf numFmtId="0" fontId="162" fillId="4" borderId="172" xfId="1" applyFont="1" applyFill="1" applyBorder="1" applyAlignment="1" applyProtection="1">
      <alignment vertical="center"/>
      <protection hidden="1"/>
    </xf>
    <xf numFmtId="0" fontId="132" fillId="4" borderId="172" xfId="1" applyFont="1" applyFill="1" applyBorder="1" applyAlignment="1" applyProtection="1">
      <alignment vertical="center" wrapText="1"/>
      <protection hidden="1"/>
    </xf>
    <xf numFmtId="0" fontId="162" fillId="4" borderId="172" xfId="1" applyFont="1" applyFill="1" applyBorder="1" applyAlignment="1" applyProtection="1">
      <alignment horizontal="left" vertical="center"/>
      <protection hidden="1"/>
    </xf>
    <xf numFmtId="0" fontId="0" fillId="0" borderId="172" xfId="0" applyBorder="1"/>
    <xf numFmtId="0" fontId="0" fillId="0" borderId="94" xfId="0" applyBorder="1" applyProtection="1">
      <protection hidden="1"/>
    </xf>
    <xf numFmtId="167" fontId="133" fillId="0" borderId="94" xfId="0" applyNumberFormat="1" applyFont="1" applyBorder="1" applyProtection="1">
      <protection hidden="1"/>
    </xf>
    <xf numFmtId="9" fontId="133" fillId="0" borderId="94" xfId="0" applyNumberFormat="1" applyFont="1" applyBorder="1" applyAlignment="1" applyProtection="1">
      <alignment vertical="center"/>
      <protection hidden="1"/>
    </xf>
    <xf numFmtId="0" fontId="104" fillId="0" borderId="175" xfId="0" applyFont="1" applyBorder="1" applyAlignment="1" applyProtection="1">
      <alignment vertical="center" wrapText="1"/>
      <protection hidden="1"/>
    </xf>
    <xf numFmtId="0" fontId="19" fillId="0" borderId="175" xfId="0" applyFont="1" applyBorder="1" applyAlignment="1" applyProtection="1">
      <alignment vertical="center" wrapText="1"/>
      <protection hidden="1"/>
    </xf>
    <xf numFmtId="0" fontId="0" fillId="0" borderId="172" xfId="0" applyBorder="1" applyProtection="1">
      <protection hidden="1"/>
    </xf>
    <xf numFmtId="0" fontId="176" fillId="0" borderId="175" xfId="0" applyFont="1" applyBorder="1"/>
    <xf numFmtId="0" fontId="142" fillId="0" borderId="175" xfId="0" applyFont="1" applyBorder="1"/>
    <xf numFmtId="0" fontId="132" fillId="4" borderId="172" xfId="1" applyFont="1" applyFill="1" applyBorder="1" applyAlignment="1" applyProtection="1">
      <alignment vertical="center"/>
      <protection hidden="1"/>
    </xf>
    <xf numFmtId="0" fontId="0" fillId="4" borderId="175" xfId="0" applyFill="1" applyBorder="1" applyProtection="1">
      <protection hidden="1"/>
    </xf>
    <xf numFmtId="0" fontId="8" fillId="4" borderId="172" xfId="0" applyFont="1" applyFill="1" applyBorder="1"/>
    <xf numFmtId="0" fontId="44" fillId="67" borderId="0" xfId="0" applyFont="1" applyFill="1" applyAlignment="1">
      <alignment vertical="top"/>
    </xf>
    <xf numFmtId="0" fontId="21" fillId="0" borderId="0" xfId="88" applyFont="1" applyAlignment="1" applyProtection="1">
      <alignment vertical="center"/>
      <protection hidden="1"/>
    </xf>
    <xf numFmtId="0" fontId="44" fillId="73" borderId="0" xfId="0" applyFont="1" applyFill="1" applyAlignment="1">
      <alignment vertical="top"/>
    </xf>
    <xf numFmtId="0" fontId="0" fillId="74" borderId="0" xfId="0" applyFill="1" applyAlignment="1">
      <alignment vertical="top"/>
    </xf>
    <xf numFmtId="0" fontId="76" fillId="2" borderId="49" xfId="0" applyFont="1" applyFill="1" applyBorder="1" applyAlignment="1" applyProtection="1">
      <alignment horizontal="center"/>
      <protection hidden="1"/>
    </xf>
    <xf numFmtId="0" fontId="76" fillId="2" borderId="52" xfId="0" applyFont="1" applyFill="1" applyBorder="1" applyAlignment="1" applyProtection="1">
      <alignment horizontal="center"/>
      <protection hidden="1"/>
    </xf>
    <xf numFmtId="0" fontId="76" fillId="2" borderId="134" xfId="0" applyFont="1" applyFill="1" applyBorder="1" applyAlignment="1" applyProtection="1">
      <alignment horizontal="center"/>
      <protection hidden="1"/>
    </xf>
    <xf numFmtId="0" fontId="76" fillId="2" borderId="45" xfId="0" applyFont="1" applyFill="1" applyBorder="1" applyProtection="1">
      <protection hidden="1"/>
    </xf>
    <xf numFmtId="0" fontId="76" fillId="2" borderId="0" xfId="0" applyFont="1" applyFill="1" applyProtection="1">
      <protection hidden="1"/>
    </xf>
    <xf numFmtId="1" fontId="194" fillId="0" borderId="0" xfId="0" applyNumberFormat="1" applyFont="1"/>
    <xf numFmtId="0" fontId="194" fillId="0" borderId="0" xfId="0" applyFont="1"/>
    <xf numFmtId="0" fontId="18" fillId="75" borderId="0" xfId="0" applyFont="1" applyFill="1" applyAlignment="1">
      <alignment vertical="top"/>
    </xf>
    <xf numFmtId="0" fontId="0" fillId="0" borderId="0" xfId="0" applyAlignment="1" applyProtection="1">
      <alignment vertical="top" wrapText="1"/>
      <protection hidden="1"/>
    </xf>
    <xf numFmtId="0" fontId="44" fillId="59" borderId="0" xfId="0" applyFont="1" applyFill="1" applyAlignment="1">
      <alignment vertical="top"/>
    </xf>
    <xf numFmtId="3" fontId="0" fillId="17" borderId="61" xfId="0" applyNumberFormat="1" applyFill="1" applyBorder="1"/>
    <xf numFmtId="2" fontId="74" fillId="16" borderId="63" xfId="0" applyNumberFormat="1" applyFont="1" applyFill="1" applyBorder="1"/>
    <xf numFmtId="0" fontId="195" fillId="70" borderId="0" xfId="0" applyFont="1" applyFill="1" applyProtection="1">
      <protection hidden="1"/>
    </xf>
    <xf numFmtId="167" fontId="0" fillId="4" borderId="1" xfId="0" applyNumberFormat="1" applyFill="1" applyBorder="1" applyProtection="1">
      <protection locked="0"/>
    </xf>
    <xf numFmtId="0" fontId="0" fillId="8" borderId="1" xfId="0" applyFill="1" applyBorder="1" applyProtection="1">
      <protection locked="0"/>
    </xf>
    <xf numFmtId="44" fontId="0" fillId="0" borderId="1" xfId="13" applyFont="1" applyBorder="1" applyProtection="1">
      <protection locked="0"/>
    </xf>
    <xf numFmtId="0" fontId="20" fillId="76" borderId="0" xfId="0" applyFont="1" applyFill="1" applyProtection="1">
      <protection hidden="1"/>
    </xf>
    <xf numFmtId="0" fontId="196" fillId="0" borderId="0" xfId="0" applyFont="1"/>
    <xf numFmtId="0" fontId="197" fillId="0" borderId="0" xfId="0" applyFont="1"/>
    <xf numFmtId="181" fontId="197" fillId="0" borderId="0" xfId="0" applyNumberFormat="1" applyFont="1"/>
    <xf numFmtId="0" fontId="0" fillId="70" borderId="0" xfId="0" applyFill="1" applyAlignment="1">
      <alignment horizontal="left"/>
    </xf>
    <xf numFmtId="0" fontId="0" fillId="70" borderId="0" xfId="0" applyFill="1" applyAlignment="1">
      <alignment horizontal="right"/>
    </xf>
    <xf numFmtId="0" fontId="169" fillId="4" borderId="0" xfId="1" applyFont="1" applyFill="1" applyBorder="1" applyAlignment="1" applyProtection="1">
      <alignment horizontal="center" vertical="center" wrapText="1"/>
      <protection hidden="1"/>
    </xf>
    <xf numFmtId="0" fontId="169" fillId="4" borderId="175" xfId="1" applyFont="1" applyFill="1" applyBorder="1" applyAlignment="1" applyProtection="1">
      <alignment horizontal="center" vertical="center" wrapText="1"/>
      <protection hidden="1"/>
    </xf>
    <xf numFmtId="0" fontId="0" fillId="0" borderId="0" xfId="0" applyAlignment="1">
      <alignment horizontal="center" wrapText="1"/>
    </xf>
    <xf numFmtId="0" fontId="0" fillId="0" borderId="47" xfId="0" applyBorder="1"/>
    <xf numFmtId="0" fontId="44" fillId="77" borderId="0" xfId="0" applyFont="1" applyFill="1" applyAlignment="1">
      <alignment vertical="top"/>
    </xf>
    <xf numFmtId="0" fontId="199" fillId="0" borderId="0" xfId="7" applyFont="1" applyAlignment="1">
      <alignment vertical="center" wrapText="1"/>
    </xf>
    <xf numFmtId="0" fontId="23" fillId="0" borderId="0" xfId="7" applyAlignment="1">
      <alignment horizontal="center"/>
    </xf>
    <xf numFmtId="0" fontId="200" fillId="0" borderId="0" xfId="7" applyFont="1" applyAlignment="1">
      <alignment vertical="center" wrapText="1"/>
    </xf>
    <xf numFmtId="2" fontId="200" fillId="0" borderId="0" xfId="7" applyNumberFormat="1" applyFont="1" applyAlignment="1">
      <alignment vertical="center" wrapText="1"/>
    </xf>
    <xf numFmtId="0" fontId="23" fillId="0" borderId="0" xfId="7"/>
    <xf numFmtId="0" fontId="0" fillId="0" borderId="187" xfId="0" applyBorder="1" applyAlignment="1">
      <alignment vertical="center" wrapText="1"/>
    </xf>
    <xf numFmtId="0" fontId="0" fillId="0" borderId="188" xfId="0" applyBorder="1" applyAlignment="1">
      <alignment vertical="center" wrapText="1"/>
    </xf>
    <xf numFmtId="0" fontId="0" fillId="0" borderId="0" xfId="0" applyAlignment="1">
      <alignment vertical="center" wrapText="1"/>
    </xf>
    <xf numFmtId="3" fontId="10" fillId="70" borderId="17" xfId="0" applyNumberFormat="1" applyFont="1" applyFill="1" applyBorder="1" applyAlignment="1">
      <alignment horizontal="left" vertical="top"/>
    </xf>
    <xf numFmtId="0" fontId="10" fillId="70" borderId="21" xfId="0" applyFont="1" applyFill="1" applyBorder="1" applyAlignment="1">
      <alignment horizontal="left"/>
    </xf>
    <xf numFmtId="0" fontId="10" fillId="70" borderId="65" xfId="0" applyFont="1" applyFill="1" applyBorder="1" applyAlignment="1">
      <alignment horizontal="left"/>
    </xf>
    <xf numFmtId="0" fontId="10" fillId="70" borderId="67" xfId="0" applyFont="1" applyFill="1" applyBorder="1" applyAlignment="1">
      <alignment horizontal="left"/>
    </xf>
    <xf numFmtId="3" fontId="10" fillId="70" borderId="18" xfId="0" applyNumberFormat="1" applyFont="1" applyFill="1" applyBorder="1" applyAlignment="1">
      <alignment horizontal="left" vertical="top"/>
    </xf>
    <xf numFmtId="0" fontId="10" fillId="70" borderId="17" xfId="0" applyFont="1" applyFill="1" applyBorder="1" applyAlignment="1" applyProtection="1">
      <alignment horizontal="left"/>
      <protection hidden="1"/>
    </xf>
    <xf numFmtId="0" fontId="10" fillId="70" borderId="18" xfId="0" applyFont="1" applyFill="1" applyBorder="1" applyAlignment="1" applyProtection="1">
      <alignment horizontal="left"/>
      <protection hidden="1"/>
    </xf>
    <xf numFmtId="0" fontId="10" fillId="70" borderId="19" xfId="0" applyFont="1" applyFill="1" applyBorder="1" applyAlignment="1" applyProtection="1">
      <alignment horizontal="left"/>
      <protection hidden="1"/>
    </xf>
    <xf numFmtId="0" fontId="23" fillId="57" borderId="0" xfId="7" applyFill="1"/>
    <xf numFmtId="0" fontId="23" fillId="75" borderId="0" xfId="7" applyFill="1"/>
    <xf numFmtId="0" fontId="0" fillId="75" borderId="0" xfId="0" applyFill="1" applyAlignment="1">
      <alignment vertical="top"/>
    </xf>
    <xf numFmtId="0" fontId="74" fillId="68" borderId="0" xfId="0" applyFont="1" applyFill="1" applyProtection="1">
      <protection locked="0"/>
    </xf>
    <xf numFmtId="0" fontId="20" fillId="68" borderId="0" xfId="0" applyFont="1" applyFill="1" applyAlignment="1">
      <alignment horizontal="right"/>
    </xf>
    <xf numFmtId="0" fontId="20" fillId="68" borderId="0" xfId="0" applyFont="1" applyFill="1" applyAlignment="1">
      <alignment horizontal="center"/>
    </xf>
    <xf numFmtId="0" fontId="20" fillId="76" borderId="0" xfId="0" applyFont="1" applyFill="1" applyAlignment="1" applyProtection="1">
      <alignment horizontal="center"/>
      <protection hidden="1"/>
    </xf>
    <xf numFmtId="0" fontId="44" fillId="77" borderId="0" xfId="0" applyFont="1" applyFill="1" applyAlignment="1">
      <alignment horizontal="center" vertical="top"/>
    </xf>
    <xf numFmtId="0" fontId="8" fillId="0" borderId="110" xfId="0" applyFont="1" applyBorder="1" applyProtection="1">
      <protection hidden="1"/>
    </xf>
    <xf numFmtId="0" fontId="8" fillId="0" borderId="111" xfId="0" applyFont="1" applyBorder="1" applyProtection="1">
      <protection hidden="1"/>
    </xf>
    <xf numFmtId="0" fontId="74" fillId="68" borderId="0" xfId="0" applyFont="1" applyFill="1"/>
    <xf numFmtId="0" fontId="174" fillId="69" borderId="0" xfId="1" applyFont="1" applyFill="1" applyAlignment="1" applyProtection="1">
      <alignment horizontal="center" vertical="center" wrapText="1"/>
      <protection locked="0" hidden="1"/>
    </xf>
    <xf numFmtId="0" fontId="0" fillId="69" borderId="0" xfId="0" applyFill="1"/>
    <xf numFmtId="0" fontId="10" fillId="70" borderId="0" xfId="0" applyFont="1" applyFill="1" applyAlignment="1" applyProtection="1">
      <alignment horizontal="left" vertical="top"/>
      <protection hidden="1"/>
    </xf>
    <xf numFmtId="0" fontId="10" fillId="70" borderId="0" xfId="0" applyFont="1" applyFill="1" applyAlignment="1" applyProtection="1">
      <alignment horizontal="left" wrapText="1"/>
      <protection locked="0" hidden="1"/>
    </xf>
    <xf numFmtId="0" fontId="190" fillId="0" borderId="0" xfId="0" applyFont="1" applyAlignment="1" applyProtection="1">
      <alignment horizontal="left" vertical="top" wrapText="1"/>
      <protection hidden="1"/>
    </xf>
    <xf numFmtId="0" fontId="191" fillId="0" borderId="0" xfId="0" applyFont="1" applyAlignment="1" applyProtection="1">
      <alignment horizontal="left"/>
      <protection hidden="1"/>
    </xf>
    <xf numFmtId="0" fontId="190" fillId="0" borderId="0" xfId="0" applyFont="1" applyAlignment="1" applyProtection="1">
      <alignment horizontal="left"/>
      <protection hidden="1"/>
    </xf>
    <xf numFmtId="0" fontId="192" fillId="0" borderId="0" xfId="0" applyFont="1" applyAlignment="1" applyProtection="1">
      <alignment horizontal="center"/>
      <protection hidden="1"/>
    </xf>
    <xf numFmtId="0" fontId="189" fillId="0" borderId="0" xfId="0" applyFont="1" applyAlignment="1" applyProtection="1">
      <alignment horizontal="center" vertical="center"/>
      <protection hidden="1"/>
    </xf>
    <xf numFmtId="0" fontId="189" fillId="0" borderId="0" xfId="0" applyFont="1" applyAlignment="1" applyProtection="1">
      <alignment horizontal="left" vertical="center"/>
      <protection hidden="1"/>
    </xf>
    <xf numFmtId="0" fontId="189" fillId="0" borderId="0" xfId="0" applyFont="1" applyAlignment="1">
      <alignment horizontal="left" vertical="center"/>
    </xf>
    <xf numFmtId="0" fontId="191" fillId="0" borderId="0" xfId="0" applyFont="1" applyAlignment="1" applyProtection="1">
      <alignment horizontal="left" vertical="top" wrapText="1"/>
      <protection hidden="1"/>
    </xf>
    <xf numFmtId="0" fontId="188" fillId="0" borderId="0" xfId="0" applyFont="1" applyAlignment="1">
      <alignment horizontal="left" vertical="center"/>
    </xf>
    <xf numFmtId="0" fontId="203" fillId="68" borderId="0" xfId="0" applyFont="1" applyFill="1" applyAlignment="1">
      <alignment horizontal="center" wrapText="1"/>
    </xf>
    <xf numFmtId="0" fontId="167" fillId="4" borderId="0" xfId="1" applyFont="1" applyFill="1" applyBorder="1" applyAlignment="1" applyProtection="1">
      <alignment horizontal="center" vertical="center" wrapText="1"/>
      <protection hidden="1"/>
    </xf>
    <xf numFmtId="0" fontId="169" fillId="4" borderId="0" xfId="1" applyFont="1" applyFill="1" applyBorder="1" applyAlignment="1" applyProtection="1">
      <alignment horizontal="center" vertical="center" wrapText="1"/>
      <protection hidden="1"/>
    </xf>
    <xf numFmtId="0" fontId="169" fillId="4" borderId="32" xfId="1" applyFont="1" applyFill="1" applyBorder="1" applyAlignment="1" applyProtection="1">
      <alignment horizontal="center" vertical="center" wrapText="1"/>
      <protection hidden="1"/>
    </xf>
    <xf numFmtId="0" fontId="166" fillId="70" borderId="0" xfId="1" applyFont="1" applyFill="1" applyBorder="1" applyAlignment="1" applyProtection="1">
      <alignment horizontal="center" vertical="center" wrapText="1"/>
      <protection hidden="1"/>
    </xf>
    <xf numFmtId="0" fontId="166" fillId="70" borderId="87" xfId="1" applyFont="1" applyFill="1" applyBorder="1" applyAlignment="1" applyProtection="1">
      <alignment horizontal="center" vertical="center" wrapText="1"/>
      <protection hidden="1"/>
    </xf>
    <xf numFmtId="0" fontId="166" fillId="52" borderId="33" xfId="1" applyFont="1" applyFill="1" applyBorder="1" applyAlignment="1" applyProtection="1">
      <alignment horizontal="center" vertical="center" wrapText="1"/>
      <protection hidden="1"/>
    </xf>
    <xf numFmtId="0" fontId="166" fillId="52" borderId="0" xfId="1" applyFont="1" applyFill="1" applyBorder="1" applyAlignment="1" applyProtection="1">
      <alignment horizontal="center" vertical="center" wrapText="1"/>
      <protection hidden="1"/>
    </xf>
    <xf numFmtId="0" fontId="166" fillId="52" borderId="54" xfId="1" applyFont="1" applyFill="1" applyBorder="1" applyAlignment="1" applyProtection="1">
      <alignment horizontal="center" vertical="center" wrapText="1"/>
      <protection hidden="1"/>
    </xf>
    <xf numFmtId="0" fontId="162" fillId="4" borderId="0" xfId="1" applyFont="1" applyFill="1" applyBorder="1" applyAlignment="1" applyProtection="1">
      <alignment horizontal="center" vertical="center" wrapText="1"/>
      <protection hidden="1"/>
    </xf>
    <xf numFmtId="0" fontId="162" fillId="4" borderId="32" xfId="1" applyFont="1" applyFill="1" applyBorder="1" applyAlignment="1" applyProtection="1">
      <alignment horizontal="center" vertical="center" wrapText="1"/>
      <protection hidden="1"/>
    </xf>
    <xf numFmtId="0" fontId="166" fillId="0" borderId="0" xfId="0" applyFont="1" applyAlignment="1">
      <alignment horizontal="center" vertical="center" wrapText="1"/>
    </xf>
    <xf numFmtId="0" fontId="166" fillId="0" borderId="32" xfId="0" applyFont="1" applyBorder="1" applyAlignment="1">
      <alignment horizontal="center" vertical="center" wrapText="1"/>
    </xf>
    <xf numFmtId="0" fontId="132" fillId="4" borderId="0" xfId="1" applyFont="1" applyFill="1" applyBorder="1" applyAlignment="1" applyProtection="1">
      <alignment horizontal="center" vertical="center" wrapText="1"/>
      <protection hidden="1"/>
    </xf>
    <xf numFmtId="0" fontId="132" fillId="4" borderId="32" xfId="1" applyFont="1" applyFill="1" applyBorder="1" applyAlignment="1" applyProtection="1">
      <alignment horizontal="center" vertical="center" wrapText="1"/>
      <protection hidden="1"/>
    </xf>
    <xf numFmtId="0" fontId="162" fillId="0" borderId="0" xfId="0" applyFont="1" applyAlignment="1">
      <alignment horizontal="right" wrapText="1"/>
    </xf>
    <xf numFmtId="165" fontId="8" fillId="0" borderId="0" xfId="0" applyNumberFormat="1" applyFont="1" applyAlignment="1">
      <alignment horizontal="left"/>
    </xf>
    <xf numFmtId="0" fontId="8" fillId="0" borderId="0" xfId="0" applyFont="1" applyAlignment="1">
      <alignment horizontal="left"/>
    </xf>
    <xf numFmtId="0" fontId="61" fillId="0" borderId="0" xfId="0" applyFont="1" applyAlignment="1">
      <alignment horizontal="left"/>
    </xf>
    <xf numFmtId="0" fontId="193" fillId="70" borderId="0" xfId="0" applyFont="1" applyFill="1" applyAlignment="1" applyProtection="1">
      <alignment horizontal="center" vertical="center" wrapText="1"/>
      <protection hidden="1"/>
    </xf>
    <xf numFmtId="0" fontId="172" fillId="0" borderId="0" xfId="0" applyFont="1" applyAlignment="1" applyProtection="1">
      <alignment horizontal="center"/>
      <protection hidden="1"/>
    </xf>
    <xf numFmtId="0" fontId="172" fillId="0" borderId="0" xfId="0" applyFont="1" applyAlignment="1" applyProtection="1">
      <alignment horizontal="left"/>
      <protection hidden="1"/>
    </xf>
    <xf numFmtId="0" fontId="184" fillId="0" borderId="0" xfId="0" applyFont="1" applyAlignment="1" applyProtection="1">
      <alignment horizontal="left" vertical="center" wrapText="1"/>
      <protection hidden="1"/>
    </xf>
    <xf numFmtId="0" fontId="150" fillId="71" borderId="0" xfId="1" applyFont="1" applyFill="1" applyAlignment="1" applyProtection="1">
      <alignment horizontal="center" vertical="center"/>
      <protection hidden="1"/>
    </xf>
    <xf numFmtId="0" fontId="114" fillId="51" borderId="0" xfId="0" applyFont="1" applyFill="1" applyAlignment="1" applyProtection="1">
      <alignment horizontal="center" vertical="center" wrapText="1"/>
      <protection hidden="1"/>
    </xf>
    <xf numFmtId="0" fontId="50" fillId="0" borderId="1" xfId="0" applyFont="1" applyBorder="1" applyAlignment="1" applyProtection="1">
      <alignment horizontal="center"/>
      <protection locked="0" hidden="1"/>
    </xf>
    <xf numFmtId="0" fontId="120" fillId="0" borderId="0" xfId="0" applyFont="1" applyAlignment="1" applyProtection="1">
      <alignment horizontal="right"/>
      <protection hidden="1"/>
    </xf>
    <xf numFmtId="0" fontId="167" fillId="4" borderId="0" xfId="1" applyFont="1" applyFill="1" applyAlignment="1" applyProtection="1">
      <alignment horizontal="center" vertical="center" wrapText="1"/>
      <protection hidden="1"/>
    </xf>
    <xf numFmtId="0" fontId="169" fillId="4" borderId="0" xfId="1" applyFont="1" applyFill="1" applyAlignment="1" applyProtection="1">
      <alignment horizontal="center" vertical="center" wrapText="1"/>
      <protection hidden="1"/>
    </xf>
    <xf numFmtId="0" fontId="166" fillId="0" borderId="0" xfId="1" applyFont="1" applyFill="1" applyBorder="1" applyAlignment="1" applyProtection="1">
      <alignment horizontal="center" vertical="center" wrapText="1"/>
      <protection hidden="1"/>
    </xf>
    <xf numFmtId="0" fontId="166" fillId="0" borderId="32" xfId="1" applyFont="1" applyFill="1" applyBorder="1" applyAlignment="1" applyProtection="1">
      <alignment horizontal="center" vertical="center" wrapText="1"/>
      <protection hidden="1"/>
    </xf>
    <xf numFmtId="0" fontId="166" fillId="70" borderId="0" xfId="1" applyFont="1" applyFill="1" applyAlignment="1" applyProtection="1">
      <alignment horizontal="center" vertical="center" wrapText="1"/>
      <protection hidden="1"/>
    </xf>
    <xf numFmtId="0" fontId="162" fillId="4" borderId="0" xfId="1" applyFont="1" applyFill="1" applyAlignment="1" applyProtection="1">
      <alignment horizontal="center" vertical="center" wrapText="1"/>
      <protection hidden="1"/>
    </xf>
    <xf numFmtId="0" fontId="166" fillId="0" borderId="0" xfId="0" applyFont="1" applyAlignment="1" applyProtection="1">
      <alignment horizontal="center" vertical="center" wrapText="1"/>
      <protection hidden="1"/>
    </xf>
    <xf numFmtId="0" fontId="166" fillId="0" borderId="32" xfId="0" applyFont="1" applyBorder="1" applyAlignment="1" applyProtection="1">
      <alignment horizontal="center" vertical="center" wrapText="1"/>
      <protection hidden="1"/>
    </xf>
    <xf numFmtId="0" fontId="183" fillId="69" borderId="0" xfId="0" applyFont="1" applyFill="1" applyAlignment="1" applyProtection="1">
      <alignment horizontal="center"/>
      <protection hidden="1"/>
    </xf>
    <xf numFmtId="0" fontId="183" fillId="69" borderId="0" xfId="0" applyFont="1" applyFill="1" applyAlignment="1" applyProtection="1">
      <alignment horizontal="center" vertical="center"/>
      <protection hidden="1"/>
    </xf>
    <xf numFmtId="0" fontId="185" fillId="0" borderId="0" xfId="0" applyFont="1" applyAlignment="1" applyProtection="1">
      <alignment horizontal="left" vertical="center" wrapText="1"/>
      <protection hidden="1"/>
    </xf>
    <xf numFmtId="0" fontId="50" fillId="0" borderId="15" xfId="0" applyFont="1" applyBorder="1" applyAlignment="1" applyProtection="1">
      <alignment horizontal="center"/>
      <protection locked="0" hidden="1"/>
    </xf>
    <xf numFmtId="0" fontId="50" fillId="0" borderId="139" xfId="0" applyFont="1" applyBorder="1" applyAlignment="1" applyProtection="1">
      <alignment horizontal="center"/>
      <protection locked="0" hidden="1"/>
    </xf>
    <xf numFmtId="0" fontId="50" fillId="0" borderId="2" xfId="0" applyFont="1" applyBorder="1" applyAlignment="1" applyProtection="1">
      <alignment horizontal="center"/>
      <protection locked="0" hidden="1"/>
    </xf>
    <xf numFmtId="0" fontId="184" fillId="0" borderId="0" xfId="0" applyFont="1" applyAlignment="1" applyProtection="1">
      <alignment horizontal="center" vertical="center" wrapText="1"/>
      <protection hidden="1"/>
    </xf>
    <xf numFmtId="9" fontId="186" fillId="0" borderId="0" xfId="0" applyNumberFormat="1" applyFont="1" applyAlignment="1" applyProtection="1">
      <alignment horizontal="center" vertical="center"/>
      <protection hidden="1"/>
    </xf>
    <xf numFmtId="0" fontId="172" fillId="0" borderId="33" xfId="0" applyFont="1" applyBorder="1" applyAlignment="1">
      <alignment horizontal="center" vertical="center"/>
    </xf>
    <xf numFmtId="0" fontId="172" fillId="0" borderId="0" xfId="0" applyFont="1" applyAlignment="1">
      <alignment horizontal="center" vertical="center"/>
    </xf>
    <xf numFmtId="0" fontId="25" fillId="0" borderId="0" xfId="0" applyFont="1" applyAlignment="1">
      <alignment horizontal="center" vertical="center" wrapText="1"/>
    </xf>
    <xf numFmtId="0" fontId="66" fillId="0" borderId="0" xfId="0" applyFont="1" applyAlignment="1">
      <alignment horizontal="center"/>
    </xf>
    <xf numFmtId="0" fontId="167" fillId="70" borderId="0" xfId="1" applyFont="1" applyFill="1" applyBorder="1" applyAlignment="1" applyProtection="1">
      <alignment horizontal="center" vertical="center" wrapText="1"/>
      <protection hidden="1"/>
    </xf>
    <xf numFmtId="0" fontId="169" fillId="70" borderId="0" xfId="1" applyFont="1" applyFill="1" applyBorder="1" applyAlignment="1" applyProtection="1">
      <alignment horizontal="center" vertical="center" wrapText="1"/>
      <protection hidden="1"/>
    </xf>
    <xf numFmtId="0" fontId="169" fillId="70" borderId="87" xfId="1" applyFont="1" applyFill="1" applyBorder="1" applyAlignment="1" applyProtection="1">
      <alignment horizontal="center" vertical="center" wrapText="1"/>
      <protection hidden="1"/>
    </xf>
    <xf numFmtId="0" fontId="156" fillId="69" borderId="6" xfId="5" applyFont="1" applyFill="1" applyBorder="1" applyAlignment="1" applyProtection="1">
      <alignment horizontal="center" vertical="center" wrapText="1"/>
      <protection hidden="1"/>
    </xf>
    <xf numFmtId="0" fontId="65" fillId="0" borderId="1" xfId="5" applyFont="1" applyBorder="1" applyAlignment="1" applyProtection="1">
      <alignment horizontal="center" vertical="center"/>
      <protection hidden="1"/>
    </xf>
    <xf numFmtId="0" fontId="179" fillId="4" borderId="0" xfId="1" applyFont="1" applyFill="1" applyBorder="1" applyAlignment="1" applyProtection="1">
      <alignment horizontal="center" vertical="center" wrapText="1"/>
      <protection hidden="1"/>
    </xf>
    <xf numFmtId="0" fontId="180" fillId="4" borderId="0" xfId="1" applyFont="1" applyFill="1" applyBorder="1" applyAlignment="1" applyProtection="1">
      <alignment horizontal="center" vertical="center" wrapText="1"/>
      <protection hidden="1"/>
    </xf>
    <xf numFmtId="0" fontId="180" fillId="4" borderId="32" xfId="1" applyFont="1" applyFill="1" applyBorder="1" applyAlignment="1" applyProtection="1">
      <alignment horizontal="center" vertical="center" wrapText="1"/>
      <protection hidden="1"/>
    </xf>
    <xf numFmtId="0" fontId="65" fillId="0" borderId="1" xfId="5" applyFont="1" applyBorder="1" applyAlignment="1" applyProtection="1">
      <alignment horizontal="center" vertical="center" wrapText="1"/>
      <protection hidden="1"/>
    </xf>
    <xf numFmtId="178" fontId="156" fillId="69" borderId="6" xfId="89" applyNumberFormat="1" applyFont="1" applyFill="1" applyBorder="1" applyAlignment="1" applyProtection="1">
      <alignment horizontal="center" vertical="center" wrapText="1"/>
      <protection hidden="1"/>
    </xf>
    <xf numFmtId="0" fontId="47" fillId="0" borderId="0" xfId="5" applyFont="1" applyAlignment="1" applyProtection="1">
      <alignment horizontal="left" vertical="center" wrapText="1"/>
      <protection hidden="1"/>
    </xf>
    <xf numFmtId="0" fontId="47" fillId="0" borderId="0" xfId="5" applyFont="1" applyAlignment="1" applyProtection="1">
      <alignment horizontal="left" vertical="center"/>
      <protection hidden="1"/>
    </xf>
    <xf numFmtId="0" fontId="47" fillId="0" borderId="0" xfId="5" applyFont="1" applyAlignment="1" applyProtection="1">
      <alignment horizontal="left" vertical="top" wrapText="1"/>
      <protection hidden="1"/>
    </xf>
    <xf numFmtId="0" fontId="166" fillId="68" borderId="139" xfId="5" applyFont="1" applyFill="1" applyBorder="1" applyAlignment="1" applyProtection="1">
      <alignment horizontal="center" vertical="center" wrapText="1"/>
      <protection hidden="1"/>
    </xf>
    <xf numFmtId="0" fontId="166" fillId="68" borderId="2" xfId="5" applyFont="1" applyFill="1" applyBorder="1" applyAlignment="1" applyProtection="1">
      <alignment horizontal="center" vertical="center" wrapText="1"/>
      <protection hidden="1"/>
    </xf>
    <xf numFmtId="0" fontId="166" fillId="70" borderId="0" xfId="0" applyFont="1" applyFill="1" applyAlignment="1">
      <alignment horizontal="center" vertical="center" wrapText="1"/>
    </xf>
    <xf numFmtId="0" fontId="166" fillId="70" borderId="87" xfId="0" applyFont="1" applyFill="1" applyBorder="1" applyAlignment="1">
      <alignment horizontal="center" vertical="center" wrapText="1"/>
    </xf>
    <xf numFmtId="0" fontId="155" fillId="68" borderId="15" xfId="5" applyFont="1" applyFill="1" applyBorder="1" applyAlignment="1" applyProtection="1">
      <alignment horizontal="left" vertical="center" wrapText="1"/>
      <protection hidden="1"/>
    </xf>
    <xf numFmtId="0" fontId="155" fillId="68" borderId="139" xfId="5" applyFont="1" applyFill="1" applyBorder="1" applyAlignment="1" applyProtection="1">
      <alignment horizontal="left" vertical="center" wrapText="1"/>
      <protection hidden="1"/>
    </xf>
    <xf numFmtId="8" fontId="65" fillId="0" borderId="1" xfId="5" applyNumberFormat="1" applyFont="1" applyBorder="1" applyAlignment="1" applyProtection="1">
      <alignment horizontal="center" vertical="center"/>
      <protection hidden="1"/>
    </xf>
    <xf numFmtId="0" fontId="65" fillId="0" borderId="12" xfId="5" applyFont="1" applyBorder="1" applyAlignment="1" applyProtection="1">
      <alignment horizontal="center" vertical="center"/>
      <protection hidden="1"/>
    </xf>
    <xf numFmtId="0" fontId="65" fillId="0" borderId="0" xfId="5" applyFont="1" applyAlignment="1" applyProtection="1">
      <alignment horizontal="center" vertical="center"/>
      <protection hidden="1"/>
    </xf>
    <xf numFmtId="0" fontId="65" fillId="0" borderId="4" xfId="5" applyFont="1" applyBorder="1" applyAlignment="1" applyProtection="1">
      <alignment horizontal="center" vertical="center"/>
      <protection hidden="1"/>
    </xf>
    <xf numFmtId="0" fontId="65" fillId="0" borderId="14" xfId="5" applyFont="1" applyBorder="1" applyAlignment="1" applyProtection="1">
      <alignment horizontal="center" vertical="center"/>
      <protection hidden="1"/>
    </xf>
    <xf numFmtId="0" fontId="65" fillId="0" borderId="11" xfId="5" applyFont="1" applyBorder="1" applyAlignment="1" applyProtection="1">
      <alignment horizontal="center" vertical="center"/>
      <protection hidden="1"/>
    </xf>
    <xf numFmtId="0" fontId="65" fillId="0" borderId="5" xfId="5" applyFont="1" applyBorder="1" applyAlignment="1" applyProtection="1">
      <alignment horizontal="center" vertical="center"/>
      <protection hidden="1"/>
    </xf>
    <xf numFmtId="8" fontId="65" fillId="0" borderId="12" xfId="5" applyNumberFormat="1" applyFont="1" applyBorder="1" applyAlignment="1" applyProtection="1">
      <alignment horizontal="center" vertical="center"/>
      <protection hidden="1"/>
    </xf>
    <xf numFmtId="8" fontId="65" fillId="0" borderId="0" xfId="5" applyNumberFormat="1" applyFont="1" applyAlignment="1" applyProtection="1">
      <alignment horizontal="center" vertical="center"/>
      <protection hidden="1"/>
    </xf>
    <xf numFmtId="8" fontId="65" fillId="0" borderId="4" xfId="5" applyNumberFormat="1" applyFont="1" applyBorder="1" applyAlignment="1" applyProtection="1">
      <alignment horizontal="center" vertical="center"/>
      <protection hidden="1"/>
    </xf>
    <xf numFmtId="8" fontId="65" fillId="0" borderId="14" xfId="5" applyNumberFormat="1" applyFont="1" applyBorder="1" applyAlignment="1" applyProtection="1">
      <alignment horizontal="center" vertical="center"/>
      <protection hidden="1"/>
    </xf>
    <xf numFmtId="8" fontId="65" fillId="0" borderId="11" xfId="5" applyNumberFormat="1" applyFont="1" applyBorder="1" applyAlignment="1" applyProtection="1">
      <alignment horizontal="center" vertical="center"/>
      <protection hidden="1"/>
    </xf>
    <xf numFmtId="8" fontId="65" fillId="0" borderId="5" xfId="5" applyNumberFormat="1" applyFont="1" applyBorder="1" applyAlignment="1" applyProtection="1">
      <alignment horizontal="center" vertical="center"/>
      <protection hidden="1"/>
    </xf>
    <xf numFmtId="0" fontId="50" fillId="0" borderId="102" xfId="0" applyFont="1" applyBorder="1" applyAlignment="1" applyProtection="1">
      <alignment horizontal="center"/>
      <protection locked="0"/>
    </xf>
    <xf numFmtId="0" fontId="50" fillId="0" borderId="103" xfId="0" applyFont="1" applyBorder="1" applyAlignment="1" applyProtection="1">
      <alignment horizontal="center"/>
      <protection locked="0"/>
    </xf>
    <xf numFmtId="0" fontId="50" fillId="0" borderId="104" xfId="0" applyFont="1" applyBorder="1" applyAlignment="1" applyProtection="1">
      <alignment horizontal="center"/>
      <protection locked="0"/>
    </xf>
    <xf numFmtId="0" fontId="137" fillId="0" borderId="0" xfId="0" applyFont="1" applyAlignment="1" applyProtection="1">
      <alignment horizontal="left"/>
      <protection hidden="1"/>
    </xf>
    <xf numFmtId="0" fontId="50" fillId="4" borderId="102" xfId="0" applyFont="1" applyFill="1" applyBorder="1" applyAlignment="1" applyProtection="1">
      <alignment horizontal="left"/>
      <protection locked="0" hidden="1"/>
    </xf>
    <xf numFmtId="0" fontId="50" fillId="4" borderId="103" xfId="0" applyFont="1" applyFill="1" applyBorder="1" applyAlignment="1" applyProtection="1">
      <alignment horizontal="left"/>
      <protection locked="0" hidden="1"/>
    </xf>
    <xf numFmtId="0" fontId="50" fillId="4" borderId="104" xfId="0" applyFont="1" applyFill="1" applyBorder="1" applyAlignment="1" applyProtection="1">
      <alignment horizontal="left"/>
      <protection locked="0" hidden="1"/>
    </xf>
    <xf numFmtId="49" fontId="50" fillId="4" borderId="102" xfId="0" applyNumberFormat="1" applyFont="1" applyFill="1" applyBorder="1" applyAlignment="1" applyProtection="1">
      <alignment horizontal="left"/>
      <protection locked="0"/>
    </xf>
    <xf numFmtId="49" fontId="50" fillId="4" borderId="103" xfId="0" applyNumberFormat="1" applyFont="1" applyFill="1" applyBorder="1" applyAlignment="1" applyProtection="1">
      <alignment horizontal="left"/>
      <protection locked="0"/>
    </xf>
    <xf numFmtId="49" fontId="50" fillId="4" borderId="104" xfId="0" applyNumberFormat="1" applyFont="1" applyFill="1" applyBorder="1" applyAlignment="1" applyProtection="1">
      <alignment horizontal="left"/>
      <protection locked="0"/>
    </xf>
    <xf numFmtId="0" fontId="137" fillId="4" borderId="0" xfId="0" applyFont="1" applyFill="1" applyAlignment="1" applyProtection="1">
      <alignment horizontal="left"/>
      <protection hidden="1"/>
    </xf>
    <xf numFmtId="0" fontId="8" fillId="4" borderId="102" xfId="0" applyFont="1" applyFill="1" applyBorder="1" applyAlignment="1" applyProtection="1">
      <alignment horizontal="left"/>
      <protection locked="0" hidden="1"/>
    </xf>
    <xf numFmtId="0" fontId="8" fillId="4" borderId="103" xfId="0" applyFont="1" applyFill="1" applyBorder="1" applyAlignment="1" applyProtection="1">
      <alignment horizontal="left"/>
      <protection locked="0" hidden="1"/>
    </xf>
    <xf numFmtId="0" fontId="8" fillId="4" borderId="104" xfId="0" applyFont="1" applyFill="1" applyBorder="1" applyAlignment="1" applyProtection="1">
      <alignment horizontal="left"/>
      <protection locked="0" hidden="1"/>
    </xf>
    <xf numFmtId="0" fontId="50" fillId="4" borderId="102" xfId="0" applyFont="1" applyFill="1" applyBorder="1" applyAlignment="1" applyProtection="1">
      <alignment horizontal="left"/>
      <protection locked="0"/>
    </xf>
    <xf numFmtId="0" fontId="50" fillId="4" borderId="103" xfId="0" applyFont="1" applyFill="1" applyBorder="1" applyAlignment="1" applyProtection="1">
      <alignment horizontal="left"/>
      <protection locked="0"/>
    </xf>
    <xf numFmtId="0" fontId="50" fillId="4" borderId="104" xfId="0" applyFont="1" applyFill="1" applyBorder="1" applyAlignment="1" applyProtection="1">
      <alignment horizontal="left"/>
      <protection locked="0"/>
    </xf>
    <xf numFmtId="0" fontId="137" fillId="4" borderId="102" xfId="0" applyFont="1" applyFill="1" applyBorder="1" applyAlignment="1" applyProtection="1">
      <alignment horizontal="left"/>
      <protection locked="0" hidden="1"/>
    </xf>
    <xf numFmtId="0" fontId="137" fillId="4" borderId="103" xfId="0" applyFont="1" applyFill="1" applyBorder="1" applyAlignment="1" applyProtection="1">
      <alignment horizontal="left"/>
      <protection locked="0" hidden="1"/>
    </xf>
    <xf numFmtId="0" fontId="137" fillId="4" borderId="104" xfId="0" applyFont="1" applyFill="1" applyBorder="1" applyAlignment="1" applyProtection="1">
      <alignment horizontal="left"/>
      <protection locked="0" hidden="1"/>
    </xf>
    <xf numFmtId="3" fontId="50" fillId="4" borderId="105" xfId="0" applyNumberFormat="1" applyFont="1" applyFill="1" applyBorder="1" applyAlignment="1" applyProtection="1">
      <alignment horizontal="left"/>
      <protection locked="0" hidden="1"/>
    </xf>
    <xf numFmtId="14" fontId="8" fillId="0" borderId="99" xfId="0" applyNumberFormat="1" applyFont="1" applyBorder="1" applyAlignment="1" applyProtection="1">
      <alignment horizontal="left"/>
      <protection locked="0"/>
    </xf>
    <xf numFmtId="14" fontId="8" fillId="0" borderId="100" xfId="0" applyNumberFormat="1" applyFont="1" applyBorder="1" applyAlignment="1" applyProtection="1">
      <alignment horizontal="left"/>
      <protection locked="0"/>
    </xf>
    <xf numFmtId="14" fontId="8" fillId="0" borderId="101" xfId="0" applyNumberFormat="1" applyFont="1" applyBorder="1" applyAlignment="1" applyProtection="1">
      <alignment horizontal="left"/>
      <protection locked="0"/>
    </xf>
    <xf numFmtId="1" fontId="50" fillId="0" borderId="102" xfId="0" applyNumberFormat="1" applyFont="1" applyBorder="1" applyAlignment="1" applyProtection="1">
      <alignment horizontal="left"/>
      <protection locked="0"/>
    </xf>
    <xf numFmtId="1" fontId="50" fillId="0" borderId="103" xfId="0" applyNumberFormat="1" applyFont="1" applyBorder="1" applyAlignment="1" applyProtection="1">
      <alignment horizontal="left"/>
      <protection locked="0"/>
    </xf>
    <xf numFmtId="1" fontId="50" fillId="0" borderId="104" xfId="0" applyNumberFormat="1" applyFont="1" applyBorder="1" applyAlignment="1" applyProtection="1">
      <alignment horizontal="left"/>
      <protection locked="0"/>
    </xf>
    <xf numFmtId="0" fontId="10" fillId="0" borderId="102" xfId="0" applyFont="1" applyBorder="1" applyProtection="1">
      <protection locked="0" hidden="1"/>
    </xf>
    <xf numFmtId="0" fontId="10" fillId="0" borderId="103" xfId="0" applyFont="1" applyBorder="1" applyProtection="1">
      <protection locked="0" hidden="1"/>
    </xf>
    <xf numFmtId="0" fontId="10" fillId="0" borderId="104" xfId="0" applyFont="1" applyBorder="1" applyProtection="1">
      <protection locked="0" hidden="1"/>
    </xf>
    <xf numFmtId="0" fontId="8" fillId="4" borderId="99" xfId="0" applyFont="1" applyFill="1" applyBorder="1" applyAlignment="1" applyProtection="1">
      <alignment horizontal="left"/>
      <protection locked="0" hidden="1"/>
    </xf>
    <xf numFmtId="0" fontId="8" fillId="4" borderId="100" xfId="0" applyFont="1" applyFill="1" applyBorder="1" applyAlignment="1" applyProtection="1">
      <alignment horizontal="left"/>
      <protection locked="0" hidden="1"/>
    </xf>
    <xf numFmtId="0" fontId="8" fillId="4" borderId="101" xfId="0" applyFont="1" applyFill="1" applyBorder="1" applyAlignment="1" applyProtection="1">
      <alignment horizontal="left"/>
      <protection locked="0" hidden="1"/>
    </xf>
    <xf numFmtId="0" fontId="8" fillId="4" borderId="102" xfId="0" applyFont="1" applyFill="1" applyBorder="1" applyProtection="1">
      <protection locked="0" hidden="1"/>
    </xf>
    <xf numFmtId="0" fontId="8" fillId="4" borderId="103" xfId="0" applyFont="1" applyFill="1" applyBorder="1" applyProtection="1">
      <protection locked="0" hidden="1"/>
    </xf>
    <xf numFmtId="0" fontId="8" fillId="4" borderId="104" xfId="0" applyFont="1" applyFill="1" applyBorder="1" applyProtection="1">
      <protection locked="0" hidden="1"/>
    </xf>
    <xf numFmtId="0" fontId="137" fillId="0" borderId="0" xfId="0" applyFont="1" applyProtection="1">
      <protection hidden="1"/>
    </xf>
    <xf numFmtId="3" fontId="50" fillId="0" borderId="102" xfId="0" applyNumberFormat="1" applyFont="1" applyBorder="1" applyAlignment="1" applyProtection="1">
      <alignment horizontal="left"/>
      <protection locked="0"/>
    </xf>
    <xf numFmtId="3" fontId="50" fillId="0" borderId="103" xfId="0" applyNumberFormat="1" applyFont="1" applyBorder="1" applyAlignment="1" applyProtection="1">
      <alignment horizontal="left"/>
      <protection locked="0"/>
    </xf>
    <xf numFmtId="3" fontId="50" fillId="0" borderId="104" xfId="0" applyNumberFormat="1" applyFont="1" applyBorder="1" applyAlignment="1" applyProtection="1">
      <alignment horizontal="left"/>
      <protection locked="0"/>
    </xf>
    <xf numFmtId="0" fontId="50" fillId="0" borderId="102" xfId="0" applyFont="1" applyBorder="1" applyAlignment="1" applyProtection="1">
      <alignment horizontal="left"/>
      <protection locked="0"/>
    </xf>
    <xf numFmtId="0" fontId="50" fillId="0" borderId="103" xfId="0" applyFont="1" applyBorder="1" applyAlignment="1" applyProtection="1">
      <alignment horizontal="left"/>
      <protection locked="0"/>
    </xf>
    <xf numFmtId="0" fontId="50" fillId="0" borderId="104" xfId="0" applyFont="1" applyBorder="1" applyAlignment="1" applyProtection="1">
      <alignment horizontal="left"/>
      <protection locked="0"/>
    </xf>
    <xf numFmtId="0" fontId="50" fillId="0" borderId="95" xfId="0" applyFont="1" applyBorder="1" applyAlignment="1" applyProtection="1">
      <alignment vertical="top" wrapText="1"/>
      <protection locked="0"/>
    </xf>
    <xf numFmtId="0" fontId="50" fillId="0" borderId="94" xfId="0" applyFont="1" applyBorder="1" applyAlignment="1" applyProtection="1">
      <alignment vertical="top" wrapText="1"/>
      <protection locked="0"/>
    </xf>
    <xf numFmtId="0" fontId="50" fillId="0" borderId="96" xfId="0" applyFont="1" applyBorder="1" applyAlignment="1" applyProtection="1">
      <alignment vertical="top" wrapText="1"/>
      <protection locked="0"/>
    </xf>
    <xf numFmtId="0" fontId="50" fillId="0" borderId="97" xfId="0" applyFont="1" applyBorder="1" applyAlignment="1" applyProtection="1">
      <alignment vertical="top" wrapText="1"/>
      <protection locked="0"/>
    </xf>
    <xf numFmtId="0" fontId="50" fillId="0" borderId="0" xfId="0" applyFont="1" applyAlignment="1" applyProtection="1">
      <alignment vertical="top" wrapText="1"/>
      <protection locked="0"/>
    </xf>
    <xf numFmtId="0" fontId="50" fillId="0" borderId="98" xfId="0" applyFont="1" applyBorder="1" applyAlignment="1" applyProtection="1">
      <alignment vertical="top" wrapText="1"/>
      <protection locked="0"/>
    </xf>
    <xf numFmtId="0" fontId="50" fillId="0" borderId="155" xfId="0" applyFont="1" applyBorder="1" applyAlignment="1" applyProtection="1">
      <alignment vertical="top" wrapText="1"/>
      <protection locked="0"/>
    </xf>
    <xf numFmtId="0" fontId="50" fillId="0" borderId="156" xfId="0" applyFont="1" applyBorder="1" applyAlignment="1" applyProtection="1">
      <alignment vertical="top" wrapText="1"/>
      <protection locked="0"/>
    </xf>
    <xf numFmtId="0" fontId="50" fillId="0" borderId="157" xfId="0" applyFont="1" applyBorder="1" applyAlignment="1" applyProtection="1">
      <alignment vertical="top" wrapText="1"/>
      <protection locked="0"/>
    </xf>
    <xf numFmtId="0" fontId="8" fillId="0" borderId="99" xfId="0" applyFont="1" applyBorder="1" applyAlignment="1" applyProtection="1">
      <alignment horizontal="left"/>
      <protection locked="0" hidden="1"/>
    </xf>
    <xf numFmtId="0" fontId="8" fillId="0" borderId="100" xfId="0" applyFont="1" applyBorder="1" applyAlignment="1" applyProtection="1">
      <alignment horizontal="left"/>
      <protection locked="0" hidden="1"/>
    </xf>
    <xf numFmtId="0" fontId="8" fillId="0" borderId="101" xfId="0" applyFont="1" applyBorder="1" applyAlignment="1" applyProtection="1">
      <alignment horizontal="left"/>
      <protection locked="0" hidden="1"/>
    </xf>
    <xf numFmtId="3" fontId="50" fillId="0" borderId="99" xfId="0" applyNumberFormat="1" applyFont="1" applyBorder="1" applyAlignment="1" applyProtection="1">
      <alignment horizontal="left"/>
      <protection locked="0"/>
    </xf>
    <xf numFmtId="3" fontId="50" fillId="0" borderId="100" xfId="0" applyNumberFormat="1" applyFont="1" applyBorder="1" applyAlignment="1" applyProtection="1">
      <alignment horizontal="left"/>
      <protection locked="0"/>
    </xf>
    <xf numFmtId="3" fontId="50" fillId="0" borderId="101" xfId="0" applyNumberFormat="1" applyFont="1" applyBorder="1" applyAlignment="1" applyProtection="1">
      <alignment horizontal="left"/>
      <protection locked="0"/>
    </xf>
    <xf numFmtId="0" fontId="50" fillId="4" borderId="102" xfId="0" applyFont="1" applyFill="1" applyBorder="1" applyAlignment="1" applyProtection="1">
      <alignment horizontal="left"/>
      <protection hidden="1"/>
    </xf>
    <xf numFmtId="0" fontId="50" fillId="4" borderId="104" xfId="0" applyFont="1" applyFill="1" applyBorder="1" applyAlignment="1" applyProtection="1">
      <alignment horizontal="left"/>
      <protection hidden="1"/>
    </xf>
    <xf numFmtId="166" fontId="50" fillId="4" borderId="102" xfId="0" applyNumberFormat="1" applyFont="1" applyFill="1" applyBorder="1" applyAlignment="1" applyProtection="1">
      <alignment horizontal="left"/>
      <protection locked="0"/>
    </xf>
    <xf numFmtId="166" fontId="50" fillId="4" borderId="104" xfId="0" applyNumberFormat="1" applyFont="1" applyFill="1" applyBorder="1" applyAlignment="1" applyProtection="1">
      <alignment horizontal="left"/>
      <protection locked="0"/>
    </xf>
    <xf numFmtId="166" fontId="50" fillId="4" borderId="102" xfId="0" applyNumberFormat="1" applyFont="1" applyFill="1" applyBorder="1" applyAlignment="1" applyProtection="1">
      <alignment horizontal="left"/>
      <protection locked="0" hidden="1"/>
    </xf>
    <xf numFmtId="166" fontId="50" fillId="4" borderId="104" xfId="0" applyNumberFormat="1" applyFont="1" applyFill="1" applyBorder="1" applyAlignment="1" applyProtection="1">
      <alignment horizontal="left"/>
      <protection locked="0" hidden="1"/>
    </xf>
    <xf numFmtId="0" fontId="198" fillId="0" borderId="0" xfId="0" applyFont="1" applyAlignment="1" applyProtection="1">
      <alignment horizontal="center"/>
      <protection hidden="1"/>
    </xf>
    <xf numFmtId="0" fontId="198" fillId="0" borderId="107" xfId="0" applyFont="1" applyBorder="1" applyAlignment="1" applyProtection="1">
      <alignment horizontal="center"/>
      <protection hidden="1"/>
    </xf>
    <xf numFmtId="9" fontId="164" fillId="0" borderId="0" xfId="0" applyNumberFormat="1" applyFont="1" applyAlignment="1" applyProtection="1">
      <alignment horizontal="center" vertical="center"/>
      <protection hidden="1"/>
    </xf>
    <xf numFmtId="0" fontId="163" fillId="0" borderId="175" xfId="0" applyFont="1" applyBorder="1" applyAlignment="1" applyProtection="1">
      <alignment horizontal="center" vertical="top"/>
      <protection hidden="1"/>
    </xf>
    <xf numFmtId="0" fontId="132" fillId="4" borderId="175" xfId="1" applyFont="1" applyFill="1" applyBorder="1" applyAlignment="1" applyProtection="1">
      <alignment horizontal="center" vertical="center" wrapText="1"/>
      <protection hidden="1"/>
    </xf>
    <xf numFmtId="0" fontId="162" fillId="4" borderId="175" xfId="1" applyFont="1" applyFill="1" applyBorder="1" applyAlignment="1" applyProtection="1">
      <alignment horizontal="center" vertical="center" wrapText="1"/>
      <protection hidden="1"/>
    </xf>
    <xf numFmtId="0" fontId="166" fillId="0" borderId="175" xfId="0" applyFont="1" applyBorder="1" applyAlignment="1" applyProtection="1">
      <alignment horizontal="center" vertical="center" wrapText="1"/>
      <protection hidden="1"/>
    </xf>
    <xf numFmtId="0" fontId="169" fillId="4" borderId="175" xfId="1" applyFont="1" applyFill="1" applyBorder="1" applyAlignment="1" applyProtection="1">
      <alignment horizontal="center" vertical="center" wrapText="1"/>
      <protection hidden="1"/>
    </xf>
    <xf numFmtId="167" fontId="162" fillId="4" borderId="172" xfId="13" applyNumberFormat="1" applyFont="1" applyFill="1" applyBorder="1" applyAlignment="1" applyProtection="1">
      <alignment horizontal="left" vertical="center"/>
      <protection hidden="1"/>
    </xf>
    <xf numFmtId="0" fontId="163" fillId="4" borderId="172" xfId="1" applyFont="1" applyFill="1" applyBorder="1" applyAlignment="1" applyProtection="1">
      <alignment horizontal="right" vertical="center"/>
      <protection hidden="1"/>
    </xf>
    <xf numFmtId="0" fontId="162" fillId="4" borderId="172" xfId="1" applyFont="1" applyFill="1" applyBorder="1" applyAlignment="1" applyProtection="1">
      <alignment horizontal="left" vertical="center"/>
      <protection hidden="1"/>
    </xf>
    <xf numFmtId="0" fontId="166" fillId="0" borderId="175" xfId="1" applyFont="1" applyFill="1" applyBorder="1" applyAlignment="1" applyProtection="1">
      <alignment horizontal="center" vertical="center" wrapText="1"/>
      <protection hidden="1"/>
    </xf>
    <xf numFmtId="0" fontId="166" fillId="52" borderId="175" xfId="1" applyFont="1" applyFill="1" applyBorder="1" applyAlignment="1" applyProtection="1">
      <alignment horizontal="center" vertical="center" wrapText="1"/>
      <protection hidden="1"/>
    </xf>
    <xf numFmtId="0" fontId="172" fillId="0" borderId="33" xfId="0" applyFont="1" applyBorder="1" applyAlignment="1" applyProtection="1">
      <alignment horizontal="center" vertical="center"/>
      <protection hidden="1"/>
    </xf>
    <xf numFmtId="0" fontId="172" fillId="0" borderId="0" xfId="0" applyFont="1" applyAlignment="1" applyProtection="1">
      <alignment horizontal="center" vertical="center"/>
      <protection hidden="1"/>
    </xf>
    <xf numFmtId="0" fontId="0" fillId="0" borderId="0" xfId="0" applyAlignment="1" applyProtection="1">
      <alignment horizontal="center"/>
      <protection hidden="1"/>
    </xf>
    <xf numFmtId="0" fontId="34" fillId="0" borderId="94" xfId="0" applyFont="1" applyBorder="1" applyAlignment="1" applyProtection="1">
      <alignment horizontal="left" vertical="center"/>
      <protection hidden="1"/>
    </xf>
    <xf numFmtId="0" fontId="10" fillId="0" borderId="0" xfId="0" applyFont="1" applyAlignment="1" applyProtection="1">
      <alignment horizontal="left" wrapText="1"/>
      <protection hidden="1"/>
    </xf>
    <xf numFmtId="170" fontId="50" fillId="0" borderId="102" xfId="0" applyNumberFormat="1" applyFont="1" applyBorder="1" applyAlignment="1" applyProtection="1">
      <alignment horizontal="left"/>
      <protection locked="0"/>
    </xf>
    <xf numFmtId="170" fontId="50" fillId="0" borderId="103" xfId="0" applyNumberFormat="1" applyFont="1" applyBorder="1" applyAlignment="1" applyProtection="1">
      <alignment horizontal="left"/>
      <protection locked="0"/>
    </xf>
    <xf numFmtId="170" fontId="50" fillId="0" borderId="104" xfId="0" applyNumberFormat="1" applyFont="1" applyBorder="1" applyAlignment="1" applyProtection="1">
      <alignment horizontal="left"/>
      <protection locked="0"/>
    </xf>
    <xf numFmtId="0" fontId="50" fillId="0" borderId="102" xfId="0" applyFont="1" applyBorder="1" applyAlignment="1" applyProtection="1">
      <alignment horizontal="left"/>
      <protection locked="0" hidden="1"/>
    </xf>
    <xf numFmtId="0" fontId="50" fillId="0" borderId="103" xfId="0" applyFont="1" applyBorder="1" applyAlignment="1" applyProtection="1">
      <alignment horizontal="left"/>
      <protection locked="0" hidden="1"/>
    </xf>
    <xf numFmtId="0" fontId="50" fillId="0" borderId="104" xfId="0" applyFont="1" applyBorder="1" applyAlignment="1" applyProtection="1">
      <alignment horizontal="left"/>
      <protection locked="0" hidden="1"/>
    </xf>
    <xf numFmtId="170" fontId="50" fillId="0" borderId="102" xfId="0" applyNumberFormat="1" applyFont="1" applyBorder="1" applyAlignment="1" applyProtection="1">
      <alignment horizontal="left"/>
      <protection locked="0" hidden="1"/>
    </xf>
    <xf numFmtId="170" fontId="50" fillId="0" borderId="103" xfId="0" applyNumberFormat="1" applyFont="1" applyBorder="1" applyAlignment="1" applyProtection="1">
      <alignment horizontal="left"/>
      <protection locked="0" hidden="1"/>
    </xf>
    <xf numFmtId="170" fontId="50" fillId="0" borderId="104" xfId="0" applyNumberFormat="1" applyFont="1" applyBorder="1" applyAlignment="1" applyProtection="1">
      <alignment horizontal="left"/>
      <protection locked="0" hidden="1"/>
    </xf>
    <xf numFmtId="0" fontId="5" fillId="0" borderId="102" xfId="1" applyBorder="1" applyAlignment="1" applyProtection="1">
      <alignment horizontal="left"/>
      <protection locked="0" hidden="1"/>
    </xf>
    <xf numFmtId="0" fontId="50" fillId="0" borderId="0" xfId="0" applyFont="1" applyAlignment="1" applyProtection="1">
      <alignment horizontal="left"/>
      <protection hidden="1"/>
    </xf>
    <xf numFmtId="0" fontId="50" fillId="0" borderId="156" xfId="0" applyFont="1" applyBorder="1" applyProtection="1">
      <protection locked="0" hidden="1"/>
    </xf>
    <xf numFmtId="0" fontId="50" fillId="0" borderId="156" xfId="0" applyFont="1" applyBorder="1" applyAlignment="1" applyProtection="1">
      <alignment horizontal="left"/>
      <protection locked="0" hidden="1"/>
    </xf>
    <xf numFmtId="14" fontId="50" fillId="0" borderId="156" xfId="0" applyNumberFormat="1" applyFont="1" applyBorder="1" applyAlignment="1" applyProtection="1">
      <alignment horizontal="left"/>
      <protection locked="0" hidden="1"/>
    </xf>
    <xf numFmtId="0" fontId="8" fillId="0" borderId="99" xfId="0" applyFont="1" applyBorder="1" applyAlignment="1" applyProtection="1">
      <alignment horizontal="center"/>
      <protection locked="0" hidden="1"/>
    </xf>
    <xf numFmtId="0" fontId="8" fillId="0" borderId="101" xfId="0" applyFont="1" applyBorder="1" applyAlignment="1" applyProtection="1">
      <alignment horizontal="center"/>
      <protection locked="0" hidden="1"/>
    </xf>
    <xf numFmtId="0" fontId="5" fillId="0" borderId="102" xfId="1" applyBorder="1" applyAlignment="1" applyProtection="1">
      <alignment horizontal="left"/>
      <protection locked="0"/>
    </xf>
    <xf numFmtId="0" fontId="8" fillId="0" borderId="102" xfId="0" applyFont="1" applyBorder="1" applyAlignment="1" applyProtection="1">
      <alignment horizontal="center"/>
      <protection locked="0" hidden="1"/>
    </xf>
    <xf numFmtId="0" fontId="8" fillId="0" borderId="103" xfId="0" applyFont="1" applyBorder="1" applyAlignment="1" applyProtection="1">
      <alignment horizontal="center"/>
      <protection locked="0" hidden="1"/>
    </xf>
    <xf numFmtId="0" fontId="8" fillId="0" borderId="112" xfId="0" applyFont="1" applyBorder="1" applyAlignment="1" applyProtection="1">
      <alignment horizontal="center"/>
      <protection locked="0" hidden="1"/>
    </xf>
    <xf numFmtId="0" fontId="117" fillId="0" borderId="94" xfId="0" applyFont="1" applyBorder="1" applyAlignment="1" applyProtection="1">
      <alignment horizontal="left" vertical="center"/>
      <protection hidden="1"/>
    </xf>
    <xf numFmtId="0" fontId="50" fillId="0" borderId="0" xfId="0" applyFont="1" applyAlignment="1" applyProtection="1">
      <alignment horizontal="left" wrapText="1"/>
      <protection hidden="1"/>
    </xf>
    <xf numFmtId="0" fontId="50" fillId="0" borderId="109" xfId="0" applyFont="1" applyBorder="1" applyAlignment="1" applyProtection="1">
      <alignment horizontal="left"/>
      <protection locked="0"/>
    </xf>
    <xf numFmtId="0" fontId="50" fillId="0" borderId="110" xfId="0" applyFont="1" applyBorder="1" applyAlignment="1" applyProtection="1">
      <alignment horizontal="left"/>
      <protection locked="0"/>
    </xf>
    <xf numFmtId="0" fontId="50" fillId="0" borderId="111" xfId="0" applyFont="1" applyBorder="1" applyAlignment="1" applyProtection="1">
      <alignment horizontal="left"/>
      <protection locked="0"/>
    </xf>
    <xf numFmtId="170" fontId="50" fillId="0" borderId="109" xfId="0" applyNumberFormat="1" applyFont="1" applyBorder="1" applyAlignment="1" applyProtection="1">
      <alignment horizontal="left"/>
      <protection locked="0"/>
    </xf>
    <xf numFmtId="170" fontId="50" fillId="0" borderId="110" xfId="0" applyNumberFormat="1" applyFont="1" applyBorder="1" applyAlignment="1" applyProtection="1">
      <alignment horizontal="left"/>
      <protection locked="0"/>
    </xf>
    <xf numFmtId="170" fontId="50" fillId="0" borderId="111" xfId="0" applyNumberFormat="1" applyFont="1" applyBorder="1" applyAlignment="1" applyProtection="1">
      <alignment horizontal="left"/>
      <protection locked="0"/>
    </xf>
    <xf numFmtId="170" fontId="5" fillId="0" borderId="109" xfId="1" applyNumberFormat="1" applyBorder="1" applyAlignment="1" applyProtection="1">
      <alignment horizontal="left"/>
      <protection locked="0"/>
    </xf>
    <xf numFmtId="0" fontId="8" fillId="0" borderId="0" xfId="0" applyFont="1" applyAlignment="1" applyProtection="1">
      <alignment horizontal="center"/>
      <protection hidden="1"/>
    </xf>
    <xf numFmtId="170" fontId="5" fillId="0" borderId="102" xfId="1" applyNumberFormat="1" applyBorder="1" applyAlignment="1" applyProtection="1">
      <alignment horizontal="left"/>
      <protection locked="0"/>
    </xf>
    <xf numFmtId="0" fontId="50" fillId="0" borderId="102" xfId="0" applyFont="1" applyBorder="1" applyAlignment="1" applyProtection="1">
      <alignment horizontal="center"/>
      <protection locked="0" hidden="1"/>
    </xf>
    <xf numFmtId="0" fontId="50" fillId="0" borderId="104" xfId="0" applyFont="1" applyBorder="1" applyAlignment="1" applyProtection="1">
      <alignment horizontal="center"/>
      <protection locked="0" hidden="1"/>
    </xf>
    <xf numFmtId="166" fontId="50" fillId="0" borderId="102" xfId="0" applyNumberFormat="1" applyFont="1" applyBorder="1" applyAlignment="1" applyProtection="1">
      <alignment horizontal="center"/>
      <protection locked="0"/>
    </xf>
    <xf numFmtId="166" fontId="50" fillId="0" borderId="104" xfId="0" applyNumberFormat="1" applyFont="1" applyBorder="1" applyAlignment="1" applyProtection="1">
      <alignment horizontal="center"/>
      <protection locked="0"/>
    </xf>
    <xf numFmtId="0" fontId="50" fillId="0" borderId="0" xfId="0" applyFont="1" applyAlignment="1" applyProtection="1">
      <alignment horizontal="center" vertical="top"/>
      <protection hidden="1"/>
    </xf>
    <xf numFmtId="9" fontId="164" fillId="0" borderId="94" xfId="0" applyNumberFormat="1" applyFont="1" applyBorder="1" applyAlignment="1" applyProtection="1">
      <alignment horizontal="center" vertical="center"/>
      <protection hidden="1"/>
    </xf>
    <xf numFmtId="0" fontId="0" fillId="0" borderId="0" xfId="0" applyAlignment="1">
      <alignment horizontal="center"/>
    </xf>
    <xf numFmtId="0" fontId="58" fillId="0" borderId="0" xfId="1" applyFont="1" applyAlignment="1">
      <alignment horizontal="center" vertical="center" wrapText="1"/>
    </xf>
    <xf numFmtId="0" fontId="50" fillId="0" borderId="0" xfId="0" applyFont="1" applyAlignment="1">
      <alignment horizontal="center" vertical="top"/>
    </xf>
    <xf numFmtId="0" fontId="129" fillId="0" borderId="117" xfId="0" applyFont="1" applyBorder="1" applyAlignment="1">
      <alignment horizontal="center" vertical="center" wrapText="1"/>
    </xf>
    <xf numFmtId="0" fontId="129" fillId="0" borderId="118" xfId="0" applyFont="1" applyBorder="1" applyAlignment="1">
      <alignment horizontal="center" vertical="center" wrapText="1"/>
    </xf>
    <xf numFmtId="0" fontId="129" fillId="0" borderId="119" xfId="0" applyFont="1" applyBorder="1" applyAlignment="1">
      <alignment horizontal="center" vertical="center" wrapText="1"/>
    </xf>
    <xf numFmtId="0" fontId="0" fillId="0" borderId="1" xfId="0" applyBorder="1" applyAlignment="1">
      <alignment horizontal="center"/>
    </xf>
    <xf numFmtId="0" fontId="0" fillId="0" borderId="1" xfId="0" applyBorder="1" applyAlignment="1" applyProtection="1">
      <alignment horizontal="center" wrapText="1"/>
      <protection locked="0"/>
    </xf>
    <xf numFmtId="171" fontId="50" fillId="0" borderId="1" xfId="15" applyNumberFormat="1" applyFont="1" applyBorder="1" applyAlignment="1" applyProtection="1">
      <alignment horizontal="center" wrapText="1"/>
      <protection locked="0"/>
    </xf>
    <xf numFmtId="174" fontId="50" fillId="0" borderId="1" xfId="15" applyNumberFormat="1" applyFont="1" applyBorder="1" applyAlignment="1" applyProtection="1">
      <alignment horizontal="center" wrapText="1"/>
      <protection locked="0"/>
    </xf>
    <xf numFmtId="167" fontId="76" fillId="70" borderId="160" xfId="0" applyNumberFormat="1" applyFont="1" applyFill="1" applyBorder="1" applyAlignment="1">
      <alignment horizontal="center" shrinkToFit="1"/>
    </xf>
    <xf numFmtId="167" fontId="76" fillId="70" borderId="162" xfId="0" applyNumberFormat="1" applyFont="1" applyFill="1" applyBorder="1" applyAlignment="1">
      <alignment horizontal="center" shrinkToFit="1"/>
    </xf>
    <xf numFmtId="167" fontId="76" fillId="70" borderId="163" xfId="0" applyNumberFormat="1" applyFont="1" applyFill="1" applyBorder="1" applyAlignment="1">
      <alignment horizontal="center" shrinkToFit="1"/>
    </xf>
    <xf numFmtId="167" fontId="76" fillId="70" borderId="164" xfId="0" applyNumberFormat="1" applyFont="1" applyFill="1" applyBorder="1" applyAlignment="1">
      <alignment horizontal="center" shrinkToFit="1"/>
    </xf>
    <xf numFmtId="169" fontId="76" fillId="70" borderId="160" xfId="0" applyNumberFormat="1" applyFont="1" applyFill="1" applyBorder="1" applyAlignment="1">
      <alignment horizontal="center" shrinkToFit="1"/>
    </xf>
    <xf numFmtId="169" fontId="76" fillId="70" borderId="161" xfId="0" applyNumberFormat="1" applyFont="1" applyFill="1" applyBorder="1" applyAlignment="1">
      <alignment horizontal="center" shrinkToFit="1"/>
    </xf>
    <xf numFmtId="169" fontId="76" fillId="70" borderId="162" xfId="0" applyNumberFormat="1" applyFont="1" applyFill="1" applyBorder="1" applyAlignment="1">
      <alignment horizontal="center" shrinkToFit="1"/>
    </xf>
    <xf numFmtId="169" fontId="76" fillId="70" borderId="163" xfId="0" applyNumberFormat="1" applyFont="1" applyFill="1" applyBorder="1" applyAlignment="1">
      <alignment horizontal="center" shrinkToFit="1"/>
    </xf>
    <xf numFmtId="169" fontId="76" fillId="70" borderId="154" xfId="0" applyNumberFormat="1" applyFont="1" applyFill="1" applyBorder="1" applyAlignment="1">
      <alignment horizontal="center" shrinkToFit="1"/>
    </xf>
    <xf numFmtId="169" fontId="76" fillId="70" borderId="164" xfId="0" applyNumberFormat="1" applyFont="1" applyFill="1" applyBorder="1" applyAlignment="1">
      <alignment horizontal="center" shrinkToFit="1"/>
    </xf>
    <xf numFmtId="177" fontId="76" fillId="70" borderId="160" xfId="0" applyNumberFormat="1" applyFont="1" applyFill="1" applyBorder="1" applyAlignment="1" applyProtection="1">
      <alignment horizontal="center" shrinkToFit="1"/>
      <protection hidden="1"/>
    </xf>
    <xf numFmtId="177" fontId="76" fillId="70" borderId="161" xfId="0" applyNumberFormat="1" applyFont="1" applyFill="1" applyBorder="1" applyAlignment="1" applyProtection="1">
      <alignment horizontal="center" shrinkToFit="1"/>
      <protection hidden="1"/>
    </xf>
    <xf numFmtId="177" fontId="76" fillId="70" borderId="162" xfId="0" applyNumberFormat="1" applyFont="1" applyFill="1" applyBorder="1" applyAlignment="1" applyProtection="1">
      <alignment horizontal="center" shrinkToFit="1"/>
      <protection hidden="1"/>
    </xf>
    <xf numFmtId="177" fontId="76" fillId="70" borderId="163" xfId="0" applyNumberFormat="1" applyFont="1" applyFill="1" applyBorder="1" applyAlignment="1" applyProtection="1">
      <alignment horizontal="center" shrinkToFit="1"/>
      <protection hidden="1"/>
    </xf>
    <xf numFmtId="177" fontId="76" fillId="70" borderId="154" xfId="0" applyNumberFormat="1" applyFont="1" applyFill="1" applyBorder="1" applyAlignment="1" applyProtection="1">
      <alignment horizontal="center" shrinkToFit="1"/>
      <protection hidden="1"/>
    </xf>
    <xf numFmtId="177" fontId="76" fillId="70" borderId="164" xfId="0" applyNumberFormat="1" applyFont="1" applyFill="1" applyBorder="1" applyAlignment="1" applyProtection="1">
      <alignment horizontal="center" shrinkToFit="1"/>
      <protection hidden="1"/>
    </xf>
    <xf numFmtId="167" fontId="121" fillId="0" borderId="160" xfId="0" applyNumberFormat="1" applyFont="1" applyBorder="1" applyAlignment="1" applyProtection="1">
      <alignment horizontal="center" shrinkToFit="1"/>
      <protection locked="0"/>
    </xf>
    <xf numFmtId="167" fontId="121" fillId="0" borderId="162" xfId="0" applyNumberFormat="1" applyFont="1" applyBorder="1" applyAlignment="1" applyProtection="1">
      <alignment horizontal="center" shrinkToFit="1"/>
      <protection locked="0"/>
    </xf>
    <xf numFmtId="167" fontId="121" fillId="0" borderId="163" xfId="0" applyNumberFormat="1" applyFont="1" applyBorder="1" applyAlignment="1" applyProtection="1">
      <alignment horizontal="center" shrinkToFit="1"/>
      <protection locked="0"/>
    </xf>
    <xf numFmtId="167" fontId="121" fillId="0" borderId="164" xfId="0" applyNumberFormat="1" applyFont="1" applyBorder="1" applyAlignment="1" applyProtection="1">
      <alignment horizontal="center" shrinkToFit="1"/>
      <protection locked="0"/>
    </xf>
    <xf numFmtId="172" fontId="121" fillId="0" borderId="160" xfId="15" applyNumberFormat="1" applyFont="1" applyBorder="1" applyAlignment="1" applyProtection="1">
      <alignment horizontal="center" wrapText="1"/>
      <protection locked="0"/>
    </xf>
    <xf numFmtId="172" fontId="121" fillId="0" borderId="161" xfId="15" applyNumberFormat="1" applyFont="1" applyBorder="1" applyAlignment="1" applyProtection="1">
      <alignment horizontal="center" wrapText="1"/>
      <protection locked="0"/>
    </xf>
    <xf numFmtId="172" fontId="121" fillId="0" borderId="162" xfId="15" applyNumberFormat="1" applyFont="1" applyBorder="1" applyAlignment="1" applyProtection="1">
      <alignment horizontal="center" wrapText="1"/>
      <protection locked="0"/>
    </xf>
    <xf numFmtId="172" fontId="121" fillId="0" borderId="163" xfId="15" applyNumberFormat="1" applyFont="1" applyBorder="1" applyAlignment="1" applyProtection="1">
      <alignment horizontal="center" wrapText="1"/>
      <protection locked="0"/>
    </xf>
    <xf numFmtId="172" fontId="121" fillId="0" borderId="154" xfId="15" applyNumberFormat="1" applyFont="1" applyBorder="1" applyAlignment="1" applyProtection="1">
      <alignment horizontal="center" wrapText="1"/>
      <protection locked="0"/>
    </xf>
    <xf numFmtId="172" fontId="121" fillId="0" borderId="164" xfId="15" applyNumberFormat="1" applyFont="1" applyBorder="1" applyAlignment="1" applyProtection="1">
      <alignment horizontal="center" wrapText="1"/>
      <protection locked="0"/>
    </xf>
    <xf numFmtId="180" fontId="121" fillId="0" borderId="160" xfId="15" applyNumberFormat="1" applyFont="1" applyBorder="1" applyAlignment="1" applyProtection="1">
      <alignment horizontal="center" wrapText="1"/>
      <protection locked="0"/>
    </xf>
    <xf numFmtId="180" fontId="121" fillId="0" borderId="161" xfId="15" applyNumberFormat="1" applyFont="1" applyBorder="1" applyAlignment="1" applyProtection="1">
      <alignment horizontal="center" wrapText="1"/>
      <protection locked="0"/>
    </xf>
    <xf numFmtId="180" fontId="121" fillId="0" borderId="162" xfId="15" applyNumberFormat="1" applyFont="1" applyBorder="1" applyAlignment="1" applyProtection="1">
      <alignment horizontal="center" wrapText="1"/>
      <protection locked="0"/>
    </xf>
    <xf numFmtId="180" fontId="121" fillId="0" borderId="163" xfId="15" applyNumberFormat="1" applyFont="1" applyBorder="1" applyAlignment="1" applyProtection="1">
      <alignment horizontal="center" wrapText="1"/>
      <protection locked="0"/>
    </xf>
    <xf numFmtId="180" fontId="121" fillId="0" borderId="154" xfId="15" applyNumberFormat="1" applyFont="1" applyBorder="1" applyAlignment="1" applyProtection="1">
      <alignment horizontal="center" wrapText="1"/>
      <protection locked="0"/>
    </xf>
    <xf numFmtId="180" fontId="121" fillId="0" borderId="164" xfId="15" applyNumberFormat="1" applyFont="1" applyBorder="1" applyAlignment="1" applyProtection="1">
      <alignment horizontal="center" wrapText="1"/>
      <protection locked="0"/>
    </xf>
    <xf numFmtId="0" fontId="121" fillId="0" borderId="160" xfId="0" applyFont="1" applyBorder="1" applyAlignment="1" applyProtection="1">
      <alignment horizontal="center" wrapText="1"/>
      <protection locked="0"/>
    </xf>
    <xf numFmtId="0" fontId="121" fillId="0" borderId="161" xfId="0" applyFont="1" applyBorder="1" applyAlignment="1" applyProtection="1">
      <alignment horizontal="center" wrapText="1"/>
      <protection locked="0"/>
    </xf>
    <xf numFmtId="0" fontId="121" fillId="0" borderId="162" xfId="0" applyFont="1" applyBorder="1" applyAlignment="1" applyProtection="1">
      <alignment horizontal="center" wrapText="1"/>
      <protection locked="0"/>
    </xf>
    <xf numFmtId="0" fontId="121" fillId="0" borderId="163" xfId="0" applyFont="1" applyBorder="1" applyAlignment="1" applyProtection="1">
      <alignment horizontal="center" wrapText="1"/>
      <protection locked="0"/>
    </xf>
    <xf numFmtId="0" fontId="121" fillId="0" borderId="154" xfId="0" applyFont="1" applyBorder="1" applyAlignment="1" applyProtection="1">
      <alignment horizontal="center" wrapText="1"/>
      <protection locked="0"/>
    </xf>
    <xf numFmtId="0" fontId="121" fillId="0" borderId="164" xfId="0" applyFont="1" applyBorder="1" applyAlignment="1" applyProtection="1">
      <alignment horizontal="center" wrapText="1"/>
      <protection locked="0"/>
    </xf>
    <xf numFmtId="0" fontId="8" fillId="0" borderId="53" xfId="0" applyFont="1" applyBorder="1" applyAlignment="1" applyProtection="1">
      <alignment horizontal="center"/>
      <protection hidden="1"/>
    </xf>
    <xf numFmtId="49" fontId="121" fillId="0" borderId="183" xfId="0" applyNumberFormat="1" applyFont="1" applyBorder="1" applyAlignment="1" applyProtection="1">
      <alignment horizontal="center" shrinkToFit="1"/>
      <protection locked="0"/>
    </xf>
    <xf numFmtId="49" fontId="121" fillId="0" borderId="184" xfId="0" applyNumberFormat="1" applyFont="1" applyBorder="1" applyAlignment="1" applyProtection="1">
      <alignment horizontal="center" shrinkToFit="1"/>
      <protection locked="0"/>
    </xf>
    <xf numFmtId="49" fontId="121" fillId="0" borderId="185" xfId="0" applyNumberFormat="1" applyFont="1" applyBorder="1" applyAlignment="1" applyProtection="1">
      <alignment horizontal="center" shrinkToFit="1"/>
      <protection locked="0"/>
    </xf>
    <xf numFmtId="167" fontId="76" fillId="70" borderId="160" xfId="0" applyNumberFormat="1" applyFont="1" applyFill="1" applyBorder="1" applyAlignment="1">
      <alignment horizontal="center" wrapText="1"/>
    </xf>
    <xf numFmtId="167" fontId="76" fillId="70" borderId="161" xfId="0" applyNumberFormat="1" applyFont="1" applyFill="1" applyBorder="1" applyAlignment="1">
      <alignment horizontal="center" wrapText="1"/>
    </xf>
    <xf numFmtId="167" fontId="76" fillId="70" borderId="162" xfId="0" applyNumberFormat="1" applyFont="1" applyFill="1" applyBorder="1" applyAlignment="1">
      <alignment horizontal="center" wrapText="1"/>
    </xf>
    <xf numFmtId="167" fontId="76" fillId="70" borderId="163" xfId="0" applyNumberFormat="1" applyFont="1" applyFill="1" applyBorder="1" applyAlignment="1">
      <alignment horizontal="center" wrapText="1"/>
    </xf>
    <xf numFmtId="167" fontId="76" fillId="70" borderId="154" xfId="0" applyNumberFormat="1" applyFont="1" applyFill="1" applyBorder="1" applyAlignment="1">
      <alignment horizontal="center" wrapText="1"/>
    </xf>
    <xf numFmtId="167" fontId="76" fillId="70" borderId="164" xfId="0" applyNumberFormat="1" applyFont="1" applyFill="1" applyBorder="1" applyAlignment="1">
      <alignment horizontal="center" wrapText="1"/>
    </xf>
    <xf numFmtId="1" fontId="0" fillId="0" borderId="1" xfId="0" applyNumberFormat="1" applyBorder="1" applyAlignment="1">
      <alignment horizontal="center"/>
    </xf>
    <xf numFmtId="167" fontId="0" fillId="0" borderId="1" xfId="0" applyNumberFormat="1" applyBorder="1" applyAlignment="1">
      <alignment horizontal="center"/>
    </xf>
    <xf numFmtId="10" fontId="8" fillId="0" borderId="1" xfId="0" applyNumberFormat="1" applyFont="1" applyBorder="1" applyAlignment="1" applyProtection="1">
      <alignment horizontal="center"/>
      <protection hidden="1"/>
    </xf>
    <xf numFmtId="0" fontId="0" fillId="0" borderId="6" xfId="0" applyBorder="1" applyAlignment="1">
      <alignment horizontal="center"/>
    </xf>
    <xf numFmtId="0" fontId="0" fillId="0" borderId="8" xfId="0" applyBorder="1" applyAlignment="1">
      <alignment horizontal="center"/>
    </xf>
    <xf numFmtId="0" fontId="0" fillId="0" borderId="1" xfId="0" applyBorder="1" applyAlignment="1" applyProtection="1">
      <alignment horizontal="center"/>
      <protection locked="0"/>
    </xf>
    <xf numFmtId="0" fontId="0" fillId="66" borderId="1" xfId="0" applyFill="1" applyBorder="1" applyAlignment="1">
      <alignment horizontal="center"/>
    </xf>
    <xf numFmtId="0" fontId="50" fillId="4" borderId="0" xfId="0" applyFont="1" applyFill="1" applyAlignment="1">
      <alignment horizontal="center" wrapText="1"/>
    </xf>
    <xf numFmtId="0" fontId="50" fillId="4" borderId="154" xfId="0" applyFont="1" applyFill="1" applyBorder="1" applyAlignment="1">
      <alignment horizontal="center" wrapText="1"/>
    </xf>
    <xf numFmtId="0" fontId="0" fillId="0" borderId="1" xfId="0" applyBorder="1" applyAlignment="1">
      <alignment horizontal="center" wrapText="1"/>
    </xf>
    <xf numFmtId="0" fontId="10" fillId="0" borderId="0" xfId="0" applyFont="1" applyAlignment="1" applyProtection="1">
      <alignment horizontal="center" wrapText="1"/>
      <protection hidden="1"/>
    </xf>
    <xf numFmtId="0" fontId="10" fillId="0" borderId="11" xfId="0" applyFont="1" applyBorder="1" applyAlignment="1" applyProtection="1">
      <alignment horizontal="center" wrapText="1"/>
      <protection hidden="1"/>
    </xf>
    <xf numFmtId="0" fontId="70" fillId="0" borderId="0" xfId="0" applyFont="1" applyAlignment="1">
      <alignment horizontal="center" vertical="center" wrapText="1"/>
    </xf>
    <xf numFmtId="0" fontId="70" fillId="0" borderId="154" xfId="0" applyFont="1" applyBorder="1" applyAlignment="1">
      <alignment horizontal="center" wrapText="1"/>
    </xf>
    <xf numFmtId="0" fontId="70" fillId="0" borderId="0" xfId="0" applyFont="1" applyAlignment="1">
      <alignment horizontal="center" wrapText="1"/>
    </xf>
    <xf numFmtId="0" fontId="10" fillId="4" borderId="0" xfId="0" applyFont="1" applyFill="1" applyAlignment="1">
      <alignment horizontal="center" wrapText="1"/>
    </xf>
    <xf numFmtId="0" fontId="10" fillId="4" borderId="154" xfId="0" applyFont="1" applyFill="1" applyBorder="1" applyAlignment="1">
      <alignment horizontal="center" wrapText="1"/>
    </xf>
    <xf numFmtId="164" fontId="50" fillId="0" borderId="0" xfId="0" applyNumberFormat="1" applyFont="1" applyAlignment="1">
      <alignment horizontal="right" vertical="center"/>
    </xf>
    <xf numFmtId="0" fontId="121" fillId="4" borderId="160" xfId="0" applyFont="1" applyFill="1" applyBorder="1" applyAlignment="1" applyProtection="1">
      <alignment horizontal="center" wrapText="1" shrinkToFit="1"/>
      <protection locked="0"/>
    </xf>
    <xf numFmtId="0" fontId="121" fillId="4" borderId="161" xfId="0" applyFont="1" applyFill="1" applyBorder="1" applyAlignment="1" applyProtection="1">
      <alignment horizontal="center" wrapText="1" shrinkToFit="1"/>
      <protection locked="0"/>
    </xf>
    <xf numFmtId="0" fontId="121" fillId="4" borderId="162" xfId="0" applyFont="1" applyFill="1" applyBorder="1" applyAlignment="1" applyProtection="1">
      <alignment horizontal="center" wrapText="1" shrinkToFit="1"/>
      <protection locked="0"/>
    </xf>
    <xf numFmtId="0" fontId="121" fillId="4" borderId="163" xfId="0" applyFont="1" applyFill="1" applyBorder="1" applyAlignment="1" applyProtection="1">
      <alignment horizontal="center" wrapText="1" shrinkToFit="1"/>
      <protection locked="0"/>
    </xf>
    <xf numFmtId="0" fontId="121" fillId="4" borderId="154" xfId="0" applyFont="1" applyFill="1" applyBorder="1" applyAlignment="1" applyProtection="1">
      <alignment horizontal="center" wrapText="1" shrinkToFit="1"/>
      <protection locked="0"/>
    </xf>
    <xf numFmtId="0" fontId="121" fillId="4" borderId="164" xfId="0" applyFont="1" applyFill="1" applyBorder="1" applyAlignment="1" applyProtection="1">
      <alignment horizontal="center" wrapText="1" shrinkToFit="1"/>
      <protection locked="0"/>
    </xf>
    <xf numFmtId="172" fontId="121" fillId="0" borderId="53" xfId="15" applyNumberFormat="1" applyFont="1" applyBorder="1" applyAlignment="1" applyProtection="1">
      <alignment horizontal="center" wrapText="1"/>
      <protection locked="0"/>
    </xf>
    <xf numFmtId="0" fontId="55" fillId="0" borderId="0" xfId="0" applyFont="1" applyAlignment="1">
      <alignment horizontal="center"/>
    </xf>
    <xf numFmtId="0" fontId="166" fillId="0" borderId="0" xfId="0" applyFont="1" applyAlignment="1">
      <alignment horizontal="center" vertical="top" wrapText="1"/>
    </xf>
    <xf numFmtId="167" fontId="178" fillId="0" borderId="0" xfId="0" applyNumberFormat="1" applyFont="1" applyAlignment="1">
      <alignment horizontal="center" shrinkToFit="1"/>
    </xf>
    <xf numFmtId="0" fontId="166" fillId="70" borderId="166" xfId="0" applyFont="1" applyFill="1" applyBorder="1" applyAlignment="1" applyProtection="1">
      <alignment horizontal="center" vertical="center" wrapText="1"/>
      <protection hidden="1"/>
    </xf>
    <xf numFmtId="0" fontId="166" fillId="70" borderId="170" xfId="0" applyFont="1" applyFill="1" applyBorder="1" applyAlignment="1" applyProtection="1">
      <alignment horizontal="center" vertical="center" wrapText="1"/>
      <protection hidden="1"/>
    </xf>
    <xf numFmtId="169" fontId="178" fillId="0" borderId="0" xfId="0" applyNumberFormat="1" applyFont="1" applyAlignment="1">
      <alignment horizontal="center" shrinkToFit="1"/>
    </xf>
    <xf numFmtId="177" fontId="178" fillId="0" borderId="0" xfId="0" applyNumberFormat="1" applyFont="1" applyAlignment="1">
      <alignment horizontal="center" shrinkToFit="1"/>
    </xf>
    <xf numFmtId="0" fontId="166" fillId="0" borderId="175" xfId="0" applyFont="1" applyBorder="1" applyAlignment="1">
      <alignment horizontal="center" vertical="center" wrapText="1"/>
    </xf>
    <xf numFmtId="0" fontId="166" fillId="70" borderId="179" xfId="0" applyFont="1" applyFill="1" applyBorder="1" applyAlignment="1" applyProtection="1">
      <alignment horizontal="center" vertical="center" wrapText="1"/>
      <protection hidden="1"/>
    </xf>
    <xf numFmtId="0" fontId="166" fillId="70" borderId="180" xfId="0" applyFont="1" applyFill="1" applyBorder="1" applyAlignment="1" applyProtection="1">
      <alignment horizontal="center" vertical="center" wrapText="1"/>
      <protection hidden="1"/>
    </xf>
    <xf numFmtId="0" fontId="166" fillId="70" borderId="181" xfId="0" applyFont="1" applyFill="1" applyBorder="1" applyAlignment="1" applyProtection="1">
      <alignment horizontal="center" vertical="center" wrapText="1"/>
      <protection hidden="1"/>
    </xf>
    <xf numFmtId="0" fontId="166" fillId="70" borderId="167" xfId="0" applyFont="1" applyFill="1" applyBorder="1" applyAlignment="1" applyProtection="1">
      <alignment horizontal="center" vertical="center" wrapText="1"/>
      <protection hidden="1"/>
    </xf>
    <xf numFmtId="0" fontId="166" fillId="70" borderId="0" xfId="0" applyFont="1" applyFill="1" applyAlignment="1" applyProtection="1">
      <alignment horizontal="center" vertical="center" wrapText="1"/>
      <protection hidden="1"/>
    </xf>
    <xf numFmtId="0" fontId="166" fillId="70" borderId="168" xfId="0" applyFont="1" applyFill="1" applyBorder="1" applyAlignment="1" applyProtection="1">
      <alignment horizontal="center" vertical="center" wrapText="1"/>
      <protection hidden="1"/>
    </xf>
    <xf numFmtId="0" fontId="166" fillId="70" borderId="182" xfId="0" applyFont="1" applyFill="1" applyBorder="1" applyAlignment="1" applyProtection="1">
      <alignment horizontal="center" vertical="center" wrapText="1"/>
      <protection hidden="1"/>
    </xf>
    <xf numFmtId="0" fontId="166" fillId="70" borderId="165" xfId="0" applyFont="1" applyFill="1" applyBorder="1" applyAlignment="1" applyProtection="1">
      <alignment horizontal="center" vertical="center" wrapText="1"/>
      <protection hidden="1"/>
    </xf>
    <xf numFmtId="0" fontId="166" fillId="70" borderId="178" xfId="0" applyFont="1" applyFill="1" applyBorder="1" applyAlignment="1" applyProtection="1">
      <alignment horizontal="center" vertical="center" wrapText="1"/>
      <protection hidden="1"/>
    </xf>
    <xf numFmtId="0" fontId="178" fillId="0" borderId="136" xfId="0" applyFont="1" applyBorder="1" applyAlignment="1" applyProtection="1">
      <alignment horizontal="center"/>
      <protection hidden="1"/>
    </xf>
    <xf numFmtId="0" fontId="178" fillId="0" borderId="0" xfId="0" applyFont="1" applyAlignment="1" applyProtection="1">
      <alignment horizontal="center"/>
      <protection hidden="1"/>
    </xf>
    <xf numFmtId="167" fontId="8" fillId="70" borderId="0" xfId="0" applyNumberFormat="1" applyFont="1" applyFill="1" applyAlignment="1" applyProtection="1">
      <alignment horizontal="center"/>
      <protection locked="0"/>
    </xf>
    <xf numFmtId="0" fontId="70" fillId="0" borderId="186" xfId="0" applyFont="1" applyBorder="1" applyAlignment="1">
      <alignment horizontal="center" wrapText="1"/>
    </xf>
    <xf numFmtId="0" fontId="70" fillId="0" borderId="171" xfId="0" applyFont="1" applyBorder="1" applyAlignment="1">
      <alignment horizontal="center" wrapText="1"/>
    </xf>
    <xf numFmtId="0" fontId="50" fillId="4" borderId="0" xfId="0" applyFont="1" applyFill="1" applyAlignment="1" applyProtection="1">
      <alignment horizontal="center" wrapText="1"/>
      <protection hidden="1"/>
    </xf>
    <xf numFmtId="0" fontId="166" fillId="4" borderId="88" xfId="0" applyFont="1" applyFill="1" applyBorder="1" applyAlignment="1" applyProtection="1">
      <alignment horizontal="center" vertical="center" wrapText="1"/>
      <protection hidden="1"/>
    </xf>
    <xf numFmtId="0" fontId="166" fillId="4" borderId="0" xfId="0" applyFont="1" applyFill="1" applyAlignment="1" applyProtection="1">
      <alignment horizontal="center" vertical="center" wrapText="1"/>
      <protection hidden="1"/>
    </xf>
    <xf numFmtId="0" fontId="166" fillId="4" borderId="114" xfId="0" applyFont="1" applyFill="1" applyBorder="1" applyAlignment="1" applyProtection="1">
      <alignment horizontal="center" vertical="center" wrapText="1"/>
      <protection hidden="1"/>
    </xf>
    <xf numFmtId="0" fontId="166" fillId="4" borderId="115" xfId="0" applyFont="1" applyFill="1" applyBorder="1" applyAlignment="1" applyProtection="1">
      <alignment horizontal="center" vertical="center" wrapText="1"/>
      <protection hidden="1"/>
    </xf>
    <xf numFmtId="0" fontId="60" fillId="70" borderId="179" xfId="1" applyFont="1" applyFill="1" applyBorder="1" applyAlignment="1" applyProtection="1">
      <alignment horizontal="center" vertical="center" wrapText="1"/>
      <protection hidden="1"/>
    </xf>
    <xf numFmtId="0" fontId="60" fillId="70" borderId="180" xfId="1" applyFont="1" applyFill="1" applyBorder="1" applyAlignment="1" applyProtection="1">
      <alignment horizontal="center" vertical="center" wrapText="1"/>
      <protection hidden="1"/>
    </xf>
    <xf numFmtId="0" fontId="60" fillId="70" borderId="181" xfId="1" applyFont="1" applyFill="1" applyBorder="1" applyAlignment="1" applyProtection="1">
      <alignment horizontal="center" vertical="center" wrapText="1"/>
      <protection hidden="1"/>
    </xf>
    <xf numFmtId="0" fontId="60" fillId="70" borderId="167" xfId="1" applyFont="1" applyFill="1" applyBorder="1" applyAlignment="1" applyProtection="1">
      <alignment horizontal="center" vertical="center" wrapText="1"/>
      <protection hidden="1"/>
    </xf>
    <xf numFmtId="0" fontId="60" fillId="70" borderId="0" xfId="1" applyFont="1" applyFill="1" applyBorder="1" applyAlignment="1" applyProtection="1">
      <alignment horizontal="center" vertical="center" wrapText="1"/>
      <protection hidden="1"/>
    </xf>
    <xf numFmtId="0" fontId="60" fillId="70" borderId="168" xfId="1" applyFont="1" applyFill="1" applyBorder="1" applyAlignment="1" applyProtection="1">
      <alignment horizontal="center" vertical="center" wrapText="1"/>
      <protection hidden="1"/>
    </xf>
    <xf numFmtId="0" fontId="60" fillId="70" borderId="182" xfId="1" applyFont="1" applyFill="1" applyBorder="1" applyAlignment="1" applyProtection="1">
      <alignment horizontal="center" vertical="center" wrapText="1"/>
      <protection hidden="1"/>
    </xf>
    <xf numFmtId="0" fontId="60" fillId="70" borderId="165" xfId="1" applyFont="1" applyFill="1" applyBorder="1" applyAlignment="1" applyProtection="1">
      <alignment horizontal="center" vertical="center" wrapText="1"/>
      <protection hidden="1"/>
    </xf>
    <xf numFmtId="0" fontId="60" fillId="70" borderId="178" xfId="1" applyFont="1" applyFill="1" applyBorder="1" applyAlignment="1" applyProtection="1">
      <alignment horizontal="center" vertical="center" wrapText="1"/>
      <protection hidden="1"/>
    </xf>
    <xf numFmtId="0" fontId="50" fillId="0" borderId="47" xfId="0" applyFont="1" applyBorder="1" applyAlignment="1">
      <alignment horizontal="center"/>
    </xf>
    <xf numFmtId="0" fontId="50" fillId="4" borderId="154" xfId="0" applyFont="1" applyFill="1" applyBorder="1" applyAlignment="1" applyProtection="1">
      <alignment horizontal="center" wrapText="1"/>
      <protection hidden="1"/>
    </xf>
    <xf numFmtId="0" fontId="11" fillId="68" borderId="0" xfId="0" applyFont="1" applyFill="1" applyAlignment="1">
      <alignment horizontal="center"/>
    </xf>
    <xf numFmtId="0" fontId="0" fillId="72" borderId="0" xfId="0" applyFill="1" applyAlignment="1" applyProtection="1">
      <alignment horizontal="center" wrapText="1"/>
      <protection hidden="1"/>
    </xf>
    <xf numFmtId="0" fontId="0" fillId="0" borderId="0" xfId="0" applyAlignment="1">
      <alignment horizontal="center" wrapText="1"/>
    </xf>
    <xf numFmtId="0" fontId="0" fillId="72" borderId="1" xfId="0" applyFill="1" applyBorder="1" applyAlignment="1">
      <alignment horizontal="center"/>
    </xf>
    <xf numFmtId="182" fontId="121" fillId="0" borderId="53" xfId="15" applyNumberFormat="1" applyFont="1" applyBorder="1" applyAlignment="1" applyProtection="1">
      <alignment horizontal="center" wrapText="1"/>
      <protection locked="0"/>
    </xf>
    <xf numFmtId="183" fontId="121" fillId="0" borderId="53" xfId="15" applyNumberFormat="1" applyFont="1" applyBorder="1" applyAlignment="1" applyProtection="1">
      <alignment horizontal="center" wrapText="1"/>
      <protection locked="0"/>
    </xf>
    <xf numFmtId="164" fontId="8" fillId="0" borderId="0" xfId="0" applyNumberFormat="1" applyFont="1" applyAlignment="1">
      <alignment horizontal="right" vertical="center"/>
    </xf>
    <xf numFmtId="167" fontId="162" fillId="4" borderId="107" xfId="13" applyNumberFormat="1" applyFont="1" applyFill="1" applyBorder="1" applyAlignment="1" applyProtection="1">
      <alignment horizontal="left" vertical="center"/>
      <protection hidden="1"/>
    </xf>
    <xf numFmtId="0" fontId="163" fillId="4" borderId="107" xfId="1" applyFont="1" applyFill="1" applyBorder="1" applyAlignment="1" applyProtection="1">
      <alignment horizontal="right" vertical="center"/>
      <protection hidden="1"/>
    </xf>
    <xf numFmtId="0" fontId="166" fillId="0" borderId="166" xfId="0" applyFont="1" applyBorder="1" applyAlignment="1" applyProtection="1">
      <alignment horizontal="center" vertical="center" wrapText="1"/>
      <protection hidden="1"/>
    </xf>
    <xf numFmtId="0" fontId="166" fillId="0" borderId="170" xfId="0" applyFont="1" applyBorder="1" applyAlignment="1" applyProtection="1">
      <alignment horizontal="center" vertical="center" wrapText="1"/>
      <protection hidden="1"/>
    </xf>
    <xf numFmtId="0" fontId="166" fillId="70" borderId="88" xfId="0" applyFont="1" applyFill="1" applyBorder="1" applyAlignment="1" applyProtection="1">
      <alignment horizontal="center" vertical="center" wrapText="1"/>
      <protection hidden="1"/>
    </xf>
    <xf numFmtId="0" fontId="166" fillId="70" borderId="114" xfId="0" applyFont="1" applyFill="1" applyBorder="1" applyAlignment="1" applyProtection="1">
      <alignment horizontal="center" vertical="center" wrapText="1"/>
      <protection hidden="1"/>
    </xf>
    <xf numFmtId="0" fontId="166" fillId="70" borderId="115" xfId="0" applyFont="1" applyFill="1" applyBorder="1" applyAlignment="1" applyProtection="1">
      <alignment horizontal="center" vertical="center" wrapText="1"/>
      <protection hidden="1"/>
    </xf>
    <xf numFmtId="0" fontId="166" fillId="4" borderId="166" xfId="0" applyFont="1" applyFill="1" applyBorder="1" applyAlignment="1" applyProtection="1">
      <alignment horizontal="center" vertical="center" wrapText="1"/>
      <protection hidden="1"/>
    </xf>
    <xf numFmtId="0" fontId="166" fillId="4" borderId="170" xfId="0" applyFont="1" applyFill="1" applyBorder="1" applyAlignment="1" applyProtection="1">
      <alignment horizontal="center" vertical="center" wrapText="1"/>
      <protection hidden="1"/>
    </xf>
    <xf numFmtId="0" fontId="0" fillId="0" borderId="1" xfId="0" applyBorder="1" applyAlignment="1" applyProtection="1">
      <alignment horizontal="center"/>
      <protection locked="0" hidden="1"/>
    </xf>
    <xf numFmtId="0" fontId="50" fillId="4" borderId="43" xfId="0" applyFont="1" applyFill="1" applyBorder="1" applyAlignment="1" applyProtection="1">
      <alignment horizontal="center" wrapText="1"/>
      <protection hidden="1"/>
    </xf>
    <xf numFmtId="0" fontId="60" fillId="4" borderId="179" xfId="1" applyFont="1" applyFill="1" applyBorder="1" applyAlignment="1" applyProtection="1">
      <alignment horizontal="center" vertical="center" wrapText="1"/>
      <protection hidden="1"/>
    </xf>
    <xf numFmtId="0" fontId="60" fillId="4" borderId="180" xfId="1" applyFont="1" applyFill="1" applyBorder="1" applyAlignment="1" applyProtection="1">
      <alignment horizontal="center" vertical="center" wrapText="1"/>
      <protection hidden="1"/>
    </xf>
    <xf numFmtId="0" fontId="60" fillId="4" borderId="181" xfId="1" applyFont="1" applyFill="1" applyBorder="1" applyAlignment="1" applyProtection="1">
      <alignment horizontal="center" vertical="center" wrapText="1"/>
      <protection hidden="1"/>
    </xf>
    <xf numFmtId="0" fontId="60" fillId="4" borderId="167" xfId="1" applyFont="1" applyFill="1" applyBorder="1" applyAlignment="1" applyProtection="1">
      <alignment horizontal="center" vertical="center" wrapText="1"/>
      <protection hidden="1"/>
    </xf>
    <xf numFmtId="0" fontId="60" fillId="4" borderId="0" xfId="1" applyFont="1" applyFill="1" applyBorder="1" applyAlignment="1" applyProtection="1">
      <alignment horizontal="center" vertical="center" wrapText="1"/>
      <protection hidden="1"/>
    </xf>
    <xf numFmtId="0" fontId="60" fillId="4" borderId="168" xfId="1" applyFont="1" applyFill="1" applyBorder="1" applyAlignment="1" applyProtection="1">
      <alignment horizontal="center" vertical="center" wrapText="1"/>
      <protection hidden="1"/>
    </xf>
    <xf numFmtId="0" fontId="60" fillId="4" borderId="182" xfId="1" applyFont="1" applyFill="1" applyBorder="1" applyAlignment="1" applyProtection="1">
      <alignment horizontal="center" vertical="center" wrapText="1"/>
      <protection hidden="1"/>
    </xf>
    <xf numFmtId="0" fontId="60" fillId="4" borderId="165" xfId="1" applyFont="1" applyFill="1" applyBorder="1" applyAlignment="1" applyProtection="1">
      <alignment horizontal="center" vertical="center" wrapText="1"/>
      <protection hidden="1"/>
    </xf>
    <xf numFmtId="0" fontId="60" fillId="4" borderId="178" xfId="1" applyFont="1" applyFill="1" applyBorder="1" applyAlignment="1" applyProtection="1">
      <alignment horizontal="center" vertical="center" wrapText="1"/>
      <protection hidden="1"/>
    </xf>
    <xf numFmtId="0" fontId="166" fillId="4" borderId="179" xfId="0" applyFont="1" applyFill="1" applyBorder="1" applyAlignment="1" applyProtection="1">
      <alignment horizontal="center" vertical="center" wrapText="1"/>
      <protection hidden="1"/>
    </xf>
    <xf numFmtId="0" fontId="166" fillId="4" borderId="180" xfId="0" applyFont="1" applyFill="1" applyBorder="1" applyAlignment="1" applyProtection="1">
      <alignment horizontal="center" vertical="center" wrapText="1"/>
      <protection hidden="1"/>
    </xf>
    <xf numFmtId="0" fontId="166" fillId="4" borderId="181" xfId="0" applyFont="1" applyFill="1" applyBorder="1" applyAlignment="1" applyProtection="1">
      <alignment horizontal="center" vertical="center" wrapText="1"/>
      <protection hidden="1"/>
    </xf>
    <xf numFmtId="0" fontId="166" fillId="4" borderId="167" xfId="0" applyFont="1" applyFill="1" applyBorder="1" applyAlignment="1" applyProtection="1">
      <alignment horizontal="center" vertical="center" wrapText="1"/>
      <protection hidden="1"/>
    </xf>
    <xf numFmtId="0" fontId="166" fillId="4" borderId="168" xfId="0" applyFont="1" applyFill="1" applyBorder="1" applyAlignment="1" applyProtection="1">
      <alignment horizontal="center" vertical="center" wrapText="1"/>
      <protection hidden="1"/>
    </xf>
    <xf numFmtId="0" fontId="166" fillId="4" borderId="182" xfId="0" applyFont="1" applyFill="1" applyBorder="1" applyAlignment="1" applyProtection="1">
      <alignment horizontal="center" vertical="center" wrapText="1"/>
      <protection hidden="1"/>
    </xf>
    <xf numFmtId="0" fontId="166" fillId="4" borderId="165" xfId="0" applyFont="1" applyFill="1" applyBorder="1" applyAlignment="1" applyProtection="1">
      <alignment horizontal="center" vertical="center" wrapText="1"/>
      <protection hidden="1"/>
    </xf>
    <xf numFmtId="0" fontId="166" fillId="4" borderId="178" xfId="0" applyFont="1" applyFill="1" applyBorder="1" applyAlignment="1" applyProtection="1">
      <alignment horizontal="center" vertical="center" wrapText="1"/>
      <protection hidden="1"/>
    </xf>
    <xf numFmtId="169" fontId="202" fillId="70" borderId="160" xfId="0" applyNumberFormat="1" applyFont="1" applyFill="1" applyBorder="1" applyAlignment="1">
      <alignment horizontal="center" shrinkToFit="1"/>
    </xf>
    <xf numFmtId="169" fontId="202" fillId="70" borderId="161" xfId="0" applyNumberFormat="1" applyFont="1" applyFill="1" applyBorder="1" applyAlignment="1">
      <alignment horizontal="center" shrinkToFit="1"/>
    </xf>
    <xf numFmtId="169" fontId="202" fillId="70" borderId="162" xfId="0" applyNumberFormat="1" applyFont="1" applyFill="1" applyBorder="1" applyAlignment="1">
      <alignment horizontal="center" shrinkToFit="1"/>
    </xf>
    <xf numFmtId="169" fontId="202" fillId="70" borderId="163" xfId="0" applyNumberFormat="1" applyFont="1" applyFill="1" applyBorder="1" applyAlignment="1">
      <alignment horizontal="center" shrinkToFit="1"/>
    </xf>
    <xf numFmtId="169" fontId="202" fillId="70" borderId="154" xfId="0" applyNumberFormat="1" applyFont="1" applyFill="1" applyBorder="1" applyAlignment="1">
      <alignment horizontal="center" shrinkToFit="1"/>
    </xf>
    <xf numFmtId="169" fontId="202" fillId="70" borderId="164" xfId="0" applyNumberFormat="1" applyFont="1" applyFill="1" applyBorder="1" applyAlignment="1">
      <alignment horizontal="center" shrinkToFit="1"/>
    </xf>
    <xf numFmtId="177" fontId="202" fillId="70" borderId="160" xfId="0" applyNumberFormat="1" applyFont="1" applyFill="1" applyBorder="1" applyAlignment="1" applyProtection="1">
      <alignment horizontal="center" shrinkToFit="1"/>
      <protection hidden="1"/>
    </xf>
    <xf numFmtId="177" fontId="202" fillId="70" borderId="161" xfId="0" applyNumberFormat="1" applyFont="1" applyFill="1" applyBorder="1" applyAlignment="1" applyProtection="1">
      <alignment horizontal="center" shrinkToFit="1"/>
      <protection hidden="1"/>
    </xf>
    <xf numFmtId="177" fontId="202" fillId="70" borderId="162" xfId="0" applyNumberFormat="1" applyFont="1" applyFill="1" applyBorder="1" applyAlignment="1" applyProtection="1">
      <alignment horizontal="center" shrinkToFit="1"/>
      <protection hidden="1"/>
    </xf>
    <xf numFmtId="177" fontId="202" fillId="70" borderId="163" xfId="0" applyNumberFormat="1" applyFont="1" applyFill="1" applyBorder="1" applyAlignment="1" applyProtection="1">
      <alignment horizontal="center" shrinkToFit="1"/>
      <protection hidden="1"/>
    </xf>
    <xf numFmtId="177" fontId="202" fillId="70" borderId="154" xfId="0" applyNumberFormat="1" applyFont="1" applyFill="1" applyBorder="1" applyAlignment="1" applyProtection="1">
      <alignment horizontal="center" shrinkToFit="1"/>
      <protection hidden="1"/>
    </xf>
    <xf numFmtId="177" fontId="202" fillId="70" borderId="164" xfId="0" applyNumberFormat="1" applyFont="1" applyFill="1" applyBorder="1" applyAlignment="1" applyProtection="1">
      <alignment horizontal="center" shrinkToFit="1"/>
      <protection hidden="1"/>
    </xf>
    <xf numFmtId="167" fontId="202" fillId="70" borderId="160" xfId="0" applyNumberFormat="1" applyFont="1" applyFill="1" applyBorder="1" applyAlignment="1">
      <alignment horizontal="center" shrinkToFit="1"/>
    </xf>
    <xf numFmtId="167" fontId="202" fillId="70" borderId="162" xfId="0" applyNumberFormat="1" applyFont="1" applyFill="1" applyBorder="1" applyAlignment="1">
      <alignment horizontal="center" shrinkToFit="1"/>
    </xf>
    <xf numFmtId="167" fontId="202" fillId="70" borderId="163" xfId="0" applyNumberFormat="1" applyFont="1" applyFill="1" applyBorder="1" applyAlignment="1">
      <alignment horizontal="center" shrinkToFit="1"/>
    </xf>
    <xf numFmtId="167" fontId="202" fillId="70" borderId="164" xfId="0" applyNumberFormat="1" applyFont="1" applyFill="1" applyBorder="1" applyAlignment="1">
      <alignment horizontal="center" shrinkToFit="1"/>
    </xf>
    <xf numFmtId="167" fontId="202" fillId="70" borderId="160" xfId="0" applyNumberFormat="1" applyFont="1" applyFill="1" applyBorder="1" applyAlignment="1">
      <alignment horizontal="center" wrapText="1"/>
    </xf>
    <xf numFmtId="167" fontId="202" fillId="70" borderId="161" xfId="0" applyNumberFormat="1" applyFont="1" applyFill="1" applyBorder="1" applyAlignment="1">
      <alignment horizontal="center" wrapText="1"/>
    </xf>
    <xf numFmtId="167" fontId="202" fillId="70" borderId="162" xfId="0" applyNumberFormat="1" applyFont="1" applyFill="1" applyBorder="1" applyAlignment="1">
      <alignment horizontal="center" wrapText="1"/>
    </xf>
    <xf numFmtId="167" fontId="202" fillId="70" borderId="163" xfId="0" applyNumberFormat="1" applyFont="1" applyFill="1" applyBorder="1" applyAlignment="1">
      <alignment horizontal="center" wrapText="1"/>
    </xf>
    <xf numFmtId="167" fontId="202" fillId="70" borderId="154" xfId="0" applyNumberFormat="1" applyFont="1" applyFill="1" applyBorder="1" applyAlignment="1">
      <alignment horizontal="center" wrapText="1"/>
    </xf>
    <xf numFmtId="167" fontId="202" fillId="70" borderId="164" xfId="0" applyNumberFormat="1" applyFont="1" applyFill="1" applyBorder="1" applyAlignment="1">
      <alignment horizontal="center" wrapText="1"/>
    </xf>
    <xf numFmtId="0" fontId="8" fillId="0" borderId="0" xfId="0" applyFont="1" applyAlignment="1">
      <alignment horizontal="center"/>
    </xf>
    <xf numFmtId="167" fontId="10" fillId="70" borderId="0" xfId="0" applyNumberFormat="1" applyFont="1" applyFill="1" applyAlignment="1" applyProtection="1">
      <alignment horizontal="center"/>
      <protection locked="0"/>
    </xf>
    <xf numFmtId="167" fontId="201" fillId="70" borderId="160" xfId="0" applyNumberFormat="1" applyFont="1" applyFill="1" applyBorder="1" applyAlignment="1">
      <alignment horizontal="center" wrapText="1"/>
    </xf>
    <xf numFmtId="167" fontId="201" fillId="70" borderId="161" xfId="0" applyNumberFormat="1" applyFont="1" applyFill="1" applyBorder="1" applyAlignment="1">
      <alignment horizontal="center" wrapText="1"/>
    </xf>
    <xf numFmtId="167" fontId="201" fillId="70" borderId="162" xfId="0" applyNumberFormat="1" applyFont="1" applyFill="1" applyBorder="1" applyAlignment="1">
      <alignment horizontal="center" wrapText="1"/>
    </xf>
    <xf numFmtId="167" fontId="201" fillId="70" borderId="163" xfId="0" applyNumberFormat="1" applyFont="1" applyFill="1" applyBorder="1" applyAlignment="1">
      <alignment horizontal="center" wrapText="1"/>
    </xf>
    <xf numFmtId="167" fontId="201" fillId="70" borderId="154" xfId="0" applyNumberFormat="1" applyFont="1" applyFill="1" applyBorder="1" applyAlignment="1">
      <alignment horizontal="center" wrapText="1"/>
    </xf>
    <xf numFmtId="167" fontId="201" fillId="70" borderId="164" xfId="0" applyNumberFormat="1" applyFont="1" applyFill="1" applyBorder="1" applyAlignment="1">
      <alignment horizontal="center" wrapText="1"/>
    </xf>
    <xf numFmtId="0" fontId="77" fillId="69" borderId="0" xfId="0" applyFont="1" applyFill="1" applyAlignment="1" applyProtection="1">
      <alignment horizontal="right" vertical="center" wrapText="1" indent="1"/>
      <protection hidden="1"/>
    </xf>
    <xf numFmtId="0" fontId="72" fillId="0" borderId="0" xfId="0" applyFont="1" applyAlignment="1" applyProtection="1">
      <alignment horizontal="center" vertical="center" wrapText="1"/>
      <protection hidden="1"/>
    </xf>
    <xf numFmtId="0" fontId="60" fillId="69" borderId="0" xfId="0" applyFont="1" applyFill="1" applyAlignment="1" applyProtection="1">
      <alignment horizontal="left" vertical="top" wrapText="1"/>
      <protection hidden="1"/>
    </xf>
    <xf numFmtId="0" fontId="50" fillId="0" borderId="95" xfId="0" applyFont="1" applyBorder="1" applyAlignment="1" applyProtection="1">
      <alignment horizontal="center"/>
      <protection locked="0" hidden="1"/>
    </xf>
    <xf numFmtId="0" fontId="50" fillId="0" borderId="94" xfId="0" applyFont="1" applyBorder="1" applyAlignment="1" applyProtection="1">
      <alignment horizontal="center"/>
      <protection locked="0" hidden="1"/>
    </xf>
    <xf numFmtId="0" fontId="50" fillId="0" borderId="96" xfId="0" applyFont="1" applyBorder="1" applyAlignment="1" applyProtection="1">
      <alignment horizontal="center"/>
      <protection locked="0" hidden="1"/>
    </xf>
    <xf numFmtId="49" fontId="8" fillId="0" borderId="102" xfId="0" applyNumberFormat="1" applyFont="1" applyBorder="1" applyAlignment="1" applyProtection="1">
      <alignment horizontal="left"/>
      <protection locked="0" hidden="1"/>
    </xf>
    <xf numFmtId="49" fontId="8" fillId="0" borderId="103" xfId="0" applyNumberFormat="1" applyFont="1" applyBorder="1" applyAlignment="1" applyProtection="1">
      <alignment horizontal="left"/>
      <protection locked="0" hidden="1"/>
    </xf>
    <xf numFmtId="49" fontId="8" fillId="0" borderId="104" xfId="0" applyNumberFormat="1" applyFont="1" applyBorder="1" applyAlignment="1" applyProtection="1">
      <alignment horizontal="left"/>
      <protection locked="0" hidden="1"/>
    </xf>
    <xf numFmtId="0" fontId="50" fillId="0" borderId="107" xfId="0" applyFont="1" applyBorder="1" applyAlignment="1" applyProtection="1">
      <alignment horizontal="left"/>
      <protection hidden="1"/>
    </xf>
    <xf numFmtId="0" fontId="10" fillId="69" borderId="0" xfId="0" applyFont="1" applyFill="1" applyAlignment="1" applyProtection="1">
      <alignment horizontal="left" vertical="top" wrapText="1"/>
      <protection hidden="1"/>
    </xf>
    <xf numFmtId="0" fontId="42" fillId="69" borderId="0" xfId="0" applyFont="1" applyFill="1" applyAlignment="1" applyProtection="1">
      <alignment horizontal="left" vertical="center"/>
      <protection hidden="1"/>
    </xf>
    <xf numFmtId="0" fontId="42" fillId="69" borderId="0" xfId="0" applyFont="1" applyFill="1" applyAlignment="1" applyProtection="1">
      <alignment horizontal="right" vertical="center"/>
      <protection hidden="1"/>
    </xf>
    <xf numFmtId="0" fontId="35" fillId="69" borderId="0" xfId="0" applyFont="1" applyFill="1" applyAlignment="1" applyProtection="1">
      <alignment horizontal="center" vertical="center" wrapText="1"/>
      <protection hidden="1"/>
    </xf>
    <xf numFmtId="0" fontId="60" fillId="69" borderId="0" xfId="0" applyFont="1" applyFill="1" applyAlignment="1" applyProtection="1">
      <alignment vertical="top" wrapText="1"/>
      <protection hidden="1"/>
    </xf>
    <xf numFmtId="1" fontId="10" fillId="69" borderId="0" xfId="0" applyNumberFormat="1" applyFont="1" applyFill="1" applyAlignment="1" applyProtection="1">
      <alignment horizontal="left" vertical="top" wrapText="1"/>
      <protection hidden="1"/>
    </xf>
    <xf numFmtId="14" fontId="50" fillId="0" borderId="102" xfId="0" applyNumberFormat="1" applyFont="1" applyBorder="1" applyAlignment="1" applyProtection="1">
      <alignment horizontal="left"/>
      <protection locked="0" hidden="1"/>
    </xf>
    <xf numFmtId="14" fontId="50" fillId="0" borderId="103" xfId="0" applyNumberFormat="1" applyFont="1" applyBorder="1" applyAlignment="1" applyProtection="1">
      <alignment horizontal="left"/>
      <protection locked="0" hidden="1"/>
    </xf>
    <xf numFmtId="14" fontId="50" fillId="0" borderId="104" xfId="0" applyNumberFormat="1" applyFont="1" applyBorder="1" applyAlignment="1" applyProtection="1">
      <alignment horizontal="left"/>
      <protection locked="0" hidden="1"/>
    </xf>
    <xf numFmtId="0" fontId="50" fillId="0" borderId="103" xfId="0" applyFont="1" applyBorder="1" applyAlignment="1" applyProtection="1">
      <alignment horizontal="center"/>
      <protection locked="0" hidden="1"/>
    </xf>
    <xf numFmtId="0" fontId="146" fillId="68" borderId="0" xfId="0" applyFont="1" applyFill="1" applyAlignment="1" applyProtection="1">
      <alignment horizontal="center" vertical="center"/>
      <protection hidden="1"/>
    </xf>
    <xf numFmtId="0" fontId="10" fillId="69" borderId="0" xfId="0" applyFont="1" applyFill="1" applyAlignment="1" applyProtection="1">
      <alignment horizontal="left" vertical="top"/>
      <protection hidden="1"/>
    </xf>
    <xf numFmtId="0" fontId="166" fillId="4" borderId="33" xfId="1" applyFont="1" applyFill="1" applyBorder="1" applyAlignment="1" applyProtection="1">
      <alignment horizontal="center" vertical="center" wrapText="1"/>
      <protection hidden="1"/>
    </xf>
    <xf numFmtId="0" fontId="166" fillId="4" borderId="0" xfId="1" applyFont="1" applyFill="1" applyBorder="1" applyAlignment="1" applyProtection="1">
      <alignment horizontal="center" vertical="center" wrapText="1"/>
      <protection hidden="1"/>
    </xf>
    <xf numFmtId="0" fontId="166" fillId="4" borderId="175" xfId="1" applyFont="1" applyFill="1" applyBorder="1" applyAlignment="1" applyProtection="1">
      <alignment horizontal="center" vertical="center" wrapText="1"/>
      <protection hidden="1"/>
    </xf>
    <xf numFmtId="0" fontId="62" fillId="68" borderId="0" xfId="0" applyFont="1" applyFill="1" applyAlignment="1" applyProtection="1">
      <alignment horizontal="left"/>
      <protection hidden="1"/>
    </xf>
    <xf numFmtId="0" fontId="60" fillId="69" borderId="0" xfId="0" applyFont="1" applyFill="1" applyAlignment="1" applyProtection="1">
      <alignment vertical="top"/>
      <protection hidden="1"/>
    </xf>
    <xf numFmtId="0" fontId="60" fillId="69" borderId="0" xfId="0" applyFont="1" applyFill="1" applyAlignment="1" applyProtection="1">
      <alignment horizontal="left" vertical="top"/>
      <protection hidden="1"/>
    </xf>
    <xf numFmtId="0" fontId="50" fillId="0" borderId="0" xfId="0" applyFont="1" applyAlignment="1" applyProtection="1">
      <alignment horizontal="center" vertical="top" wrapText="1"/>
      <protection hidden="1"/>
    </xf>
    <xf numFmtId="170" fontId="10" fillId="69" borderId="0" xfId="0" applyNumberFormat="1" applyFont="1" applyFill="1" applyAlignment="1" applyProtection="1">
      <alignment horizontal="left" vertical="top"/>
      <protection hidden="1"/>
    </xf>
    <xf numFmtId="0" fontId="62" fillId="68" borderId="0" xfId="0" applyFont="1" applyFill="1" applyAlignment="1" applyProtection="1">
      <alignment horizontal="right"/>
      <protection hidden="1"/>
    </xf>
    <xf numFmtId="0" fontId="8" fillId="2" borderId="95" xfId="0" applyFont="1" applyFill="1" applyBorder="1" applyAlignment="1" applyProtection="1">
      <alignment horizontal="center" vertical="center" wrapText="1"/>
      <protection hidden="1"/>
    </xf>
    <xf numFmtId="0" fontId="8" fillId="2" borderId="94" xfId="0" applyFont="1" applyFill="1" applyBorder="1" applyAlignment="1" applyProtection="1">
      <alignment horizontal="center" vertical="center" wrapText="1"/>
      <protection hidden="1"/>
    </xf>
    <xf numFmtId="0" fontId="8" fillId="2" borderId="96" xfId="0" applyFont="1" applyFill="1" applyBorder="1" applyAlignment="1" applyProtection="1">
      <alignment horizontal="center" vertical="center" wrapText="1"/>
      <protection hidden="1"/>
    </xf>
    <xf numFmtId="0" fontId="8" fillId="2" borderId="97" xfId="0" applyFont="1" applyFill="1" applyBorder="1" applyAlignment="1" applyProtection="1">
      <alignment horizontal="center" vertical="center" wrapText="1"/>
      <protection hidden="1"/>
    </xf>
    <xf numFmtId="0" fontId="8" fillId="2" borderId="0" xfId="0" applyFont="1" applyFill="1" applyAlignment="1" applyProtection="1">
      <alignment horizontal="center" vertical="center" wrapText="1"/>
      <protection hidden="1"/>
    </xf>
    <xf numFmtId="0" fontId="8" fillId="2" borderId="98" xfId="0" applyFont="1" applyFill="1" applyBorder="1" applyAlignment="1" applyProtection="1">
      <alignment horizontal="center" vertical="center" wrapText="1"/>
      <protection hidden="1"/>
    </xf>
    <xf numFmtId="0" fontId="8" fillId="2" borderId="106" xfId="0" applyFont="1" applyFill="1" applyBorder="1" applyAlignment="1" applyProtection="1">
      <alignment horizontal="center" vertical="center" wrapText="1"/>
      <protection hidden="1"/>
    </xf>
    <xf numFmtId="0" fontId="8" fillId="2" borderId="107" xfId="0" applyFont="1" applyFill="1" applyBorder="1" applyAlignment="1" applyProtection="1">
      <alignment horizontal="center" vertical="center" wrapText="1"/>
      <protection hidden="1"/>
    </xf>
    <xf numFmtId="0" fontId="8" fillId="2" borderId="108" xfId="0" applyFont="1" applyFill="1" applyBorder="1" applyAlignment="1" applyProtection="1">
      <alignment horizontal="center" vertical="center" wrapText="1"/>
      <protection hidden="1"/>
    </xf>
    <xf numFmtId="0" fontId="113" fillId="0" borderId="107" xfId="0" applyFont="1" applyBorder="1" applyAlignment="1" applyProtection="1">
      <alignment horizontal="center"/>
      <protection hidden="1"/>
    </xf>
    <xf numFmtId="0" fontId="50" fillId="0" borderId="102" xfId="0" applyFont="1" applyBorder="1" applyAlignment="1" applyProtection="1">
      <alignment horizontal="left" shrinkToFit="1"/>
      <protection hidden="1"/>
    </xf>
    <xf numFmtId="0" fontId="50" fillId="0" borderId="103" xfId="0" applyFont="1" applyBorder="1" applyAlignment="1" applyProtection="1">
      <alignment horizontal="left" shrinkToFit="1"/>
      <protection hidden="1"/>
    </xf>
    <xf numFmtId="0" fontId="50" fillId="0" borderId="104" xfId="0" applyFont="1" applyBorder="1" applyAlignment="1" applyProtection="1">
      <alignment horizontal="left" shrinkToFit="1"/>
      <protection hidden="1"/>
    </xf>
    <xf numFmtId="2" fontId="8" fillId="0" borderId="102" xfId="0" applyNumberFormat="1" applyFont="1" applyBorder="1" applyAlignment="1" applyProtection="1">
      <alignment horizontal="center"/>
      <protection hidden="1"/>
    </xf>
    <xf numFmtId="2" fontId="8" fillId="0" borderId="103" xfId="0" applyNumberFormat="1" applyFont="1" applyBorder="1" applyAlignment="1" applyProtection="1">
      <alignment horizontal="center"/>
      <protection hidden="1"/>
    </xf>
    <xf numFmtId="2" fontId="8" fillId="0" borderId="104" xfId="0" applyNumberFormat="1" applyFont="1" applyBorder="1" applyAlignment="1" applyProtection="1">
      <alignment horizontal="center"/>
      <protection hidden="1"/>
    </xf>
    <xf numFmtId="0" fontId="50" fillId="0" borderId="0" xfId="0" applyFont="1" applyProtection="1">
      <protection hidden="1"/>
    </xf>
    <xf numFmtId="170" fontId="50" fillId="0" borderId="102" xfId="0" applyNumberFormat="1" applyFont="1" applyBorder="1" applyAlignment="1" applyProtection="1">
      <alignment horizontal="left"/>
      <protection hidden="1"/>
    </xf>
    <xf numFmtId="170" fontId="50" fillId="0" borderId="103" xfId="0" applyNumberFormat="1" applyFont="1" applyBorder="1" applyAlignment="1" applyProtection="1">
      <alignment horizontal="left"/>
      <protection hidden="1"/>
    </xf>
    <xf numFmtId="170" fontId="50" fillId="0" borderId="104" xfId="0" applyNumberFormat="1" applyFont="1" applyBorder="1" applyAlignment="1" applyProtection="1">
      <alignment horizontal="left"/>
      <protection hidden="1"/>
    </xf>
    <xf numFmtId="0" fontId="5" fillId="0" borderId="102" xfId="1" applyBorder="1" applyAlignment="1" applyProtection="1">
      <protection hidden="1"/>
    </xf>
    <xf numFmtId="0" fontId="5" fillId="0" borderId="103" xfId="1" applyBorder="1" applyAlignment="1" applyProtection="1">
      <protection hidden="1"/>
    </xf>
    <xf numFmtId="0" fontId="5" fillId="0" borderId="104" xfId="1" applyBorder="1" applyAlignment="1" applyProtection="1">
      <protection hidden="1"/>
    </xf>
    <xf numFmtId="170" fontId="5" fillId="0" borderId="102" xfId="1" applyNumberFormat="1" applyBorder="1" applyAlignment="1" applyProtection="1">
      <protection hidden="1"/>
    </xf>
    <xf numFmtId="170" fontId="5" fillId="0" borderId="103" xfId="1" applyNumberFormat="1" applyBorder="1" applyAlignment="1" applyProtection="1">
      <protection hidden="1"/>
    </xf>
    <xf numFmtId="170" fontId="5" fillId="0" borderId="104" xfId="1" applyNumberFormat="1" applyBorder="1" applyAlignment="1" applyProtection="1">
      <protection hidden="1"/>
    </xf>
    <xf numFmtId="0" fontId="50" fillId="0" borderId="102" xfId="0" applyFont="1" applyBorder="1" applyProtection="1">
      <protection hidden="1"/>
    </xf>
    <xf numFmtId="0" fontId="50" fillId="0" borderId="103" xfId="0" applyFont="1" applyBorder="1" applyProtection="1">
      <protection hidden="1"/>
    </xf>
    <xf numFmtId="0" fontId="50" fillId="0" borderId="104" xfId="0" applyFont="1" applyBorder="1" applyProtection="1">
      <protection hidden="1"/>
    </xf>
    <xf numFmtId="0" fontId="50" fillId="0" borderId="107" xfId="0" applyFont="1" applyBorder="1" applyProtection="1">
      <protection hidden="1"/>
    </xf>
    <xf numFmtId="0" fontId="50" fillId="0" borderId="102" xfId="0" applyFont="1" applyBorder="1" applyAlignment="1" applyProtection="1">
      <alignment horizontal="center"/>
      <protection hidden="1"/>
    </xf>
    <xf numFmtId="0" fontId="50" fillId="0" borderId="104" xfId="0" applyFont="1" applyBorder="1" applyAlignment="1" applyProtection="1">
      <alignment horizontal="center"/>
      <protection hidden="1"/>
    </xf>
    <xf numFmtId="166" fontId="50" fillId="0" borderId="102" xfId="0" applyNumberFormat="1" applyFont="1" applyBorder="1" applyAlignment="1" applyProtection="1">
      <alignment horizontal="center"/>
      <protection hidden="1"/>
    </xf>
    <xf numFmtId="166" fontId="50" fillId="0" borderId="104" xfId="0" applyNumberFormat="1" applyFont="1" applyBorder="1" applyAlignment="1" applyProtection="1">
      <alignment horizontal="center"/>
      <protection hidden="1"/>
    </xf>
    <xf numFmtId="0" fontId="50" fillId="0" borderId="102" xfId="0" applyFont="1" applyBorder="1" applyAlignment="1" applyProtection="1">
      <alignment horizontal="left" shrinkToFit="1"/>
      <protection locked="0" hidden="1"/>
    </xf>
    <xf numFmtId="0" fontId="50" fillId="0" borderId="103" xfId="0" applyFont="1" applyBorder="1" applyAlignment="1" applyProtection="1">
      <alignment horizontal="left" shrinkToFit="1"/>
      <protection locked="0" hidden="1"/>
    </xf>
    <xf numFmtId="0" fontId="50" fillId="0" borderId="104" xfId="0" applyFont="1" applyBorder="1" applyAlignment="1" applyProtection="1">
      <alignment horizontal="left" shrinkToFit="1"/>
      <protection locked="0" hidden="1"/>
    </xf>
    <xf numFmtId="0" fontId="8" fillId="0" borderId="104" xfId="0" applyFont="1" applyBorder="1" applyAlignment="1" applyProtection="1">
      <alignment horizontal="center"/>
      <protection locked="0" hidden="1"/>
    </xf>
    <xf numFmtId="0" fontId="50" fillId="4" borderId="103" xfId="0" applyFont="1" applyFill="1" applyBorder="1" applyAlignment="1" applyProtection="1">
      <alignment horizontal="left"/>
      <protection hidden="1"/>
    </xf>
    <xf numFmtId="0" fontId="50" fillId="0" borderId="102" xfId="0" applyFont="1" applyBorder="1" applyAlignment="1" applyProtection="1">
      <alignment horizontal="left"/>
      <protection hidden="1"/>
    </xf>
    <xf numFmtId="0" fontId="50" fillId="0" borderId="103" xfId="0" applyFont="1" applyBorder="1" applyAlignment="1" applyProtection="1">
      <alignment horizontal="left"/>
      <protection hidden="1"/>
    </xf>
    <xf numFmtId="0" fontId="50" fillId="0" borderId="104" xfId="0" applyFont="1" applyBorder="1" applyAlignment="1" applyProtection="1">
      <alignment horizontal="left"/>
      <protection hidden="1"/>
    </xf>
    <xf numFmtId="0" fontId="110" fillId="0" borderId="107" xfId="0" applyFont="1" applyBorder="1" applyAlignment="1" applyProtection="1">
      <alignment horizontal="left"/>
      <protection hidden="1"/>
    </xf>
    <xf numFmtId="166" fontId="50" fillId="4" borderId="102" xfId="0" applyNumberFormat="1" applyFont="1" applyFill="1" applyBorder="1" applyAlignment="1" applyProtection="1">
      <alignment horizontal="left"/>
      <protection hidden="1"/>
    </xf>
    <xf numFmtId="166" fontId="50" fillId="4" borderId="104" xfId="0" applyNumberFormat="1" applyFont="1" applyFill="1" applyBorder="1" applyAlignment="1" applyProtection="1">
      <alignment horizontal="left"/>
      <protection hidden="1"/>
    </xf>
    <xf numFmtId="170" fontId="5" fillId="0" borderId="102" xfId="1" applyNumberFormat="1" applyBorder="1" applyAlignment="1" applyProtection="1">
      <protection locked="0" hidden="1"/>
    </xf>
    <xf numFmtId="170" fontId="5" fillId="0" borderId="103" xfId="1" applyNumberFormat="1" applyBorder="1" applyAlignment="1" applyProtection="1">
      <protection locked="0" hidden="1"/>
    </xf>
    <xf numFmtId="170" fontId="5" fillId="0" borderId="104" xfId="1" applyNumberFormat="1" applyBorder="1" applyAlignment="1" applyProtection="1">
      <protection locked="0" hidden="1"/>
    </xf>
    <xf numFmtId="0" fontId="50" fillId="0" borderId="102" xfId="0" applyFont="1" applyBorder="1" applyProtection="1">
      <protection locked="0" hidden="1"/>
    </xf>
    <xf numFmtId="0" fontId="50" fillId="0" borderId="103" xfId="0" applyFont="1" applyBorder="1" applyProtection="1">
      <protection locked="0" hidden="1"/>
    </xf>
    <xf numFmtId="0" fontId="50" fillId="0" borderId="104" xfId="0" applyFont="1" applyBorder="1" applyProtection="1">
      <protection locked="0" hidden="1"/>
    </xf>
    <xf numFmtId="0" fontId="7" fillId="0" borderId="0" xfId="0" applyFont="1" applyAlignment="1" applyProtection="1">
      <alignment horizontal="center"/>
      <protection hidden="1"/>
    </xf>
    <xf numFmtId="0" fontId="50" fillId="70" borderId="102" xfId="0" applyFont="1" applyFill="1" applyBorder="1" applyAlignment="1" applyProtection="1">
      <alignment horizontal="left"/>
      <protection locked="0" hidden="1"/>
    </xf>
    <xf numFmtId="0" fontId="50" fillId="70" borderId="103" xfId="0" applyFont="1" applyFill="1" applyBorder="1" applyAlignment="1" applyProtection="1">
      <alignment horizontal="left"/>
      <protection locked="0" hidden="1"/>
    </xf>
    <xf numFmtId="0" fontId="50" fillId="70" borderId="104" xfId="0" applyFont="1" applyFill="1" applyBorder="1" applyAlignment="1" applyProtection="1">
      <alignment horizontal="left"/>
      <protection locked="0" hidden="1"/>
    </xf>
    <xf numFmtId="0" fontId="152" fillId="0" borderId="0" xfId="0" applyFont="1" applyAlignment="1" applyProtection="1">
      <alignment horizontal="center" vertical="center"/>
      <protection hidden="1"/>
    </xf>
    <xf numFmtId="167" fontId="132" fillId="0" borderId="0" xfId="0" applyNumberFormat="1" applyFont="1" applyAlignment="1" applyProtection="1">
      <alignment horizontal="center" vertical="center" wrapText="1"/>
      <protection hidden="1"/>
    </xf>
    <xf numFmtId="0" fontId="104" fillId="0" borderId="0" xfId="0" applyFont="1" applyAlignment="1" applyProtection="1">
      <alignment horizontal="center" vertical="center" wrapText="1"/>
      <protection hidden="1"/>
    </xf>
    <xf numFmtId="0" fontId="0" fillId="68" borderId="0" xfId="0" applyFill="1" applyAlignment="1" applyProtection="1">
      <alignment horizontal="center"/>
      <protection hidden="1"/>
    </xf>
    <xf numFmtId="166" fontId="50" fillId="0" borderId="102" xfId="0" applyNumberFormat="1" applyFont="1" applyBorder="1" applyAlignment="1" applyProtection="1">
      <alignment horizontal="center"/>
      <protection locked="0" hidden="1"/>
    </xf>
    <xf numFmtId="166" fontId="50" fillId="0" borderId="104" xfId="0" applyNumberFormat="1" applyFont="1" applyBorder="1" applyAlignment="1" applyProtection="1">
      <alignment horizontal="center"/>
      <protection locked="0" hidden="1"/>
    </xf>
    <xf numFmtId="0" fontId="50" fillId="70" borderId="95" xfId="0" applyFont="1" applyFill="1" applyBorder="1" applyAlignment="1" applyProtection="1">
      <alignment horizontal="left" vertical="center" wrapText="1"/>
      <protection hidden="1"/>
    </xf>
    <xf numFmtId="0" fontId="50" fillId="70" borderId="94" xfId="0" applyFont="1" applyFill="1" applyBorder="1" applyAlignment="1" applyProtection="1">
      <alignment horizontal="left" vertical="center" wrapText="1"/>
      <protection hidden="1"/>
    </xf>
    <xf numFmtId="0" fontId="50" fillId="70" borderId="96" xfId="0" applyFont="1" applyFill="1" applyBorder="1" applyAlignment="1" applyProtection="1">
      <alignment horizontal="left" vertical="center" wrapText="1"/>
      <protection hidden="1"/>
    </xf>
    <xf numFmtId="0" fontId="50" fillId="70" borderId="97" xfId="0" applyFont="1" applyFill="1" applyBorder="1" applyAlignment="1" applyProtection="1">
      <alignment horizontal="left" vertical="center" wrapText="1"/>
      <protection hidden="1"/>
    </xf>
    <xf numFmtId="0" fontId="50" fillId="70" borderId="0" xfId="0" applyFont="1" applyFill="1" applyAlignment="1" applyProtection="1">
      <alignment horizontal="left" vertical="center" wrapText="1"/>
      <protection hidden="1"/>
    </xf>
    <xf numFmtId="0" fontId="50" fillId="70" borderId="98" xfId="0" applyFont="1" applyFill="1" applyBorder="1" applyAlignment="1" applyProtection="1">
      <alignment horizontal="left" vertical="center" wrapText="1"/>
      <protection hidden="1"/>
    </xf>
    <xf numFmtId="0" fontId="50" fillId="70" borderId="106" xfId="0" applyFont="1" applyFill="1" applyBorder="1" applyAlignment="1" applyProtection="1">
      <alignment horizontal="left" vertical="center" wrapText="1"/>
      <protection hidden="1"/>
    </xf>
    <xf numFmtId="0" fontId="50" fillId="70" borderId="107" xfId="0" applyFont="1" applyFill="1" applyBorder="1" applyAlignment="1" applyProtection="1">
      <alignment horizontal="left" vertical="center" wrapText="1"/>
      <protection hidden="1"/>
    </xf>
    <xf numFmtId="0" fontId="50" fillId="70" borderId="108" xfId="0" applyFont="1" applyFill="1" applyBorder="1" applyAlignment="1" applyProtection="1">
      <alignment horizontal="left" vertical="center" wrapText="1"/>
      <protection hidden="1"/>
    </xf>
    <xf numFmtId="0" fontId="110" fillId="0" borderId="107" xfId="0" applyFont="1" applyBorder="1" applyProtection="1">
      <protection hidden="1"/>
    </xf>
    <xf numFmtId="0" fontId="5" fillId="0" borderId="102" xfId="1" applyBorder="1" applyAlignment="1" applyProtection="1">
      <protection locked="0" hidden="1"/>
    </xf>
    <xf numFmtId="0" fontId="5" fillId="0" borderId="103" xfId="1" applyBorder="1" applyAlignment="1" applyProtection="1">
      <protection locked="0" hidden="1"/>
    </xf>
    <xf numFmtId="0" fontId="5" fillId="0" borderId="104" xfId="1" applyBorder="1" applyAlignment="1" applyProtection="1">
      <protection locked="0" hidden="1"/>
    </xf>
    <xf numFmtId="0" fontId="110" fillId="0" borderId="0" xfId="0" applyFont="1" applyAlignment="1" applyProtection="1">
      <alignment horizontal="center" vertical="center" wrapText="1"/>
      <protection hidden="1"/>
    </xf>
    <xf numFmtId="166" fontId="50" fillId="4" borderId="158" xfId="0" applyNumberFormat="1" applyFont="1" applyFill="1" applyBorder="1" applyAlignment="1" applyProtection="1">
      <alignment horizontal="center" vertical="center"/>
      <protection locked="0" hidden="1"/>
    </xf>
    <xf numFmtId="166" fontId="50" fillId="4" borderId="159" xfId="0" applyNumberFormat="1" applyFont="1" applyFill="1" applyBorder="1" applyAlignment="1" applyProtection="1">
      <alignment horizontal="center" vertical="center"/>
      <protection locked="0" hidden="1"/>
    </xf>
    <xf numFmtId="166" fontId="50" fillId="70" borderId="102" xfId="0" applyNumberFormat="1" applyFont="1" applyFill="1" applyBorder="1" applyAlignment="1" applyProtection="1">
      <alignment horizontal="center" vertical="center"/>
      <protection locked="0" hidden="1"/>
    </xf>
    <xf numFmtId="166" fontId="50" fillId="70" borderId="104" xfId="0" applyNumberFormat="1" applyFont="1" applyFill="1" applyBorder="1" applyAlignment="1" applyProtection="1">
      <alignment horizontal="center" vertical="center"/>
      <protection locked="0" hidden="1"/>
    </xf>
    <xf numFmtId="0" fontId="162" fillId="4" borderId="107" xfId="1" applyFont="1" applyFill="1" applyBorder="1" applyAlignment="1" applyProtection="1">
      <alignment horizontal="left" vertical="center"/>
      <protection hidden="1"/>
    </xf>
    <xf numFmtId="167" fontId="162" fillId="4" borderId="169" xfId="13" applyNumberFormat="1" applyFont="1" applyFill="1" applyBorder="1" applyAlignment="1" applyProtection="1">
      <alignment horizontal="left" vertical="center"/>
      <protection hidden="1"/>
    </xf>
    <xf numFmtId="0" fontId="163" fillId="4" borderId="169" xfId="1" applyFont="1" applyFill="1" applyBorder="1" applyAlignment="1" applyProtection="1">
      <alignment horizontal="right" vertical="center"/>
      <protection hidden="1"/>
    </xf>
    <xf numFmtId="0" fontId="110" fillId="0" borderId="0" xfId="0" applyFont="1" applyAlignment="1" applyProtection="1">
      <alignment horizontal="center" vertical="top" wrapText="1"/>
      <protection hidden="1"/>
    </xf>
    <xf numFmtId="0" fontId="135" fillId="0" borderId="94" xfId="0" applyFont="1" applyBorder="1" applyAlignment="1" applyProtection="1">
      <alignment horizontal="left" vertical="center"/>
      <protection hidden="1"/>
    </xf>
    <xf numFmtId="0" fontId="110" fillId="0" borderId="0" xfId="0" applyFont="1" applyAlignment="1" applyProtection="1">
      <alignment horizontal="left" vertical="top" wrapText="1"/>
      <protection hidden="1"/>
    </xf>
    <xf numFmtId="0" fontId="110" fillId="0" borderId="0" xfId="0" applyFont="1" applyAlignment="1" applyProtection="1">
      <alignment horizontal="left" vertical="center" wrapText="1"/>
      <protection hidden="1"/>
    </xf>
    <xf numFmtId="0" fontId="56" fillId="0" borderId="0" xfId="0" applyFont="1" applyAlignment="1" applyProtection="1">
      <alignment horizontal="center" vertical="center"/>
      <protection hidden="1"/>
    </xf>
    <xf numFmtId="0" fontId="50" fillId="70" borderId="135" xfId="0" applyFont="1" applyFill="1" applyBorder="1" applyAlignment="1" applyProtection="1">
      <alignment horizontal="left" vertical="center" wrapText="1"/>
      <protection hidden="1"/>
    </xf>
    <xf numFmtId="0" fontId="50" fillId="70" borderId="136" xfId="0" applyFont="1" applyFill="1" applyBorder="1" applyAlignment="1" applyProtection="1">
      <alignment horizontal="left" vertical="center" wrapText="1"/>
      <protection hidden="1"/>
    </xf>
    <xf numFmtId="0" fontId="50" fillId="70" borderId="137" xfId="0" applyFont="1" applyFill="1" applyBorder="1" applyAlignment="1" applyProtection="1">
      <alignment horizontal="left" vertical="center" wrapText="1"/>
      <protection hidden="1"/>
    </xf>
    <xf numFmtId="0" fontId="50" fillId="70" borderId="88" xfId="0" applyFont="1" applyFill="1" applyBorder="1" applyAlignment="1" applyProtection="1">
      <alignment horizontal="left" vertical="center" wrapText="1"/>
      <protection hidden="1"/>
    </xf>
    <xf numFmtId="0" fontId="50" fillId="70" borderId="89" xfId="0" applyFont="1" applyFill="1" applyBorder="1" applyAlignment="1" applyProtection="1">
      <alignment horizontal="left" vertical="center" wrapText="1"/>
      <protection hidden="1"/>
    </xf>
    <xf numFmtId="0" fontId="50" fillId="70" borderId="114" xfId="0" applyFont="1" applyFill="1" applyBorder="1" applyAlignment="1" applyProtection="1">
      <alignment horizontal="left" vertical="center" wrapText="1"/>
      <protection hidden="1"/>
    </xf>
    <xf numFmtId="0" fontId="50" fillId="70" borderId="115" xfId="0" applyFont="1" applyFill="1" applyBorder="1" applyAlignment="1" applyProtection="1">
      <alignment horizontal="left" vertical="center" wrapText="1"/>
      <protection hidden="1"/>
    </xf>
    <xf numFmtId="0" fontId="50" fillId="70" borderId="116" xfId="0" applyFont="1" applyFill="1" applyBorder="1" applyAlignment="1" applyProtection="1">
      <alignment horizontal="left" vertical="center" wrapText="1"/>
      <protection hidden="1"/>
    </xf>
    <xf numFmtId="0" fontId="50" fillId="55" borderId="34" xfId="0" applyFont="1" applyFill="1" applyBorder="1" applyAlignment="1" applyProtection="1">
      <alignment horizontal="left" wrapText="1"/>
      <protection hidden="1"/>
    </xf>
    <xf numFmtId="0" fontId="50" fillId="55" borderId="35" xfId="0" applyFont="1" applyFill="1" applyBorder="1" applyAlignment="1" applyProtection="1">
      <alignment horizontal="left" wrapText="1"/>
      <protection hidden="1"/>
    </xf>
    <xf numFmtId="0" fontId="50" fillId="55" borderId="36" xfId="0" applyFont="1" applyFill="1" applyBorder="1" applyAlignment="1" applyProtection="1">
      <alignment horizontal="left" wrapText="1"/>
      <protection hidden="1"/>
    </xf>
    <xf numFmtId="0" fontId="50" fillId="55" borderId="37" xfId="0" applyFont="1" applyFill="1" applyBorder="1" applyAlignment="1" applyProtection="1">
      <alignment horizontal="left" wrapText="1"/>
      <protection hidden="1"/>
    </xf>
    <xf numFmtId="0" fontId="50" fillId="55" borderId="0" xfId="0" applyFont="1" applyFill="1" applyAlignment="1" applyProtection="1">
      <alignment horizontal="left" wrapText="1"/>
      <protection hidden="1"/>
    </xf>
    <xf numFmtId="0" fontId="50" fillId="55" borderId="38" xfId="0" applyFont="1" applyFill="1" applyBorder="1" applyAlignment="1" applyProtection="1">
      <alignment horizontal="left" wrapText="1"/>
      <protection hidden="1"/>
    </xf>
    <xf numFmtId="0" fontId="50" fillId="55" borderId="39" xfId="0" applyFont="1" applyFill="1" applyBorder="1" applyAlignment="1" applyProtection="1">
      <alignment horizontal="left" wrapText="1"/>
      <protection hidden="1"/>
    </xf>
    <xf numFmtId="0" fontId="50" fillId="55" borderId="40" xfId="0" applyFont="1" applyFill="1" applyBorder="1" applyAlignment="1" applyProtection="1">
      <alignment horizontal="left" wrapText="1"/>
      <protection hidden="1"/>
    </xf>
    <xf numFmtId="0" fontId="50" fillId="55" borderId="41" xfId="0" applyFont="1" applyFill="1" applyBorder="1" applyAlignment="1" applyProtection="1">
      <alignment horizontal="left" wrapText="1"/>
      <protection hidden="1"/>
    </xf>
    <xf numFmtId="0" fontId="50" fillId="70" borderId="95" xfId="0" applyFont="1" applyFill="1" applyBorder="1" applyAlignment="1" applyProtection="1">
      <alignment horizontal="left" vertical="top" wrapText="1"/>
      <protection hidden="1"/>
    </xf>
    <xf numFmtId="0" fontId="50" fillId="70" borderId="94" xfId="0" applyFont="1" applyFill="1" applyBorder="1" applyAlignment="1" applyProtection="1">
      <alignment horizontal="left" vertical="top" wrapText="1"/>
      <protection hidden="1"/>
    </xf>
    <xf numFmtId="0" fontId="50" fillId="70" borderId="96" xfId="0" applyFont="1" applyFill="1" applyBorder="1" applyAlignment="1" applyProtection="1">
      <alignment horizontal="left" vertical="top" wrapText="1"/>
      <protection hidden="1"/>
    </xf>
    <xf numFmtId="0" fontId="50" fillId="70" borderId="97" xfId="0" applyFont="1" applyFill="1" applyBorder="1" applyAlignment="1" applyProtection="1">
      <alignment horizontal="left" vertical="top" wrapText="1"/>
      <protection hidden="1"/>
    </xf>
    <xf numFmtId="0" fontId="50" fillId="70" borderId="0" xfId="0" applyFont="1" applyFill="1" applyAlignment="1" applyProtection="1">
      <alignment horizontal="left" vertical="top" wrapText="1"/>
      <protection hidden="1"/>
    </xf>
    <xf numFmtId="0" fontId="50" fillId="70" borderId="98" xfId="0" applyFont="1" applyFill="1" applyBorder="1" applyAlignment="1" applyProtection="1">
      <alignment horizontal="left" vertical="top" wrapText="1"/>
      <protection hidden="1"/>
    </xf>
    <xf numFmtId="0" fontId="50" fillId="70" borderId="106" xfId="0" applyFont="1" applyFill="1" applyBorder="1" applyAlignment="1" applyProtection="1">
      <alignment horizontal="left" vertical="top" wrapText="1"/>
      <protection hidden="1"/>
    </xf>
    <xf numFmtId="0" fontId="50" fillId="70" borderId="107" xfId="0" applyFont="1" applyFill="1" applyBorder="1" applyAlignment="1" applyProtection="1">
      <alignment horizontal="left" vertical="top" wrapText="1"/>
      <protection hidden="1"/>
    </xf>
    <xf numFmtId="0" fontId="50" fillId="70" borderId="108" xfId="0" applyFont="1" applyFill="1" applyBorder="1" applyAlignment="1" applyProtection="1">
      <alignment horizontal="left" vertical="top" wrapText="1"/>
      <protection hidden="1"/>
    </xf>
    <xf numFmtId="0" fontId="105" fillId="0" borderId="33" xfId="0" applyFont="1" applyBorder="1" applyAlignment="1" applyProtection="1">
      <alignment horizontal="center" vertical="center"/>
      <protection hidden="1"/>
    </xf>
    <xf numFmtId="0" fontId="105" fillId="0" borderId="0" xfId="0" applyFont="1" applyAlignment="1" applyProtection="1">
      <alignment horizontal="center" vertical="center"/>
      <protection hidden="1"/>
    </xf>
    <xf numFmtId="0" fontId="54" fillId="70" borderId="42" xfId="0" applyFont="1" applyFill="1" applyBorder="1" applyAlignment="1" applyProtection="1">
      <alignment horizontal="left" vertical="center"/>
      <protection hidden="1"/>
    </xf>
    <xf numFmtId="0" fontId="54" fillId="70" borderId="43" xfId="0" applyFont="1" applyFill="1" applyBorder="1" applyAlignment="1" applyProtection="1">
      <alignment horizontal="left" vertical="center"/>
      <protection hidden="1"/>
    </xf>
    <xf numFmtId="0" fontId="162" fillId="70" borderId="43" xfId="0" applyFont="1" applyFill="1" applyBorder="1" applyAlignment="1" applyProtection="1">
      <alignment horizontal="right" vertical="center"/>
      <protection hidden="1"/>
    </xf>
    <xf numFmtId="0" fontId="171" fillId="70" borderId="43" xfId="1" applyFont="1" applyFill="1" applyBorder="1" applyAlignment="1" applyProtection="1">
      <alignment horizontal="right" vertical="center"/>
      <protection hidden="1"/>
    </xf>
    <xf numFmtId="0" fontId="171" fillId="70" borderId="44" xfId="1" applyFont="1" applyFill="1" applyBorder="1" applyAlignment="1" applyProtection="1">
      <alignment horizontal="right" vertical="center"/>
      <protection hidden="1"/>
    </xf>
    <xf numFmtId="0" fontId="50" fillId="0" borderId="46" xfId="0" applyFont="1" applyBorder="1" applyAlignment="1" applyProtection="1">
      <alignment horizontal="left"/>
      <protection hidden="1"/>
    </xf>
    <xf numFmtId="0" fontId="50" fillId="0" borderId="47" xfId="0" applyFont="1" applyBorder="1" applyAlignment="1" applyProtection="1">
      <alignment horizontal="left"/>
      <protection hidden="1"/>
    </xf>
    <xf numFmtId="14" fontId="50" fillId="0" borderId="47" xfId="0" applyNumberFormat="1" applyFont="1" applyBorder="1" applyAlignment="1" applyProtection="1">
      <alignment horizontal="left"/>
      <protection hidden="1"/>
    </xf>
    <xf numFmtId="14" fontId="50" fillId="0" borderId="48" xfId="0" applyNumberFormat="1" applyFont="1" applyBorder="1" applyAlignment="1" applyProtection="1">
      <alignment horizontal="left"/>
      <protection hidden="1"/>
    </xf>
    <xf numFmtId="0" fontId="50" fillId="0" borderId="45" xfId="0" applyFont="1" applyBorder="1" applyAlignment="1" applyProtection="1">
      <alignment horizontal="left"/>
      <protection hidden="1"/>
    </xf>
    <xf numFmtId="0" fontId="151" fillId="0" borderId="45" xfId="0" quotePrefix="1" applyFont="1" applyBorder="1" applyAlignment="1" applyProtection="1">
      <alignment horizontal="center"/>
      <protection hidden="1"/>
    </xf>
    <xf numFmtId="0" fontId="151" fillId="0" borderId="0" xfId="0" applyFont="1" applyAlignment="1" applyProtection="1">
      <alignment horizontal="center"/>
      <protection hidden="1"/>
    </xf>
    <xf numFmtId="0" fontId="151" fillId="0" borderId="9" xfId="0" applyFont="1" applyBorder="1" applyAlignment="1" applyProtection="1">
      <alignment horizontal="center"/>
      <protection hidden="1"/>
    </xf>
    <xf numFmtId="14" fontId="50" fillId="0" borderId="47" xfId="0" applyNumberFormat="1" applyFont="1" applyBorder="1" applyAlignment="1" applyProtection="1">
      <alignment horizontal="center"/>
      <protection hidden="1"/>
    </xf>
    <xf numFmtId="14" fontId="50" fillId="0" borderId="48" xfId="0" applyNumberFormat="1" applyFont="1" applyBorder="1" applyAlignment="1" applyProtection="1">
      <alignment horizontal="center"/>
      <protection hidden="1"/>
    </xf>
    <xf numFmtId="170" fontId="50" fillId="0" borderId="45" xfId="0" applyNumberFormat="1" applyFont="1" applyBorder="1" applyAlignment="1" applyProtection="1">
      <alignment horizontal="left"/>
      <protection hidden="1"/>
    </xf>
    <xf numFmtId="170" fontId="50" fillId="0" borderId="0" xfId="0" applyNumberFormat="1" applyFont="1" applyAlignment="1" applyProtection="1">
      <alignment horizontal="left"/>
      <protection hidden="1"/>
    </xf>
    <xf numFmtId="0" fontId="50" fillId="0" borderId="0" xfId="0" applyFont="1" applyAlignment="1" applyProtection="1">
      <alignment horizontal="left" shrinkToFit="1"/>
      <protection hidden="1"/>
    </xf>
    <xf numFmtId="0" fontId="50" fillId="0" borderId="9" xfId="0" applyFont="1" applyBorder="1" applyAlignment="1" applyProtection="1">
      <alignment horizontal="left" shrinkToFit="1"/>
      <protection hidden="1"/>
    </xf>
    <xf numFmtId="0" fontId="50" fillId="0" borderId="9" xfId="0" applyFont="1" applyBorder="1" applyAlignment="1" applyProtection="1">
      <alignment horizontal="left"/>
      <protection hidden="1"/>
    </xf>
    <xf numFmtId="0" fontId="171" fillId="70" borderId="0" xfId="1" applyFont="1" applyFill="1" applyBorder="1" applyAlignment="1" applyProtection="1">
      <alignment horizontal="right" vertical="center"/>
      <protection hidden="1"/>
    </xf>
    <xf numFmtId="0" fontId="171" fillId="70" borderId="9" xfId="1" applyFont="1" applyFill="1" applyBorder="1" applyAlignment="1" applyProtection="1">
      <alignment horizontal="right" vertical="center"/>
      <protection hidden="1"/>
    </xf>
    <xf numFmtId="0" fontId="162" fillId="70" borderId="0" xfId="0" applyFont="1" applyFill="1" applyAlignment="1" applyProtection="1">
      <alignment horizontal="right" vertical="center"/>
      <protection hidden="1"/>
    </xf>
    <xf numFmtId="0" fontId="54" fillId="70" borderId="45" xfId="0" applyFont="1" applyFill="1" applyBorder="1" applyAlignment="1" applyProtection="1">
      <alignment horizontal="left" vertical="center"/>
      <protection hidden="1"/>
    </xf>
    <xf numFmtId="0" fontId="54" fillId="70" borderId="0" xfId="0" applyFont="1" applyFill="1" applyAlignment="1" applyProtection="1">
      <alignment horizontal="left" vertical="center"/>
      <protection hidden="1"/>
    </xf>
    <xf numFmtId="0" fontId="50" fillId="0" borderId="0" xfId="0" applyFont="1" applyAlignment="1" applyProtection="1">
      <alignment horizontal="center"/>
      <protection hidden="1"/>
    </xf>
    <xf numFmtId="166" fontId="50" fillId="0" borderId="0" xfId="0" applyNumberFormat="1" applyFont="1" applyAlignment="1" applyProtection="1">
      <alignment horizontal="center"/>
      <protection hidden="1"/>
    </xf>
    <xf numFmtId="0" fontId="50" fillId="0" borderId="45" xfId="0" applyFont="1" applyBorder="1" applyProtection="1">
      <protection hidden="1"/>
    </xf>
    <xf numFmtId="166" fontId="50" fillId="0" borderId="0" xfId="0" applyNumberFormat="1" applyFont="1" applyAlignment="1" applyProtection="1">
      <alignment horizontal="left"/>
      <protection hidden="1"/>
    </xf>
    <xf numFmtId="166" fontId="50" fillId="0" borderId="0" xfId="0" applyNumberFormat="1" applyFont="1" applyAlignment="1" applyProtection="1">
      <alignment horizontal="right"/>
      <protection hidden="1"/>
    </xf>
    <xf numFmtId="166" fontId="50" fillId="0" borderId="9" xfId="0" applyNumberFormat="1" applyFont="1" applyBorder="1" applyAlignment="1" applyProtection="1">
      <alignment horizontal="right"/>
      <protection hidden="1"/>
    </xf>
    <xf numFmtId="0" fontId="162" fillId="70" borderId="44" xfId="0" applyFont="1" applyFill="1" applyBorder="1" applyAlignment="1" applyProtection="1">
      <alignment horizontal="right" vertical="center"/>
      <protection hidden="1"/>
    </xf>
    <xf numFmtId="0" fontId="50" fillId="0" borderId="0" xfId="0" applyFont="1" applyAlignment="1" applyProtection="1">
      <alignment horizontal="left" vertical="top" wrapText="1"/>
      <protection hidden="1"/>
    </xf>
    <xf numFmtId="1" fontId="50" fillId="0" borderId="49" xfId="0" applyNumberFormat="1" applyFont="1" applyBorder="1" applyAlignment="1" applyProtection="1">
      <alignment horizontal="center"/>
      <protection hidden="1"/>
    </xf>
    <xf numFmtId="0" fontId="50" fillId="0" borderId="49" xfId="0" applyFont="1" applyBorder="1" applyAlignment="1" applyProtection="1">
      <alignment horizontal="center"/>
      <protection hidden="1"/>
    </xf>
    <xf numFmtId="167" fontId="48" fillId="0" borderId="47" xfId="0" applyNumberFormat="1" applyFont="1" applyBorder="1" applyAlignment="1" applyProtection="1">
      <alignment horizontal="right"/>
      <protection hidden="1"/>
    </xf>
    <xf numFmtId="167" fontId="48" fillId="0" borderId="48" xfId="0" applyNumberFormat="1" applyFont="1" applyBorder="1" applyAlignment="1" applyProtection="1">
      <alignment horizontal="right"/>
      <protection hidden="1"/>
    </xf>
    <xf numFmtId="167" fontId="50" fillId="0" borderId="49" xfId="0" applyNumberFormat="1" applyFont="1" applyBorder="1" applyAlignment="1" applyProtection="1">
      <alignment horizontal="right"/>
      <protection hidden="1"/>
    </xf>
    <xf numFmtId="167" fontId="50" fillId="0" borderId="50" xfId="0" applyNumberFormat="1" applyFont="1" applyBorder="1" applyAlignment="1" applyProtection="1">
      <alignment horizontal="right"/>
      <protection hidden="1"/>
    </xf>
    <xf numFmtId="0" fontId="59" fillId="0" borderId="51" xfId="1" applyFont="1" applyBorder="1" applyAlignment="1" applyProtection="1">
      <protection hidden="1"/>
    </xf>
    <xf numFmtId="0" fontId="59" fillId="0" borderId="52" xfId="1" applyFont="1" applyBorder="1" applyAlignment="1" applyProtection="1">
      <protection hidden="1"/>
    </xf>
    <xf numFmtId="0" fontId="50" fillId="0" borderId="0" xfId="0" applyFont="1" applyAlignment="1" applyProtection="1">
      <alignment horizontal="right"/>
      <protection hidden="1"/>
    </xf>
    <xf numFmtId="0" fontId="50" fillId="0" borderId="9" xfId="0" applyFont="1" applyBorder="1" applyAlignment="1" applyProtection="1">
      <alignment horizontal="right"/>
      <protection hidden="1"/>
    </xf>
    <xf numFmtId="14" fontId="50" fillId="0" borderId="0" xfId="0" applyNumberFormat="1" applyFont="1" applyAlignment="1" applyProtection="1">
      <alignment horizontal="right"/>
      <protection hidden="1"/>
    </xf>
    <xf numFmtId="14" fontId="50" fillId="0" borderId="9" xfId="0" applyNumberFormat="1" applyFont="1" applyBorder="1" applyAlignment="1" applyProtection="1">
      <alignment horizontal="right"/>
      <protection hidden="1"/>
    </xf>
    <xf numFmtId="14" fontId="50" fillId="0" borderId="0" xfId="0" applyNumberFormat="1" applyFont="1" applyAlignment="1" applyProtection="1">
      <alignment horizontal="left"/>
      <protection hidden="1"/>
    </xf>
    <xf numFmtId="0" fontId="48" fillId="0" borderId="132" xfId="0" applyFont="1" applyBorder="1" applyAlignment="1" applyProtection="1">
      <alignment horizontal="left"/>
      <protection hidden="1"/>
    </xf>
    <xf numFmtId="0" fontId="48" fillId="0" borderId="133" xfId="0" applyFont="1" applyBorder="1" applyAlignment="1" applyProtection="1">
      <alignment horizontal="left"/>
      <protection hidden="1"/>
    </xf>
    <xf numFmtId="2" fontId="50" fillId="0" borderId="0" xfId="0" applyNumberFormat="1" applyFont="1" applyAlignment="1" applyProtection="1">
      <alignment horizontal="right"/>
      <protection hidden="1"/>
    </xf>
    <xf numFmtId="2" fontId="50" fillId="0" borderId="9" xfId="0" applyNumberFormat="1" applyFont="1" applyBorder="1" applyAlignment="1" applyProtection="1">
      <alignment horizontal="right"/>
      <protection hidden="1"/>
    </xf>
    <xf numFmtId="0" fontId="166" fillId="0" borderId="33" xfId="1" applyFont="1" applyFill="1" applyBorder="1" applyAlignment="1" applyProtection="1">
      <alignment horizontal="center" vertical="center" wrapText="1"/>
      <protection hidden="1"/>
    </xf>
    <xf numFmtId="0" fontId="0" fillId="0" borderId="91" xfId="0" applyBorder="1" applyAlignment="1">
      <alignment horizontal="center"/>
    </xf>
    <xf numFmtId="0" fontId="0" fillId="0" borderId="92" xfId="0" applyBorder="1" applyAlignment="1">
      <alignment horizontal="center"/>
    </xf>
    <xf numFmtId="0" fontId="0" fillId="0" borderId="93" xfId="0" applyBorder="1" applyAlignment="1">
      <alignment horizontal="center"/>
    </xf>
    <xf numFmtId="0" fontId="47" fillId="70" borderId="0" xfId="0" applyFont="1" applyFill="1" applyAlignment="1">
      <alignment horizontal="left"/>
    </xf>
    <xf numFmtId="0" fontId="143" fillId="0" borderId="0" xfId="0" applyFont="1" applyAlignment="1">
      <alignment horizontal="center"/>
    </xf>
    <xf numFmtId="0" fontId="143" fillId="0" borderId="0" xfId="0" applyFont="1" applyAlignment="1">
      <alignment horizontal="left"/>
    </xf>
    <xf numFmtId="0" fontId="8" fillId="4" borderId="0" xfId="0" applyFont="1" applyFill="1" applyAlignment="1">
      <alignment horizontal="left" vertical="top" wrapText="1"/>
    </xf>
    <xf numFmtId="0" fontId="8" fillId="4" borderId="0" xfId="0" applyFont="1" applyFill="1"/>
    <xf numFmtId="0" fontId="25" fillId="70" borderId="95" xfId="1" applyFont="1" applyFill="1" applyBorder="1" applyAlignment="1" applyProtection="1">
      <alignment horizontal="center" vertical="center" wrapText="1"/>
      <protection locked="0" hidden="1"/>
    </xf>
    <xf numFmtId="0" fontId="25" fillId="70" borderId="94" xfId="0" applyFont="1" applyFill="1" applyBorder="1" applyAlignment="1" applyProtection="1">
      <alignment horizontal="center" vertical="center" wrapText="1"/>
      <protection locked="0" hidden="1"/>
    </xf>
    <xf numFmtId="0" fontId="25" fillId="70" borderId="96" xfId="0" applyFont="1" applyFill="1" applyBorder="1" applyAlignment="1" applyProtection="1">
      <alignment horizontal="center" vertical="center" wrapText="1"/>
      <protection locked="0" hidden="1"/>
    </xf>
    <xf numFmtId="0" fontId="25" fillId="70" borderId="97" xfId="0" applyFont="1" applyFill="1" applyBorder="1" applyAlignment="1" applyProtection="1">
      <alignment horizontal="center" vertical="center" wrapText="1"/>
      <protection locked="0" hidden="1"/>
    </xf>
    <xf numFmtId="0" fontId="25" fillId="70" borderId="0" xfId="0" applyFont="1" applyFill="1" applyAlignment="1" applyProtection="1">
      <alignment horizontal="center" vertical="center" wrapText="1"/>
      <protection locked="0" hidden="1"/>
    </xf>
    <xf numFmtId="0" fontId="25" fillId="70" borderId="98" xfId="0" applyFont="1" applyFill="1" applyBorder="1" applyAlignment="1" applyProtection="1">
      <alignment horizontal="center" vertical="center" wrapText="1"/>
      <protection locked="0" hidden="1"/>
    </xf>
    <xf numFmtId="0" fontId="25" fillId="70" borderId="106" xfId="0" applyFont="1" applyFill="1" applyBorder="1" applyAlignment="1" applyProtection="1">
      <alignment horizontal="center" vertical="center" wrapText="1"/>
      <protection locked="0" hidden="1"/>
    </xf>
    <xf numFmtId="0" fontId="25" fillId="70" borderId="107" xfId="0" applyFont="1" applyFill="1" applyBorder="1" applyAlignment="1" applyProtection="1">
      <alignment horizontal="center" vertical="center" wrapText="1"/>
      <protection locked="0" hidden="1"/>
    </xf>
    <xf numFmtId="0" fontId="25" fillId="70" borderId="108" xfId="0" applyFont="1" applyFill="1" applyBorder="1" applyAlignment="1" applyProtection="1">
      <alignment horizontal="center" vertical="center" wrapText="1"/>
      <protection locked="0" hidden="1"/>
    </xf>
    <xf numFmtId="0" fontId="127" fillId="0" borderId="97" xfId="0" applyFont="1" applyBorder="1" applyAlignment="1">
      <alignment horizontal="center" vertical="center"/>
    </xf>
    <xf numFmtId="0" fontId="127" fillId="0" borderId="98" xfId="0" applyFont="1" applyBorder="1" applyAlignment="1">
      <alignment horizontal="center" vertical="center"/>
    </xf>
    <xf numFmtId="0" fontId="8" fillId="70" borderId="0" xfId="0" applyFont="1" applyFill="1" applyAlignment="1">
      <alignment horizontal="left" wrapText="1"/>
    </xf>
    <xf numFmtId="0" fontId="8" fillId="0" borderId="0" xfId="0" applyFont="1" applyAlignment="1">
      <alignment horizontal="left" vertical="top" wrapText="1"/>
    </xf>
    <xf numFmtId="0" fontId="8" fillId="70" borderId="0" xfId="0" applyFont="1" applyFill="1" applyAlignment="1">
      <alignment horizontal="left" vertical="top" wrapText="1"/>
    </xf>
    <xf numFmtId="0" fontId="21" fillId="70" borderId="113" xfId="0" applyFont="1" applyFill="1" applyBorder="1" applyAlignment="1">
      <alignment horizontal="center" vertical="center" wrapText="1"/>
    </xf>
    <xf numFmtId="0" fontId="21" fillId="70" borderId="113" xfId="0" applyFont="1" applyFill="1" applyBorder="1" applyAlignment="1" applyProtection="1">
      <alignment horizontal="center" vertical="center" wrapText="1"/>
      <protection locked="0"/>
    </xf>
    <xf numFmtId="0" fontId="127" fillId="0" borderId="0" xfId="0" applyFont="1" applyAlignment="1">
      <alignment horizontal="center" vertical="center"/>
    </xf>
    <xf numFmtId="177" fontId="147" fillId="0" borderId="0" xfId="0" applyNumberFormat="1" applyFont="1" applyAlignment="1" applyProtection="1">
      <alignment horizontal="center" vertical="center"/>
      <protection hidden="1"/>
    </xf>
    <xf numFmtId="169" fontId="147"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25" fillId="0" borderId="0" xfId="0" applyFont="1" applyAlignment="1" applyProtection="1">
      <alignment horizontal="left"/>
      <protection hidden="1"/>
    </xf>
    <xf numFmtId="167" fontId="42" fillId="61" borderId="59" xfId="0" applyNumberFormat="1" applyFont="1" applyFill="1" applyBorder="1" applyAlignment="1" applyProtection="1">
      <alignment horizontal="center" vertical="center"/>
      <protection hidden="1"/>
    </xf>
    <xf numFmtId="167" fontId="42" fillId="61" borderId="65" xfId="0" applyNumberFormat="1" applyFont="1" applyFill="1" applyBorder="1" applyAlignment="1" applyProtection="1">
      <alignment horizontal="center" vertical="center"/>
      <protection hidden="1"/>
    </xf>
    <xf numFmtId="9" fontId="42" fillId="61" borderId="17" xfId="0" applyNumberFormat="1" applyFont="1" applyFill="1" applyBorder="1" applyAlignment="1" applyProtection="1">
      <alignment horizontal="center" vertical="center"/>
      <protection hidden="1"/>
    </xf>
    <xf numFmtId="9" fontId="42" fillId="61" borderId="18" xfId="0" applyNumberFormat="1" applyFont="1" applyFill="1" applyBorder="1" applyAlignment="1" applyProtection="1">
      <alignment horizontal="center" vertical="center"/>
      <protection hidden="1"/>
    </xf>
    <xf numFmtId="9" fontId="42" fillId="61" borderId="19" xfId="0" applyNumberFormat="1" applyFont="1" applyFill="1" applyBorder="1" applyAlignment="1" applyProtection="1">
      <alignment horizontal="center" vertical="center"/>
      <protection hidden="1"/>
    </xf>
    <xf numFmtId="0" fontId="42" fillId="61" borderId="17" xfId="0" applyFont="1" applyFill="1" applyBorder="1" applyAlignment="1" applyProtection="1">
      <alignment horizontal="center" vertical="center"/>
      <protection hidden="1"/>
    </xf>
    <xf numFmtId="0" fontId="42" fillId="61" borderId="18" xfId="0" applyFont="1" applyFill="1" applyBorder="1" applyAlignment="1" applyProtection="1">
      <alignment horizontal="center" vertical="center"/>
      <protection hidden="1"/>
    </xf>
    <xf numFmtId="0" fontId="42" fillId="61" borderId="19" xfId="0" applyFont="1" applyFill="1" applyBorder="1" applyAlignment="1" applyProtection="1">
      <alignment horizontal="center" vertical="center"/>
      <protection hidden="1"/>
    </xf>
    <xf numFmtId="2" fontId="37" fillId="0" borderId="0" xfId="0" applyNumberFormat="1" applyFont="1" applyAlignment="1" applyProtection="1">
      <alignment horizontal="center" vertical="center"/>
      <protection hidden="1"/>
    </xf>
    <xf numFmtId="0" fontId="37" fillId="0" borderId="0" xfId="0" applyFont="1" applyAlignment="1" applyProtection="1">
      <alignment horizontal="center" vertical="center"/>
      <protection hidden="1"/>
    </xf>
    <xf numFmtId="179" fontId="40" fillId="0" borderId="0" xfId="0" applyNumberFormat="1" applyFont="1" applyAlignment="1" applyProtection="1">
      <alignment horizontal="center" vertical="center" wrapText="1"/>
      <protection hidden="1"/>
    </xf>
    <xf numFmtId="0" fontId="41" fillId="0" borderId="0" xfId="0" applyFont="1" applyAlignment="1" applyProtection="1">
      <alignment horizontal="center" vertical="center"/>
      <protection hidden="1"/>
    </xf>
    <xf numFmtId="170" fontId="25" fillId="0" borderId="0" xfId="0" applyNumberFormat="1" applyFont="1" applyAlignment="1" applyProtection="1">
      <alignment horizontal="left"/>
      <protection hidden="1"/>
    </xf>
    <xf numFmtId="0" fontId="77" fillId="54" borderId="0" xfId="0" applyFont="1" applyFill="1" applyAlignment="1" applyProtection="1">
      <alignment horizontal="right" vertical="center" wrapText="1" indent="1"/>
      <protection hidden="1"/>
    </xf>
    <xf numFmtId="0" fontId="105" fillId="0" borderId="124" xfId="0" applyFont="1" applyBorder="1" applyAlignment="1" applyProtection="1">
      <alignment horizontal="left"/>
      <protection hidden="1"/>
    </xf>
    <xf numFmtId="0" fontId="105" fillId="0" borderId="0" xfId="0" applyFont="1" applyAlignment="1" applyProtection="1">
      <alignment horizontal="left"/>
      <protection hidden="1"/>
    </xf>
    <xf numFmtId="0" fontId="43" fillId="4" borderId="0" xfId="0" applyFont="1" applyFill="1" applyAlignment="1" applyProtection="1">
      <alignment horizontal="left" vertical="center"/>
      <protection hidden="1"/>
    </xf>
    <xf numFmtId="2" fontId="42" fillId="53" borderId="17" xfId="0" applyNumberFormat="1" applyFont="1" applyFill="1" applyBorder="1" applyAlignment="1" applyProtection="1">
      <alignment horizontal="center" vertical="center"/>
      <protection hidden="1"/>
    </xf>
    <xf numFmtId="2" fontId="42" fillId="53" borderId="18" xfId="0" applyNumberFormat="1" applyFont="1" applyFill="1" applyBorder="1" applyAlignment="1" applyProtection="1">
      <alignment horizontal="center" vertical="center"/>
      <protection hidden="1"/>
    </xf>
    <xf numFmtId="2" fontId="42" fillId="53" borderId="19" xfId="0" applyNumberFormat="1" applyFont="1" applyFill="1" applyBorder="1" applyAlignment="1" applyProtection="1">
      <alignment horizontal="center" vertical="center"/>
      <protection hidden="1"/>
    </xf>
    <xf numFmtId="0" fontId="37" fillId="0" borderId="0" xfId="0" applyFont="1" applyAlignment="1" applyProtection="1">
      <alignment horizontal="center" vertical="center" wrapText="1"/>
      <protection hidden="1"/>
    </xf>
    <xf numFmtId="9" fontId="134" fillId="0" borderId="0" xfId="0" applyNumberFormat="1" applyFont="1" applyAlignment="1" applyProtection="1">
      <alignment horizontal="center" vertical="center"/>
      <protection hidden="1"/>
    </xf>
    <xf numFmtId="0" fontId="48" fillId="0" borderId="32" xfId="0" applyFont="1" applyBorder="1" applyAlignment="1" applyProtection="1">
      <alignment horizontal="center" vertical="top"/>
      <protection hidden="1"/>
    </xf>
    <xf numFmtId="0" fontId="68" fillId="0" borderId="0" xfId="0" applyFont="1" applyAlignment="1" applyProtection="1">
      <alignment horizontal="left" vertical="center"/>
      <protection hidden="1"/>
    </xf>
    <xf numFmtId="0" fontId="22" fillId="0" borderId="0" xfId="0" applyFont="1" applyAlignment="1" applyProtection="1">
      <alignment horizontal="center"/>
      <protection hidden="1"/>
    </xf>
    <xf numFmtId="0" fontId="11" fillId="54" borderId="125" xfId="0" applyFont="1" applyFill="1" applyBorder="1" applyAlignment="1" applyProtection="1">
      <alignment horizontal="left" vertical="center" indent="1"/>
      <protection hidden="1"/>
    </xf>
    <xf numFmtId="0" fontId="11" fillId="54" borderId="126" xfId="0" applyFont="1" applyFill="1" applyBorder="1" applyAlignment="1" applyProtection="1">
      <alignment horizontal="left" vertical="center" indent="1"/>
      <protection hidden="1"/>
    </xf>
    <xf numFmtId="0" fontId="11" fillId="54" borderId="127" xfId="0" applyFont="1" applyFill="1" applyBorder="1" applyAlignment="1" applyProtection="1">
      <alignment horizontal="left" vertical="center" indent="1"/>
      <protection hidden="1"/>
    </xf>
    <xf numFmtId="0" fontId="11" fillId="54" borderId="128" xfId="0" applyFont="1" applyFill="1" applyBorder="1" applyAlignment="1" applyProtection="1">
      <alignment horizontal="left" vertical="center" indent="1"/>
      <protection hidden="1"/>
    </xf>
    <xf numFmtId="0" fontId="11" fillId="54" borderId="129" xfId="0" applyFont="1" applyFill="1" applyBorder="1" applyAlignment="1" applyProtection="1">
      <alignment horizontal="left" vertical="center" indent="1"/>
      <protection hidden="1"/>
    </xf>
    <xf numFmtId="0" fontId="11" fillId="54" borderId="130" xfId="0" applyFont="1" applyFill="1" applyBorder="1" applyAlignment="1" applyProtection="1">
      <alignment horizontal="left" vertical="center" indent="1"/>
      <protection hidden="1"/>
    </xf>
    <xf numFmtId="0" fontId="21" fillId="0" borderId="0" xfId="0" applyFont="1" applyAlignment="1" applyProtection="1">
      <alignment horizontal="center" vertical="center" wrapText="1"/>
      <protection hidden="1"/>
    </xf>
    <xf numFmtId="0" fontId="37" fillId="0" borderId="0" xfId="0" applyFont="1" applyAlignment="1" applyProtection="1">
      <alignment horizontal="center"/>
      <protection hidden="1"/>
    </xf>
    <xf numFmtId="167" fontId="42" fillId="53" borderId="59" xfId="0" applyNumberFormat="1" applyFont="1" applyFill="1" applyBorder="1" applyAlignment="1" applyProtection="1">
      <alignment horizontal="center" vertical="center"/>
      <protection hidden="1"/>
    </xf>
    <xf numFmtId="167" fontId="42" fillId="53" borderId="65" xfId="0" applyNumberFormat="1" applyFont="1" applyFill="1" applyBorder="1" applyAlignment="1" applyProtection="1">
      <alignment horizontal="center" vertical="center"/>
      <protection hidden="1"/>
    </xf>
    <xf numFmtId="0" fontId="104" fillId="0" borderId="0" xfId="1" applyFont="1" applyFill="1" applyBorder="1" applyAlignment="1" applyProtection="1">
      <alignment horizontal="center" vertical="center" wrapText="1"/>
      <protection hidden="1"/>
    </xf>
    <xf numFmtId="0" fontId="104" fillId="0" borderId="32" xfId="1" applyFont="1" applyFill="1" applyBorder="1" applyAlignment="1" applyProtection="1">
      <alignment horizontal="center" vertical="center" wrapText="1"/>
      <protection hidden="1"/>
    </xf>
    <xf numFmtId="0" fontId="104" fillId="52" borderId="33" xfId="1" applyFont="1" applyFill="1" applyBorder="1" applyAlignment="1" applyProtection="1">
      <alignment horizontal="center" vertical="center" wrapText="1"/>
      <protection hidden="1"/>
    </xf>
    <xf numFmtId="0" fontId="104" fillId="52" borderId="131" xfId="1" applyFont="1" applyFill="1" applyBorder="1" applyAlignment="1" applyProtection="1">
      <alignment horizontal="center" vertical="center" wrapText="1"/>
      <protection hidden="1"/>
    </xf>
    <xf numFmtId="0" fontId="132" fillId="4" borderId="0" xfId="1" applyFont="1" applyFill="1" applyAlignment="1" applyProtection="1">
      <alignment horizontal="center" vertical="center" wrapText="1"/>
      <protection hidden="1"/>
    </xf>
    <xf numFmtId="0" fontId="104" fillId="0" borderId="32" xfId="0" applyFont="1" applyBorder="1" applyAlignment="1" applyProtection="1">
      <alignment horizontal="center" vertical="center" wrapText="1"/>
      <protection hidden="1"/>
    </xf>
    <xf numFmtId="0" fontId="132" fillId="4" borderId="122" xfId="1" applyFont="1" applyFill="1" applyBorder="1" applyAlignment="1" applyProtection="1">
      <alignment horizontal="left" vertical="center"/>
      <protection hidden="1"/>
    </xf>
    <xf numFmtId="167" fontId="132" fillId="4" borderId="122" xfId="13" applyNumberFormat="1" applyFont="1" applyFill="1" applyBorder="1" applyAlignment="1" applyProtection="1">
      <alignment horizontal="left" vertical="center"/>
      <protection hidden="1"/>
    </xf>
    <xf numFmtId="0" fontId="131" fillId="4" borderId="122" xfId="1" applyFont="1" applyFill="1" applyBorder="1" applyAlignment="1" applyProtection="1">
      <alignment horizontal="right" vertical="center"/>
      <protection hidden="1"/>
    </xf>
    <xf numFmtId="0" fontId="108" fillId="4" borderId="0" xfId="1" applyFont="1" applyFill="1" applyBorder="1" applyAlignment="1" applyProtection="1">
      <alignment horizontal="center" vertical="center" wrapText="1"/>
      <protection hidden="1"/>
    </xf>
    <xf numFmtId="0" fontId="108" fillId="4" borderId="32" xfId="1" applyFont="1" applyFill="1" applyBorder="1" applyAlignment="1" applyProtection="1">
      <alignment horizontal="center" vertical="center" wrapText="1"/>
      <protection hidden="1"/>
    </xf>
    <xf numFmtId="0" fontId="10" fillId="70" borderId="0" xfId="0" applyFont="1" applyFill="1" applyAlignment="1" applyProtection="1">
      <alignment horizontal="left" vertical="top"/>
      <protection hidden="1"/>
    </xf>
    <xf numFmtId="0" fontId="10" fillId="70" borderId="11" xfId="0" applyFont="1" applyFill="1" applyBorder="1" applyAlignment="1" applyProtection="1">
      <alignment horizontal="left" wrapText="1"/>
      <protection locked="0" hidden="1"/>
    </xf>
    <xf numFmtId="0" fontId="10" fillId="70" borderId="0" xfId="0" applyFont="1" applyFill="1" applyAlignment="1" applyProtection="1">
      <alignment horizontal="right" vertical="top"/>
      <protection hidden="1"/>
    </xf>
    <xf numFmtId="0" fontId="0" fillId="0" borderId="0" xfId="0" applyAlignment="1">
      <alignment horizontal="center" vertical="center"/>
    </xf>
    <xf numFmtId="0" fontId="10" fillId="70" borderId="0" xfId="0" applyFont="1" applyFill="1" applyAlignment="1" applyProtection="1">
      <alignment horizontal="center" vertical="center" wrapText="1"/>
      <protection locked="0" hidden="1"/>
    </xf>
    <xf numFmtId="0" fontId="10" fillId="70" borderId="11" xfId="0" applyFont="1" applyFill="1" applyBorder="1" applyAlignment="1" applyProtection="1">
      <alignment horizontal="center" vertical="center" wrapText="1"/>
      <protection locked="0" hidden="1"/>
    </xf>
    <xf numFmtId="0" fontId="35" fillId="70" borderId="0" xfId="0" applyFont="1" applyFill="1" applyAlignment="1" applyProtection="1">
      <alignment horizontal="center" vertical="center"/>
      <protection hidden="1"/>
    </xf>
    <xf numFmtId="170" fontId="10" fillId="69" borderId="0" xfId="0" applyNumberFormat="1" applyFont="1" applyFill="1" applyAlignment="1" applyProtection="1">
      <alignment horizontal="left" vertical="top" wrapText="1"/>
      <protection hidden="1"/>
    </xf>
    <xf numFmtId="0" fontId="104" fillId="52" borderId="0" xfId="1" applyFont="1" applyFill="1" applyBorder="1" applyAlignment="1" applyProtection="1">
      <alignment horizontal="center" vertical="center" wrapText="1"/>
      <protection hidden="1"/>
    </xf>
    <xf numFmtId="0" fontId="104" fillId="52" borderId="175" xfId="1" applyFont="1" applyFill="1" applyBorder="1" applyAlignment="1" applyProtection="1">
      <alignment horizontal="center" vertical="center" wrapText="1"/>
      <protection hidden="1"/>
    </xf>
    <xf numFmtId="0" fontId="25" fillId="0" borderId="0" xfId="0" applyFont="1" applyAlignment="1" applyProtection="1">
      <alignment horizontal="center" vertical="top" wrapText="1"/>
      <protection hidden="1"/>
    </xf>
    <xf numFmtId="0" fontId="132" fillId="4" borderId="177" xfId="1" applyFont="1" applyFill="1" applyBorder="1" applyAlignment="1" applyProtection="1">
      <alignment horizontal="center" vertical="center" wrapText="1"/>
      <protection hidden="1"/>
    </xf>
    <xf numFmtId="0" fontId="131" fillId="4" borderId="172" xfId="1" applyFont="1" applyFill="1" applyBorder="1" applyAlignment="1" applyProtection="1">
      <alignment horizontal="right" vertical="center"/>
      <protection hidden="1"/>
    </xf>
    <xf numFmtId="0" fontId="18" fillId="70" borderId="10" xfId="0" applyFont="1" applyFill="1" applyBorder="1" applyAlignment="1" applyProtection="1">
      <alignment horizontal="center"/>
      <protection hidden="1"/>
    </xf>
    <xf numFmtId="0" fontId="10" fillId="70" borderId="11" xfId="0" applyFont="1" applyFill="1" applyBorder="1" applyAlignment="1" applyProtection="1">
      <alignment horizontal="center" wrapText="1"/>
      <protection locked="0" hidden="1"/>
    </xf>
    <xf numFmtId="14" fontId="10" fillId="70" borderId="11" xfId="0" applyNumberFormat="1" applyFont="1" applyFill="1" applyBorder="1" applyAlignment="1" applyProtection="1">
      <alignment horizontal="center" wrapText="1"/>
      <protection locked="0" hidden="1"/>
    </xf>
    <xf numFmtId="0" fontId="18" fillId="70" borderId="0" xfId="0" applyFont="1" applyFill="1" applyAlignment="1" applyProtection="1">
      <alignment horizontal="center"/>
      <protection hidden="1"/>
    </xf>
    <xf numFmtId="0" fontId="10" fillId="70" borderId="0" xfId="0" applyFont="1" applyFill="1" applyAlignment="1" applyProtection="1">
      <alignment horizontal="left" vertical="top" wrapText="1"/>
      <protection hidden="1"/>
    </xf>
    <xf numFmtId="0" fontId="10" fillId="70" borderId="0" xfId="0" applyFont="1" applyFill="1" applyAlignment="1" applyProtection="1">
      <alignment horizontal="left" vertical="center" wrapText="1"/>
      <protection hidden="1"/>
    </xf>
    <xf numFmtId="0" fontId="10" fillId="70" borderId="0" xfId="0" applyFont="1" applyFill="1" applyAlignment="1" applyProtection="1">
      <alignment horizontal="center" vertical="center" wrapText="1"/>
      <protection hidden="1"/>
    </xf>
    <xf numFmtId="0" fontId="10" fillId="70" borderId="0" xfId="0" applyFont="1" applyFill="1" applyAlignment="1" applyProtection="1">
      <alignment horizontal="center" wrapText="1"/>
      <protection locked="0" hidden="1"/>
    </xf>
    <xf numFmtId="0" fontId="10" fillId="70" borderId="0" xfId="0" applyFont="1" applyFill="1" applyAlignment="1" applyProtection="1">
      <alignment horizontal="left" vertical="center" indent="1"/>
      <protection hidden="1"/>
    </xf>
    <xf numFmtId="0" fontId="10" fillId="70" borderId="1" xfId="0" applyFont="1" applyFill="1" applyBorder="1" applyAlignment="1" applyProtection="1">
      <alignment horizontal="left" vertical="top"/>
      <protection hidden="1"/>
    </xf>
    <xf numFmtId="0" fontId="10" fillId="70" borderId="1" xfId="0" applyFont="1" applyFill="1" applyBorder="1" applyAlignment="1" applyProtection="1">
      <alignment horizontal="center" vertical="top"/>
      <protection hidden="1"/>
    </xf>
    <xf numFmtId="0" fontId="10" fillId="70" borderId="1" xfId="0" applyFont="1" applyFill="1" applyBorder="1" applyAlignment="1" applyProtection="1">
      <alignment horizontal="right" vertical="top"/>
      <protection hidden="1"/>
    </xf>
    <xf numFmtId="0" fontId="10" fillId="70" borderId="15" xfId="0" applyFont="1" applyFill="1" applyBorder="1" applyAlignment="1" applyProtection="1">
      <alignment horizontal="right" vertical="top"/>
      <protection hidden="1"/>
    </xf>
    <xf numFmtId="0" fontId="10" fillId="70" borderId="139" xfId="0" applyFont="1" applyFill="1" applyBorder="1" applyAlignment="1" applyProtection="1">
      <alignment horizontal="right" vertical="top"/>
      <protection hidden="1"/>
    </xf>
    <xf numFmtId="0" fontId="10" fillId="70" borderId="2" xfId="0" applyFont="1" applyFill="1" applyBorder="1" applyAlignment="1" applyProtection="1">
      <alignment horizontal="right" vertical="top"/>
      <protection hidden="1"/>
    </xf>
    <xf numFmtId="0" fontId="18" fillId="69" borderId="10" xfId="0" applyFont="1" applyFill="1" applyBorder="1" applyAlignment="1" applyProtection="1">
      <alignment horizontal="center"/>
      <protection hidden="1"/>
    </xf>
    <xf numFmtId="0" fontId="10" fillId="69" borderId="11" xfId="0" applyFont="1" applyFill="1" applyBorder="1" applyAlignment="1" applyProtection="1">
      <alignment horizontal="center" wrapText="1"/>
      <protection locked="0" hidden="1"/>
    </xf>
    <xf numFmtId="0" fontId="174" fillId="70" borderId="0" xfId="1" applyFont="1" applyFill="1" applyAlignment="1" applyProtection="1">
      <alignment horizontal="center" vertical="center" wrapText="1"/>
      <protection locked="0" hidden="1"/>
    </xf>
    <xf numFmtId="0" fontId="148" fillId="0" borderId="0" xfId="0" applyFont="1" applyAlignment="1" applyProtection="1">
      <alignment horizontal="left" vertical="top" wrapText="1"/>
      <protection hidden="1"/>
    </xf>
    <xf numFmtId="14" fontId="10" fillId="69" borderId="11" xfId="0" applyNumberFormat="1" applyFont="1" applyFill="1" applyBorder="1" applyAlignment="1" applyProtection="1">
      <alignment horizontal="center" wrapText="1"/>
      <protection locked="0" hidden="1"/>
    </xf>
    <xf numFmtId="0" fontId="11" fillId="69" borderId="0" xfId="0" applyFont="1" applyFill="1" applyAlignment="1" applyProtection="1">
      <alignment horizontal="left" vertical="center" wrapText="1"/>
      <protection hidden="1"/>
    </xf>
    <xf numFmtId="0" fontId="35" fillId="61" borderId="0" xfId="0" applyFont="1" applyFill="1" applyAlignment="1" applyProtection="1">
      <alignment horizontal="center" vertical="center" wrapText="1"/>
      <protection hidden="1"/>
    </xf>
    <xf numFmtId="0" fontId="10" fillId="69" borderId="0" xfId="0" applyFont="1" applyFill="1" applyAlignment="1" applyProtection="1">
      <alignment vertical="top"/>
      <protection hidden="1"/>
    </xf>
    <xf numFmtId="167" fontId="10" fillId="61" borderId="58" xfId="0" applyNumberFormat="1" applyFont="1" applyFill="1" applyBorder="1" applyAlignment="1" applyProtection="1">
      <alignment vertical="top"/>
      <protection hidden="1"/>
    </xf>
    <xf numFmtId="167" fontId="10" fillId="61" borderId="150" xfId="0" applyNumberFormat="1" applyFont="1" applyFill="1" applyBorder="1" applyAlignment="1" applyProtection="1">
      <alignment vertical="top"/>
      <protection hidden="1"/>
    </xf>
    <xf numFmtId="167" fontId="10" fillId="61" borderId="151" xfId="0" applyNumberFormat="1" applyFont="1" applyFill="1" applyBorder="1" applyAlignment="1" applyProtection="1">
      <alignment vertical="top"/>
      <protection hidden="1"/>
    </xf>
    <xf numFmtId="167" fontId="60" fillId="61" borderId="57" xfId="0" applyNumberFormat="1" applyFont="1" applyFill="1" applyBorder="1" applyAlignment="1" applyProtection="1">
      <alignment vertical="top"/>
      <protection hidden="1"/>
    </xf>
    <xf numFmtId="167" fontId="60" fillId="61" borderId="152" xfId="0" applyNumberFormat="1" applyFont="1" applyFill="1" applyBorder="1" applyAlignment="1" applyProtection="1">
      <alignment vertical="top"/>
      <protection hidden="1"/>
    </xf>
    <xf numFmtId="167" fontId="60" fillId="61" borderId="153" xfId="0" applyNumberFormat="1" applyFont="1" applyFill="1" applyBorder="1" applyAlignment="1" applyProtection="1">
      <alignment vertical="top"/>
      <protection hidden="1"/>
    </xf>
    <xf numFmtId="169" fontId="10" fillId="61" borderId="58" xfId="0" applyNumberFormat="1" applyFont="1" applyFill="1" applyBorder="1" applyAlignment="1" applyProtection="1">
      <alignment vertical="top"/>
      <protection hidden="1"/>
    </xf>
    <xf numFmtId="169" fontId="10" fillId="61" borderId="150" xfId="0" applyNumberFormat="1" applyFont="1" applyFill="1" applyBorder="1" applyAlignment="1" applyProtection="1">
      <alignment vertical="top"/>
      <protection hidden="1"/>
    </xf>
    <xf numFmtId="169" fontId="10" fillId="61" borderId="151" xfId="0" applyNumberFormat="1" applyFont="1" applyFill="1" applyBorder="1" applyAlignment="1" applyProtection="1">
      <alignment vertical="top"/>
      <protection hidden="1"/>
    </xf>
    <xf numFmtId="169" fontId="60" fillId="61" borderId="57" xfId="0" applyNumberFormat="1" applyFont="1" applyFill="1" applyBorder="1" applyAlignment="1" applyProtection="1">
      <alignment vertical="top"/>
      <protection hidden="1"/>
    </xf>
    <xf numFmtId="169" fontId="60" fillId="61" borderId="152" xfId="0" applyNumberFormat="1" applyFont="1" applyFill="1" applyBorder="1" applyAlignment="1" applyProtection="1">
      <alignment vertical="top"/>
      <protection hidden="1"/>
    </xf>
    <xf numFmtId="169" fontId="60" fillId="61" borderId="153" xfId="0" applyNumberFormat="1" applyFont="1" applyFill="1" applyBorder="1" applyAlignment="1" applyProtection="1">
      <alignment vertical="top"/>
      <protection hidden="1"/>
    </xf>
    <xf numFmtId="0" fontId="10" fillId="61" borderId="150" xfId="0" applyFont="1" applyFill="1" applyBorder="1" applyAlignment="1" applyProtection="1">
      <alignment horizontal="left" vertical="top"/>
      <protection hidden="1"/>
    </xf>
    <xf numFmtId="0" fontId="10" fillId="61" borderId="151" xfId="0" applyFont="1" applyFill="1" applyBorder="1" applyAlignment="1" applyProtection="1">
      <alignment horizontal="left" vertical="top"/>
      <protection hidden="1"/>
    </xf>
    <xf numFmtId="0" fontId="60" fillId="61" borderId="150" xfId="0" applyFont="1" applyFill="1" applyBorder="1" applyAlignment="1" applyProtection="1">
      <alignment horizontal="left" vertical="top"/>
      <protection hidden="1"/>
    </xf>
    <xf numFmtId="0" fontId="60" fillId="61" borderId="151" xfId="0" applyFont="1" applyFill="1" applyBorder="1" applyAlignment="1" applyProtection="1">
      <alignment horizontal="left" vertical="top"/>
      <protection hidden="1"/>
    </xf>
    <xf numFmtId="177" fontId="10" fillId="61" borderId="58" xfId="0" applyNumberFormat="1" applyFont="1" applyFill="1" applyBorder="1" applyAlignment="1" applyProtection="1">
      <alignment vertical="top"/>
      <protection hidden="1"/>
    </xf>
    <xf numFmtId="177" fontId="10" fillId="61" borderId="150" xfId="0" applyNumberFormat="1" applyFont="1" applyFill="1" applyBorder="1" applyAlignment="1" applyProtection="1">
      <alignment vertical="top"/>
      <protection hidden="1"/>
    </xf>
    <xf numFmtId="177" fontId="10" fillId="61" borderId="151" xfId="0" applyNumberFormat="1" applyFont="1" applyFill="1" applyBorder="1" applyAlignment="1" applyProtection="1">
      <alignment vertical="top"/>
      <protection hidden="1"/>
    </xf>
    <xf numFmtId="177" fontId="60" fillId="61" borderId="57" xfId="0" applyNumberFormat="1" applyFont="1" applyFill="1" applyBorder="1" applyAlignment="1" applyProtection="1">
      <alignment vertical="top"/>
      <protection hidden="1"/>
    </xf>
    <xf numFmtId="177" fontId="60" fillId="61" borderId="152" xfId="0" applyNumberFormat="1" applyFont="1" applyFill="1" applyBorder="1" applyAlignment="1" applyProtection="1">
      <alignment vertical="top"/>
      <protection hidden="1"/>
    </xf>
    <xf numFmtId="177" fontId="60" fillId="61" borderId="153" xfId="0" applyNumberFormat="1" applyFont="1" applyFill="1" applyBorder="1" applyAlignment="1" applyProtection="1">
      <alignment vertical="top"/>
      <protection hidden="1"/>
    </xf>
    <xf numFmtId="0" fontId="35" fillId="69" borderId="0" xfId="0" applyFont="1" applyFill="1" applyAlignment="1" applyProtection="1">
      <alignment horizontal="center"/>
      <protection hidden="1"/>
    </xf>
    <xf numFmtId="0" fontId="35" fillId="69" borderId="0" xfId="0" applyFont="1" applyFill="1" applyAlignment="1" applyProtection="1">
      <alignment horizontal="center" wrapText="1"/>
      <protection hidden="1"/>
    </xf>
    <xf numFmtId="0" fontId="11" fillId="69" borderId="0" xfId="0" applyFont="1" applyFill="1" applyAlignment="1" applyProtection="1">
      <alignment horizontal="left" vertical="top" wrapText="1"/>
      <protection hidden="1"/>
    </xf>
    <xf numFmtId="0" fontId="60" fillId="61" borderId="0" xfId="0" applyFont="1" applyFill="1" applyAlignment="1" applyProtection="1">
      <alignment horizontal="right" vertical="top"/>
      <protection hidden="1"/>
    </xf>
    <xf numFmtId="167" fontId="10" fillId="61" borderId="56" xfId="0" applyNumberFormat="1" applyFont="1" applyFill="1" applyBorder="1" applyAlignment="1" applyProtection="1">
      <alignment vertical="top"/>
      <protection hidden="1"/>
    </xf>
    <xf numFmtId="167" fontId="10" fillId="61" borderId="149" xfId="0" applyNumberFormat="1" applyFont="1" applyFill="1" applyBorder="1" applyAlignment="1" applyProtection="1">
      <alignment vertical="top"/>
      <protection hidden="1"/>
    </xf>
    <xf numFmtId="167" fontId="10" fillId="61" borderId="55" xfId="0" applyNumberFormat="1" applyFont="1" applyFill="1" applyBorder="1" applyAlignment="1" applyProtection="1">
      <alignment vertical="top"/>
      <protection hidden="1"/>
    </xf>
    <xf numFmtId="177" fontId="10" fillId="61" borderId="56" xfId="0" applyNumberFormat="1" applyFont="1" applyFill="1" applyBorder="1" applyAlignment="1" applyProtection="1">
      <alignment vertical="top"/>
      <protection hidden="1"/>
    </xf>
    <xf numFmtId="177" fontId="10" fillId="61" borderId="149" xfId="0" applyNumberFormat="1" applyFont="1" applyFill="1" applyBorder="1" applyAlignment="1" applyProtection="1">
      <alignment vertical="top"/>
      <protection hidden="1"/>
    </xf>
    <xf numFmtId="177" fontId="10" fillId="61" borderId="55" xfId="0" applyNumberFormat="1" applyFont="1" applyFill="1" applyBorder="1" applyAlignment="1" applyProtection="1">
      <alignment vertical="top"/>
      <protection hidden="1"/>
    </xf>
    <xf numFmtId="169" fontId="10" fillId="61" borderId="56" xfId="0" applyNumberFormat="1" applyFont="1" applyFill="1" applyBorder="1" applyAlignment="1" applyProtection="1">
      <alignment vertical="top"/>
      <protection hidden="1"/>
    </xf>
    <xf numFmtId="169" fontId="10" fillId="61" borderId="149" xfId="0" applyNumberFormat="1" applyFont="1" applyFill="1" applyBorder="1" applyAlignment="1" applyProtection="1">
      <alignment vertical="top"/>
      <protection hidden="1"/>
    </xf>
    <xf numFmtId="169" fontId="10" fillId="61" borderId="55" xfId="0" applyNumberFormat="1" applyFont="1" applyFill="1" applyBorder="1" applyAlignment="1" applyProtection="1">
      <alignment vertical="top"/>
      <protection hidden="1"/>
    </xf>
    <xf numFmtId="0" fontId="60" fillId="61" borderId="0" xfId="0" applyFont="1" applyFill="1" applyAlignment="1" applyProtection="1">
      <alignment horizontal="left" vertical="top"/>
      <protection hidden="1"/>
    </xf>
    <xf numFmtId="0" fontId="10" fillId="61" borderId="149" xfId="0" applyFont="1" applyFill="1" applyBorder="1" applyAlignment="1" applyProtection="1">
      <alignment horizontal="left" vertical="top"/>
      <protection hidden="1"/>
    </xf>
    <xf numFmtId="0" fontId="10" fillId="61" borderId="55" xfId="0" applyFont="1" applyFill="1" applyBorder="1" applyAlignment="1" applyProtection="1">
      <alignment horizontal="left" vertical="top"/>
      <protection hidden="1"/>
    </xf>
    <xf numFmtId="0" fontId="162" fillId="0" borderId="0" xfId="1" applyFont="1" applyFill="1" applyBorder="1" applyAlignment="1" applyProtection="1">
      <alignment horizontal="center" vertical="center" wrapText="1"/>
      <protection hidden="1"/>
    </xf>
    <xf numFmtId="0" fontId="162" fillId="0" borderId="177" xfId="1" applyFont="1" applyFill="1" applyBorder="1" applyAlignment="1" applyProtection="1">
      <alignment horizontal="center" vertical="center" wrapText="1"/>
      <protection hidden="1"/>
    </xf>
    <xf numFmtId="14" fontId="50" fillId="0" borderId="102" xfId="0" applyNumberFormat="1" applyFont="1" applyBorder="1" applyAlignment="1" applyProtection="1">
      <alignment horizontal="center"/>
      <protection locked="0"/>
    </xf>
    <xf numFmtId="14" fontId="50" fillId="0" borderId="103" xfId="0" applyNumberFormat="1" applyFont="1" applyBorder="1" applyAlignment="1" applyProtection="1">
      <alignment horizontal="center"/>
      <protection locked="0"/>
    </xf>
    <xf numFmtId="14" fontId="50" fillId="0" borderId="104" xfId="0" applyNumberFormat="1" applyFont="1" applyBorder="1" applyAlignment="1" applyProtection="1">
      <alignment horizontal="center"/>
      <protection locked="0"/>
    </xf>
    <xf numFmtId="0" fontId="50" fillId="70" borderId="13" xfId="0" applyFont="1" applyFill="1" applyBorder="1" applyAlignment="1">
      <alignment horizontal="left" vertical="top" wrapText="1"/>
    </xf>
    <xf numFmtId="0" fontId="50" fillId="70" borderId="10" xfId="0" applyFont="1" applyFill="1" applyBorder="1" applyAlignment="1">
      <alignment horizontal="left" vertical="top" wrapText="1"/>
    </xf>
    <xf numFmtId="0" fontId="50" fillId="70" borderId="3" xfId="0" applyFont="1" applyFill="1" applyBorder="1" applyAlignment="1">
      <alignment horizontal="left" vertical="top" wrapText="1"/>
    </xf>
    <xf numFmtId="0" fontId="50" fillId="70" borderId="12" xfId="0" applyFont="1" applyFill="1" applyBorder="1" applyAlignment="1">
      <alignment horizontal="left" vertical="top" wrapText="1"/>
    </xf>
    <xf numFmtId="0" fontId="50" fillId="70" borderId="0" xfId="0" applyFont="1" applyFill="1" applyAlignment="1">
      <alignment horizontal="left" vertical="top" wrapText="1"/>
    </xf>
    <xf numFmtId="0" fontId="50" fillId="70" borderId="4" xfId="0" applyFont="1" applyFill="1" applyBorder="1" applyAlignment="1">
      <alignment horizontal="left" vertical="top" wrapText="1"/>
    </xf>
    <xf numFmtId="0" fontId="50" fillId="70" borderId="14" xfId="0" applyFont="1" applyFill="1" applyBorder="1" applyAlignment="1">
      <alignment horizontal="left" vertical="top" wrapText="1"/>
    </xf>
    <xf numFmtId="0" fontId="50" fillId="70" borderId="11" xfId="0" applyFont="1" applyFill="1" applyBorder="1" applyAlignment="1">
      <alignment horizontal="left" vertical="top" wrapText="1"/>
    </xf>
    <xf numFmtId="0" fontId="50" fillId="70" borderId="5" xfId="0" applyFont="1" applyFill="1" applyBorder="1" applyAlignment="1">
      <alignment horizontal="left" vertical="top" wrapText="1"/>
    </xf>
    <xf numFmtId="0" fontId="8" fillId="70" borderId="139" xfId="0" applyFont="1" applyFill="1" applyBorder="1" applyAlignment="1" applyProtection="1">
      <alignment horizontal="center" vertical="center"/>
      <protection locked="0"/>
    </xf>
    <xf numFmtId="0" fontId="8" fillId="69" borderId="10" xfId="0" applyFont="1" applyFill="1" applyBorder="1" applyAlignment="1">
      <alignment horizontal="left" vertical="center" wrapText="1"/>
    </xf>
    <xf numFmtId="0" fontId="8" fillId="69" borderId="3" xfId="0" applyFont="1" applyFill="1" applyBorder="1" applyAlignment="1">
      <alignment horizontal="left" vertical="center" wrapText="1"/>
    </xf>
    <xf numFmtId="0" fontId="8" fillId="70" borderId="14" xfId="0" applyFont="1" applyFill="1" applyBorder="1" applyAlignment="1" applyProtection="1">
      <alignment horizontal="center" vertical="center" wrapText="1"/>
      <protection locked="0"/>
    </xf>
    <xf numFmtId="0" fontId="8" fillId="70" borderId="11" xfId="0" applyFont="1" applyFill="1" applyBorder="1" applyAlignment="1" applyProtection="1">
      <alignment horizontal="center" vertical="center" wrapText="1"/>
      <protection locked="0"/>
    </xf>
    <xf numFmtId="0" fontId="8" fillId="69" borderId="0" xfId="0" applyFont="1" applyFill="1" applyAlignment="1">
      <alignment horizontal="left" vertical="center" wrapText="1"/>
    </xf>
    <xf numFmtId="0" fontId="8" fillId="69" borderId="4" xfId="0" applyFont="1" applyFill="1" applyBorder="1" applyAlignment="1">
      <alignment horizontal="left" vertical="center" wrapText="1"/>
    </xf>
    <xf numFmtId="0" fontId="152" fillId="0" borderId="0" xfId="0" applyFont="1" applyAlignment="1">
      <alignment horizontal="center" vertical="center"/>
    </xf>
    <xf numFmtId="0" fontId="8" fillId="69" borderId="14" xfId="0" applyFont="1" applyFill="1" applyBorder="1" applyAlignment="1">
      <alignment horizontal="left" vertical="top" wrapText="1"/>
    </xf>
    <xf numFmtId="0" fontId="8" fillId="69" borderId="11" xfId="0" applyFont="1" applyFill="1" applyBorder="1" applyAlignment="1">
      <alignment horizontal="left" vertical="top" wrapText="1"/>
    </xf>
    <xf numFmtId="0" fontId="50" fillId="0" borderId="0" xfId="0" applyFont="1" applyAlignment="1">
      <alignment horizontal="left" wrapText="1"/>
    </xf>
    <xf numFmtId="0" fontId="50" fillId="0" borderId="107" xfId="0" applyFont="1" applyBorder="1" applyAlignment="1">
      <alignment horizontal="left" wrapText="1"/>
    </xf>
    <xf numFmtId="0" fontId="146" fillId="68" borderId="0" xfId="0" applyFont="1" applyFill="1" applyAlignment="1">
      <alignment horizontal="center" vertical="center"/>
    </xf>
    <xf numFmtId="0" fontId="50" fillId="0" borderId="0" xfId="0" applyFont="1" applyAlignment="1">
      <alignment horizontal="left"/>
    </xf>
    <xf numFmtId="0" fontId="50" fillId="0" borderId="107" xfId="0" applyFont="1" applyBorder="1" applyAlignment="1">
      <alignment horizontal="left"/>
    </xf>
    <xf numFmtId="167" fontId="8" fillId="0" borderId="110" xfId="13" applyNumberFormat="1" applyFont="1" applyBorder="1" applyAlignment="1" applyProtection="1">
      <alignment horizontal="center"/>
      <protection hidden="1"/>
    </xf>
    <xf numFmtId="167" fontId="8" fillId="0" borderId="111" xfId="13" applyNumberFormat="1" applyFont="1" applyBorder="1" applyAlignment="1" applyProtection="1">
      <alignment horizontal="center"/>
      <protection hidden="1"/>
    </xf>
    <xf numFmtId="0" fontId="8" fillId="69" borderId="113" xfId="0" applyFont="1" applyFill="1" applyBorder="1" applyAlignment="1">
      <alignment horizontal="left"/>
    </xf>
    <xf numFmtId="167" fontId="8" fillId="70" borderId="111" xfId="13" applyNumberFormat="1" applyFont="1" applyFill="1" applyBorder="1" applyAlignment="1" applyProtection="1">
      <alignment horizontal="center"/>
      <protection locked="0"/>
    </xf>
    <xf numFmtId="167" fontId="8" fillId="70" borderId="113" xfId="13" applyNumberFormat="1" applyFont="1" applyFill="1" applyBorder="1" applyAlignment="1" applyProtection="1">
      <alignment horizontal="center"/>
      <protection locked="0"/>
    </xf>
    <xf numFmtId="167" fontId="8" fillId="0" borderId="113" xfId="13" applyNumberFormat="1" applyFont="1" applyBorder="1" applyAlignment="1" applyProtection="1">
      <alignment horizontal="center"/>
      <protection hidden="1"/>
    </xf>
    <xf numFmtId="14" fontId="8" fillId="70" borderId="113" xfId="0" applyNumberFormat="1" applyFont="1" applyFill="1" applyBorder="1" applyAlignment="1" applyProtection="1">
      <alignment horizontal="center"/>
      <protection locked="0" hidden="1"/>
    </xf>
    <xf numFmtId="0" fontId="8" fillId="0" borderId="113" xfId="0" applyFont="1" applyBorder="1" applyAlignment="1" applyProtection="1">
      <alignment horizontal="center"/>
      <protection hidden="1"/>
    </xf>
    <xf numFmtId="0" fontId="8" fillId="69" borderId="109" xfId="0" applyFont="1" applyFill="1" applyBorder="1" applyAlignment="1">
      <alignment horizontal="left"/>
    </xf>
    <xf numFmtId="0" fontId="8" fillId="69" borderId="110" xfId="0" applyFont="1" applyFill="1" applyBorder="1" applyAlignment="1">
      <alignment horizontal="left"/>
    </xf>
    <xf numFmtId="0" fontId="8" fillId="69" borderId="111" xfId="0" applyFont="1" applyFill="1" applyBorder="1" applyAlignment="1">
      <alignment horizontal="left"/>
    </xf>
    <xf numFmtId="0" fontId="10" fillId="70" borderId="173" xfId="0" applyFont="1" applyFill="1" applyBorder="1" applyAlignment="1" applyProtection="1">
      <alignment horizontal="center"/>
      <protection locked="0"/>
    </xf>
    <xf numFmtId="0" fontId="35" fillId="69" borderId="0" xfId="0" applyFont="1" applyFill="1" applyAlignment="1">
      <alignment horizontal="center" vertical="center" wrapText="1"/>
    </xf>
    <xf numFmtId="0" fontId="8" fillId="0" borderId="94" xfId="0" applyFont="1" applyBorder="1" applyAlignment="1">
      <alignment horizontal="center"/>
    </xf>
    <xf numFmtId="167" fontId="8" fillId="0" borderId="109" xfId="0" applyNumberFormat="1" applyFont="1" applyBorder="1" applyAlignment="1" applyProtection="1">
      <alignment horizontal="center"/>
      <protection hidden="1"/>
    </xf>
    <xf numFmtId="167" fontId="8" fillId="0" borderId="110" xfId="0" applyNumberFormat="1" applyFont="1" applyBorder="1" applyAlignment="1" applyProtection="1">
      <alignment horizontal="center"/>
      <protection hidden="1"/>
    </xf>
    <xf numFmtId="167" fontId="8" fillId="0" borderId="111" xfId="0" applyNumberFormat="1" applyFont="1" applyBorder="1" applyAlignment="1" applyProtection="1">
      <alignment horizontal="center"/>
      <protection hidden="1"/>
    </xf>
    <xf numFmtId="0" fontId="204" fillId="78" borderId="113" xfId="0" applyFont="1" applyFill="1" applyBorder="1" applyAlignment="1">
      <alignment horizontal="left"/>
    </xf>
    <xf numFmtId="3" fontId="8" fillId="0" borderId="113" xfId="0" applyNumberFormat="1" applyFont="1" applyBorder="1" applyAlignment="1" applyProtection="1">
      <alignment horizontal="center"/>
      <protection hidden="1"/>
    </xf>
    <xf numFmtId="0" fontId="42" fillId="69" borderId="0" xfId="0" applyFont="1" applyFill="1" applyAlignment="1">
      <alignment horizontal="left" vertical="center"/>
    </xf>
    <xf numFmtId="0" fontId="42" fillId="69" borderId="0" xfId="0" applyFont="1" applyFill="1" applyAlignment="1">
      <alignment horizontal="right" vertical="center"/>
    </xf>
    <xf numFmtId="0" fontId="25" fillId="0" borderId="0" xfId="0" applyFont="1" applyAlignment="1">
      <alignment horizontal="center" vertical="top" wrapText="1"/>
    </xf>
    <xf numFmtId="0" fontId="62" fillId="68" borderId="0" xfId="0" applyFont="1" applyFill="1" applyAlignment="1">
      <alignment horizontal="left"/>
    </xf>
    <xf numFmtId="0" fontId="62" fillId="68" borderId="0" xfId="0" applyFont="1" applyFill="1" applyAlignment="1">
      <alignment horizontal="right"/>
    </xf>
    <xf numFmtId="0" fontId="60" fillId="69" borderId="0" xfId="0" applyFont="1" applyFill="1" applyAlignment="1">
      <alignment vertical="top"/>
    </xf>
    <xf numFmtId="0" fontId="60" fillId="69" borderId="0" xfId="0" applyFont="1" applyFill="1" applyAlignment="1">
      <alignment horizontal="left" vertical="top"/>
    </xf>
    <xf numFmtId="0" fontId="8" fillId="9" borderId="17" xfId="0" applyFont="1" applyFill="1" applyBorder="1" applyAlignment="1">
      <alignment horizontal="left"/>
    </xf>
    <xf numFmtId="0" fontId="8" fillId="9" borderId="18" xfId="0" applyFont="1" applyFill="1" applyBorder="1" applyAlignment="1">
      <alignment horizontal="left"/>
    </xf>
    <xf numFmtId="3" fontId="8" fillId="10" borderId="18" xfId="0" applyNumberFormat="1" applyFont="1" applyFill="1" applyBorder="1" applyAlignment="1" applyProtection="1">
      <alignment horizontal="center" vertical="top"/>
      <protection locked="0"/>
    </xf>
    <xf numFmtId="3" fontId="8" fillId="10" borderId="19" xfId="0" applyNumberFormat="1" applyFont="1" applyFill="1" applyBorder="1" applyAlignment="1" applyProtection="1">
      <alignment horizontal="center" vertical="top"/>
      <protection locked="0"/>
    </xf>
    <xf numFmtId="0" fontId="8" fillId="10" borderId="17" xfId="0" applyFont="1" applyFill="1" applyBorder="1" applyAlignment="1" applyProtection="1">
      <alignment horizontal="left"/>
      <protection hidden="1"/>
    </xf>
    <xf numFmtId="0" fontId="8" fillId="10" borderId="18" xfId="0" applyFont="1" applyFill="1" applyBorder="1" applyAlignment="1" applyProtection="1">
      <alignment horizontal="left"/>
      <protection hidden="1"/>
    </xf>
    <xf numFmtId="0" fontId="8" fillId="10" borderId="19" xfId="0" applyFont="1" applyFill="1" applyBorder="1" applyAlignment="1" applyProtection="1">
      <alignment horizontal="left"/>
      <protection hidden="1"/>
    </xf>
    <xf numFmtId="3" fontId="8" fillId="10" borderId="17" xfId="0" applyNumberFormat="1" applyFont="1" applyFill="1" applyBorder="1" applyAlignment="1">
      <alignment horizontal="left" vertical="top"/>
    </xf>
    <xf numFmtId="3" fontId="8" fillId="10" borderId="18" xfId="0" applyNumberFormat="1" applyFont="1" applyFill="1" applyBorder="1" applyAlignment="1">
      <alignment horizontal="left" vertical="top"/>
    </xf>
    <xf numFmtId="3" fontId="8" fillId="10" borderId="19" xfId="0" applyNumberFormat="1" applyFont="1" applyFill="1" applyBorder="1" applyAlignment="1">
      <alignment horizontal="left" vertical="top"/>
    </xf>
    <xf numFmtId="0" fontId="8" fillId="6" borderId="17" xfId="0" applyFont="1" applyFill="1" applyBorder="1" applyAlignment="1">
      <alignment horizontal="left" vertical="top"/>
    </xf>
    <xf numFmtId="0" fontId="8" fillId="6" borderId="18" xfId="0" applyFont="1" applyFill="1" applyBorder="1" applyAlignment="1">
      <alignment horizontal="left" vertical="top"/>
    </xf>
    <xf numFmtId="0" fontId="8" fillId="6" borderId="19" xfId="0" applyFont="1" applyFill="1" applyBorder="1" applyAlignment="1">
      <alignment horizontal="left" vertical="top"/>
    </xf>
    <xf numFmtId="0" fontId="8" fillId="6" borderId="17" xfId="0" applyFont="1" applyFill="1" applyBorder="1" applyAlignment="1" applyProtection="1">
      <alignment horizontal="left"/>
      <protection hidden="1"/>
    </xf>
    <xf numFmtId="0" fontId="8" fillId="6" borderId="18" xfId="0" applyFont="1" applyFill="1" applyBorder="1" applyAlignment="1" applyProtection="1">
      <alignment horizontal="left"/>
      <protection hidden="1"/>
    </xf>
    <xf numFmtId="0" fontId="8" fillId="6" borderId="19" xfId="0" applyFont="1" applyFill="1" applyBorder="1" applyAlignment="1" applyProtection="1">
      <alignment horizontal="left"/>
      <protection hidden="1"/>
    </xf>
    <xf numFmtId="167" fontId="10" fillId="70" borderId="17" xfId="0" applyNumberFormat="1" applyFont="1" applyFill="1" applyBorder="1" applyAlignment="1" applyProtection="1">
      <alignment horizontal="left" vertical="top"/>
      <protection hidden="1"/>
    </xf>
    <xf numFmtId="167" fontId="10" fillId="70" borderId="18" xfId="0" applyNumberFormat="1" applyFont="1" applyFill="1" applyBorder="1" applyAlignment="1" applyProtection="1">
      <alignment horizontal="left" vertical="top"/>
      <protection hidden="1"/>
    </xf>
    <xf numFmtId="167" fontId="10" fillId="70" borderId="19" xfId="0" applyNumberFormat="1" applyFont="1" applyFill="1" applyBorder="1" applyAlignment="1" applyProtection="1">
      <alignment horizontal="left" vertical="top"/>
      <protection hidden="1"/>
    </xf>
    <xf numFmtId="0" fontId="10" fillId="70" borderId="17" xfId="0" applyFont="1" applyFill="1" applyBorder="1" applyAlignment="1" applyProtection="1">
      <alignment horizontal="left"/>
      <protection hidden="1"/>
    </xf>
    <xf numFmtId="0" fontId="10" fillId="70" borderId="18" xfId="0" applyFont="1" applyFill="1" applyBorder="1" applyAlignment="1" applyProtection="1">
      <alignment horizontal="left"/>
      <protection hidden="1"/>
    </xf>
    <xf numFmtId="0" fontId="10" fillId="70" borderId="19" xfId="0" applyFont="1" applyFill="1" applyBorder="1" applyAlignment="1" applyProtection="1">
      <alignment horizontal="left"/>
      <protection hidden="1"/>
    </xf>
    <xf numFmtId="172" fontId="10" fillId="70" borderId="17" xfId="0" applyNumberFormat="1" applyFont="1" applyFill="1" applyBorder="1" applyAlignment="1" applyProtection="1">
      <alignment horizontal="left" vertical="top"/>
      <protection hidden="1"/>
    </xf>
    <xf numFmtId="172" fontId="10" fillId="70" borderId="18" xfId="0" applyNumberFormat="1" applyFont="1" applyFill="1" applyBorder="1" applyAlignment="1" applyProtection="1">
      <alignment horizontal="left" vertical="top"/>
      <protection hidden="1"/>
    </xf>
    <xf numFmtId="172" fontId="10" fillId="70" borderId="19" xfId="0" applyNumberFormat="1" applyFont="1" applyFill="1" applyBorder="1" applyAlignment="1" applyProtection="1">
      <alignment horizontal="left" vertical="top"/>
      <protection hidden="1"/>
    </xf>
    <xf numFmtId="0" fontId="11" fillId="68" borderId="16" xfId="0" applyFont="1" applyFill="1" applyBorder="1" applyAlignment="1" applyProtection="1">
      <alignment horizontal="left" vertical="center"/>
      <protection hidden="1"/>
    </xf>
    <xf numFmtId="0" fontId="10" fillId="70" borderId="16" xfId="0" applyFont="1" applyFill="1" applyBorder="1" applyProtection="1">
      <protection hidden="1"/>
    </xf>
    <xf numFmtId="2" fontId="10" fillId="70" borderId="16" xfId="0" applyNumberFormat="1" applyFont="1" applyFill="1" applyBorder="1" applyAlignment="1" applyProtection="1">
      <alignment horizontal="left" vertical="top"/>
      <protection hidden="1"/>
    </xf>
    <xf numFmtId="180" fontId="10" fillId="70" borderId="17" xfId="0" applyNumberFormat="1" applyFont="1" applyFill="1" applyBorder="1" applyAlignment="1" applyProtection="1">
      <alignment horizontal="left" vertical="top"/>
      <protection hidden="1"/>
    </xf>
    <xf numFmtId="180" fontId="10" fillId="70" borderId="18" xfId="0" applyNumberFormat="1" applyFont="1" applyFill="1" applyBorder="1" applyAlignment="1" applyProtection="1">
      <alignment horizontal="left" vertical="top"/>
      <protection hidden="1"/>
    </xf>
    <xf numFmtId="180" fontId="10" fillId="70" borderId="19" xfId="0" applyNumberFormat="1" applyFont="1" applyFill="1" applyBorder="1" applyAlignment="1" applyProtection="1">
      <alignment horizontal="left" vertical="top"/>
      <protection hidden="1"/>
    </xf>
    <xf numFmtId="0" fontId="8" fillId="69" borderId="16" xfId="0" applyFont="1" applyFill="1" applyBorder="1" applyProtection="1">
      <protection hidden="1"/>
    </xf>
    <xf numFmtId="0" fontId="8" fillId="69" borderId="17" xfId="0" applyFont="1" applyFill="1" applyBorder="1" applyAlignment="1">
      <alignment horizontal="left" vertical="top"/>
    </xf>
    <xf numFmtId="0" fontId="8" fillId="69" borderId="18" xfId="0" applyFont="1" applyFill="1" applyBorder="1" applyAlignment="1">
      <alignment horizontal="left" vertical="top"/>
    </xf>
    <xf numFmtId="0" fontId="8" fillId="69" borderId="19" xfId="0" applyFont="1" applyFill="1" applyBorder="1" applyAlignment="1">
      <alignment horizontal="left" vertical="top"/>
    </xf>
    <xf numFmtId="0" fontId="8" fillId="69" borderId="16" xfId="0" applyFont="1" applyFill="1" applyBorder="1" applyAlignment="1">
      <alignment horizontal="left" vertical="top"/>
    </xf>
    <xf numFmtId="0" fontId="10" fillId="56" borderId="16" xfId="0" applyFont="1" applyFill="1" applyBorder="1" applyAlignment="1">
      <alignment horizontal="left"/>
    </xf>
    <xf numFmtId="0" fontId="8" fillId="14" borderId="16" xfId="0" applyFont="1" applyFill="1" applyBorder="1" applyProtection="1">
      <protection hidden="1"/>
    </xf>
    <xf numFmtId="0" fontId="8" fillId="14" borderId="17" xfId="0" applyFont="1" applyFill="1" applyBorder="1" applyAlignment="1">
      <alignment horizontal="left" vertical="top"/>
    </xf>
    <xf numFmtId="0" fontId="8" fillId="14" borderId="18" xfId="0" applyFont="1" applyFill="1" applyBorder="1" applyAlignment="1">
      <alignment horizontal="left" vertical="top"/>
    </xf>
    <xf numFmtId="0" fontId="8" fillId="14" borderId="19" xfId="0" applyFont="1" applyFill="1" applyBorder="1" applyAlignment="1">
      <alignment horizontal="left" vertical="top"/>
    </xf>
    <xf numFmtId="166" fontId="8" fillId="14" borderId="16" xfId="0" applyNumberFormat="1" applyFont="1" applyFill="1" applyBorder="1" applyAlignment="1">
      <alignment horizontal="left" vertical="top"/>
    </xf>
    <xf numFmtId="170" fontId="8" fillId="14" borderId="17" xfId="0" applyNumberFormat="1" applyFont="1" applyFill="1" applyBorder="1" applyAlignment="1">
      <alignment horizontal="left" vertical="top"/>
    </xf>
    <xf numFmtId="170" fontId="8" fillId="14" borderId="18" xfId="0" applyNumberFormat="1" applyFont="1" applyFill="1" applyBorder="1" applyAlignment="1">
      <alignment horizontal="left" vertical="top"/>
    </xf>
    <xf numFmtId="170" fontId="8" fillId="14" borderId="19" xfId="0" applyNumberFormat="1" applyFont="1" applyFill="1" applyBorder="1" applyAlignment="1">
      <alignment horizontal="left" vertical="top"/>
    </xf>
    <xf numFmtId="0" fontId="11" fillId="68" borderId="17" xfId="0" applyFont="1" applyFill="1" applyBorder="1" applyAlignment="1" applyProtection="1">
      <alignment horizontal="left" vertical="center"/>
      <protection hidden="1"/>
    </xf>
    <xf numFmtId="0" fontId="11" fillId="68" borderId="18" xfId="0" applyFont="1" applyFill="1" applyBorder="1" applyAlignment="1" applyProtection="1">
      <alignment horizontal="left" vertical="center"/>
      <protection hidden="1"/>
    </xf>
    <xf numFmtId="0" fontId="11" fillId="68" borderId="19" xfId="0" applyFont="1" applyFill="1" applyBorder="1" applyAlignment="1" applyProtection="1">
      <alignment horizontal="left" vertical="center"/>
      <protection hidden="1"/>
    </xf>
    <xf numFmtId="0" fontId="8" fillId="13" borderId="16" xfId="0" applyFont="1" applyFill="1" applyBorder="1" applyProtection="1">
      <protection hidden="1"/>
    </xf>
    <xf numFmtId="0" fontId="8" fillId="13" borderId="16" xfId="0" applyFont="1" applyFill="1" applyBorder="1" applyAlignment="1">
      <alignment horizontal="left" vertical="top"/>
    </xf>
    <xf numFmtId="166" fontId="8" fillId="69" borderId="16" xfId="0" applyNumberFormat="1" applyFont="1" applyFill="1" applyBorder="1" applyAlignment="1">
      <alignment horizontal="left" vertical="top"/>
    </xf>
    <xf numFmtId="0" fontId="8" fillId="14" borderId="16" xfId="0" applyFont="1" applyFill="1" applyBorder="1" applyAlignment="1">
      <alignment horizontal="left" vertical="top"/>
    </xf>
    <xf numFmtId="170" fontId="8" fillId="69" borderId="17" xfId="0" applyNumberFormat="1" applyFont="1" applyFill="1" applyBorder="1" applyAlignment="1">
      <alignment horizontal="left" vertical="top"/>
    </xf>
    <xf numFmtId="170" fontId="8" fillId="69" borderId="18" xfId="0" applyNumberFormat="1" applyFont="1" applyFill="1" applyBorder="1" applyAlignment="1">
      <alignment horizontal="left" vertical="top"/>
    </xf>
    <xf numFmtId="170" fontId="8" fillId="69" borderId="19" xfId="0" applyNumberFormat="1" applyFont="1" applyFill="1" applyBorder="1" applyAlignment="1">
      <alignment horizontal="left" vertical="top"/>
    </xf>
    <xf numFmtId="0" fontId="8" fillId="70" borderId="16" xfId="0" applyFont="1" applyFill="1" applyBorder="1" applyProtection="1">
      <protection hidden="1"/>
    </xf>
    <xf numFmtId="0" fontId="8" fillId="70" borderId="16" xfId="0" applyFont="1" applyFill="1" applyBorder="1" applyAlignment="1">
      <alignment horizontal="left" vertical="top"/>
    </xf>
    <xf numFmtId="167" fontId="8" fillId="69" borderId="16" xfId="0" applyNumberFormat="1" applyFont="1" applyFill="1" applyBorder="1" applyAlignment="1">
      <alignment horizontal="left" vertical="top"/>
    </xf>
    <xf numFmtId="170" fontId="8" fillId="70" borderId="16" xfId="0" applyNumberFormat="1" applyFont="1" applyFill="1" applyBorder="1" applyAlignment="1">
      <alignment horizontal="left" vertical="top"/>
    </xf>
    <xf numFmtId="0" fontId="8" fillId="6" borderId="16" xfId="0" applyFont="1" applyFill="1" applyBorder="1" applyProtection="1">
      <protection hidden="1"/>
    </xf>
    <xf numFmtId="0" fontId="8" fillId="6" borderId="20" xfId="0" applyFont="1" applyFill="1" applyBorder="1" applyAlignment="1">
      <alignment horizontal="left" vertical="top" shrinkToFit="1"/>
    </xf>
    <xf numFmtId="0" fontId="8" fillId="6" borderId="59" xfId="0" applyFont="1" applyFill="1" applyBorder="1" applyAlignment="1">
      <alignment horizontal="left" vertical="top" shrinkToFit="1"/>
    </xf>
    <xf numFmtId="0" fontId="8" fillId="6" borderId="66" xfId="0" applyFont="1" applyFill="1" applyBorder="1" applyAlignment="1">
      <alignment horizontal="left" vertical="top" shrinkToFit="1"/>
    </xf>
    <xf numFmtId="0" fontId="8" fillId="10" borderId="16" xfId="0" applyFont="1" applyFill="1" applyBorder="1" applyProtection="1">
      <protection hidden="1"/>
    </xf>
    <xf numFmtId="1" fontId="8" fillId="6" borderId="68" xfId="0" applyNumberFormat="1" applyFont="1" applyFill="1" applyBorder="1" applyAlignment="1">
      <alignment horizontal="left" vertical="top"/>
    </xf>
    <xf numFmtId="1" fontId="8" fillId="6" borderId="69" xfId="0" applyNumberFormat="1" applyFont="1" applyFill="1" applyBorder="1" applyAlignment="1">
      <alignment horizontal="left" vertical="top"/>
    </xf>
    <xf numFmtId="1" fontId="8" fillId="6" borderId="70" xfId="0" applyNumberFormat="1" applyFont="1" applyFill="1" applyBorder="1" applyAlignment="1">
      <alignment horizontal="left" vertical="top"/>
    </xf>
    <xf numFmtId="0" fontId="8" fillId="6" borderId="16" xfId="0" applyFont="1" applyFill="1" applyBorder="1" applyAlignment="1" applyProtection="1">
      <alignment horizontal="left"/>
      <protection hidden="1"/>
    </xf>
    <xf numFmtId="0" fontId="11" fillId="68" borderId="189" xfId="0" applyFont="1" applyFill="1" applyBorder="1" applyAlignment="1" applyProtection="1">
      <alignment horizontal="left" vertical="center"/>
      <protection hidden="1"/>
    </xf>
    <xf numFmtId="0" fontId="11" fillId="68" borderId="16" xfId="0" applyFont="1" applyFill="1" applyBorder="1" applyAlignment="1">
      <alignment horizontal="left" vertical="center"/>
    </xf>
    <xf numFmtId="0" fontId="8" fillId="70" borderId="17" xfId="0" applyFont="1" applyFill="1" applyBorder="1" applyAlignment="1" applyProtection="1">
      <alignment horizontal="left" vertical="top" wrapText="1"/>
      <protection hidden="1"/>
    </xf>
    <xf numFmtId="0" fontId="8" fillId="70" borderId="18" xfId="0" applyFont="1" applyFill="1" applyBorder="1" applyAlignment="1" applyProtection="1">
      <alignment horizontal="left" vertical="top" wrapText="1"/>
      <protection hidden="1"/>
    </xf>
    <xf numFmtId="0" fontId="8" fillId="70" borderId="19" xfId="0" applyFont="1" applyFill="1" applyBorder="1" applyAlignment="1" applyProtection="1">
      <alignment horizontal="left" vertical="top" wrapText="1"/>
      <protection hidden="1"/>
    </xf>
    <xf numFmtId="166" fontId="8" fillId="13" borderId="16" xfId="0" applyNumberFormat="1" applyFont="1" applyFill="1" applyBorder="1" applyAlignment="1">
      <alignment horizontal="left" vertical="top"/>
    </xf>
    <xf numFmtId="170" fontId="8" fillId="13" borderId="17" xfId="0" applyNumberFormat="1" applyFont="1" applyFill="1" applyBorder="1" applyAlignment="1">
      <alignment horizontal="left" vertical="top"/>
    </xf>
    <xf numFmtId="170" fontId="8" fillId="13" borderId="18" xfId="0" applyNumberFormat="1" applyFont="1" applyFill="1" applyBorder="1" applyAlignment="1">
      <alignment horizontal="left" vertical="top"/>
    </xf>
    <xf numFmtId="170" fontId="8" fillId="13" borderId="19" xfId="0" applyNumberFormat="1" applyFont="1" applyFill="1" applyBorder="1" applyAlignment="1">
      <alignment horizontal="left" vertical="top"/>
    </xf>
    <xf numFmtId="0" fontId="8" fillId="19" borderId="16" xfId="0" applyFont="1" applyFill="1" applyBorder="1" applyProtection="1">
      <protection hidden="1"/>
    </xf>
    <xf numFmtId="0" fontId="8" fillId="19" borderId="16" xfId="0" applyFont="1" applyFill="1" applyBorder="1" applyAlignment="1">
      <alignment horizontal="left" vertical="top"/>
    </xf>
    <xf numFmtId="3" fontId="10" fillId="70" borderId="17" xfId="0" applyNumberFormat="1" applyFont="1" applyFill="1" applyBorder="1" applyAlignment="1">
      <alignment horizontal="left" vertical="top"/>
    </xf>
    <xf numFmtId="0" fontId="166" fillId="52" borderId="176" xfId="1" applyFont="1" applyFill="1" applyBorder="1" applyAlignment="1" applyProtection="1">
      <alignment horizontal="center" vertical="center" wrapText="1"/>
      <protection hidden="1"/>
    </xf>
    <xf numFmtId="0" fontId="10" fillId="70" borderId="17" xfId="0" applyFont="1" applyFill="1" applyBorder="1" applyAlignment="1">
      <alignment horizontal="left"/>
    </xf>
    <xf numFmtId="0" fontId="10" fillId="70" borderId="21" xfId="0" applyFont="1" applyFill="1" applyBorder="1" applyAlignment="1">
      <alignment horizontal="left"/>
    </xf>
    <xf numFmtId="0" fontId="8" fillId="6" borderId="21" xfId="0" applyFont="1" applyFill="1" applyBorder="1" applyAlignment="1" applyProtection="1">
      <alignment horizontal="left" vertical="top"/>
      <protection hidden="1"/>
    </xf>
    <xf numFmtId="0" fontId="8" fillId="6" borderId="65" xfId="0" applyFont="1" applyFill="1" applyBorder="1" applyAlignment="1" applyProtection="1">
      <alignment horizontal="left" vertical="top"/>
      <protection hidden="1"/>
    </xf>
    <xf numFmtId="0" fontId="8" fillId="6" borderId="67" xfId="0" applyFont="1" applyFill="1" applyBorder="1" applyAlignment="1" applyProtection="1">
      <alignment horizontal="left" vertical="top"/>
      <protection hidden="1"/>
    </xf>
    <xf numFmtId="14" fontId="8" fillId="6" borderId="17" xfId="0" applyNumberFormat="1" applyFont="1" applyFill="1" applyBorder="1" applyAlignment="1">
      <alignment horizontal="left" vertical="top"/>
    </xf>
    <xf numFmtId="14" fontId="8" fillId="6" borderId="18" xfId="0" applyNumberFormat="1" applyFont="1" applyFill="1" applyBorder="1" applyAlignment="1">
      <alignment horizontal="left" vertical="top"/>
    </xf>
    <xf numFmtId="14" fontId="8" fillId="6" borderId="19" xfId="0" applyNumberFormat="1" applyFont="1" applyFill="1" applyBorder="1" applyAlignment="1">
      <alignment horizontal="left" vertical="top"/>
    </xf>
    <xf numFmtId="0" fontId="10" fillId="70" borderId="65" xfId="0" applyFont="1" applyFill="1" applyBorder="1" applyAlignment="1">
      <alignment horizontal="left"/>
    </xf>
    <xf numFmtId="0" fontId="10" fillId="70" borderId="67" xfId="0" applyFont="1" applyFill="1" applyBorder="1" applyAlignment="1">
      <alignment horizontal="left"/>
    </xf>
    <xf numFmtId="3" fontId="10" fillId="70" borderId="18" xfId="0" applyNumberFormat="1" applyFont="1" applyFill="1" applyBorder="1" applyAlignment="1">
      <alignment horizontal="left" vertical="top"/>
    </xf>
    <xf numFmtId="3" fontId="10" fillId="70" borderId="19" xfId="0" applyNumberFormat="1" applyFont="1" applyFill="1" applyBorder="1" applyAlignment="1">
      <alignment horizontal="left" vertical="top"/>
    </xf>
    <xf numFmtId="1" fontId="10" fillId="70" borderId="17" xfId="0" applyNumberFormat="1" applyFont="1" applyFill="1" applyBorder="1" applyAlignment="1">
      <alignment horizontal="left" vertical="top"/>
    </xf>
    <xf numFmtId="0" fontId="65" fillId="0" borderId="13" xfId="0" applyFont="1" applyBorder="1" applyAlignment="1">
      <alignment horizontal="left" vertical="top" wrapText="1" shrinkToFit="1"/>
    </xf>
    <xf numFmtId="0" fontId="65" fillId="0" borderId="10" xfId="0" applyFont="1" applyBorder="1" applyAlignment="1">
      <alignment horizontal="left" vertical="top" wrapText="1" shrinkToFit="1"/>
    </xf>
    <xf numFmtId="0" fontId="65" fillId="0" borderId="3" xfId="0" applyFont="1" applyBorder="1" applyAlignment="1">
      <alignment horizontal="left" vertical="top" wrapText="1" shrinkToFit="1"/>
    </xf>
    <xf numFmtId="0" fontId="65" fillId="0" borderId="12" xfId="0" applyFont="1" applyBorder="1" applyAlignment="1">
      <alignment horizontal="left" vertical="top" wrapText="1" shrinkToFit="1"/>
    </xf>
    <xf numFmtId="0" fontId="65" fillId="0" borderId="0" xfId="0" applyFont="1" applyAlignment="1">
      <alignment horizontal="left" vertical="top" wrapText="1" shrinkToFit="1"/>
    </xf>
    <xf numFmtId="0" fontId="65" fillId="0" borderId="4" xfId="0" applyFont="1" applyBorder="1" applyAlignment="1">
      <alignment horizontal="left" vertical="top" wrapText="1" shrinkToFit="1"/>
    </xf>
    <xf numFmtId="0" fontId="65" fillId="0" borderId="14" xfId="0" applyFont="1" applyBorder="1" applyAlignment="1">
      <alignment horizontal="left" vertical="top" wrapText="1" shrinkToFit="1"/>
    </xf>
    <xf numFmtId="0" fontId="65" fillId="0" borderId="11" xfId="0" applyFont="1" applyBorder="1" applyAlignment="1">
      <alignment horizontal="left" vertical="top" wrapText="1" shrinkToFit="1"/>
    </xf>
    <xf numFmtId="0" fontId="65" fillId="0" borderId="5" xfId="0" applyFont="1" applyBorder="1" applyAlignment="1">
      <alignment horizontal="left" vertical="top" wrapText="1" shrinkToFit="1"/>
    </xf>
    <xf numFmtId="0" fontId="8" fillId="10" borderId="16" xfId="0" applyFont="1" applyFill="1" applyBorder="1" applyAlignment="1" applyProtection="1">
      <alignment horizontal="left"/>
      <protection hidden="1"/>
    </xf>
    <xf numFmtId="0" fontId="8" fillId="6" borderId="21" xfId="0" applyFont="1" applyFill="1" applyBorder="1" applyAlignment="1">
      <alignment horizontal="left" vertical="top"/>
    </xf>
    <xf numFmtId="0" fontId="8" fillId="6" borderId="65" xfId="0" applyFont="1" applyFill="1" applyBorder="1" applyAlignment="1">
      <alignment horizontal="left" vertical="top"/>
    </xf>
    <xf numFmtId="0" fontId="8" fillId="6" borderId="67" xfId="0" applyFont="1" applyFill="1" applyBorder="1" applyAlignment="1">
      <alignment horizontal="left" vertical="top"/>
    </xf>
    <xf numFmtId="0" fontId="8" fillId="9" borderId="17" xfId="0" applyFont="1" applyFill="1" applyBorder="1"/>
    <xf numFmtId="49" fontId="8" fillId="71" borderId="17" xfId="0" applyNumberFormat="1" applyFont="1" applyFill="1" applyBorder="1" applyAlignment="1" applyProtection="1">
      <alignment horizontal="left" vertical="top"/>
      <protection locked="0"/>
    </xf>
    <xf numFmtId="0" fontId="8" fillId="71" borderId="17" xfId="0" applyFont="1" applyFill="1" applyBorder="1" applyAlignment="1" applyProtection="1">
      <alignment horizontal="left" vertical="top"/>
      <protection locked="0"/>
    </xf>
    <xf numFmtId="14" fontId="8" fillId="71" borderId="17" xfId="0" applyNumberFormat="1" applyFont="1" applyFill="1" applyBorder="1" applyAlignment="1" applyProtection="1">
      <alignment horizontal="left" vertical="top"/>
      <protection locked="0"/>
    </xf>
    <xf numFmtId="166" fontId="8" fillId="70" borderId="16" xfId="0" applyNumberFormat="1" applyFont="1" applyFill="1" applyBorder="1" applyAlignment="1">
      <alignment horizontal="left" vertical="top"/>
    </xf>
    <xf numFmtId="0" fontId="8" fillId="70" borderId="17" xfId="0" applyFont="1" applyFill="1" applyBorder="1" applyAlignment="1">
      <alignment horizontal="left" vertical="top"/>
    </xf>
    <xf numFmtId="0" fontId="8" fillId="70" borderId="18" xfId="0" applyFont="1" applyFill="1" applyBorder="1" applyAlignment="1">
      <alignment horizontal="left" vertical="top"/>
    </xf>
    <xf numFmtId="0" fontId="8" fillId="70" borderId="19" xfId="0" applyFont="1" applyFill="1" applyBorder="1" applyAlignment="1">
      <alignment horizontal="left" vertical="top"/>
    </xf>
    <xf numFmtId="172" fontId="10" fillId="70" borderId="17" xfId="0" applyNumberFormat="1" applyFont="1" applyFill="1" applyBorder="1" applyAlignment="1">
      <alignment horizontal="left" vertical="top"/>
    </xf>
    <xf numFmtId="0" fontId="11" fillId="68" borderId="17" xfId="0" applyFont="1" applyFill="1" applyBorder="1" applyAlignment="1">
      <alignment horizontal="left" vertical="center"/>
    </xf>
    <xf numFmtId="0" fontId="11" fillId="68" borderId="18" xfId="0" applyFont="1" applyFill="1" applyBorder="1" applyAlignment="1">
      <alignment horizontal="left" vertical="center"/>
    </xf>
    <xf numFmtId="0" fontId="11" fillId="68" borderId="19" xfId="0" applyFont="1" applyFill="1" applyBorder="1" applyAlignment="1">
      <alignment horizontal="left" vertical="center"/>
    </xf>
    <xf numFmtId="167" fontId="10" fillId="70" borderId="17" xfId="0" applyNumberFormat="1" applyFont="1" applyFill="1" applyBorder="1" applyAlignment="1">
      <alignment horizontal="left" vertical="top"/>
    </xf>
    <xf numFmtId="0" fontId="10" fillId="70" borderId="18" xfId="0" applyFont="1" applyFill="1" applyBorder="1" applyAlignment="1">
      <alignment horizontal="left"/>
    </xf>
    <xf numFmtId="0" fontId="10" fillId="70" borderId="19" xfId="0" applyFont="1" applyFill="1" applyBorder="1" applyAlignment="1">
      <alignment horizontal="left"/>
    </xf>
    <xf numFmtId="166" fontId="8" fillId="15" borderId="16" xfId="0" applyNumberFormat="1" applyFont="1" applyFill="1" applyBorder="1" applyAlignment="1">
      <alignment horizontal="left" vertical="top"/>
    </xf>
    <xf numFmtId="49" fontId="8" fillId="71" borderId="20" xfId="0" applyNumberFormat="1" applyFont="1" applyFill="1" applyBorder="1" applyAlignment="1" applyProtection="1">
      <alignment horizontal="left" vertical="top" wrapText="1"/>
      <protection locked="0"/>
    </xf>
    <xf numFmtId="0" fontId="8" fillId="10" borderId="17" xfId="0" applyFont="1" applyFill="1" applyBorder="1" applyAlignment="1">
      <alignment horizontal="left" vertical="top"/>
    </xf>
    <xf numFmtId="0" fontId="8" fillId="10" borderId="18" xfId="0" applyFont="1" applyFill="1" applyBorder="1" applyAlignment="1">
      <alignment horizontal="left" vertical="top"/>
    </xf>
    <xf numFmtId="0" fontId="8" fillId="10" borderId="19" xfId="0" applyFont="1" applyFill="1" applyBorder="1" applyAlignment="1">
      <alignment horizontal="left" vertical="top"/>
    </xf>
    <xf numFmtId="0" fontId="8" fillId="15" borderId="16" xfId="0" applyFont="1" applyFill="1" applyBorder="1" applyProtection="1">
      <protection hidden="1"/>
    </xf>
    <xf numFmtId="0" fontId="8" fillId="71" borderId="18" xfId="0" applyFont="1" applyFill="1" applyBorder="1" applyAlignment="1" applyProtection="1">
      <alignment horizontal="left"/>
      <protection locked="0"/>
    </xf>
    <xf numFmtId="170" fontId="8" fillId="19" borderId="17" xfId="0" applyNumberFormat="1" applyFont="1" applyFill="1" applyBorder="1" applyAlignment="1">
      <alignment horizontal="left" vertical="top"/>
    </xf>
    <xf numFmtId="170" fontId="8" fillId="19" borderId="18" xfId="0" applyNumberFormat="1" applyFont="1" applyFill="1" applyBorder="1" applyAlignment="1">
      <alignment horizontal="left" vertical="top"/>
    </xf>
    <xf numFmtId="170" fontId="8" fillId="19" borderId="19" xfId="0" applyNumberFormat="1" applyFont="1" applyFill="1" applyBorder="1" applyAlignment="1">
      <alignment horizontal="left" vertical="top"/>
    </xf>
    <xf numFmtId="0" fontId="10" fillId="70" borderId="17" xfId="0" applyFont="1" applyFill="1" applyBorder="1" applyAlignment="1">
      <alignment horizontal="left" vertical="top" shrinkToFit="1"/>
    </xf>
    <xf numFmtId="170" fontId="8" fillId="15" borderId="17" xfId="0" applyNumberFormat="1" applyFont="1" applyFill="1" applyBorder="1" applyAlignment="1">
      <alignment horizontal="left" vertical="top"/>
    </xf>
    <xf numFmtId="170" fontId="8" fillId="15" borderId="18" xfId="0" applyNumberFormat="1" applyFont="1" applyFill="1" applyBorder="1" applyAlignment="1">
      <alignment horizontal="left" vertical="top"/>
    </xf>
    <xf numFmtId="170" fontId="8" fillId="15" borderId="19" xfId="0" applyNumberFormat="1" applyFont="1" applyFill="1" applyBorder="1" applyAlignment="1">
      <alignment horizontal="left" vertical="top"/>
    </xf>
    <xf numFmtId="0" fontId="8" fillId="15" borderId="16" xfId="0" applyFont="1" applyFill="1" applyBorder="1" applyAlignment="1">
      <alignment horizontal="left" vertical="top"/>
    </xf>
    <xf numFmtId="3" fontId="8" fillId="10" borderId="17" xfId="0" applyNumberFormat="1" applyFont="1" applyFill="1" applyBorder="1" applyAlignment="1" applyProtection="1">
      <alignment horizontal="left" vertical="top"/>
      <protection locked="0"/>
    </xf>
    <xf numFmtId="3" fontId="8" fillId="10" borderId="18" xfId="0" applyNumberFormat="1" applyFont="1" applyFill="1" applyBorder="1" applyAlignment="1" applyProtection="1">
      <alignment horizontal="left" vertical="top"/>
      <protection locked="0"/>
    </xf>
    <xf numFmtId="3" fontId="8" fillId="10" borderId="19" xfId="0" applyNumberFormat="1" applyFont="1" applyFill="1" applyBorder="1" applyAlignment="1" applyProtection="1">
      <alignment horizontal="left" vertical="top"/>
      <protection locked="0"/>
    </xf>
    <xf numFmtId="3" fontId="8" fillId="10" borderId="16" xfId="0" applyNumberFormat="1" applyFont="1" applyFill="1" applyBorder="1" applyAlignment="1">
      <alignment horizontal="left" vertical="top"/>
    </xf>
    <xf numFmtId="49" fontId="8" fillId="0" borderId="17" xfId="0" applyNumberFormat="1" applyFont="1" applyBorder="1" applyAlignment="1" applyProtection="1">
      <alignment horizontal="left" vertical="top"/>
      <protection locked="0"/>
    </xf>
    <xf numFmtId="0" fontId="8" fillId="15" borderId="17" xfId="0" applyFont="1" applyFill="1" applyBorder="1" applyProtection="1">
      <protection hidden="1"/>
    </xf>
    <xf numFmtId="0" fontId="8" fillId="15" borderId="18" xfId="0" applyFont="1" applyFill="1" applyBorder="1" applyProtection="1">
      <protection hidden="1"/>
    </xf>
    <xf numFmtId="0" fontId="8" fillId="15" borderId="19" xfId="0" applyFont="1" applyFill="1" applyBorder="1" applyProtection="1">
      <protection hidden="1"/>
    </xf>
    <xf numFmtId="0" fontId="8" fillId="0" borderId="17" xfId="0" applyFont="1" applyBorder="1" applyAlignment="1" applyProtection="1">
      <alignment vertical="top"/>
      <protection locked="0"/>
    </xf>
    <xf numFmtId="0" fontId="0" fillId="0" borderId="71" xfId="0" applyBorder="1" applyAlignment="1">
      <alignment horizontal="left"/>
    </xf>
    <xf numFmtId="0" fontId="8" fillId="10" borderId="16" xfId="0" applyFont="1" applyFill="1" applyBorder="1" applyAlignment="1">
      <alignment horizontal="left" vertical="top"/>
    </xf>
    <xf numFmtId="0" fontId="153" fillId="0" borderId="0" xfId="0" applyFont="1" applyAlignment="1">
      <alignment horizontal="center" vertical="center"/>
    </xf>
    <xf numFmtId="0" fontId="101" fillId="0" borderId="4" xfId="0" applyFont="1" applyBorder="1" applyAlignment="1">
      <alignment horizontal="center" vertical="center"/>
    </xf>
    <xf numFmtId="0" fontId="154" fillId="0" borderId="0" xfId="88" applyFont="1" applyAlignment="1" applyProtection="1">
      <alignment horizontal="left" vertical="center"/>
      <protection hidden="1"/>
    </xf>
    <xf numFmtId="0" fontId="5" fillId="0" borderId="15" xfId="1" applyBorder="1" applyAlignment="1" applyProtection="1">
      <alignment horizontal="center"/>
      <protection locked="0"/>
    </xf>
    <xf numFmtId="0" fontId="5" fillId="0" borderId="139" xfId="1" applyBorder="1" applyAlignment="1" applyProtection="1">
      <alignment horizontal="center"/>
      <protection locked="0"/>
    </xf>
    <xf numFmtId="0" fontId="5" fillId="0" borderId="2" xfId="1" applyBorder="1" applyAlignment="1" applyProtection="1">
      <alignment horizontal="center"/>
      <protection locked="0"/>
    </xf>
    <xf numFmtId="0" fontId="120" fillId="0" borderId="94" xfId="0" applyFont="1" applyBorder="1" applyAlignment="1" applyProtection="1">
      <alignment horizontal="right"/>
      <protection hidden="1"/>
    </xf>
    <xf numFmtId="0" fontId="120" fillId="0" borderId="110" xfId="0" applyFont="1" applyBorder="1" applyAlignment="1">
      <alignment horizontal="right"/>
    </xf>
    <xf numFmtId="0" fontId="120" fillId="0" borderId="94" xfId="0" applyFont="1" applyBorder="1" applyAlignment="1">
      <alignment horizontal="right"/>
    </xf>
    <xf numFmtId="0" fontId="21" fillId="0" borderId="0" xfId="88" applyFont="1" applyAlignment="1" applyProtection="1">
      <alignment horizontal="center" vertical="center"/>
      <protection hidden="1"/>
    </xf>
    <xf numFmtId="0" fontId="21" fillId="0" borderId="0" xfId="88" applyFont="1" applyAlignment="1" applyProtection="1">
      <alignment horizontal="left" vertical="center"/>
      <protection hidden="1"/>
    </xf>
    <xf numFmtId="0" fontId="21" fillId="0" borderId="113" xfId="88" applyFont="1" applyBorder="1" applyAlignment="1" applyProtection="1">
      <alignment horizontal="center" vertical="center"/>
      <protection locked="0"/>
    </xf>
    <xf numFmtId="0" fontId="21" fillId="0" borderId="0" xfId="0" applyFont="1" applyAlignment="1" applyProtection="1">
      <alignment horizontal="center"/>
      <protection hidden="1"/>
    </xf>
    <xf numFmtId="0" fontId="21" fillId="0" borderId="109" xfId="88" applyFont="1" applyBorder="1" applyAlignment="1" applyProtection="1">
      <alignment horizontal="center" vertical="center"/>
      <protection locked="0"/>
    </xf>
    <xf numFmtId="0" fontId="21" fillId="0" borderId="110" xfId="88" applyFont="1" applyBorder="1" applyAlignment="1" applyProtection="1">
      <alignment horizontal="center" vertical="center"/>
      <protection locked="0"/>
    </xf>
    <xf numFmtId="0" fontId="21" fillId="0" borderId="111" xfId="88" applyFont="1" applyBorder="1" applyAlignment="1" applyProtection="1">
      <alignment horizontal="center" vertical="center"/>
      <protection locked="0"/>
    </xf>
    <xf numFmtId="0" fontId="65" fillId="0" borderId="1" xfId="0" applyFont="1" applyBorder="1" applyAlignment="1" applyProtection="1">
      <alignment horizontal="center"/>
      <protection locked="0"/>
    </xf>
    <xf numFmtId="170" fontId="65" fillId="0" borderId="1" xfId="0" applyNumberFormat="1" applyFont="1" applyBorder="1" applyAlignment="1" applyProtection="1">
      <alignment horizontal="center"/>
      <protection locked="0"/>
    </xf>
    <xf numFmtId="14" fontId="65" fillId="0" borderId="15" xfId="0" applyNumberFormat="1" applyFont="1" applyBorder="1" applyAlignment="1" applyProtection="1">
      <alignment horizontal="center"/>
      <protection locked="0"/>
    </xf>
    <xf numFmtId="14" fontId="65" fillId="0" borderId="139" xfId="0" applyNumberFormat="1" applyFont="1" applyBorder="1" applyAlignment="1" applyProtection="1">
      <alignment horizontal="center"/>
      <protection locked="0"/>
    </xf>
    <xf numFmtId="14" fontId="65" fillId="0" borderId="2" xfId="0" applyNumberFormat="1" applyFont="1" applyBorder="1" applyAlignment="1" applyProtection="1">
      <alignment horizontal="center"/>
      <protection locked="0"/>
    </xf>
    <xf numFmtId="0" fontId="156" fillId="69" borderId="1" xfId="5" applyFont="1" applyFill="1" applyBorder="1" applyAlignment="1" applyProtection="1">
      <alignment horizontal="center" vertical="center" wrapText="1"/>
      <protection hidden="1"/>
    </xf>
    <xf numFmtId="0" fontId="156" fillId="69" borderId="15" xfId="5" applyFont="1" applyFill="1" applyBorder="1" applyAlignment="1" applyProtection="1">
      <alignment horizontal="center" vertical="center" wrapText="1"/>
      <protection hidden="1"/>
    </xf>
    <xf numFmtId="0" fontId="156" fillId="69" borderId="139" xfId="5" applyFont="1" applyFill="1" applyBorder="1" applyAlignment="1" applyProtection="1">
      <alignment horizontal="center" vertical="center" wrapText="1"/>
      <protection hidden="1"/>
    </xf>
    <xf numFmtId="0" fontId="156" fillId="69" borderId="2" xfId="5" applyFont="1" applyFill="1" applyBorder="1" applyAlignment="1" applyProtection="1">
      <alignment horizontal="center" vertical="center" wrapText="1"/>
      <protection hidden="1"/>
    </xf>
    <xf numFmtId="0" fontId="23" fillId="0" borderId="15" xfId="5" applyFont="1" applyBorder="1" applyAlignment="1" applyProtection="1">
      <alignment horizontal="center" vertical="center"/>
      <protection locked="0"/>
    </xf>
    <xf numFmtId="0" fontId="23" fillId="0" borderId="139" xfId="5" applyFont="1" applyBorder="1" applyAlignment="1" applyProtection="1">
      <alignment horizontal="center" vertical="center"/>
      <protection locked="0"/>
    </xf>
    <xf numFmtId="0" fontId="23" fillId="0" borderId="2" xfId="5" applyFont="1" applyBorder="1" applyAlignment="1" applyProtection="1">
      <alignment horizontal="center" vertical="center"/>
      <protection locked="0"/>
    </xf>
    <xf numFmtId="0" fontId="23" fillId="0" borderId="13" xfId="5" applyFont="1" applyBorder="1" applyAlignment="1" applyProtection="1">
      <alignment horizontal="center" vertical="center" wrapText="1"/>
      <protection hidden="1"/>
    </xf>
    <xf numFmtId="0" fontId="23" fillId="0" borderId="10" xfId="5" applyFont="1" applyBorder="1" applyAlignment="1" applyProtection="1">
      <alignment horizontal="center" vertical="center" wrapText="1"/>
      <protection hidden="1"/>
    </xf>
    <xf numFmtId="0" fontId="23" fillId="0" borderId="3" xfId="5" applyFont="1" applyBorder="1" applyAlignment="1" applyProtection="1">
      <alignment horizontal="center" vertical="center" wrapText="1"/>
      <protection hidden="1"/>
    </xf>
    <xf numFmtId="0" fontId="23" fillId="0" borderId="14" xfId="5" applyFont="1" applyBorder="1" applyAlignment="1" applyProtection="1">
      <alignment horizontal="center" vertical="center" wrapText="1"/>
      <protection hidden="1"/>
    </xf>
    <xf numFmtId="0" fontId="23" fillId="0" borderId="11" xfId="5" applyFont="1" applyBorder="1" applyAlignment="1" applyProtection="1">
      <alignment horizontal="center" vertical="center" wrapText="1"/>
      <protection hidden="1"/>
    </xf>
    <xf numFmtId="0" fontId="23" fillId="0" borderId="5" xfId="5" applyFont="1" applyBorder="1" applyAlignment="1" applyProtection="1">
      <alignment horizontal="center" vertical="center" wrapText="1"/>
      <protection hidden="1"/>
    </xf>
    <xf numFmtId="1" fontId="23" fillId="0" borderId="1" xfId="5" applyNumberFormat="1" applyFont="1" applyBorder="1" applyAlignment="1" applyProtection="1">
      <alignment horizontal="center" vertical="center" wrapText="1"/>
      <protection hidden="1"/>
    </xf>
    <xf numFmtId="0" fontId="23" fillId="0" borderId="1" xfId="5" applyFont="1" applyBorder="1" applyAlignment="1" applyProtection="1">
      <alignment horizontal="center" vertical="center" wrapText="1"/>
      <protection hidden="1"/>
    </xf>
    <xf numFmtId="167" fontId="65" fillId="0" borderId="13" xfId="5" applyNumberFormat="1" applyFont="1" applyBorder="1" applyAlignment="1" applyProtection="1">
      <alignment horizontal="center" vertical="center"/>
      <protection hidden="1"/>
    </xf>
    <xf numFmtId="167" fontId="65" fillId="0" borderId="10" xfId="5" applyNumberFormat="1" applyFont="1" applyBorder="1" applyAlignment="1" applyProtection="1">
      <alignment horizontal="center" vertical="center"/>
      <protection hidden="1"/>
    </xf>
    <xf numFmtId="167" fontId="65" fillId="0" borderId="3" xfId="5" applyNumberFormat="1" applyFont="1" applyBorder="1" applyAlignment="1" applyProtection="1">
      <alignment horizontal="center" vertical="center"/>
      <protection hidden="1"/>
    </xf>
    <xf numFmtId="167" fontId="65" fillId="0" borderId="14" xfId="5" applyNumberFormat="1" applyFont="1" applyBorder="1" applyAlignment="1" applyProtection="1">
      <alignment horizontal="center" vertical="center"/>
      <protection hidden="1"/>
    </xf>
    <xf numFmtId="167" fontId="65" fillId="0" borderId="11" xfId="5" applyNumberFormat="1" applyFont="1" applyBorder="1" applyAlignment="1" applyProtection="1">
      <alignment horizontal="center" vertical="center"/>
      <protection hidden="1"/>
    </xf>
    <xf numFmtId="167" fontId="65" fillId="0" borderId="5" xfId="5" applyNumberFormat="1" applyFont="1" applyBorder="1" applyAlignment="1" applyProtection="1">
      <alignment horizontal="center" vertical="center"/>
      <protection hidden="1"/>
    </xf>
    <xf numFmtId="0" fontId="155" fillId="68" borderId="0" xfId="5" applyFont="1" applyFill="1" applyAlignment="1" applyProtection="1">
      <alignment horizontal="left" vertical="center" wrapText="1"/>
      <protection hidden="1"/>
    </xf>
    <xf numFmtId="0" fontId="0" fillId="0" borderId="15" xfId="0" applyBorder="1" applyAlignment="1" applyProtection="1">
      <alignment horizontal="center"/>
      <protection locked="0"/>
    </xf>
    <xf numFmtId="0" fontId="0" fillId="0" borderId="139" xfId="0" applyBorder="1" applyAlignment="1" applyProtection="1">
      <alignment horizontal="center"/>
      <protection locked="0"/>
    </xf>
    <xf numFmtId="0" fontId="0" fillId="0" borderId="2" xfId="0" applyBorder="1" applyAlignment="1" applyProtection="1">
      <alignment horizontal="center"/>
      <protection locked="0"/>
    </xf>
    <xf numFmtId="167" fontId="65" fillId="0" borderId="1" xfId="0" applyNumberFormat="1" applyFont="1" applyBorder="1" applyAlignment="1" applyProtection="1">
      <alignment horizontal="center"/>
      <protection locked="0"/>
    </xf>
    <xf numFmtId="0" fontId="23" fillId="0" borderId="1" xfId="5" applyFont="1" applyBorder="1" applyAlignment="1" applyProtection="1">
      <alignment horizontal="center" vertical="center"/>
      <protection locked="0"/>
    </xf>
    <xf numFmtId="0" fontId="120" fillId="0" borderId="94" xfId="0" applyFont="1" applyBorder="1" applyAlignment="1" applyProtection="1">
      <alignment horizontal="right" vertical="top"/>
      <protection hidden="1"/>
    </xf>
  </cellXfs>
  <cellStyles count="120">
    <cellStyle name="20% - Accent1" xfId="31" builtinId="30" customBuiltin="1"/>
    <cellStyle name="20% - Accent1 2" xfId="73" xr:uid="{7CA6A5C8-B7B5-4CF9-8550-051204113696}"/>
    <cellStyle name="20% - Accent1 2 2" xfId="105" xr:uid="{E2EFEA3B-47F6-4AC5-A571-14573F28167B}"/>
    <cellStyle name="20% - Accent1 3" xfId="90" xr:uid="{A898CDF7-9EBE-46E3-BB25-65BDDFD70999}"/>
    <cellStyle name="20% - Accent2" xfId="34" builtinId="34" customBuiltin="1"/>
    <cellStyle name="20% - Accent2 2" xfId="75" xr:uid="{88D3C83E-4917-4AE4-90BA-03F62DD4CB8B}"/>
    <cellStyle name="20% - Accent2 2 2" xfId="107" xr:uid="{0D468970-9D87-43A3-89A1-145BD73BBE49}"/>
    <cellStyle name="20% - Accent2 3" xfId="92" xr:uid="{04C71E23-F6DF-4CF5-97F4-8227FF14D873}"/>
    <cellStyle name="20% - Accent3" xfId="37" builtinId="38" customBuiltin="1"/>
    <cellStyle name="20% - Accent3 2" xfId="77" xr:uid="{7DB4A385-9F58-428A-B4C4-4A0C94FCD79C}"/>
    <cellStyle name="20% - Accent3 2 2" xfId="109" xr:uid="{CBEC8E95-6EFB-4B45-A9A1-B4506E00D012}"/>
    <cellStyle name="20% - Accent3 3" xfId="94" xr:uid="{33053093-1BFD-4233-AB62-54AE8ADB84FE}"/>
    <cellStyle name="20% - Accent4" xfId="39" builtinId="42" customBuiltin="1"/>
    <cellStyle name="20% - Accent4 2" xfId="78" xr:uid="{A2F7B647-4FE8-49EB-AD1A-81E6C5174E29}"/>
    <cellStyle name="20% - Accent4 2 2" xfId="110" xr:uid="{A0F55712-B577-4EE7-A9CE-E71548559199}"/>
    <cellStyle name="20% - Accent4 3" xfId="95" xr:uid="{6412C99E-C242-4097-867B-5A5008391859}"/>
    <cellStyle name="20% - Accent5" xfId="42" builtinId="46" customBuiltin="1"/>
    <cellStyle name="20% - Accent5 2" xfId="80" xr:uid="{E0E4101B-E6BA-43A0-ACF1-B5B1B22DDF98}"/>
    <cellStyle name="20% - Accent5 2 2" xfId="112" xr:uid="{541E66E3-C833-4CD7-B8F8-75CE483723D0}"/>
    <cellStyle name="20% - Accent5 3" xfId="97" xr:uid="{9977EB2B-62FF-483A-BF09-23E3783A4A2D}"/>
    <cellStyle name="20% - Accent6" xfId="45" builtinId="50" customBuiltin="1"/>
    <cellStyle name="20% - Accent6 2" xfId="82" xr:uid="{2C6443CA-3722-40C3-9D1E-B2E2ED0C0FD2}"/>
    <cellStyle name="20% - Accent6 2 2" xfId="114" xr:uid="{84DAEE68-9453-4E8E-A82D-4AA7F31937A1}"/>
    <cellStyle name="20% - Accent6 3" xfId="99" xr:uid="{6B84DBD5-1841-4885-915F-50F718F4F5E1}"/>
    <cellStyle name="40% - Accent1" xfId="32" builtinId="31" customBuiltin="1"/>
    <cellStyle name="40% - Accent1 2" xfId="74" xr:uid="{0A2F8376-44BC-454B-A735-DE721F2583DB}"/>
    <cellStyle name="40% - Accent1 2 2" xfId="106" xr:uid="{E09D1457-7BF2-4E6D-AFB5-D71759E00712}"/>
    <cellStyle name="40% - Accent1 3" xfId="91" xr:uid="{6AAF09EB-B712-48E0-AC1B-E7F41B41E85E}"/>
    <cellStyle name="40% - Accent2" xfId="35" builtinId="35" customBuiltin="1"/>
    <cellStyle name="40% - Accent2 2" xfId="76" xr:uid="{C5D6B30B-FE5C-46F8-A496-1B804F2EE038}"/>
    <cellStyle name="40% - Accent2 2 2" xfId="108" xr:uid="{09DBE8EC-23D0-4FC9-BA68-9FC7F97013E8}"/>
    <cellStyle name="40% - Accent2 3" xfId="93" xr:uid="{E22152EB-3423-4FE0-A0E1-3B344E003AF6}"/>
    <cellStyle name="40% - Accent3 2" xfId="48" xr:uid="{3387B0A9-4D0B-46B2-B5BE-11DDFAA51861}"/>
    <cellStyle name="40% - Accent3 2 2" xfId="85" xr:uid="{A20E8443-F56B-4CDA-A19C-C46D19E696D1}"/>
    <cellStyle name="40% - Accent3 2 2 2" xfId="117" xr:uid="{F2BF78B0-F402-416F-8363-3F138C7F877B}"/>
    <cellStyle name="40% - Accent3 2 3" xfId="102" xr:uid="{2FDBBA8D-E743-42DE-93E0-C68B3859423C}"/>
    <cellStyle name="40% - Accent4" xfId="40" builtinId="43" customBuiltin="1"/>
    <cellStyle name="40% - Accent4 2" xfId="79" xr:uid="{4D844862-8151-42F6-B390-34A1500F050C}"/>
    <cellStyle name="40% - Accent4 2 2" xfId="111" xr:uid="{74DAD02F-3DC3-4115-B3E9-591318227AE9}"/>
    <cellStyle name="40% - Accent4 3" xfId="96" xr:uid="{55509BE5-08B7-42CF-AEDD-C90525A8E92C}"/>
    <cellStyle name="40% - Accent5" xfId="43" builtinId="47" customBuiltin="1"/>
    <cellStyle name="40% - Accent5 2" xfId="81" xr:uid="{D9BC5744-3AD3-4B46-8641-377BB911A78B}"/>
    <cellStyle name="40% - Accent5 2 2" xfId="113" xr:uid="{4C724BE5-4FA2-4728-BC6D-B545EC7BAF4E}"/>
    <cellStyle name="40% - Accent5 3" xfId="98" xr:uid="{1CE9B559-FC0B-4576-BCF2-0611135F9739}"/>
    <cellStyle name="40% - Accent6" xfId="46" builtinId="51" customBuiltin="1"/>
    <cellStyle name="40% - Accent6 2" xfId="83" xr:uid="{3551E406-8031-4F83-AB72-A56C7E12D6B0}"/>
    <cellStyle name="40% - Accent6 2 2" xfId="115" xr:uid="{89FB8F56-2E55-4232-BAF6-5DB3FB4F36CA}"/>
    <cellStyle name="40% - Accent6 3" xfId="100" xr:uid="{9A76C7E5-A0D4-46BD-831F-10A09AE09AC2}"/>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urrency" xfId="13" builtinId="4"/>
    <cellStyle name="Currency 2" xfId="11" xr:uid="{00000000-0005-0000-0000-000002000000}"/>
    <cellStyle name="Currency 2 2" xfId="89" xr:uid="{016AA1CD-1113-4F2F-872C-0296C252A5F8}"/>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2" xfId="5" xr:uid="{00000000-0005-0000-0000-000007000000}"/>
    <cellStyle name="Normal 2 2" xfId="64" xr:uid="{466722AB-EB7D-4F1C-9FBB-213367A2C328}"/>
    <cellStyle name="Normal 2 3" xfId="88" xr:uid="{3000BDF2-2D1A-4EEF-A37C-8819E9AF8AC4}"/>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4" xfId="9" xr:uid="{00000000-0005-0000-0000-00000C000000}"/>
    <cellStyle name="Normal 4 2" xfId="72" xr:uid="{4D47CBDE-8272-437F-9E62-B82703903014}"/>
    <cellStyle name="Normal 5" xfId="47" xr:uid="{7442B75E-EAC8-4C59-B30C-21B3A8F64EF0}"/>
    <cellStyle name="Normal 5 2" xfId="84" xr:uid="{59B0F856-9A6F-47A5-995E-AE513710A0C9}"/>
    <cellStyle name="Normal 5 2 2" xfId="116" xr:uid="{2E83777D-C97E-456F-A1B7-0937599D61B7}"/>
    <cellStyle name="Normal 5 3" xfId="101" xr:uid="{414739A9-97E0-4507-8017-7BDC0E457DF8}"/>
    <cellStyle name="Normal 6" xfId="71" xr:uid="{4A8B12BC-87BE-4B68-ACF9-F0FA71BC94D9}"/>
    <cellStyle name="Normal 6 2" xfId="87" xr:uid="{97E7486E-6C43-4984-9846-C3BBD76DA59D}"/>
    <cellStyle name="Normal 6 2 2" xfId="119" xr:uid="{DB747F5B-8F96-4875-B873-4D133B2B8EC4}"/>
    <cellStyle name="Normal 6 3" xfId="104" xr:uid="{2CB2D851-5717-46FB-8B0A-601F78A8495B}"/>
    <cellStyle name="Note 2" xfId="65" xr:uid="{188C56FC-D3EE-433F-B556-6BDCBFDFCBF1}"/>
    <cellStyle name="Note 2 2" xfId="86" xr:uid="{24B7EA32-A4F5-4F6F-9C93-DDDD8676F1E3}"/>
    <cellStyle name="Note 2 2 2" xfId="118" xr:uid="{836AE0A1-F017-4F5F-AE59-8ABB127ADC46}"/>
    <cellStyle name="Note 2 3" xfId="103" xr:uid="{32097AC1-0F68-4C19-8439-CC6A64BEA262}"/>
    <cellStyle name="Output" xfId="23" builtinId="21" customBuiltin="1"/>
    <cellStyle name="Parent row" xfId="66" xr:uid="{D3607C2E-BEAA-403E-A6D0-06E8B7959F8A}"/>
    <cellStyle name="Percent" xfId="6" builtinId="5"/>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671">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trike/>
        <color theme="0"/>
      </font>
      <fill>
        <patternFill>
          <fgColor theme="0"/>
          <bgColor theme="0"/>
        </patternFill>
      </fill>
      <border>
        <left/>
        <right/>
        <top/>
        <bottom/>
        <vertical/>
        <horizontal/>
      </border>
    </dxf>
    <dxf>
      <font>
        <strike/>
        <color theme="0"/>
      </font>
      <fill>
        <patternFill>
          <fgColor theme="0"/>
          <bgColor theme="0"/>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trike/>
        <color theme="0"/>
      </font>
      <fill>
        <patternFill>
          <fgColor theme="0"/>
          <bgColor theme="0"/>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mediumGray"/>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strike val="0"/>
        <color theme="0"/>
      </font>
      <fill>
        <patternFill patternType="solid">
          <fgColor theme="0"/>
          <bgColor theme="0"/>
        </patternFill>
      </fill>
      <border>
        <left/>
        <right/>
        <top/>
        <bottom/>
        <vertical/>
        <horizontal/>
      </border>
    </dxf>
    <dxf>
      <font>
        <strike val="0"/>
        <color theme="0"/>
      </font>
      <fill>
        <patternFill patternType="solid">
          <fgColor theme="0"/>
          <bgColor theme="0"/>
        </patternFill>
      </fill>
      <border>
        <left/>
        <right/>
        <top/>
        <bottom/>
        <vertical/>
        <horizontal/>
      </border>
    </dxf>
    <dxf>
      <fill>
        <patternFill>
          <fgColor auto="1"/>
          <bgColor theme="5" tint="0.79998168889431442"/>
        </patternFill>
      </fill>
    </dxf>
    <dxf>
      <fill>
        <patternFill>
          <fgColor auto="1"/>
          <bgColor theme="5" tint="0.79998168889431442"/>
        </patternFill>
      </fill>
    </dxf>
    <dxf>
      <fill>
        <patternFill>
          <bgColor theme="5" tint="0.59996337778862885"/>
        </patternFill>
      </fill>
    </dxf>
    <dxf>
      <font>
        <color rgb="FFFF0000"/>
      </font>
    </dxf>
    <dxf>
      <font>
        <b/>
        <i val="0"/>
        <color rgb="FFFF0000"/>
      </font>
    </dxf>
    <dxf>
      <fill>
        <patternFill>
          <bgColor theme="5" tint="0.59996337778862885"/>
        </patternFill>
      </fill>
    </dxf>
    <dxf>
      <font>
        <b/>
        <i val="0"/>
        <color rgb="FFFF0000"/>
      </font>
    </dxf>
    <dxf>
      <font>
        <b/>
        <i val="0"/>
        <color rgb="FFFF0000"/>
      </font>
    </dxf>
    <dxf>
      <font>
        <b/>
        <i val="0"/>
        <color rgb="FFFF0000"/>
      </font>
    </dxf>
    <dxf>
      <fill>
        <patternFill>
          <bgColor theme="5" tint="0.59996337778862885"/>
        </patternFill>
      </fill>
    </dxf>
    <dxf>
      <font>
        <b/>
        <i val="0"/>
        <color auto="1"/>
      </font>
      <fill>
        <patternFill>
          <bgColor rgb="FF9BBB59"/>
        </patternFill>
      </fill>
    </dxf>
    <dxf>
      <font>
        <b/>
        <i val="0"/>
        <color auto="1"/>
      </font>
      <fill>
        <patternFill>
          <bgColor rgb="FF9BBB59"/>
        </patternFill>
      </fill>
    </dxf>
    <dxf>
      <fill>
        <patternFill>
          <bgColor theme="5" tint="0.59996337778862885"/>
        </patternFill>
      </fill>
    </dxf>
    <dxf>
      <fill>
        <patternFill>
          <bgColor theme="5" tint="0.59996337778862885"/>
        </patternFill>
      </fill>
    </dxf>
    <dxf>
      <font>
        <b/>
        <i val="0"/>
        <color rgb="FFFF0000"/>
      </font>
    </dxf>
    <dxf>
      <font>
        <b/>
        <i val="0"/>
        <color auto="1"/>
      </font>
      <fill>
        <patternFill>
          <bgColor rgb="FF9BBB59"/>
        </patternFill>
      </fill>
    </dxf>
    <dxf>
      <font>
        <color theme="5"/>
      </font>
    </dxf>
    <dxf>
      <font>
        <color rgb="FFFF0000"/>
      </font>
    </dxf>
    <dxf>
      <font>
        <color theme="5"/>
      </font>
    </dxf>
    <dxf>
      <font>
        <color rgb="FFFF0000"/>
      </font>
    </dxf>
    <dxf>
      <font>
        <color theme="1"/>
      </font>
    </dxf>
    <dxf>
      <font>
        <color theme="0"/>
      </font>
    </dxf>
    <dxf>
      <font>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ill>
        <patternFill>
          <bgColor rgb="FFE4EBF7"/>
        </patternFill>
      </fill>
    </dxf>
    <dxf>
      <font>
        <b/>
        <i val="0"/>
        <strike val="0"/>
        <u val="none"/>
        <color auto="1"/>
      </font>
      <numFmt numFmtId="19" formatCode="m/d/yyyy"/>
    </dxf>
    <dxf>
      <fill>
        <patternFill>
          <bgColor rgb="FFE4EBF7"/>
        </patternFill>
      </fill>
    </dxf>
    <dxf>
      <font>
        <b/>
        <i val="0"/>
        <strike val="0"/>
        <u val="none"/>
        <color auto="1"/>
      </font>
      <numFmt numFmtId="19" formatCode="m/d/yyyy"/>
    </dxf>
    <dxf>
      <fill>
        <patternFill>
          <bgColor rgb="FFE4EBF7"/>
        </patternFill>
      </fill>
    </dxf>
    <dxf>
      <font>
        <b/>
        <i val="0"/>
        <strike val="0"/>
        <u val="none"/>
        <color auto="1"/>
      </font>
      <numFmt numFmtId="0" formatCode="General"/>
    </dxf>
    <dxf>
      <fill>
        <patternFill>
          <bgColor rgb="FFE4EBF7"/>
        </patternFill>
      </fill>
    </dxf>
    <dxf>
      <font>
        <b/>
        <i val="0"/>
        <strike val="0"/>
        <u val="none"/>
        <color auto="1"/>
      </font>
      <numFmt numFmtId="0" formatCode="General"/>
    </dxf>
    <dxf>
      <fill>
        <patternFill>
          <bgColor rgb="FFE4EBF7"/>
        </patternFill>
      </fill>
    </dxf>
    <dxf>
      <font>
        <b/>
        <i val="0"/>
        <strike val="0"/>
        <u val="none"/>
        <color auto="1"/>
      </font>
      <numFmt numFmtId="0" formatCode="General"/>
    </dxf>
    <dxf>
      <fill>
        <patternFill>
          <bgColor rgb="FFE4EBF7"/>
        </patternFill>
      </fill>
    </dxf>
    <dxf>
      <font>
        <b/>
        <i val="0"/>
        <strike val="0"/>
        <u val="none"/>
        <color auto="1"/>
      </font>
      <numFmt numFmtId="0" formatCode="Genera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strike val="0"/>
        <u val="none"/>
        <color auto="1"/>
      </font>
      <numFmt numFmtId="0" formatCode="General"/>
    </dxf>
    <dxf>
      <fill>
        <patternFill>
          <bgColor theme="5" tint="0.59996337778862885"/>
        </patternFill>
      </fill>
    </dxf>
    <dxf>
      <font>
        <b/>
        <i val="0"/>
        <strike val="0"/>
        <u val="none"/>
        <color auto="1"/>
      </font>
      <numFmt numFmtId="19" formatCode="m/d/yyyy"/>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u val="none"/>
        <color auto="1"/>
      </font>
      <numFmt numFmtId="0" formatCode="General"/>
    </dxf>
    <dxf>
      <fill>
        <patternFill>
          <bgColor theme="5" tint="0.59996337778862885"/>
        </patternFill>
      </fill>
    </dxf>
    <dxf>
      <fill>
        <patternFill>
          <bgColor theme="5" tint="0.59996337778862885"/>
        </patternFill>
      </fill>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rgb="FF0079C1"/>
      </font>
    </dxf>
    <dxf>
      <font>
        <color rgb="FF0079C1"/>
      </font>
    </dxf>
    <dxf>
      <font>
        <color rgb="FFFF0000"/>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D41212"/>
      </font>
    </dxf>
    <dxf>
      <font>
        <color rgb="FFFF0000"/>
      </font>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ill>
        <patternFill>
          <bgColor theme="0" tint="-0.14996795556505021"/>
        </patternFill>
      </fill>
    </dxf>
    <dxf>
      <font>
        <color rgb="FFFF0000"/>
      </font>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ill>
        <patternFill>
          <bgColor theme="0" tint="-0.14996795556505021"/>
        </patternFill>
      </fill>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b/>
        <i val="0"/>
        <strike val="0"/>
        <color rgb="FFF0532A"/>
      </font>
    </dxf>
    <dxf>
      <font>
        <color rgb="FF252525"/>
      </font>
      <border>
        <top style="thin">
          <color theme="0" tint="-0.24994659260841701"/>
        </top>
        <vertical/>
        <horizontal/>
      </border>
    </dxf>
    <dxf>
      <font>
        <color rgb="FF252525"/>
      </font>
      <border>
        <top style="thin">
          <color theme="0" tint="-0.24994659260841701"/>
        </top>
        <vertical/>
        <horizontal/>
      </border>
    </dxf>
    <dxf>
      <fill>
        <patternFill>
          <bgColor theme="0" tint="-0.14996795556505021"/>
        </patternFill>
      </fill>
    </dxf>
    <dxf>
      <font>
        <color rgb="FF252525"/>
      </font>
      <border>
        <top style="thin">
          <color theme="0" tint="-0.24994659260841701"/>
        </top>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ill>
        <patternFill>
          <bgColor theme="0" tint="-0.14996795556505021"/>
        </patternFill>
      </fill>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theme="0"/>
      </font>
      <fill>
        <patternFill>
          <fgColor theme="0"/>
          <bgColor theme="0"/>
        </patternFill>
      </fill>
      <border>
        <left/>
        <right/>
        <top/>
        <bottom/>
        <vertical/>
        <horizontal/>
      </border>
    </dxf>
    <dxf>
      <font>
        <color rgb="FFFF0000"/>
      </font>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252525"/>
      </font>
      <border>
        <top style="thin">
          <color theme="0" tint="-0.24994659260841701"/>
        </top>
        <vertical/>
        <horizontal/>
      </border>
    </dxf>
    <dxf>
      <font>
        <color rgb="FF252525"/>
      </font>
      <border>
        <top style="thin">
          <color theme="0" tint="-0.24994659260841701"/>
        </top>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ill>
        <patternFill patternType="lightGray"/>
      </fill>
    </dxf>
    <dxf>
      <font>
        <b/>
        <i/>
      </font>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lightGray"/>
      </fill>
    </dxf>
    <dxf>
      <font>
        <b/>
        <i/>
      </font>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lightGray"/>
      </fill>
    </dxf>
    <dxf>
      <font>
        <b/>
        <i/>
      </font>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lightGray"/>
      </fill>
    </dxf>
    <dxf>
      <font>
        <b/>
        <i/>
      </font>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lightGray"/>
      </fill>
    </dxf>
    <dxf>
      <font>
        <b/>
        <i/>
      </font>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lightGray"/>
      </fill>
    </dxf>
    <dxf>
      <font>
        <b/>
        <i/>
      </font>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lightGray"/>
      </fill>
    </dxf>
    <dxf>
      <font>
        <b/>
        <i/>
      </font>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lightGray"/>
      </fill>
    </dxf>
    <dxf>
      <font>
        <b/>
        <i/>
      </font>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lightGray"/>
      </fill>
    </dxf>
    <dxf>
      <font>
        <b/>
        <i/>
      </font>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lightGray"/>
      </fill>
    </dxf>
    <dxf>
      <font>
        <b/>
        <i/>
      </font>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color rgb="FFFF0000"/>
      </font>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theme="0"/>
      </font>
      <fill>
        <patternFill>
          <bgColor theme="0"/>
        </patternFill>
      </fill>
      <border>
        <left/>
        <right/>
        <top/>
        <bottom/>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FF0000"/>
      </font>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theme="0"/>
      </font>
      <border>
        <left/>
        <right/>
        <top style="thin">
          <color rgb="FFCCCCCC"/>
        </top>
        <bottom/>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ill>
        <patternFill>
          <bgColor theme="0" tint="-0.14996795556505021"/>
        </patternFill>
      </fill>
    </dxf>
    <dxf>
      <font>
        <color rgb="FF252525"/>
      </font>
      <border>
        <top style="thin">
          <color theme="0" tint="-0.24994659260841701"/>
        </top>
        <vertical/>
        <horizontal/>
      </border>
    </dxf>
    <dxf>
      <font>
        <color rgb="FF252525"/>
      </font>
      <border>
        <top style="thin">
          <color theme="0" tint="-0.24994659260841701"/>
        </top>
        <vertical/>
        <horizontal/>
      </border>
    </dxf>
    <dxf>
      <font>
        <color rgb="FFFF0000"/>
      </font>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theme="0"/>
      </font>
      <fill>
        <patternFill>
          <fgColor theme="0"/>
        </patternFill>
      </fill>
      <border>
        <left/>
        <right/>
        <top/>
        <bottom/>
        <vertical/>
        <horizontal/>
      </border>
    </dxf>
    <dxf>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numFmt numFmtId="184" formatCode="0000000000"/>
    </dxf>
    <dxf>
      <font>
        <color rgb="FF252525"/>
      </font>
      <border>
        <top style="thin">
          <color theme="0" tint="-0.24994659260841701"/>
        </top>
        <vertical/>
        <horizontal/>
      </border>
    </dxf>
    <dxf>
      <font>
        <color theme="0"/>
      </font>
      <border>
        <top style="thin">
          <color rgb="FFCCCCCC"/>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theme="0"/>
      </font>
      <fill>
        <patternFill>
          <fgColor theme="0"/>
        </patternFill>
      </fill>
      <border>
        <left/>
        <right/>
        <top/>
        <bottom/>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theme="0"/>
      </font>
      <fill>
        <patternFill patternType="none">
          <bgColor auto="1"/>
        </patternFill>
      </fill>
      <border>
        <left style="thin">
          <color theme="0"/>
        </left>
        <right style="thin">
          <color theme="0"/>
        </right>
        <top style="thin">
          <color theme="0"/>
        </top>
        <bottom style="thin">
          <color theme="0"/>
        </bottom>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auto="1"/>
      </font>
      <border>
        <top style="thin">
          <color theme="0" tint="-0.1499679555650502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theme="0"/>
      </font>
      <border>
        <left/>
        <right/>
        <top style="thin">
          <color rgb="FFCCCCCC"/>
        </top>
        <bottom/>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ont>
        <color rgb="FF252525"/>
      </font>
      <border>
        <top style="thin">
          <color theme="0" tint="-0.24994659260841701"/>
        </top>
        <vertical/>
        <horizontal/>
      </border>
    </dxf>
    <dxf>
      <fill>
        <patternFill>
          <bgColor theme="0" tint="-0.14996795556505021"/>
        </patternFill>
      </fill>
    </dxf>
    <dxf>
      <fill>
        <patternFill>
          <bgColor theme="0" tint="-0.14996795556505021"/>
        </patternFill>
      </fill>
    </dxf>
    <dxf>
      <font>
        <color theme="0"/>
      </font>
      <border>
        <top style="thin">
          <color rgb="FFCCCCCC"/>
        </top>
        <vertical/>
        <horizontal/>
      </border>
    </dxf>
    <dxf>
      <font>
        <color theme="0"/>
      </font>
      <border>
        <top style="thin">
          <color rgb="FFCCCCCC"/>
        </top>
        <vertical/>
        <horizontal/>
      </border>
    </dxf>
    <dxf>
      <font>
        <color theme="0"/>
      </font>
      <border>
        <left/>
        <right/>
        <top/>
        <bottom/>
        <vertical/>
        <horizontal/>
      </border>
    </dxf>
    <dxf>
      <font>
        <color theme="0"/>
      </font>
      <border>
        <top style="thin">
          <color rgb="FFCCCCCC"/>
        </top>
        <vertical/>
        <horizontal/>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9"/>
        <color rgb="FF000000"/>
        <name val="Calibri"/>
        <family val="2"/>
        <scheme val="minor"/>
      </font>
      <numFmt numFmtId="2" formatCode="0.00"/>
      <alignment horizontal="general" vertical="center" textRotation="0" wrapText="1" indent="0" justifyLastLine="0" shrinkToFit="0" readingOrder="0"/>
    </dxf>
    <dxf>
      <font>
        <b val="0"/>
        <i val="0"/>
        <strike val="0"/>
        <condense val="0"/>
        <extend val="0"/>
        <outline val="0"/>
        <shadow val="0"/>
        <u val="none"/>
        <vertAlign val="baseline"/>
        <sz val="9"/>
        <color rgb="FF000000"/>
        <name val="Calibri"/>
        <family val="2"/>
        <scheme val="minor"/>
      </font>
      <alignment horizontal="general" vertical="center" textRotation="0" wrapText="1" indent="0" justifyLastLine="0" shrinkToFit="0" readingOrder="0"/>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numFmt numFmtId="2" formatCode="0.00"/>
      <fill>
        <patternFill patternType="solid">
          <fgColor theme="4"/>
          <bgColor theme="4"/>
        </patternFill>
      </fill>
    </dxf>
    <dxf>
      <font>
        <strike val="0"/>
        <outline val="0"/>
        <shadow val="0"/>
        <u val="none"/>
        <vertAlign val="baseline"/>
        <sz val="11"/>
        <color theme="1"/>
        <name val="Times New Roman"/>
        <family val="1"/>
        <scheme val="none"/>
      </font>
    </dxf>
    <dxf>
      <font>
        <strike val="0"/>
        <outline val="0"/>
        <shadow val="0"/>
        <u val="none"/>
        <vertAlign val="baseline"/>
        <sz val="11"/>
        <color theme="1"/>
        <name val="Times New Roman"/>
        <family val="1"/>
        <scheme val="none"/>
      </font>
    </dxf>
    <dxf>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ill>
        <patternFill patternType="none">
          <fgColor indexed="64"/>
          <bgColor auto="1"/>
        </patternFill>
      </fill>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numFmt numFmtId="3" formatCode="#,##0"/>
    </dxf>
    <dxf>
      <numFmt numFmtId="3" formatCode="#,##0"/>
    </dxf>
    <dxf>
      <numFmt numFmtId="2" formatCode="0.00"/>
      <fill>
        <patternFill patternType="none">
          <fgColor indexed="64"/>
          <bgColor indexed="65"/>
        </patternFill>
      </fill>
    </dxf>
    <dxf>
      <font>
        <b/>
        <i val="0"/>
        <strike val="0"/>
        <condense val="0"/>
        <extend val="0"/>
        <outline val="0"/>
        <shadow val="0"/>
        <u val="none"/>
        <vertAlign val="baseline"/>
        <sz val="11"/>
        <color theme="1"/>
        <name val="Calibri"/>
        <family val="2"/>
        <scheme val="none"/>
      </font>
      <numFmt numFmtId="2" formatCode="0.00"/>
    </dxf>
    <dxf>
      <numFmt numFmtId="0" formatCode="General"/>
    </dxf>
    <dxf>
      <numFmt numFmtId="0" formatCode="General"/>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numFmt numFmtId="0" formatCode="General"/>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border outline="0">
        <bottom style="dashed">
          <color theme="0" tint="-0.24994659260841701"/>
        </bottom>
      </border>
    </dxf>
    <dxf>
      <numFmt numFmtId="0" formatCode="General"/>
    </dxf>
    <dxf>
      <numFmt numFmtId="0" formatCode="General"/>
    </dxf>
    <dxf>
      <fill>
        <patternFill patternType="solid">
          <fgColor indexed="64"/>
          <bgColor theme="0" tint="-0.34998626667073579"/>
        </patternFill>
      </fill>
    </dxf>
    <dxf>
      <fill>
        <patternFill patternType="solid">
          <fgColor indexed="64"/>
          <bgColor theme="0" tint="-0.34998626667073579"/>
        </patternFill>
      </fill>
    </dxf>
    <dxf>
      <fill>
        <patternFill patternType="none">
          <fgColor indexed="64"/>
          <bgColor auto="1"/>
        </patternFill>
      </fill>
    </dxf>
    <dxf>
      <fill>
        <patternFill patternType="solid">
          <fgColor indexed="64"/>
          <bgColor theme="0" tint="-0.34998626667073579"/>
        </patternFill>
      </fill>
    </dxf>
    <dxf>
      <fill>
        <patternFill patternType="solid">
          <fgColor indexed="64"/>
          <bgColor theme="0" tint="-0.34998626667073579"/>
        </patternFill>
      </fill>
    </dxf>
    <dxf>
      <alignment horizontal="general" vertical="center" textRotation="0" wrapText="1" indent="0" justifyLastLine="0" shrinkToFit="0" readingOrder="0"/>
      <border diagonalUp="0" diagonalDown="0">
        <left/>
        <right/>
        <top/>
        <bottom style="medium">
          <color indexed="64"/>
        </bottom>
        <vertical/>
        <horizontal/>
      </border>
    </dxf>
    <dxf>
      <alignment horizontal="general" vertical="center" textRotation="0" wrapText="1" indent="0" justifyLastLine="0" shrinkToFit="0" readingOrder="0"/>
      <border diagonalUp="0" diagonalDown="0">
        <left/>
        <right style="medium">
          <color indexed="64"/>
        </right>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general" vertical="center" textRotation="0" wrapText="1" indent="0" justifyLastLine="0" shrinkToFit="0" readingOrder="0"/>
      <border diagonalUp="0" diagonalDown="0" outline="0">
        <left style="medium">
          <color indexed="64"/>
        </left>
        <right style="medium">
          <color indexed="64"/>
        </right>
        <top/>
        <bottom/>
      </border>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border outline="0">
        <top style="thin">
          <color theme="4" tint="0.39997558519241921"/>
        </top>
      </border>
    </dxf>
    <dxf>
      <font>
        <strike val="0"/>
        <outline val="0"/>
        <shadow val="0"/>
        <u val="none"/>
        <vertAlign val="baseline"/>
        <sz val="11"/>
        <color auto="1"/>
        <name val="Calibri"/>
        <family val="2"/>
        <scheme val="none"/>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fill>
        <patternFill patternType="none">
          <fgColor indexed="64"/>
          <bgColor indexed="65"/>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numFmt numFmtId="30" formatCode="@"/>
      <fill>
        <patternFill patternType="none">
          <fgColor indexed="64"/>
          <bgColor auto="1"/>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auto="1"/>
        <name val="Calibri"/>
        <family val="2"/>
      </font>
      <numFmt numFmtId="30" formatCode="@"/>
      <fill>
        <patternFill patternType="none">
          <fgColor indexed="64"/>
          <bgColor auto="1"/>
        </patternFill>
      </fill>
    </dxf>
    <dxf>
      <font>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indexed="65"/>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theme="1"/>
      </font>
    </dxf>
    <dxf>
      <font>
        <b val="0"/>
        <strike val="0"/>
        <outline val="0"/>
        <shadow val="0"/>
        <u val="none"/>
        <vertAlign val="baseline"/>
        <sz val="11"/>
        <color auto="1"/>
        <name val="Calibri"/>
        <family val="2"/>
      </font>
      <fill>
        <patternFill patternType="none">
          <fgColor indexed="64"/>
          <bgColor auto="1"/>
        </patternFill>
      </fill>
    </dxf>
    <dxf>
      <font>
        <b val="0"/>
        <strike val="0"/>
        <outline val="0"/>
        <shadow val="0"/>
        <u val="none"/>
        <vertAlign val="baseline"/>
        <sz val="11"/>
        <color auto="1"/>
        <name val="Calibri"/>
        <family val="2"/>
      </font>
      <fill>
        <patternFill patternType="none">
          <fgColor indexed="64"/>
          <bgColor indexed="65"/>
        </patternFill>
      </fill>
    </dxf>
    <dxf>
      <font>
        <b val="0"/>
        <strike val="0"/>
        <outline val="0"/>
        <shadow val="0"/>
        <u val="none"/>
        <vertAlign val="baseline"/>
        <sz val="11"/>
        <color auto="1"/>
        <name val="Calibri"/>
        <family val="2"/>
      </font>
      <fill>
        <patternFill patternType="none">
          <fgColor indexed="64"/>
          <bgColor auto="1"/>
        </patternFill>
      </fill>
    </dxf>
    <dxf>
      <font>
        <b val="0"/>
        <strike val="0"/>
        <outline val="0"/>
        <shadow val="0"/>
        <u val="none"/>
        <vertAlign val="baseline"/>
        <sz val="11"/>
        <color auto="1"/>
        <name val="Calibri"/>
        <family val="2"/>
      </font>
      <numFmt numFmtId="30" formatCode="@"/>
      <fill>
        <patternFill patternType="none">
          <fgColor indexed="64"/>
          <bgColor auto="1"/>
        </patternFill>
      </fill>
    </dxf>
    <dxf>
      <font>
        <b val="0"/>
        <strike val="0"/>
        <outline val="0"/>
        <shadow val="0"/>
        <u val="none"/>
        <vertAlign val="baseline"/>
        <sz val="11"/>
        <color auto="1"/>
        <name val="Calibri"/>
        <family val="2"/>
      </font>
      <fill>
        <patternFill patternType="none">
          <fgColor indexed="64"/>
          <bgColor auto="1"/>
        </patternFill>
      </fill>
    </dxf>
    <dxf>
      <font>
        <b val="0"/>
        <strike val="0"/>
        <outline val="0"/>
        <shadow val="0"/>
        <u val="none"/>
        <vertAlign val="baseline"/>
        <sz val="11"/>
        <color auto="1"/>
        <name val="Calibri"/>
        <family val="2"/>
      </font>
      <fill>
        <patternFill patternType="none">
          <fgColor indexed="64"/>
          <bgColor auto="1"/>
        </patternFill>
      </fill>
    </dxf>
    <dxf>
      <font>
        <b val="0"/>
        <strike val="0"/>
        <outline val="0"/>
        <shadow val="0"/>
        <u val="none"/>
        <vertAlign val="baseline"/>
        <sz val="11"/>
        <color auto="1"/>
        <name val="Calibri"/>
        <family val="2"/>
      </font>
      <fill>
        <patternFill patternType="none">
          <fgColor indexed="64"/>
          <bgColor auto="1"/>
        </patternFill>
      </fill>
    </dxf>
    <dxf>
      <font>
        <b val="0"/>
        <strike val="0"/>
        <outline val="0"/>
        <shadow val="0"/>
        <u val="none"/>
        <vertAlign val="baseline"/>
        <sz val="11"/>
        <color auto="1"/>
        <name val="Calibri"/>
        <family val="2"/>
      </font>
      <fill>
        <patternFill patternType="none">
          <fgColor indexed="64"/>
          <bgColor auto="1"/>
        </patternFill>
      </fill>
    </dxf>
    <dxf>
      <font>
        <b val="0"/>
        <strike val="0"/>
        <outline val="0"/>
        <shadow val="0"/>
        <u val="none"/>
        <vertAlign val="baseline"/>
        <sz val="11"/>
        <color auto="1"/>
        <name val="Calibri"/>
        <family val="2"/>
      </font>
      <fill>
        <patternFill patternType="none">
          <fgColor indexed="64"/>
          <bgColor auto="1"/>
        </patternFill>
      </fill>
    </dxf>
    <dxf>
      <font>
        <b val="0"/>
        <strike val="0"/>
        <outline val="0"/>
        <shadow val="0"/>
        <u val="none"/>
        <vertAlign val="baseline"/>
        <sz val="11"/>
        <color auto="1"/>
        <name val="Calibri"/>
        <family val="2"/>
      </font>
      <fill>
        <patternFill patternType="none">
          <fgColor indexed="64"/>
          <bgColor auto="1"/>
        </patternFill>
      </fill>
    </dxf>
    <dxf>
      <font>
        <b val="0"/>
        <strike val="0"/>
        <outline val="0"/>
        <shadow val="0"/>
        <u val="none"/>
        <vertAlign val="baseline"/>
        <sz val="11"/>
        <color auto="1"/>
        <name val="Calibri"/>
        <family val="2"/>
      </font>
      <fill>
        <patternFill patternType="none">
          <fgColor indexed="64"/>
          <bgColor indexed="65"/>
        </patternFill>
      </fill>
    </dxf>
    <dxf>
      <font>
        <b val="0"/>
        <strike val="0"/>
        <outline val="0"/>
        <shadow val="0"/>
        <u val="none"/>
        <vertAlign val="baseline"/>
        <sz val="11"/>
        <color auto="1"/>
        <name val="Calibri"/>
        <family val="2"/>
      </font>
      <fill>
        <patternFill patternType="none">
          <fgColor indexed="64"/>
          <bgColor auto="1"/>
        </patternFill>
      </fill>
    </dxf>
    <dxf>
      <font>
        <b val="0"/>
        <strike val="0"/>
        <outline val="0"/>
        <shadow val="0"/>
        <u val="none"/>
        <vertAlign val="baseline"/>
        <sz val="11"/>
        <color auto="1"/>
        <name val="Calibri"/>
        <family val="2"/>
      </font>
      <fill>
        <patternFill patternType="none">
          <fgColor indexed="64"/>
          <bgColor auto="1"/>
        </patternFill>
      </fill>
    </dxf>
    <dxf>
      <font>
        <b val="0"/>
        <strike val="0"/>
        <outline val="0"/>
        <shadow val="0"/>
        <u val="none"/>
        <vertAlign val="baseline"/>
        <sz val="11"/>
        <color auto="1"/>
        <name val="Calibri"/>
        <family val="2"/>
      </font>
      <numFmt numFmtId="30" formatCode="@"/>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auto="1"/>
        <name val="Calibri"/>
        <family val="2"/>
      </font>
      <fill>
        <patternFill patternType="none">
          <fgColor indexed="64"/>
          <bgColor auto="1"/>
        </patternFill>
      </fill>
    </dxf>
    <dxf>
      <font>
        <strike val="0"/>
        <outline val="0"/>
        <shadow val="0"/>
        <u val="none"/>
        <vertAlign val="baseline"/>
        <sz val="11"/>
        <color theme="1"/>
      </font>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670"/>
      <tableStyleElement type="headerRow" dxfId="669"/>
    </tableStyle>
  </tableStyles>
  <colors>
    <mruColors>
      <color rgb="FFE4EBF7"/>
      <color rgb="FFEF5BBA"/>
      <color rgb="FF142C41"/>
      <color rgb="FF0079C1"/>
      <color rgb="FFCCCCCC"/>
      <color rgb="FFFF6D6D"/>
      <color rgb="FFF0532A"/>
      <color rgb="FF9BA4B8"/>
      <color rgb="FFE2E2E2"/>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microsoft.com/office/2017/10/relationships/person" Target="persons/person.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M01-S04'!A1"/><Relationship Id="rId13" Type="http://schemas.openxmlformats.org/officeDocument/2006/relationships/hyperlink" Target="#M05S06F09"/><Relationship Id="rId18" Type="http://schemas.openxmlformats.org/officeDocument/2006/relationships/hyperlink" Target="https://www.ahridirectory.org/Search/SearchHome?ReturnUrl=%2f" TargetMode="External"/><Relationship Id="rId3" Type="http://schemas.openxmlformats.org/officeDocument/2006/relationships/hyperlink" Target="#'M01-S01'!A1"/><Relationship Id="rId21" Type="http://schemas.openxmlformats.org/officeDocument/2006/relationships/hyperlink" Target="https://bizsave.pseg.com/TradeAlly/FindATradeAlly" TargetMode="External"/><Relationship Id="rId7" Type="http://schemas.openxmlformats.org/officeDocument/2006/relationships/image" Target="../media/image2.jpeg"/><Relationship Id="rId12" Type="http://schemas.openxmlformats.org/officeDocument/2006/relationships/hyperlink" Target="https://psegnj-bizsave.capturesportal.com/wp-content/uploads/2022/07/PSEG_PrescriptiveCustom_Terms_and_Conditions.pdf" TargetMode="External"/><Relationship Id="rId17" Type="http://schemas.openxmlformats.org/officeDocument/2006/relationships/hyperlink" Target="https://www.designlights.org/" TargetMode="External"/><Relationship Id="rId25" Type="http://schemas.openxmlformats.org/officeDocument/2006/relationships/hyperlink" Target="https://bizsave.pseg.com/direct-install/" TargetMode="External"/><Relationship Id="rId2" Type="http://schemas.openxmlformats.org/officeDocument/2006/relationships/hyperlink" Target="#'M01-S02'!A1"/><Relationship Id="rId16" Type="http://schemas.openxmlformats.org/officeDocument/2006/relationships/hyperlink" Target="https://cee1.org/content/cee-program-resources" TargetMode="External"/><Relationship Id="rId20"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hyperlink" Target="#'M05-S05'!A1"/><Relationship Id="rId11" Type="http://schemas.openxmlformats.org/officeDocument/2006/relationships/hyperlink" Target="https://psegnj-bizsave.capturesportal.com/wp-content/uploads/2022/07/PSEG_1Sheet_BizEnergySaver_English-1.pdf" TargetMode="External"/><Relationship Id="rId24" Type="http://schemas.openxmlformats.org/officeDocument/2006/relationships/hyperlink" Target="https://bizsave.pseg.com/energy-efficiency-equipment/" TargetMode="External"/><Relationship Id="rId5" Type="http://schemas.openxmlformats.org/officeDocument/2006/relationships/hyperlink" Target="#'M05-S06'!A1"/><Relationship Id="rId15" Type="http://schemas.openxmlformats.org/officeDocument/2006/relationships/hyperlink" Target="https://www.energystar.gov/" TargetMode="External"/><Relationship Id="rId23" Type="http://schemas.openxmlformats.org/officeDocument/2006/relationships/hyperlink" Target="https://psegnj-bizsave.capturesportal.com/wp-content/uploads/2022/07/PSEG_Program_Incentive_Guide_English.pdf" TargetMode="External"/><Relationship Id="rId10" Type="http://schemas.openxmlformats.org/officeDocument/2006/relationships/hyperlink" Target="https://bizsaveportal.pseg.com" TargetMode="External"/><Relationship Id="rId19" Type="http://schemas.openxmlformats.org/officeDocument/2006/relationships/hyperlink" Target="#'M05-S04'!A1"/><Relationship Id="rId4" Type="http://schemas.openxmlformats.org/officeDocument/2006/relationships/hyperlink" Target="#'M01-S03'!A1"/><Relationship Id="rId9" Type="http://schemas.openxmlformats.org/officeDocument/2006/relationships/hyperlink" Target="https://bizsave.pseg.com/" TargetMode="External"/><Relationship Id="rId14" Type="http://schemas.openxmlformats.org/officeDocument/2006/relationships/hyperlink" Target="https://trccompanies.sharepoint.com/sites/CS-P3/PSEG-Business%20Energy%20Saver%20Resources/SitePages/Home.aspx?OR=Teams-HL&amp;CT=1683665525938" TargetMode="External"/><Relationship Id="rId22" Type="http://schemas.openxmlformats.org/officeDocument/2006/relationships/hyperlink" Target="https://bizsaveportal.pseg.com/TradeAlly/FindATradeAlly"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Custom_HVAC_Tax"/><Relationship Id="rId13" Type="http://schemas.openxmlformats.org/officeDocument/2006/relationships/hyperlink" Target="#M02S02F01"/><Relationship Id="rId18" Type="http://schemas.openxmlformats.org/officeDocument/2006/relationships/hyperlink" Target="#'M05-S01b'!A1"/><Relationship Id="rId26" Type="http://schemas.openxmlformats.org/officeDocument/2006/relationships/hyperlink" Target="#Custom_PL_Tax"/><Relationship Id="rId3" Type="http://schemas.openxmlformats.org/officeDocument/2006/relationships/hyperlink" Target="#'M01-S03'!A1"/><Relationship Id="rId21" Type="http://schemas.openxmlformats.org/officeDocument/2006/relationships/hyperlink" Target="#Custom_Heating_Tax"/><Relationship Id="rId7" Type="http://schemas.openxmlformats.org/officeDocument/2006/relationships/hyperlink" Target="#'M03-S01'!H6"/><Relationship Id="rId12" Type="http://schemas.openxmlformats.org/officeDocument/2006/relationships/hyperlink" Target="#M02S01F01"/><Relationship Id="rId17" Type="http://schemas.openxmlformats.org/officeDocument/2006/relationships/hyperlink" Target="#M02S04F01"/><Relationship Id="rId25" Type="http://schemas.openxmlformats.org/officeDocument/2006/relationships/hyperlink" Target="#Custom_AG_Tax"/><Relationship Id="rId2" Type="http://schemas.openxmlformats.org/officeDocument/2006/relationships/hyperlink" Target="#'M01-S02'!A1"/><Relationship Id="rId16" Type="http://schemas.openxmlformats.org/officeDocument/2006/relationships/hyperlink" Target="#M05S02HIDE"/><Relationship Id="rId20" Type="http://schemas.openxmlformats.org/officeDocument/2006/relationships/hyperlink" Target="#Custom_Lighting_Tax"/><Relationship Id="rId1" Type="http://schemas.openxmlformats.org/officeDocument/2006/relationships/hyperlink" Target="#'M01-S01'!A1"/><Relationship Id="rId6" Type="http://schemas.openxmlformats.org/officeDocument/2006/relationships/hyperlink" Target="#'M01-S04'!A1"/><Relationship Id="rId11" Type="http://schemas.openxmlformats.org/officeDocument/2006/relationships/image" Target="../media/image3.png"/><Relationship Id="rId24" Type="http://schemas.openxmlformats.org/officeDocument/2006/relationships/hyperlink" Target="#Custom_FS_Tax"/><Relationship Id="rId5" Type="http://schemas.openxmlformats.org/officeDocument/2006/relationships/image" Target="../media/image2.jpeg"/><Relationship Id="rId15" Type="http://schemas.openxmlformats.org/officeDocument/2006/relationships/hyperlink" Target="#M05S01F01"/><Relationship Id="rId23" Type="http://schemas.openxmlformats.org/officeDocument/2006/relationships/hyperlink" Target="#Custom_Refrig_Tax"/><Relationship Id="rId28" Type="http://schemas.openxmlformats.org/officeDocument/2006/relationships/hyperlink" Target="#Custom_Misc_Tax"/><Relationship Id="rId10" Type="http://schemas.openxmlformats.org/officeDocument/2006/relationships/hyperlink" Target="#'M05-S04'!A1"/><Relationship Id="rId19" Type="http://schemas.openxmlformats.org/officeDocument/2006/relationships/hyperlink" Target="#M05S08F01"/><Relationship Id="rId4" Type="http://schemas.openxmlformats.org/officeDocument/2006/relationships/hyperlink" Target="#'M05-S05'!A1"/><Relationship Id="rId9" Type="http://schemas.openxmlformats.org/officeDocument/2006/relationships/hyperlink" Target="#'M05-S06'!A1"/><Relationship Id="rId14" Type="http://schemas.openxmlformats.org/officeDocument/2006/relationships/hyperlink" Target="#M02S03F01"/><Relationship Id="rId22" Type="http://schemas.openxmlformats.org/officeDocument/2006/relationships/hyperlink" Target="#Custom_WH_Tax"/><Relationship Id="rId27" Type="http://schemas.openxmlformats.org/officeDocument/2006/relationships/hyperlink" Target="#Custom_RA_Tax"/></Relationships>
</file>

<file path=xl/drawings/_rels/drawing11.xml.rels><?xml version="1.0" encoding="UTF-8" standalone="yes"?>
<Relationships xmlns="http://schemas.openxmlformats.org/package/2006/relationships"><Relationship Id="rId8" Type="http://schemas.openxmlformats.org/officeDocument/2006/relationships/hyperlink" Target="#Custom_Heating_Tax"/><Relationship Id="rId13" Type="http://schemas.openxmlformats.org/officeDocument/2006/relationships/hyperlink" Target="#M02S02F01"/><Relationship Id="rId18" Type="http://schemas.openxmlformats.org/officeDocument/2006/relationships/hyperlink" Target="#M02S04F01"/><Relationship Id="rId26" Type="http://schemas.openxmlformats.org/officeDocument/2006/relationships/hyperlink" Target="#Custom_PL_Tax"/><Relationship Id="rId3" Type="http://schemas.openxmlformats.org/officeDocument/2006/relationships/hyperlink" Target="#'M01-S03'!A1"/><Relationship Id="rId21" Type="http://schemas.openxmlformats.org/officeDocument/2006/relationships/hyperlink" Target="#Custom_HVAC_Tax"/><Relationship Id="rId7" Type="http://schemas.openxmlformats.org/officeDocument/2006/relationships/hyperlink" Target="#Custom_Lighting_Tax"/><Relationship Id="rId12" Type="http://schemas.openxmlformats.org/officeDocument/2006/relationships/hyperlink" Target="#M02S01F01"/><Relationship Id="rId17" Type="http://schemas.openxmlformats.org/officeDocument/2006/relationships/hyperlink" Target="#M05S02HIDE"/><Relationship Id="rId25" Type="http://schemas.openxmlformats.org/officeDocument/2006/relationships/hyperlink" Target="#Custom_AG_Tax"/><Relationship Id="rId2" Type="http://schemas.openxmlformats.org/officeDocument/2006/relationships/hyperlink" Target="#'M01-S02'!A1"/><Relationship Id="rId16" Type="http://schemas.openxmlformats.org/officeDocument/2006/relationships/hyperlink" Target="#M05S01F01"/><Relationship Id="rId20" Type="http://schemas.openxmlformats.org/officeDocument/2006/relationships/hyperlink" Target="#M05S08F01"/><Relationship Id="rId1" Type="http://schemas.openxmlformats.org/officeDocument/2006/relationships/hyperlink" Target="#'M01-S01'!A1"/><Relationship Id="rId6" Type="http://schemas.openxmlformats.org/officeDocument/2006/relationships/hyperlink" Target="#'M01-S04'!A1"/><Relationship Id="rId11" Type="http://schemas.openxmlformats.org/officeDocument/2006/relationships/image" Target="../media/image3.png"/><Relationship Id="rId24" Type="http://schemas.openxmlformats.org/officeDocument/2006/relationships/hyperlink" Target="#Custom_FS_Tax"/><Relationship Id="rId5" Type="http://schemas.openxmlformats.org/officeDocument/2006/relationships/image" Target="../media/image2.jpeg"/><Relationship Id="rId15" Type="http://schemas.openxmlformats.org/officeDocument/2006/relationships/hyperlink" Target="#'M03-S01'!H6"/><Relationship Id="rId23" Type="http://schemas.openxmlformats.org/officeDocument/2006/relationships/hyperlink" Target="#Custom_Refrig_Tax"/><Relationship Id="rId28" Type="http://schemas.openxmlformats.org/officeDocument/2006/relationships/hyperlink" Target="#Custom_Misc_Tax"/><Relationship Id="rId10" Type="http://schemas.openxmlformats.org/officeDocument/2006/relationships/hyperlink" Target="#'M05-S04'!A1"/><Relationship Id="rId19" Type="http://schemas.openxmlformats.org/officeDocument/2006/relationships/hyperlink" Target="#'M05-S01b'!A1"/><Relationship Id="rId4" Type="http://schemas.openxmlformats.org/officeDocument/2006/relationships/hyperlink" Target="#'M05-S05'!A1"/><Relationship Id="rId9" Type="http://schemas.openxmlformats.org/officeDocument/2006/relationships/hyperlink" Target="#'M05-S06'!A1"/><Relationship Id="rId14" Type="http://schemas.openxmlformats.org/officeDocument/2006/relationships/hyperlink" Target="#M02S03F01"/><Relationship Id="rId22" Type="http://schemas.openxmlformats.org/officeDocument/2006/relationships/hyperlink" Target="#Custom_WH_Tax"/><Relationship Id="rId27" Type="http://schemas.openxmlformats.org/officeDocument/2006/relationships/hyperlink" Target="#Custom_RA_Tax"/></Relationships>
</file>

<file path=xl/drawings/_rels/drawing12.xml.rels><?xml version="1.0" encoding="UTF-8" standalone="yes"?>
<Relationships xmlns="http://schemas.openxmlformats.org/package/2006/relationships"><Relationship Id="rId8" Type="http://schemas.openxmlformats.org/officeDocument/2006/relationships/hyperlink" Target="#Custom_HVAC_Tax"/><Relationship Id="rId13" Type="http://schemas.openxmlformats.org/officeDocument/2006/relationships/hyperlink" Target="#M02S02F01"/><Relationship Id="rId18" Type="http://schemas.openxmlformats.org/officeDocument/2006/relationships/hyperlink" Target="#M02S04F01"/><Relationship Id="rId26" Type="http://schemas.openxmlformats.org/officeDocument/2006/relationships/hyperlink" Target="#Custom_PL_Tax"/><Relationship Id="rId3" Type="http://schemas.openxmlformats.org/officeDocument/2006/relationships/hyperlink" Target="#'M01-S02'!A1"/><Relationship Id="rId21" Type="http://schemas.openxmlformats.org/officeDocument/2006/relationships/hyperlink" Target="#Custom_Lighting_Tax"/><Relationship Id="rId7" Type="http://schemas.openxmlformats.org/officeDocument/2006/relationships/hyperlink" Target="#'M01-S04'!A1"/><Relationship Id="rId12" Type="http://schemas.openxmlformats.org/officeDocument/2006/relationships/hyperlink" Target="#M02S01F01"/><Relationship Id="rId17" Type="http://schemas.openxmlformats.org/officeDocument/2006/relationships/hyperlink" Target="#M05S02HIDE"/><Relationship Id="rId25" Type="http://schemas.openxmlformats.org/officeDocument/2006/relationships/hyperlink" Target="#Custom_AG_Tax"/><Relationship Id="rId2" Type="http://schemas.openxmlformats.org/officeDocument/2006/relationships/hyperlink" Target="#'M01-S01'!A1"/><Relationship Id="rId16" Type="http://schemas.openxmlformats.org/officeDocument/2006/relationships/hyperlink" Target="#M05S01F01"/><Relationship Id="rId20" Type="http://schemas.openxmlformats.org/officeDocument/2006/relationships/hyperlink" Target="#M05S08F01"/><Relationship Id="rId1" Type="http://schemas.openxmlformats.org/officeDocument/2006/relationships/hyperlink" Target="#'M05-S06'!A1"/><Relationship Id="rId6" Type="http://schemas.openxmlformats.org/officeDocument/2006/relationships/image" Target="../media/image2.jpeg"/><Relationship Id="rId11" Type="http://schemas.openxmlformats.org/officeDocument/2006/relationships/image" Target="../media/image3.png"/><Relationship Id="rId24" Type="http://schemas.openxmlformats.org/officeDocument/2006/relationships/hyperlink" Target="#Custom_FS_Tax"/><Relationship Id="rId5" Type="http://schemas.openxmlformats.org/officeDocument/2006/relationships/hyperlink" Target="#'M05-S05'!A1"/><Relationship Id="rId15" Type="http://schemas.openxmlformats.org/officeDocument/2006/relationships/hyperlink" Target="#'M03-S01'!H6"/><Relationship Id="rId23" Type="http://schemas.openxmlformats.org/officeDocument/2006/relationships/hyperlink" Target="#Custom_Refrig_Tax"/><Relationship Id="rId28" Type="http://schemas.openxmlformats.org/officeDocument/2006/relationships/hyperlink" Target="#Custom_Misc_Tax"/><Relationship Id="rId10" Type="http://schemas.openxmlformats.org/officeDocument/2006/relationships/hyperlink" Target="#'M05-S04'!A1"/><Relationship Id="rId19" Type="http://schemas.openxmlformats.org/officeDocument/2006/relationships/hyperlink" Target="#'M05-S01b'!A1"/><Relationship Id="rId4" Type="http://schemas.openxmlformats.org/officeDocument/2006/relationships/hyperlink" Target="#'M01-S03'!A1"/><Relationship Id="rId9" Type="http://schemas.openxmlformats.org/officeDocument/2006/relationships/hyperlink" Target="#Custom_WH_Tax"/><Relationship Id="rId14" Type="http://schemas.openxmlformats.org/officeDocument/2006/relationships/hyperlink" Target="#M02S03F01"/><Relationship Id="rId22" Type="http://schemas.openxmlformats.org/officeDocument/2006/relationships/hyperlink" Target="#Custom_Heating_Tax"/><Relationship Id="rId27" Type="http://schemas.openxmlformats.org/officeDocument/2006/relationships/hyperlink" Target="#Custom_RA_Tax"/></Relationships>
</file>

<file path=xl/drawings/_rels/drawing13.xml.rels><?xml version="1.0" encoding="UTF-8" standalone="yes"?>
<Relationships xmlns="http://schemas.openxmlformats.org/package/2006/relationships"><Relationship Id="rId8" Type="http://schemas.openxmlformats.org/officeDocument/2006/relationships/hyperlink" Target="#Custom_Refrig_Tax"/><Relationship Id="rId13" Type="http://schemas.openxmlformats.org/officeDocument/2006/relationships/hyperlink" Target="#M02S02F01"/><Relationship Id="rId18" Type="http://schemas.openxmlformats.org/officeDocument/2006/relationships/hyperlink" Target="#M02S04F01"/><Relationship Id="rId26" Type="http://schemas.openxmlformats.org/officeDocument/2006/relationships/hyperlink" Target="#Custom_PL_Tax"/><Relationship Id="rId3" Type="http://schemas.openxmlformats.org/officeDocument/2006/relationships/hyperlink" Target="#'M01-S03'!A1"/><Relationship Id="rId21" Type="http://schemas.openxmlformats.org/officeDocument/2006/relationships/hyperlink" Target="#Custom_Lighting_Tax"/><Relationship Id="rId7" Type="http://schemas.openxmlformats.org/officeDocument/2006/relationships/hyperlink" Target="#Custom_Heating_Tax"/><Relationship Id="rId12" Type="http://schemas.openxmlformats.org/officeDocument/2006/relationships/hyperlink" Target="#M02S01F01"/><Relationship Id="rId17" Type="http://schemas.openxmlformats.org/officeDocument/2006/relationships/hyperlink" Target="#M05S02HIDE"/><Relationship Id="rId25" Type="http://schemas.openxmlformats.org/officeDocument/2006/relationships/hyperlink" Target="#Custom_AG_Tax"/><Relationship Id="rId2" Type="http://schemas.openxmlformats.org/officeDocument/2006/relationships/hyperlink" Target="#'M01-S02'!A1"/><Relationship Id="rId16" Type="http://schemas.openxmlformats.org/officeDocument/2006/relationships/hyperlink" Target="#M05S01F01"/><Relationship Id="rId20" Type="http://schemas.openxmlformats.org/officeDocument/2006/relationships/hyperlink" Target="#M05S08F01"/><Relationship Id="rId1" Type="http://schemas.openxmlformats.org/officeDocument/2006/relationships/hyperlink" Target="#'M01-S01'!A1"/><Relationship Id="rId6" Type="http://schemas.openxmlformats.org/officeDocument/2006/relationships/hyperlink" Target="#'M01-S04'!A1"/><Relationship Id="rId11" Type="http://schemas.openxmlformats.org/officeDocument/2006/relationships/image" Target="../media/image3.png"/><Relationship Id="rId24" Type="http://schemas.openxmlformats.org/officeDocument/2006/relationships/hyperlink" Target="#Custom_FS_Tax"/><Relationship Id="rId5" Type="http://schemas.openxmlformats.org/officeDocument/2006/relationships/image" Target="../media/image2.jpeg"/><Relationship Id="rId15" Type="http://schemas.openxmlformats.org/officeDocument/2006/relationships/hyperlink" Target="#'M03-S01'!H6"/><Relationship Id="rId23" Type="http://schemas.openxmlformats.org/officeDocument/2006/relationships/hyperlink" Target="#Custom_WH_Tax"/><Relationship Id="rId28" Type="http://schemas.openxmlformats.org/officeDocument/2006/relationships/hyperlink" Target="#Custom_Misc_Tax"/><Relationship Id="rId10" Type="http://schemas.openxmlformats.org/officeDocument/2006/relationships/hyperlink" Target="#'M05-S04'!A1"/><Relationship Id="rId19" Type="http://schemas.openxmlformats.org/officeDocument/2006/relationships/hyperlink" Target="#'M05-S01b'!A1"/><Relationship Id="rId4" Type="http://schemas.openxmlformats.org/officeDocument/2006/relationships/hyperlink" Target="#'M05-S05'!A1"/><Relationship Id="rId9" Type="http://schemas.openxmlformats.org/officeDocument/2006/relationships/hyperlink" Target="#'M05-S06'!A1"/><Relationship Id="rId14" Type="http://schemas.openxmlformats.org/officeDocument/2006/relationships/hyperlink" Target="#M02S03F01"/><Relationship Id="rId22" Type="http://schemas.openxmlformats.org/officeDocument/2006/relationships/hyperlink" Target="#Custom_HVAC_Tax"/><Relationship Id="rId27" Type="http://schemas.openxmlformats.org/officeDocument/2006/relationships/hyperlink" Target="#Custom_RA_Tax"/></Relationships>
</file>

<file path=xl/drawings/_rels/drawing14.xml.rels><?xml version="1.0" encoding="UTF-8" standalone="yes"?>
<Relationships xmlns="http://schemas.openxmlformats.org/package/2006/relationships"><Relationship Id="rId8" Type="http://schemas.openxmlformats.org/officeDocument/2006/relationships/hyperlink" Target="#Custom_FS_Tax"/><Relationship Id="rId13" Type="http://schemas.openxmlformats.org/officeDocument/2006/relationships/hyperlink" Target="#M02S02F01"/><Relationship Id="rId18" Type="http://schemas.openxmlformats.org/officeDocument/2006/relationships/hyperlink" Target="#M02S04F01"/><Relationship Id="rId26" Type="http://schemas.openxmlformats.org/officeDocument/2006/relationships/hyperlink" Target="#Custom_PL_Tax"/><Relationship Id="rId3" Type="http://schemas.openxmlformats.org/officeDocument/2006/relationships/hyperlink" Target="#'M01-S03'!A1"/><Relationship Id="rId21" Type="http://schemas.openxmlformats.org/officeDocument/2006/relationships/hyperlink" Target="#Custom_Lighting_Tax"/><Relationship Id="rId7" Type="http://schemas.openxmlformats.org/officeDocument/2006/relationships/hyperlink" Target="#Custom_WH_Tax"/><Relationship Id="rId12" Type="http://schemas.openxmlformats.org/officeDocument/2006/relationships/hyperlink" Target="#M02S01F01"/><Relationship Id="rId17" Type="http://schemas.openxmlformats.org/officeDocument/2006/relationships/hyperlink" Target="#M05S02HIDE"/><Relationship Id="rId25" Type="http://schemas.openxmlformats.org/officeDocument/2006/relationships/hyperlink" Target="#Custom_AG_Tax"/><Relationship Id="rId2" Type="http://schemas.openxmlformats.org/officeDocument/2006/relationships/hyperlink" Target="#'M01-S02'!A1"/><Relationship Id="rId16" Type="http://schemas.openxmlformats.org/officeDocument/2006/relationships/hyperlink" Target="#M05S01F01"/><Relationship Id="rId20" Type="http://schemas.openxmlformats.org/officeDocument/2006/relationships/hyperlink" Target="#M05S08F01"/><Relationship Id="rId1" Type="http://schemas.openxmlformats.org/officeDocument/2006/relationships/hyperlink" Target="#'M01-S01'!A1"/><Relationship Id="rId6" Type="http://schemas.openxmlformats.org/officeDocument/2006/relationships/hyperlink" Target="#'M01-S04'!A1"/><Relationship Id="rId11" Type="http://schemas.openxmlformats.org/officeDocument/2006/relationships/image" Target="../media/image3.png"/><Relationship Id="rId24" Type="http://schemas.openxmlformats.org/officeDocument/2006/relationships/hyperlink" Target="#Custom_Refrig_Tax"/><Relationship Id="rId5" Type="http://schemas.openxmlformats.org/officeDocument/2006/relationships/image" Target="../media/image2.jpeg"/><Relationship Id="rId15" Type="http://schemas.openxmlformats.org/officeDocument/2006/relationships/hyperlink" Target="#'M03-S01'!H6"/><Relationship Id="rId23" Type="http://schemas.openxmlformats.org/officeDocument/2006/relationships/hyperlink" Target="#Custom_Heating_Tax"/><Relationship Id="rId28" Type="http://schemas.openxmlformats.org/officeDocument/2006/relationships/hyperlink" Target="#Custom_Misc_Tax"/><Relationship Id="rId10" Type="http://schemas.openxmlformats.org/officeDocument/2006/relationships/hyperlink" Target="#'M05-S04'!A1"/><Relationship Id="rId19" Type="http://schemas.openxmlformats.org/officeDocument/2006/relationships/hyperlink" Target="#'M05-S01b'!A1"/><Relationship Id="rId4" Type="http://schemas.openxmlformats.org/officeDocument/2006/relationships/hyperlink" Target="#'M05-S05'!A1"/><Relationship Id="rId9" Type="http://schemas.openxmlformats.org/officeDocument/2006/relationships/hyperlink" Target="#'M05-S06'!A1"/><Relationship Id="rId14" Type="http://schemas.openxmlformats.org/officeDocument/2006/relationships/hyperlink" Target="#M02S03F01"/><Relationship Id="rId22" Type="http://schemas.openxmlformats.org/officeDocument/2006/relationships/hyperlink" Target="#Custom_HVAC_Tax"/><Relationship Id="rId27" Type="http://schemas.openxmlformats.org/officeDocument/2006/relationships/hyperlink" Target="#Custom_RA_Tax"/></Relationships>
</file>

<file path=xl/drawings/_rels/drawing15.xml.rels><?xml version="1.0" encoding="UTF-8" standalone="yes"?>
<Relationships xmlns="http://schemas.openxmlformats.org/package/2006/relationships"><Relationship Id="rId8" Type="http://schemas.openxmlformats.org/officeDocument/2006/relationships/hyperlink" Target="#Custom_AG_Tax"/><Relationship Id="rId13" Type="http://schemas.openxmlformats.org/officeDocument/2006/relationships/hyperlink" Target="#M02S02F01"/><Relationship Id="rId18" Type="http://schemas.openxmlformats.org/officeDocument/2006/relationships/hyperlink" Target="#M02S04F01"/><Relationship Id="rId26" Type="http://schemas.openxmlformats.org/officeDocument/2006/relationships/hyperlink" Target="#Custom_PL_Tax"/><Relationship Id="rId3" Type="http://schemas.openxmlformats.org/officeDocument/2006/relationships/hyperlink" Target="#'M01-S03'!A1"/><Relationship Id="rId21" Type="http://schemas.openxmlformats.org/officeDocument/2006/relationships/hyperlink" Target="#Custom_Lighting_Tax"/><Relationship Id="rId7" Type="http://schemas.openxmlformats.org/officeDocument/2006/relationships/hyperlink" Target="#Custom_Refrig_Tax"/><Relationship Id="rId12" Type="http://schemas.openxmlformats.org/officeDocument/2006/relationships/hyperlink" Target="#M02S01F01"/><Relationship Id="rId17" Type="http://schemas.openxmlformats.org/officeDocument/2006/relationships/hyperlink" Target="#M05S02HIDE"/><Relationship Id="rId25" Type="http://schemas.openxmlformats.org/officeDocument/2006/relationships/hyperlink" Target="#Custom_FS_Tax"/><Relationship Id="rId2" Type="http://schemas.openxmlformats.org/officeDocument/2006/relationships/hyperlink" Target="#'M01-S02'!A1"/><Relationship Id="rId16" Type="http://schemas.openxmlformats.org/officeDocument/2006/relationships/hyperlink" Target="#M05S01F01"/><Relationship Id="rId20" Type="http://schemas.openxmlformats.org/officeDocument/2006/relationships/hyperlink" Target="#M05S08F01"/><Relationship Id="rId1" Type="http://schemas.openxmlformats.org/officeDocument/2006/relationships/hyperlink" Target="#'M01-S01'!A1"/><Relationship Id="rId6" Type="http://schemas.openxmlformats.org/officeDocument/2006/relationships/hyperlink" Target="#'M01-S04'!A1"/><Relationship Id="rId11" Type="http://schemas.openxmlformats.org/officeDocument/2006/relationships/image" Target="../media/image3.png"/><Relationship Id="rId24" Type="http://schemas.openxmlformats.org/officeDocument/2006/relationships/hyperlink" Target="#Custom_WH_Tax"/><Relationship Id="rId5" Type="http://schemas.openxmlformats.org/officeDocument/2006/relationships/image" Target="../media/image2.jpeg"/><Relationship Id="rId15" Type="http://schemas.openxmlformats.org/officeDocument/2006/relationships/hyperlink" Target="#'M03-S01'!H6"/><Relationship Id="rId23" Type="http://schemas.openxmlformats.org/officeDocument/2006/relationships/hyperlink" Target="#Custom_Heating_Tax"/><Relationship Id="rId28" Type="http://schemas.openxmlformats.org/officeDocument/2006/relationships/hyperlink" Target="#Custom_Misc_Tax"/><Relationship Id="rId10" Type="http://schemas.openxmlformats.org/officeDocument/2006/relationships/hyperlink" Target="#'M05-S04'!A1"/><Relationship Id="rId19" Type="http://schemas.openxmlformats.org/officeDocument/2006/relationships/hyperlink" Target="#'M05-S01b'!A1"/><Relationship Id="rId4" Type="http://schemas.openxmlformats.org/officeDocument/2006/relationships/hyperlink" Target="#'M05-S05'!A1"/><Relationship Id="rId9" Type="http://schemas.openxmlformats.org/officeDocument/2006/relationships/hyperlink" Target="#'M05-S06'!A1"/><Relationship Id="rId14" Type="http://schemas.openxmlformats.org/officeDocument/2006/relationships/hyperlink" Target="#M02S03F01"/><Relationship Id="rId22" Type="http://schemas.openxmlformats.org/officeDocument/2006/relationships/hyperlink" Target="#Custom_HVAC_Tax"/><Relationship Id="rId27" Type="http://schemas.openxmlformats.org/officeDocument/2006/relationships/hyperlink" Target="#Custom_RA_Tax"/></Relationships>
</file>

<file path=xl/drawings/_rels/drawing16.xml.rels><?xml version="1.0" encoding="UTF-8" standalone="yes"?>
<Relationships xmlns="http://schemas.openxmlformats.org/package/2006/relationships"><Relationship Id="rId8" Type="http://schemas.openxmlformats.org/officeDocument/2006/relationships/hyperlink" Target="#Custom_PL_Tax"/><Relationship Id="rId13" Type="http://schemas.openxmlformats.org/officeDocument/2006/relationships/hyperlink" Target="#M02S02F01"/><Relationship Id="rId18" Type="http://schemas.openxmlformats.org/officeDocument/2006/relationships/hyperlink" Target="#M02S04F01"/><Relationship Id="rId26" Type="http://schemas.openxmlformats.org/officeDocument/2006/relationships/hyperlink" Target="#Custom_AG_Tax"/><Relationship Id="rId3" Type="http://schemas.openxmlformats.org/officeDocument/2006/relationships/hyperlink" Target="#'M01-S03'!A1"/><Relationship Id="rId21" Type="http://schemas.openxmlformats.org/officeDocument/2006/relationships/hyperlink" Target="#Custom_Lighting_Tax"/><Relationship Id="rId7" Type="http://schemas.openxmlformats.org/officeDocument/2006/relationships/hyperlink" Target="#Custom_FS_Tax"/><Relationship Id="rId12" Type="http://schemas.openxmlformats.org/officeDocument/2006/relationships/hyperlink" Target="#M02S01F01"/><Relationship Id="rId17" Type="http://schemas.openxmlformats.org/officeDocument/2006/relationships/hyperlink" Target="#M05S02HIDE"/><Relationship Id="rId25" Type="http://schemas.openxmlformats.org/officeDocument/2006/relationships/hyperlink" Target="#Custom_Refrig_Tax"/><Relationship Id="rId2" Type="http://schemas.openxmlformats.org/officeDocument/2006/relationships/hyperlink" Target="#'M01-S02'!A1"/><Relationship Id="rId16" Type="http://schemas.openxmlformats.org/officeDocument/2006/relationships/hyperlink" Target="#M05S01F01"/><Relationship Id="rId20" Type="http://schemas.openxmlformats.org/officeDocument/2006/relationships/hyperlink" Target="#M05S08F01"/><Relationship Id="rId1" Type="http://schemas.openxmlformats.org/officeDocument/2006/relationships/hyperlink" Target="#'M01-S01'!A1"/><Relationship Id="rId6" Type="http://schemas.openxmlformats.org/officeDocument/2006/relationships/hyperlink" Target="#'M01-S04'!A1"/><Relationship Id="rId11" Type="http://schemas.openxmlformats.org/officeDocument/2006/relationships/image" Target="../media/image3.png"/><Relationship Id="rId24" Type="http://schemas.openxmlformats.org/officeDocument/2006/relationships/hyperlink" Target="#Custom_WH_Tax"/><Relationship Id="rId5" Type="http://schemas.openxmlformats.org/officeDocument/2006/relationships/image" Target="../media/image2.jpeg"/><Relationship Id="rId15" Type="http://schemas.openxmlformats.org/officeDocument/2006/relationships/hyperlink" Target="#'M03-S01'!H6"/><Relationship Id="rId23" Type="http://schemas.openxmlformats.org/officeDocument/2006/relationships/hyperlink" Target="#Custom_Heating_Tax"/><Relationship Id="rId28" Type="http://schemas.openxmlformats.org/officeDocument/2006/relationships/hyperlink" Target="#Custom_Misc_Tax"/><Relationship Id="rId10" Type="http://schemas.openxmlformats.org/officeDocument/2006/relationships/hyperlink" Target="#'M05-S04'!A1"/><Relationship Id="rId19" Type="http://schemas.openxmlformats.org/officeDocument/2006/relationships/hyperlink" Target="#'M05-S01b'!A1"/><Relationship Id="rId4" Type="http://schemas.openxmlformats.org/officeDocument/2006/relationships/hyperlink" Target="#'M05-S05'!A1"/><Relationship Id="rId9" Type="http://schemas.openxmlformats.org/officeDocument/2006/relationships/hyperlink" Target="#'M05-S06'!A1"/><Relationship Id="rId14" Type="http://schemas.openxmlformats.org/officeDocument/2006/relationships/hyperlink" Target="#M02S03F01"/><Relationship Id="rId22" Type="http://schemas.openxmlformats.org/officeDocument/2006/relationships/hyperlink" Target="#Custom_HVAC_Tax"/><Relationship Id="rId27" Type="http://schemas.openxmlformats.org/officeDocument/2006/relationships/hyperlink" Target="#Custom_RA_Tax"/></Relationships>
</file>

<file path=xl/drawings/_rels/drawing17.xml.rels><?xml version="1.0" encoding="UTF-8" standalone="yes"?>
<Relationships xmlns="http://schemas.openxmlformats.org/package/2006/relationships"><Relationship Id="rId8" Type="http://schemas.openxmlformats.org/officeDocument/2006/relationships/hyperlink" Target="#Custom_RA_Tax"/><Relationship Id="rId13" Type="http://schemas.openxmlformats.org/officeDocument/2006/relationships/hyperlink" Target="#M02S02F01"/><Relationship Id="rId18" Type="http://schemas.openxmlformats.org/officeDocument/2006/relationships/hyperlink" Target="#M02S04F01"/><Relationship Id="rId26" Type="http://schemas.openxmlformats.org/officeDocument/2006/relationships/hyperlink" Target="#Custom_FS_Tax"/><Relationship Id="rId3" Type="http://schemas.openxmlformats.org/officeDocument/2006/relationships/hyperlink" Target="#'M01-S03'!A1"/><Relationship Id="rId21" Type="http://schemas.openxmlformats.org/officeDocument/2006/relationships/hyperlink" Target="#Custom_Lighting_Tax"/><Relationship Id="rId7" Type="http://schemas.openxmlformats.org/officeDocument/2006/relationships/hyperlink" Target="#Custom_AG_Tax"/><Relationship Id="rId12" Type="http://schemas.openxmlformats.org/officeDocument/2006/relationships/hyperlink" Target="#M02S01F01"/><Relationship Id="rId17" Type="http://schemas.openxmlformats.org/officeDocument/2006/relationships/hyperlink" Target="#M05S02HIDE"/><Relationship Id="rId25" Type="http://schemas.openxmlformats.org/officeDocument/2006/relationships/hyperlink" Target="#Custom_Refrig_Tax"/><Relationship Id="rId2" Type="http://schemas.openxmlformats.org/officeDocument/2006/relationships/hyperlink" Target="#'M01-S02'!A1"/><Relationship Id="rId16" Type="http://schemas.openxmlformats.org/officeDocument/2006/relationships/hyperlink" Target="#M05S01F01"/><Relationship Id="rId20" Type="http://schemas.openxmlformats.org/officeDocument/2006/relationships/hyperlink" Target="#M05S08F01"/><Relationship Id="rId1" Type="http://schemas.openxmlformats.org/officeDocument/2006/relationships/hyperlink" Target="#'M01-S01'!A1"/><Relationship Id="rId6" Type="http://schemas.openxmlformats.org/officeDocument/2006/relationships/hyperlink" Target="#'M01-S04'!A1"/><Relationship Id="rId11" Type="http://schemas.openxmlformats.org/officeDocument/2006/relationships/image" Target="../media/image3.png"/><Relationship Id="rId24" Type="http://schemas.openxmlformats.org/officeDocument/2006/relationships/hyperlink" Target="#Custom_WH_Tax"/><Relationship Id="rId5" Type="http://schemas.openxmlformats.org/officeDocument/2006/relationships/image" Target="../media/image2.jpeg"/><Relationship Id="rId15" Type="http://schemas.openxmlformats.org/officeDocument/2006/relationships/hyperlink" Target="#'M03-S01'!H6"/><Relationship Id="rId23" Type="http://schemas.openxmlformats.org/officeDocument/2006/relationships/hyperlink" Target="#Custom_Heating_Tax"/><Relationship Id="rId28" Type="http://schemas.openxmlformats.org/officeDocument/2006/relationships/hyperlink" Target="#Custom_Misc_Tax"/><Relationship Id="rId10" Type="http://schemas.openxmlformats.org/officeDocument/2006/relationships/hyperlink" Target="#'M05-S04'!A1"/><Relationship Id="rId19" Type="http://schemas.openxmlformats.org/officeDocument/2006/relationships/hyperlink" Target="#'M05-S01b'!A1"/><Relationship Id="rId4" Type="http://schemas.openxmlformats.org/officeDocument/2006/relationships/hyperlink" Target="#'M05-S05'!A1"/><Relationship Id="rId9" Type="http://schemas.openxmlformats.org/officeDocument/2006/relationships/hyperlink" Target="#'M05-S06'!A1"/><Relationship Id="rId14" Type="http://schemas.openxmlformats.org/officeDocument/2006/relationships/hyperlink" Target="#M02S03F01"/><Relationship Id="rId22" Type="http://schemas.openxmlformats.org/officeDocument/2006/relationships/hyperlink" Target="#Custom_HVAC_Tax"/><Relationship Id="rId27" Type="http://schemas.openxmlformats.org/officeDocument/2006/relationships/hyperlink" Target="#Custom_PL_Tax"/></Relationships>
</file>

<file path=xl/drawings/_rels/drawing18.xml.rels><?xml version="1.0" encoding="UTF-8" standalone="yes"?>
<Relationships xmlns="http://schemas.openxmlformats.org/package/2006/relationships"><Relationship Id="rId8" Type="http://schemas.openxmlformats.org/officeDocument/2006/relationships/hyperlink" Target="#Custom_Misc_Tax"/><Relationship Id="rId13" Type="http://schemas.openxmlformats.org/officeDocument/2006/relationships/hyperlink" Target="#M02S02F01"/><Relationship Id="rId18" Type="http://schemas.openxmlformats.org/officeDocument/2006/relationships/hyperlink" Target="#M02S04F01"/><Relationship Id="rId26" Type="http://schemas.openxmlformats.org/officeDocument/2006/relationships/hyperlink" Target="#Custom_FS_Tax"/><Relationship Id="rId3" Type="http://schemas.openxmlformats.org/officeDocument/2006/relationships/hyperlink" Target="#'M01-S03'!A1"/><Relationship Id="rId21" Type="http://schemas.openxmlformats.org/officeDocument/2006/relationships/hyperlink" Target="#Custom_Lighting_Tax"/><Relationship Id="rId7" Type="http://schemas.openxmlformats.org/officeDocument/2006/relationships/hyperlink" Target="#Custom_PL_Tax"/><Relationship Id="rId12" Type="http://schemas.openxmlformats.org/officeDocument/2006/relationships/hyperlink" Target="#M02S01F01"/><Relationship Id="rId17" Type="http://schemas.openxmlformats.org/officeDocument/2006/relationships/hyperlink" Target="#M05S02HIDE"/><Relationship Id="rId25" Type="http://schemas.openxmlformats.org/officeDocument/2006/relationships/hyperlink" Target="#Custom_Refrig_Tax"/><Relationship Id="rId2" Type="http://schemas.openxmlformats.org/officeDocument/2006/relationships/hyperlink" Target="#'M01-S02'!A1"/><Relationship Id="rId16" Type="http://schemas.openxmlformats.org/officeDocument/2006/relationships/hyperlink" Target="#M05S01F01"/><Relationship Id="rId20" Type="http://schemas.openxmlformats.org/officeDocument/2006/relationships/hyperlink" Target="#M05S08F01"/><Relationship Id="rId1" Type="http://schemas.openxmlformats.org/officeDocument/2006/relationships/hyperlink" Target="#'M01-S01'!A1"/><Relationship Id="rId6" Type="http://schemas.openxmlformats.org/officeDocument/2006/relationships/hyperlink" Target="#'M01-S04'!A1"/><Relationship Id="rId11" Type="http://schemas.openxmlformats.org/officeDocument/2006/relationships/image" Target="../media/image3.png"/><Relationship Id="rId24" Type="http://schemas.openxmlformats.org/officeDocument/2006/relationships/hyperlink" Target="#Custom_WH_Tax"/><Relationship Id="rId5" Type="http://schemas.openxmlformats.org/officeDocument/2006/relationships/image" Target="../media/image2.jpeg"/><Relationship Id="rId15" Type="http://schemas.openxmlformats.org/officeDocument/2006/relationships/hyperlink" Target="#'M03-S01'!H6"/><Relationship Id="rId23" Type="http://schemas.openxmlformats.org/officeDocument/2006/relationships/hyperlink" Target="#Custom_Heating_Tax"/><Relationship Id="rId28" Type="http://schemas.openxmlformats.org/officeDocument/2006/relationships/hyperlink" Target="#Custom_RA_Tax"/><Relationship Id="rId10" Type="http://schemas.openxmlformats.org/officeDocument/2006/relationships/hyperlink" Target="#'M05-S04'!A1"/><Relationship Id="rId19" Type="http://schemas.openxmlformats.org/officeDocument/2006/relationships/hyperlink" Target="#'M05-S01b'!A1"/><Relationship Id="rId4" Type="http://schemas.openxmlformats.org/officeDocument/2006/relationships/hyperlink" Target="#'M05-S05'!A1"/><Relationship Id="rId9" Type="http://schemas.openxmlformats.org/officeDocument/2006/relationships/hyperlink" Target="#'M05-S06'!A1"/><Relationship Id="rId14" Type="http://schemas.openxmlformats.org/officeDocument/2006/relationships/hyperlink" Target="#M02S03F01"/><Relationship Id="rId22" Type="http://schemas.openxmlformats.org/officeDocument/2006/relationships/hyperlink" Target="#Custom_HVAC_Tax"/><Relationship Id="rId27" Type="http://schemas.openxmlformats.org/officeDocument/2006/relationships/hyperlink" Target="#Custom_AG_Tax"/></Relationships>
</file>

<file path=xl/drawings/_rels/drawing19.xml.rels><?xml version="1.0" encoding="UTF-8" standalone="yes"?>
<Relationships xmlns="http://schemas.openxmlformats.org/package/2006/relationships"><Relationship Id="rId8" Type="http://schemas.openxmlformats.org/officeDocument/2006/relationships/hyperlink" Target="#'M05-S06'!A1"/><Relationship Id="rId13" Type="http://schemas.openxmlformats.org/officeDocument/2006/relationships/hyperlink" Target="#M02S03F01"/><Relationship Id="rId18" Type="http://schemas.openxmlformats.org/officeDocument/2006/relationships/hyperlink" Target="#'M05-S01b'!A1"/><Relationship Id="rId26" Type="http://schemas.openxmlformats.org/officeDocument/2006/relationships/hyperlink" Target="#Custom_PL_Tax"/><Relationship Id="rId3" Type="http://schemas.openxmlformats.org/officeDocument/2006/relationships/hyperlink" Target="#'M01-S03'!A1"/><Relationship Id="rId21" Type="http://schemas.openxmlformats.org/officeDocument/2006/relationships/hyperlink" Target="#Custom_Heating_Tax"/><Relationship Id="rId7" Type="http://schemas.openxmlformats.org/officeDocument/2006/relationships/hyperlink" Target="#M05S08F01"/><Relationship Id="rId12" Type="http://schemas.openxmlformats.org/officeDocument/2006/relationships/hyperlink" Target="#M02S02F01"/><Relationship Id="rId17" Type="http://schemas.openxmlformats.org/officeDocument/2006/relationships/hyperlink" Target="#M02S04F01"/><Relationship Id="rId25" Type="http://schemas.openxmlformats.org/officeDocument/2006/relationships/hyperlink" Target="#Custom_AG_Tax"/><Relationship Id="rId2" Type="http://schemas.openxmlformats.org/officeDocument/2006/relationships/hyperlink" Target="#'M01-S02'!A1"/><Relationship Id="rId16" Type="http://schemas.openxmlformats.org/officeDocument/2006/relationships/hyperlink" Target="#M05S02HIDE"/><Relationship Id="rId20" Type="http://schemas.openxmlformats.org/officeDocument/2006/relationships/hyperlink" Target="#Custom_HVAC_Tax"/><Relationship Id="rId1" Type="http://schemas.openxmlformats.org/officeDocument/2006/relationships/hyperlink" Target="#'M01-S01'!A1"/><Relationship Id="rId6" Type="http://schemas.openxmlformats.org/officeDocument/2006/relationships/hyperlink" Target="#Custom_RA_Tax"/><Relationship Id="rId11" Type="http://schemas.openxmlformats.org/officeDocument/2006/relationships/hyperlink" Target="#M02S01F01"/><Relationship Id="rId24" Type="http://schemas.openxmlformats.org/officeDocument/2006/relationships/hyperlink" Target="#Custom_FS_Tax"/><Relationship Id="rId5" Type="http://schemas.openxmlformats.org/officeDocument/2006/relationships/hyperlink" Target="#'M01-S04'!A1"/><Relationship Id="rId15" Type="http://schemas.openxmlformats.org/officeDocument/2006/relationships/hyperlink" Target="#M05S01F01"/><Relationship Id="rId23" Type="http://schemas.openxmlformats.org/officeDocument/2006/relationships/hyperlink" Target="#Custom_Refrig_Tax"/><Relationship Id="rId10" Type="http://schemas.openxmlformats.org/officeDocument/2006/relationships/image" Target="../media/image3.png"/><Relationship Id="rId19" Type="http://schemas.openxmlformats.org/officeDocument/2006/relationships/hyperlink" Target="#Custom_Lighting_Tax"/><Relationship Id="rId4" Type="http://schemas.openxmlformats.org/officeDocument/2006/relationships/hyperlink" Target="#'M05-S05'!A1"/><Relationship Id="rId9" Type="http://schemas.openxmlformats.org/officeDocument/2006/relationships/hyperlink" Target="#'M05-S04'!A1"/><Relationship Id="rId14" Type="http://schemas.openxmlformats.org/officeDocument/2006/relationships/hyperlink" Target="#'M03-S01'!H6"/><Relationship Id="rId22" Type="http://schemas.openxmlformats.org/officeDocument/2006/relationships/hyperlink" Target="#Custom_WH_Tax"/><Relationship Id="rId27" Type="http://schemas.openxmlformats.org/officeDocument/2006/relationships/hyperlink" Target="#Custom_Misc_Tax"/></Relationships>
</file>

<file path=xl/drawings/_rels/drawing2.xml.rels><?xml version="1.0" encoding="UTF-8" standalone="yes"?>
<Relationships xmlns="http://schemas.openxmlformats.org/package/2006/relationships"><Relationship Id="rId8" Type="http://schemas.openxmlformats.org/officeDocument/2006/relationships/image" Target="../media/image2.jpeg"/><Relationship Id="rId13" Type="http://schemas.openxmlformats.org/officeDocument/2006/relationships/image" Target="../media/image6.png"/><Relationship Id="rId3" Type="http://schemas.openxmlformats.org/officeDocument/2006/relationships/hyperlink" Target="#M02S02F02"/><Relationship Id="rId7" Type="http://schemas.openxmlformats.org/officeDocument/2006/relationships/hyperlink" Target="#'M01-S04'!A1"/><Relationship Id="rId12" Type="http://schemas.openxmlformats.org/officeDocument/2006/relationships/image" Target="../media/image5.png"/><Relationship Id="rId2" Type="http://schemas.openxmlformats.org/officeDocument/2006/relationships/hyperlink" Target="#'M01-S01'!A1"/><Relationship Id="rId16" Type="http://schemas.openxmlformats.org/officeDocument/2006/relationships/image" Target="../media/image9.png"/><Relationship Id="rId1" Type="http://schemas.openxmlformats.org/officeDocument/2006/relationships/hyperlink" Target="#'M05-S06'!A1"/><Relationship Id="rId6" Type="http://schemas.openxmlformats.org/officeDocument/2006/relationships/hyperlink" Target="#'M05-S05'!A1"/><Relationship Id="rId11" Type="http://schemas.openxmlformats.org/officeDocument/2006/relationships/image" Target="../media/image4.png"/><Relationship Id="rId5" Type="http://schemas.openxmlformats.org/officeDocument/2006/relationships/hyperlink" Target="#'M01-S03'!A1"/><Relationship Id="rId15" Type="http://schemas.openxmlformats.org/officeDocument/2006/relationships/image" Target="../media/image8.png"/><Relationship Id="rId10" Type="http://schemas.openxmlformats.org/officeDocument/2006/relationships/image" Target="../media/image3.png"/><Relationship Id="rId4" Type="http://schemas.openxmlformats.org/officeDocument/2006/relationships/hyperlink" Target="#'M01-S02'!A1"/><Relationship Id="rId9" Type="http://schemas.openxmlformats.org/officeDocument/2006/relationships/hyperlink" Target="#'M05-S04'!A1"/><Relationship Id="rId1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M03-S01'!H6"/><Relationship Id="rId18" Type="http://schemas.openxmlformats.org/officeDocument/2006/relationships/hyperlink" Target="#'M01-S03'!A1"/><Relationship Id="rId3" Type="http://schemas.openxmlformats.org/officeDocument/2006/relationships/hyperlink" Target="#'M01-S01'!A1"/><Relationship Id="rId21" Type="http://schemas.openxmlformats.org/officeDocument/2006/relationships/hyperlink" Target="#'M05-S06'!A1"/><Relationship Id="rId7" Type="http://schemas.openxmlformats.org/officeDocument/2006/relationships/image" Target="../media/image32.svg"/><Relationship Id="rId12" Type="http://schemas.openxmlformats.org/officeDocument/2006/relationships/hyperlink" Target="#M02S03F01"/><Relationship Id="rId17" Type="http://schemas.openxmlformats.org/officeDocument/2006/relationships/hyperlink" Target="#'M05-S01b'!A1"/><Relationship Id="rId2" Type="http://schemas.openxmlformats.org/officeDocument/2006/relationships/hyperlink" Target="#M05S08F01"/><Relationship Id="rId16" Type="http://schemas.openxmlformats.org/officeDocument/2006/relationships/hyperlink" Target="#M02S04F01"/><Relationship Id="rId20" Type="http://schemas.openxmlformats.org/officeDocument/2006/relationships/hyperlink" Target="#'M01-S04'!A1"/><Relationship Id="rId1" Type="http://schemas.openxmlformats.org/officeDocument/2006/relationships/hyperlink" Target="#'M05-S01b'!AL37"/><Relationship Id="rId6" Type="http://schemas.openxmlformats.org/officeDocument/2006/relationships/image" Target="../media/image31.png"/><Relationship Id="rId11" Type="http://schemas.openxmlformats.org/officeDocument/2006/relationships/hyperlink" Target="#M02S02F01"/><Relationship Id="rId5" Type="http://schemas.openxmlformats.org/officeDocument/2006/relationships/image" Target="../media/image2.jpeg"/><Relationship Id="rId15" Type="http://schemas.openxmlformats.org/officeDocument/2006/relationships/hyperlink" Target="#M05S02HIDE"/><Relationship Id="rId10" Type="http://schemas.openxmlformats.org/officeDocument/2006/relationships/hyperlink" Target="#M02S01F01"/><Relationship Id="rId19" Type="http://schemas.openxmlformats.org/officeDocument/2006/relationships/hyperlink" Target="#'M05-S05'!A1"/><Relationship Id="rId4" Type="http://schemas.openxmlformats.org/officeDocument/2006/relationships/hyperlink" Target="#'M01-S02'!A1"/><Relationship Id="rId9" Type="http://schemas.openxmlformats.org/officeDocument/2006/relationships/image" Target="../media/image33.png"/><Relationship Id="rId14" Type="http://schemas.openxmlformats.org/officeDocument/2006/relationships/hyperlink" Target="#M05S01F01"/><Relationship Id="rId22" Type="http://schemas.openxmlformats.org/officeDocument/2006/relationships/hyperlink" Target="#'M05-S04'!A1"/></Relationships>
</file>

<file path=xl/drawings/_rels/drawing21.xml.rels><?xml version="1.0" encoding="UTF-8" standalone="yes"?>
<Relationships xmlns="http://schemas.openxmlformats.org/package/2006/relationships"><Relationship Id="rId8" Type="http://schemas.openxmlformats.org/officeDocument/2006/relationships/hyperlink" Target="https://psegnj-bizsave.capturesportal.com/wp-content/uploads/2022/07/PSEG_OBR_FAQ.pdf" TargetMode="External"/><Relationship Id="rId13" Type="http://schemas.openxmlformats.org/officeDocument/2006/relationships/hyperlink" Target="#M02S01F01"/><Relationship Id="rId18" Type="http://schemas.openxmlformats.org/officeDocument/2006/relationships/hyperlink" Target="#M05S02HIDE"/><Relationship Id="rId26" Type="http://schemas.openxmlformats.org/officeDocument/2006/relationships/hyperlink" Target="#'M05-S04'!A1"/><Relationship Id="rId3" Type="http://schemas.openxmlformats.org/officeDocument/2006/relationships/image" Target="../media/image34.png"/><Relationship Id="rId21" Type="http://schemas.openxmlformats.org/officeDocument/2006/relationships/hyperlink" Target="#M05S08F01"/><Relationship Id="rId7" Type="http://schemas.openxmlformats.org/officeDocument/2006/relationships/image" Target="../media/image2.jpeg"/><Relationship Id="rId12" Type="http://schemas.openxmlformats.org/officeDocument/2006/relationships/image" Target="../media/image33.png"/><Relationship Id="rId17" Type="http://schemas.openxmlformats.org/officeDocument/2006/relationships/hyperlink" Target="#M05S01F01"/><Relationship Id="rId25" Type="http://schemas.openxmlformats.org/officeDocument/2006/relationships/hyperlink" Target="#'M05-S06'!A1"/><Relationship Id="rId2" Type="http://schemas.openxmlformats.org/officeDocument/2006/relationships/hyperlink" Target="#'M05-S01a'!A1"/><Relationship Id="rId16" Type="http://schemas.openxmlformats.org/officeDocument/2006/relationships/hyperlink" Target="#'M03-S01'!H6"/><Relationship Id="rId20" Type="http://schemas.openxmlformats.org/officeDocument/2006/relationships/hyperlink" Target="#'M05-S01b'!A1"/><Relationship Id="rId1" Type="http://schemas.openxmlformats.org/officeDocument/2006/relationships/hyperlink" Target="#'M02-S01'!AL37"/><Relationship Id="rId6" Type="http://schemas.openxmlformats.org/officeDocument/2006/relationships/hyperlink" Target="#'M01-S02'!A1"/><Relationship Id="rId11" Type="http://schemas.openxmlformats.org/officeDocument/2006/relationships/image" Target="../media/image3.png"/><Relationship Id="rId24" Type="http://schemas.openxmlformats.org/officeDocument/2006/relationships/hyperlink" Target="#'M01-S04'!A1"/><Relationship Id="rId5" Type="http://schemas.openxmlformats.org/officeDocument/2006/relationships/hyperlink" Target="#'M01-S01'!A1"/><Relationship Id="rId15" Type="http://schemas.openxmlformats.org/officeDocument/2006/relationships/hyperlink" Target="#M02S03F01"/><Relationship Id="rId23" Type="http://schemas.openxmlformats.org/officeDocument/2006/relationships/hyperlink" Target="#'M05-S05'!A1"/><Relationship Id="rId10" Type="http://schemas.openxmlformats.org/officeDocument/2006/relationships/image" Target="../media/image32.svg"/><Relationship Id="rId19" Type="http://schemas.openxmlformats.org/officeDocument/2006/relationships/hyperlink" Target="#M02S04F01"/><Relationship Id="rId4" Type="http://schemas.openxmlformats.org/officeDocument/2006/relationships/image" Target="../media/image35.svg"/><Relationship Id="rId9" Type="http://schemas.openxmlformats.org/officeDocument/2006/relationships/image" Target="../media/image31.png"/><Relationship Id="rId14" Type="http://schemas.openxmlformats.org/officeDocument/2006/relationships/hyperlink" Target="#M02S02F01"/><Relationship Id="rId22" Type="http://schemas.openxmlformats.org/officeDocument/2006/relationships/hyperlink" Target="#'M01-S03'!A1"/></Relationships>
</file>

<file path=xl/drawings/_rels/drawing22.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5S02HIDE"/><Relationship Id="rId18" Type="http://schemas.openxmlformats.org/officeDocument/2006/relationships/hyperlink" Target="#'M01-S04'!A1"/><Relationship Id="rId3" Type="http://schemas.openxmlformats.org/officeDocument/2006/relationships/hyperlink" Target="#'M05-S02'!AL37"/><Relationship Id="rId7" Type="http://schemas.openxmlformats.org/officeDocument/2006/relationships/image" Target="../media/image3.png"/><Relationship Id="rId12" Type="http://schemas.openxmlformats.org/officeDocument/2006/relationships/hyperlink" Target="#M05S01F01"/><Relationship Id="rId17" Type="http://schemas.openxmlformats.org/officeDocument/2006/relationships/hyperlink" Target="#'M05-S05'!A1"/><Relationship Id="rId2" Type="http://schemas.openxmlformats.org/officeDocument/2006/relationships/hyperlink" Target="#'M05-S01b'!A1"/><Relationship Id="rId16" Type="http://schemas.openxmlformats.org/officeDocument/2006/relationships/hyperlink" Target="#'M01-S03'!A1"/><Relationship Id="rId20" Type="http://schemas.openxmlformats.org/officeDocument/2006/relationships/hyperlink" Target="#'M05-S04'!A1"/><Relationship Id="rId1" Type="http://schemas.openxmlformats.org/officeDocument/2006/relationships/hyperlink" Target="https://bizsave.pseg.com/wp-content/uploads/2022/07/PSEG_PrescriptiveCustom_Terms_and_Conditions.pdf" TargetMode="External"/><Relationship Id="rId6" Type="http://schemas.openxmlformats.org/officeDocument/2006/relationships/image" Target="../media/image2.jpeg"/><Relationship Id="rId11" Type="http://schemas.openxmlformats.org/officeDocument/2006/relationships/hyperlink" Target="#'M03-S01'!H6"/><Relationship Id="rId5" Type="http://schemas.openxmlformats.org/officeDocument/2006/relationships/hyperlink" Target="#'M01-S02'!A1"/><Relationship Id="rId15" Type="http://schemas.openxmlformats.org/officeDocument/2006/relationships/hyperlink" Target="#M05S08F01"/><Relationship Id="rId10" Type="http://schemas.openxmlformats.org/officeDocument/2006/relationships/hyperlink" Target="#M02S03F01"/><Relationship Id="rId19" Type="http://schemas.openxmlformats.org/officeDocument/2006/relationships/hyperlink" Target="#'M05-S06'!A1"/><Relationship Id="rId4" Type="http://schemas.openxmlformats.org/officeDocument/2006/relationships/hyperlink" Target="#'M01-S01'!A1"/><Relationship Id="rId9" Type="http://schemas.openxmlformats.org/officeDocument/2006/relationships/hyperlink" Target="#M02S02F01"/><Relationship Id="rId14" Type="http://schemas.openxmlformats.org/officeDocument/2006/relationships/hyperlink" Target="#M02S04F01"/></Relationships>
</file>

<file path=xl/drawings/_rels/drawing23.xml.rels><?xml version="1.0" encoding="UTF-8" standalone="yes"?>
<Relationships xmlns="http://schemas.openxmlformats.org/package/2006/relationships"><Relationship Id="rId13" Type="http://schemas.openxmlformats.org/officeDocument/2006/relationships/hyperlink" Target="#'M02-S03'!U17"/><Relationship Id="rId18" Type="http://schemas.openxmlformats.org/officeDocument/2006/relationships/hyperlink" Target="#'M05-S01a'!M16"/><Relationship Id="rId26" Type="http://schemas.openxmlformats.org/officeDocument/2006/relationships/hyperlink" Target="#'M04-S07'!C18"/><Relationship Id="rId39" Type="http://schemas.openxmlformats.org/officeDocument/2006/relationships/hyperlink" Target="#'M05-S01b'!A1"/><Relationship Id="rId21" Type="http://schemas.openxmlformats.org/officeDocument/2006/relationships/hyperlink" Target="#'M05-S06'!O63"/><Relationship Id="rId34" Type="http://schemas.openxmlformats.org/officeDocument/2006/relationships/hyperlink" Target="#M02S02F01"/><Relationship Id="rId42" Type="http://schemas.openxmlformats.org/officeDocument/2006/relationships/hyperlink" Target="#'M01-S04'!A1"/><Relationship Id="rId7" Type="http://schemas.openxmlformats.org/officeDocument/2006/relationships/image" Target="../media/image36.png"/><Relationship Id="rId2" Type="http://schemas.openxmlformats.org/officeDocument/2006/relationships/hyperlink" Target="#'M02-S01'!A1"/><Relationship Id="rId16" Type="http://schemas.openxmlformats.org/officeDocument/2006/relationships/hyperlink" Target="#'M04-S02'!C18"/><Relationship Id="rId20" Type="http://schemas.openxmlformats.org/officeDocument/2006/relationships/hyperlink" Target="#'M02-S01'!L25"/><Relationship Id="rId29" Type="http://schemas.openxmlformats.org/officeDocument/2006/relationships/hyperlink" Target="#'M04-S10'!C18"/><Relationship Id="rId41" Type="http://schemas.openxmlformats.org/officeDocument/2006/relationships/hyperlink" Target="#'M05-S05'!A1"/><Relationship Id="rId1" Type="http://schemas.openxmlformats.org/officeDocument/2006/relationships/hyperlink" Target="#M05S01F01"/><Relationship Id="rId6" Type="http://schemas.openxmlformats.org/officeDocument/2006/relationships/hyperlink" Target="#'M05-S03'!K12"/><Relationship Id="rId11" Type="http://schemas.openxmlformats.org/officeDocument/2006/relationships/hyperlink" Target="#'M01-S03'!A1"/><Relationship Id="rId24" Type="http://schemas.openxmlformats.org/officeDocument/2006/relationships/hyperlink" Target="#'M04-S05'!C18"/><Relationship Id="rId32" Type="http://schemas.openxmlformats.org/officeDocument/2006/relationships/image" Target="../media/image3.png"/><Relationship Id="rId37" Type="http://schemas.openxmlformats.org/officeDocument/2006/relationships/hyperlink" Target="#M05S02HIDE"/><Relationship Id="rId40" Type="http://schemas.openxmlformats.org/officeDocument/2006/relationships/hyperlink" Target="#M05S08F01"/><Relationship Id="rId5" Type="http://schemas.openxmlformats.org/officeDocument/2006/relationships/hyperlink" Target="#'M05-S02-1'!H6"/><Relationship Id="rId15" Type="http://schemas.openxmlformats.org/officeDocument/2006/relationships/hyperlink" Target="#'M04-S04'!A1"/><Relationship Id="rId23" Type="http://schemas.openxmlformats.org/officeDocument/2006/relationships/hyperlink" Target="#'M04-S04'!C18"/><Relationship Id="rId28" Type="http://schemas.openxmlformats.org/officeDocument/2006/relationships/hyperlink" Target="#'M04-S09'!C18"/><Relationship Id="rId36" Type="http://schemas.openxmlformats.org/officeDocument/2006/relationships/hyperlink" Target="#'M03-S01'!H6"/><Relationship Id="rId10" Type="http://schemas.openxmlformats.org/officeDocument/2006/relationships/hyperlink" Target="#'M01-S02'!A1"/><Relationship Id="rId19" Type="http://schemas.openxmlformats.org/officeDocument/2006/relationships/hyperlink" Target="#'M05-S01b'!AA26"/><Relationship Id="rId31" Type="http://schemas.openxmlformats.org/officeDocument/2006/relationships/hyperlink" Target="#'M01-S02'!P17"/><Relationship Id="rId44" Type="http://schemas.openxmlformats.org/officeDocument/2006/relationships/hyperlink" Target="#'M05-S04'!A1"/><Relationship Id="rId4" Type="http://schemas.openxmlformats.org/officeDocument/2006/relationships/hyperlink" Target="#'M02-S02'!P17"/><Relationship Id="rId9" Type="http://schemas.openxmlformats.org/officeDocument/2006/relationships/hyperlink" Target="#'M01-S01'!A1"/><Relationship Id="rId14" Type="http://schemas.openxmlformats.org/officeDocument/2006/relationships/hyperlink" Target="#'M04-S07'!A1"/><Relationship Id="rId22" Type="http://schemas.openxmlformats.org/officeDocument/2006/relationships/hyperlink" Target="#'M04-S03'!C18"/><Relationship Id="rId27" Type="http://schemas.openxmlformats.org/officeDocument/2006/relationships/hyperlink" Target="#'M04-S08'!C18"/><Relationship Id="rId30" Type="http://schemas.openxmlformats.org/officeDocument/2006/relationships/hyperlink" Target="#'M04-S11'!C18"/><Relationship Id="rId35" Type="http://schemas.openxmlformats.org/officeDocument/2006/relationships/hyperlink" Target="#M02S03F01"/><Relationship Id="rId43" Type="http://schemas.openxmlformats.org/officeDocument/2006/relationships/hyperlink" Target="#'M05-S06'!A1"/><Relationship Id="rId8" Type="http://schemas.openxmlformats.org/officeDocument/2006/relationships/image" Target="../media/image37.svg"/><Relationship Id="rId3" Type="http://schemas.openxmlformats.org/officeDocument/2006/relationships/hyperlink" Target="#'M02-S04'!A1"/><Relationship Id="rId12" Type="http://schemas.openxmlformats.org/officeDocument/2006/relationships/image" Target="../media/image2.jpeg"/><Relationship Id="rId17" Type="http://schemas.openxmlformats.org/officeDocument/2006/relationships/hyperlink" Target="#'M02-S04'!V14"/><Relationship Id="rId25" Type="http://schemas.openxmlformats.org/officeDocument/2006/relationships/hyperlink" Target="#'M04-S06'!C18"/><Relationship Id="rId33" Type="http://schemas.openxmlformats.org/officeDocument/2006/relationships/hyperlink" Target="#M02S01F01"/><Relationship Id="rId38" Type="http://schemas.openxmlformats.org/officeDocument/2006/relationships/hyperlink" Target="#M02S04F01"/></Relationships>
</file>

<file path=xl/drawings/_rels/drawing24.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2S04F01"/><Relationship Id="rId18" Type="http://schemas.openxmlformats.org/officeDocument/2006/relationships/hyperlink" Target="#'M05-S06'!A1"/><Relationship Id="rId3" Type="http://schemas.openxmlformats.org/officeDocument/2006/relationships/hyperlink" Target="#'M01-S02'!A1"/><Relationship Id="rId7" Type="http://schemas.openxmlformats.org/officeDocument/2006/relationships/hyperlink" Target="#M02S01F01"/><Relationship Id="rId12" Type="http://schemas.openxmlformats.org/officeDocument/2006/relationships/hyperlink" Target="#M05S02HIDE"/><Relationship Id="rId17" Type="http://schemas.openxmlformats.org/officeDocument/2006/relationships/hyperlink" Target="#'M01-S04'!A1"/><Relationship Id="rId2" Type="http://schemas.openxmlformats.org/officeDocument/2006/relationships/hyperlink" Target="#'M01-S01'!A1"/><Relationship Id="rId16" Type="http://schemas.openxmlformats.org/officeDocument/2006/relationships/hyperlink" Target="#'M05-S05'!A1"/><Relationship Id="rId1" Type="http://schemas.openxmlformats.org/officeDocument/2006/relationships/hyperlink" Target="#'M05-S02'!A1"/><Relationship Id="rId6" Type="http://schemas.openxmlformats.org/officeDocument/2006/relationships/image" Target="../media/image3.png"/><Relationship Id="rId11" Type="http://schemas.openxmlformats.org/officeDocument/2006/relationships/hyperlink" Target="#M05S01F01"/><Relationship Id="rId5" Type="http://schemas.openxmlformats.org/officeDocument/2006/relationships/image" Target="../media/image2.jpeg"/><Relationship Id="rId15" Type="http://schemas.openxmlformats.org/officeDocument/2006/relationships/hyperlink" Target="#M05S08F01"/><Relationship Id="rId10" Type="http://schemas.openxmlformats.org/officeDocument/2006/relationships/hyperlink" Target="#'M03-S01'!H6"/><Relationship Id="rId19" Type="http://schemas.openxmlformats.org/officeDocument/2006/relationships/hyperlink" Target="#'M05-S04'!A1"/><Relationship Id="rId4" Type="http://schemas.openxmlformats.org/officeDocument/2006/relationships/hyperlink" Target="#'M01-S03'!A1"/><Relationship Id="rId9" Type="http://schemas.openxmlformats.org/officeDocument/2006/relationships/hyperlink" Target="#M02S03F01"/><Relationship Id="rId14" Type="http://schemas.openxmlformats.org/officeDocument/2006/relationships/hyperlink" Target="#'M05-S01b'!A1"/></Relationships>
</file>

<file path=xl/drawings/_rels/drawing25.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hyperlink" Target="#'M05-S05'!A1"/><Relationship Id="rId18" Type="http://schemas.openxmlformats.org/officeDocument/2006/relationships/hyperlink" Target="http://www.bizsave.pseg.com/" TargetMode="External"/><Relationship Id="rId26" Type="http://schemas.openxmlformats.org/officeDocument/2006/relationships/hyperlink" Target="#M02S04F01"/><Relationship Id="rId3" Type="http://schemas.openxmlformats.org/officeDocument/2006/relationships/image" Target="../media/image38.svg"/><Relationship Id="rId21" Type="http://schemas.openxmlformats.org/officeDocument/2006/relationships/hyperlink" Target="#M02S02F01"/><Relationship Id="rId7" Type="http://schemas.openxmlformats.org/officeDocument/2006/relationships/image" Target="../media/image42.png"/><Relationship Id="rId12" Type="http://schemas.openxmlformats.org/officeDocument/2006/relationships/hyperlink" Target="#'M01-S03'!A1"/><Relationship Id="rId17" Type="http://schemas.openxmlformats.org/officeDocument/2006/relationships/hyperlink" Target="#'M05-S06'!A1"/><Relationship Id="rId25" Type="http://schemas.openxmlformats.org/officeDocument/2006/relationships/hyperlink" Target="#M05S02HIDE"/><Relationship Id="rId2" Type="http://schemas.openxmlformats.org/officeDocument/2006/relationships/image" Target="../media/image31.png"/><Relationship Id="rId16" Type="http://schemas.openxmlformats.org/officeDocument/2006/relationships/image" Target="../media/image45.png"/><Relationship Id="rId20" Type="http://schemas.openxmlformats.org/officeDocument/2006/relationships/hyperlink" Target="#M02S01F01"/><Relationship Id="rId29" Type="http://schemas.openxmlformats.org/officeDocument/2006/relationships/hyperlink" Target="#'M05-S04'!A1"/><Relationship Id="rId1" Type="http://schemas.openxmlformats.org/officeDocument/2006/relationships/hyperlink" Target="#'M05-S02'!A1"/><Relationship Id="rId6" Type="http://schemas.openxmlformats.org/officeDocument/2006/relationships/image" Target="../media/image41.png"/><Relationship Id="rId11" Type="http://schemas.openxmlformats.org/officeDocument/2006/relationships/hyperlink" Target="#'M01-S02'!A1"/><Relationship Id="rId24" Type="http://schemas.openxmlformats.org/officeDocument/2006/relationships/hyperlink" Target="#'M05-S01a'!A1"/><Relationship Id="rId5" Type="http://schemas.openxmlformats.org/officeDocument/2006/relationships/image" Target="../media/image40.png"/><Relationship Id="rId15" Type="http://schemas.openxmlformats.org/officeDocument/2006/relationships/hyperlink" Target="#'M01-S04'!A1"/><Relationship Id="rId23" Type="http://schemas.openxmlformats.org/officeDocument/2006/relationships/hyperlink" Target="#'M03-S01'!H6"/><Relationship Id="rId28" Type="http://schemas.openxmlformats.org/officeDocument/2006/relationships/hyperlink" Target="#'M05-S02-1'!H6"/><Relationship Id="rId10" Type="http://schemas.openxmlformats.org/officeDocument/2006/relationships/hyperlink" Target="#'M01-S01'!A1"/><Relationship Id="rId19" Type="http://schemas.openxmlformats.org/officeDocument/2006/relationships/hyperlink" Target="mailto:PSEGenergysaver@TRCcompanies.com" TargetMode="External"/><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2.jpeg"/><Relationship Id="rId22" Type="http://schemas.openxmlformats.org/officeDocument/2006/relationships/hyperlink" Target="#M02S03F01"/><Relationship Id="rId27" Type="http://schemas.openxmlformats.org/officeDocument/2006/relationships/hyperlink" Target="#'M05-S01b'!A1"/></Relationships>
</file>

<file path=xl/drawings/_rels/drawing26.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5S02HIDE"/><Relationship Id="rId18" Type="http://schemas.openxmlformats.org/officeDocument/2006/relationships/hyperlink" Target="#'M05-S05'!A1"/><Relationship Id="rId3" Type="http://schemas.openxmlformats.org/officeDocument/2006/relationships/hyperlink" Target="#'M01-S01'!A1"/><Relationship Id="rId21" Type="http://schemas.openxmlformats.org/officeDocument/2006/relationships/hyperlink" Target="#'M05-S04'!A1"/><Relationship Id="rId7" Type="http://schemas.openxmlformats.org/officeDocument/2006/relationships/image" Target="../media/image33.png"/><Relationship Id="rId12" Type="http://schemas.openxmlformats.org/officeDocument/2006/relationships/hyperlink" Target="#M05S01F01"/><Relationship Id="rId17" Type="http://schemas.openxmlformats.org/officeDocument/2006/relationships/hyperlink" Target="#'M01-S03'!A1"/><Relationship Id="rId2" Type="http://schemas.openxmlformats.org/officeDocument/2006/relationships/hyperlink" Target="#'M03-S01'!A1"/><Relationship Id="rId16" Type="http://schemas.openxmlformats.org/officeDocument/2006/relationships/hyperlink" Target="#M05S08F01"/><Relationship Id="rId20" Type="http://schemas.openxmlformats.org/officeDocument/2006/relationships/hyperlink" Target="#'M05-S06'!A1"/><Relationship Id="rId1" Type="http://schemas.openxmlformats.org/officeDocument/2006/relationships/hyperlink" Target="#'M05-S01'!A1"/><Relationship Id="rId6" Type="http://schemas.openxmlformats.org/officeDocument/2006/relationships/image" Target="../media/image3.png"/><Relationship Id="rId11" Type="http://schemas.openxmlformats.org/officeDocument/2006/relationships/hyperlink" Target="#'M03-S01'!H6"/><Relationship Id="rId5" Type="http://schemas.openxmlformats.org/officeDocument/2006/relationships/image" Target="../media/image2.jpeg"/><Relationship Id="rId15" Type="http://schemas.openxmlformats.org/officeDocument/2006/relationships/hyperlink" Target="#'M05-S01b'!A1"/><Relationship Id="rId10" Type="http://schemas.openxmlformats.org/officeDocument/2006/relationships/hyperlink" Target="#M02S03F01"/><Relationship Id="rId19" Type="http://schemas.openxmlformats.org/officeDocument/2006/relationships/hyperlink" Target="#'M01-S04'!A1"/><Relationship Id="rId4" Type="http://schemas.openxmlformats.org/officeDocument/2006/relationships/hyperlink" Target="#'M01-S02'!A1"/><Relationship Id="rId9" Type="http://schemas.openxmlformats.org/officeDocument/2006/relationships/hyperlink" Target="#M02S02F01"/><Relationship Id="rId14" Type="http://schemas.openxmlformats.org/officeDocument/2006/relationships/hyperlink" Target="#M02S04F01"/></Relationships>
</file>

<file path=xl/drawings/_rels/drawing27.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M05S01F01"/><Relationship Id="rId18" Type="http://schemas.openxmlformats.org/officeDocument/2006/relationships/hyperlink" Target="#'M05-S05'!A1"/><Relationship Id="rId3" Type="http://schemas.openxmlformats.org/officeDocument/2006/relationships/hyperlink" Target="#'M01-S01'!A1"/><Relationship Id="rId21" Type="http://schemas.openxmlformats.org/officeDocument/2006/relationships/hyperlink" Target="#'M05-S04'!A1"/><Relationship Id="rId7" Type="http://schemas.openxmlformats.org/officeDocument/2006/relationships/image" Target="../media/image33.png"/><Relationship Id="rId12" Type="http://schemas.openxmlformats.org/officeDocument/2006/relationships/hyperlink" Target="#'M03-S01'!H6"/><Relationship Id="rId17" Type="http://schemas.openxmlformats.org/officeDocument/2006/relationships/hyperlink" Target="#M05S08F01"/><Relationship Id="rId2" Type="http://schemas.openxmlformats.org/officeDocument/2006/relationships/hyperlink" Target="#'M03-S01'!A1"/><Relationship Id="rId16" Type="http://schemas.openxmlformats.org/officeDocument/2006/relationships/hyperlink" Target="#'M05-S01b'!A1"/><Relationship Id="rId20" Type="http://schemas.openxmlformats.org/officeDocument/2006/relationships/hyperlink" Target="#'M05-S06'!A1"/><Relationship Id="rId1" Type="http://schemas.openxmlformats.org/officeDocument/2006/relationships/hyperlink" Target="#'M05-S01'!A1"/><Relationship Id="rId6" Type="http://schemas.openxmlformats.org/officeDocument/2006/relationships/image" Target="../media/image2.jpeg"/><Relationship Id="rId11" Type="http://schemas.openxmlformats.org/officeDocument/2006/relationships/hyperlink" Target="#M02S03F01"/><Relationship Id="rId5" Type="http://schemas.openxmlformats.org/officeDocument/2006/relationships/hyperlink" Target="#'M01-S03'!A1"/><Relationship Id="rId15" Type="http://schemas.openxmlformats.org/officeDocument/2006/relationships/hyperlink" Target="#M02S04F01"/><Relationship Id="rId10" Type="http://schemas.openxmlformats.org/officeDocument/2006/relationships/hyperlink" Target="#M02S02F01"/><Relationship Id="rId19" Type="http://schemas.openxmlformats.org/officeDocument/2006/relationships/hyperlink" Target="#'M01-S04'!A1"/><Relationship Id="rId4" Type="http://schemas.openxmlformats.org/officeDocument/2006/relationships/hyperlink" Target="#'M01-S02'!A1"/><Relationship Id="rId9" Type="http://schemas.openxmlformats.org/officeDocument/2006/relationships/hyperlink" Target="#M02S01F01"/><Relationship Id="rId14" Type="http://schemas.openxmlformats.org/officeDocument/2006/relationships/hyperlink" Target="#M05S02HIDE"/></Relationships>
</file>

<file path=xl/drawings/_rels/drawing28.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2S04F01"/><Relationship Id="rId18" Type="http://schemas.openxmlformats.org/officeDocument/2006/relationships/hyperlink" Target="#'M05-S06'!A1"/><Relationship Id="rId3" Type="http://schemas.openxmlformats.org/officeDocument/2006/relationships/hyperlink" Target="#'M01-S02'!A1"/><Relationship Id="rId7" Type="http://schemas.openxmlformats.org/officeDocument/2006/relationships/hyperlink" Target="#M02S01F01"/><Relationship Id="rId12" Type="http://schemas.openxmlformats.org/officeDocument/2006/relationships/hyperlink" Target="#M05S02HIDE"/><Relationship Id="rId17" Type="http://schemas.openxmlformats.org/officeDocument/2006/relationships/hyperlink" Target="#'M01-S04'!A1"/><Relationship Id="rId2" Type="http://schemas.openxmlformats.org/officeDocument/2006/relationships/hyperlink" Target="#'M01-S01'!A1"/><Relationship Id="rId16" Type="http://schemas.openxmlformats.org/officeDocument/2006/relationships/hyperlink" Target="#'M05-S05'!A1"/><Relationship Id="rId1" Type="http://schemas.openxmlformats.org/officeDocument/2006/relationships/hyperlink" Target="#'M03-S01'!A1"/><Relationship Id="rId6" Type="http://schemas.openxmlformats.org/officeDocument/2006/relationships/image" Target="../media/image33.png"/><Relationship Id="rId11" Type="http://schemas.openxmlformats.org/officeDocument/2006/relationships/hyperlink" Target="#M05S01F01"/><Relationship Id="rId5" Type="http://schemas.openxmlformats.org/officeDocument/2006/relationships/image" Target="../media/image3.png"/><Relationship Id="rId15" Type="http://schemas.openxmlformats.org/officeDocument/2006/relationships/hyperlink" Target="#M05S08F01"/><Relationship Id="rId10" Type="http://schemas.openxmlformats.org/officeDocument/2006/relationships/hyperlink" Target="#'M03-S01'!H6"/><Relationship Id="rId19" Type="http://schemas.openxmlformats.org/officeDocument/2006/relationships/hyperlink" Target="#'M05-S04'!A1"/><Relationship Id="rId4" Type="http://schemas.openxmlformats.org/officeDocument/2006/relationships/hyperlink" Target="#'M01-S03'!A1"/><Relationship Id="rId9" Type="http://schemas.openxmlformats.org/officeDocument/2006/relationships/hyperlink" Target="#M02S03F01"/><Relationship Id="rId14" Type="http://schemas.openxmlformats.org/officeDocument/2006/relationships/hyperlink" Target="#'M05-S01b'!A1"/></Relationships>
</file>

<file path=xl/drawings/_rels/drawing29.xml.rels><?xml version="1.0" encoding="UTF-8" standalone="yes"?>
<Relationships xmlns="http://schemas.openxmlformats.org/package/2006/relationships"><Relationship Id="rId8" Type="http://schemas.openxmlformats.org/officeDocument/2006/relationships/hyperlink" Target="#M05S01F01"/><Relationship Id="rId13" Type="http://schemas.openxmlformats.org/officeDocument/2006/relationships/hyperlink" Target="#'M01-S03'!A1"/><Relationship Id="rId3" Type="http://schemas.openxmlformats.org/officeDocument/2006/relationships/image" Target="../media/image3.png"/><Relationship Id="rId7" Type="http://schemas.openxmlformats.org/officeDocument/2006/relationships/hyperlink" Target="#'M03-S01'!H6"/><Relationship Id="rId12" Type="http://schemas.openxmlformats.org/officeDocument/2006/relationships/hyperlink" Target="#M05S08F01"/><Relationship Id="rId17" Type="http://schemas.openxmlformats.org/officeDocument/2006/relationships/hyperlink" Target="#'M05-S04'!A1"/><Relationship Id="rId2" Type="http://schemas.openxmlformats.org/officeDocument/2006/relationships/hyperlink" Target="#'M01-S02'!A1"/><Relationship Id="rId16" Type="http://schemas.openxmlformats.org/officeDocument/2006/relationships/hyperlink" Target="#'M05-S06'!A1"/><Relationship Id="rId1" Type="http://schemas.openxmlformats.org/officeDocument/2006/relationships/hyperlink" Target="#'M01-S01'!A1"/><Relationship Id="rId6" Type="http://schemas.openxmlformats.org/officeDocument/2006/relationships/hyperlink" Target="#M02S03F01"/><Relationship Id="rId11" Type="http://schemas.openxmlformats.org/officeDocument/2006/relationships/hyperlink" Target="#'M05-S01b'!A1"/><Relationship Id="rId5" Type="http://schemas.openxmlformats.org/officeDocument/2006/relationships/hyperlink" Target="#M02S02F01"/><Relationship Id="rId15" Type="http://schemas.openxmlformats.org/officeDocument/2006/relationships/hyperlink" Target="#'M01-S04'!A1"/><Relationship Id="rId10" Type="http://schemas.openxmlformats.org/officeDocument/2006/relationships/hyperlink" Target="#M02S04F01"/><Relationship Id="rId4" Type="http://schemas.openxmlformats.org/officeDocument/2006/relationships/hyperlink" Target="#M02S01F01"/><Relationship Id="rId9" Type="http://schemas.openxmlformats.org/officeDocument/2006/relationships/hyperlink" Target="#M05S02HIDE"/><Relationship Id="rId14" Type="http://schemas.openxmlformats.org/officeDocument/2006/relationships/hyperlink" Target="#'M05-S05'!A1"/></Relationships>
</file>

<file path=xl/drawings/_rels/drawing3.xml.rels><?xml version="1.0" encoding="UTF-8" standalone="yes"?>
<Relationships xmlns="http://schemas.openxmlformats.org/package/2006/relationships"><Relationship Id="rId8" Type="http://schemas.openxmlformats.org/officeDocument/2006/relationships/hyperlink" Target="#'M05-S06'!A1"/><Relationship Id="rId3" Type="http://schemas.openxmlformats.org/officeDocument/2006/relationships/hyperlink" Target="#'M01-S02'!A1"/><Relationship Id="rId7" Type="http://schemas.openxmlformats.org/officeDocument/2006/relationships/hyperlink" Target="#'M01-S04'!A1"/><Relationship Id="rId2" Type="http://schemas.openxmlformats.org/officeDocument/2006/relationships/hyperlink" Target="#'M01-S01'!A1"/><Relationship Id="rId1" Type="http://schemas.openxmlformats.org/officeDocument/2006/relationships/hyperlink" Target="mailto:PSEGenergysaver@TRCcompanies.com" TargetMode="External"/><Relationship Id="rId6" Type="http://schemas.openxmlformats.org/officeDocument/2006/relationships/image" Target="../media/image2.jpeg"/><Relationship Id="rId5" Type="http://schemas.openxmlformats.org/officeDocument/2006/relationships/hyperlink" Target="#'M05-S05'!A1"/><Relationship Id="rId10" Type="http://schemas.openxmlformats.org/officeDocument/2006/relationships/image" Target="../media/image3.png"/><Relationship Id="rId4" Type="http://schemas.openxmlformats.org/officeDocument/2006/relationships/hyperlink" Target="#'M01-S03'!A1"/><Relationship Id="rId9" Type="http://schemas.openxmlformats.org/officeDocument/2006/relationships/hyperlink" Target="#'M05-S04'!A1"/></Relationships>
</file>

<file path=xl/drawings/_rels/drawing30.xml.rels><?xml version="1.0" encoding="UTF-8" standalone="yes"?>
<Relationships xmlns="http://schemas.openxmlformats.org/package/2006/relationships"><Relationship Id="rId8" Type="http://schemas.openxmlformats.org/officeDocument/2006/relationships/hyperlink" Target="#'M03-S01'!H6"/><Relationship Id="rId13" Type="http://schemas.openxmlformats.org/officeDocument/2006/relationships/hyperlink" Target="#M05S08F01"/><Relationship Id="rId18" Type="http://schemas.openxmlformats.org/officeDocument/2006/relationships/hyperlink" Target="#'M05-S04'!A1"/><Relationship Id="rId3" Type="http://schemas.openxmlformats.org/officeDocument/2006/relationships/image" Target="../media/image2.jpeg"/><Relationship Id="rId7" Type="http://schemas.openxmlformats.org/officeDocument/2006/relationships/hyperlink" Target="#M02S03F01"/><Relationship Id="rId12" Type="http://schemas.openxmlformats.org/officeDocument/2006/relationships/hyperlink" Target="#'M05-S01b'!A1"/><Relationship Id="rId17" Type="http://schemas.openxmlformats.org/officeDocument/2006/relationships/hyperlink" Target="#'M05-S06'!A1"/><Relationship Id="rId2" Type="http://schemas.openxmlformats.org/officeDocument/2006/relationships/hyperlink" Target="#'M01-S02'!A1"/><Relationship Id="rId16" Type="http://schemas.openxmlformats.org/officeDocument/2006/relationships/hyperlink" Target="#'M01-S04'!A1"/><Relationship Id="rId20" Type="http://schemas.openxmlformats.org/officeDocument/2006/relationships/hyperlink" Target="#'M05-S01a'!Print_Area"/><Relationship Id="rId1" Type="http://schemas.openxmlformats.org/officeDocument/2006/relationships/hyperlink" Target="#'M01-S01'!A1"/><Relationship Id="rId6" Type="http://schemas.openxmlformats.org/officeDocument/2006/relationships/hyperlink" Target="#M02S02F01"/><Relationship Id="rId11" Type="http://schemas.openxmlformats.org/officeDocument/2006/relationships/hyperlink" Target="#M02S04F01"/><Relationship Id="rId5" Type="http://schemas.openxmlformats.org/officeDocument/2006/relationships/hyperlink" Target="#M02S01F01"/><Relationship Id="rId15" Type="http://schemas.openxmlformats.org/officeDocument/2006/relationships/hyperlink" Target="#'M05-S05'!A1"/><Relationship Id="rId10" Type="http://schemas.openxmlformats.org/officeDocument/2006/relationships/hyperlink" Target="#M05S02HIDE"/><Relationship Id="rId19" Type="http://schemas.openxmlformats.org/officeDocument/2006/relationships/hyperlink" Target="#'M03-S01'!Print_Area"/><Relationship Id="rId4" Type="http://schemas.openxmlformats.org/officeDocument/2006/relationships/image" Target="../media/image3.png"/><Relationship Id="rId9" Type="http://schemas.openxmlformats.org/officeDocument/2006/relationships/hyperlink" Target="#M05S01F01"/><Relationship Id="rId14" Type="http://schemas.openxmlformats.org/officeDocument/2006/relationships/hyperlink" Target="#'M01-S03'!A1"/></Relationships>
</file>

<file path=xl/drawings/_rels/drawing4.xml.rels><?xml version="1.0" encoding="UTF-8" standalone="yes"?>
<Relationships xmlns="http://schemas.openxmlformats.org/package/2006/relationships"><Relationship Id="rId8" Type="http://schemas.openxmlformats.org/officeDocument/2006/relationships/hyperlink" Target="#'M05-S04'!A1"/><Relationship Id="rId3" Type="http://schemas.openxmlformats.org/officeDocument/2006/relationships/hyperlink" Target="#'M01-S03'!A1"/><Relationship Id="rId7" Type="http://schemas.openxmlformats.org/officeDocument/2006/relationships/hyperlink" Target="#'M05-S06'!A1"/><Relationship Id="rId2" Type="http://schemas.openxmlformats.org/officeDocument/2006/relationships/hyperlink" Target="#'M01-S02'!A1"/><Relationship Id="rId1" Type="http://schemas.openxmlformats.org/officeDocument/2006/relationships/hyperlink" Target="#'M01-S01'!A1"/><Relationship Id="rId6" Type="http://schemas.openxmlformats.org/officeDocument/2006/relationships/hyperlink" Target="#'M01-S04'!A1"/><Relationship Id="rId5" Type="http://schemas.openxmlformats.org/officeDocument/2006/relationships/image" Target="../media/image2.jpeg"/><Relationship Id="rId4" Type="http://schemas.openxmlformats.org/officeDocument/2006/relationships/hyperlink" Target="#'M05-S05'!A1"/><Relationship Id="rId9"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5-S01b'!A1"/><Relationship Id="rId18" Type="http://schemas.openxmlformats.org/officeDocument/2006/relationships/hyperlink" Target="#'M05-S06'!A1"/><Relationship Id="rId3" Type="http://schemas.openxmlformats.org/officeDocument/2006/relationships/hyperlink" Target="#'M01-S01'!A1"/><Relationship Id="rId7" Type="http://schemas.openxmlformats.org/officeDocument/2006/relationships/hyperlink" Target="#M02S02F01"/><Relationship Id="rId12" Type="http://schemas.openxmlformats.org/officeDocument/2006/relationships/hyperlink" Target="#M02S04F01"/><Relationship Id="rId17" Type="http://schemas.openxmlformats.org/officeDocument/2006/relationships/hyperlink" Target="#'M01-S04'!A1"/><Relationship Id="rId2" Type="http://schemas.openxmlformats.org/officeDocument/2006/relationships/hyperlink" Target="#'M01-S02'!A1"/><Relationship Id="rId16" Type="http://schemas.openxmlformats.org/officeDocument/2006/relationships/hyperlink" Target="#'M01-S03'!A1"/><Relationship Id="rId1" Type="http://schemas.openxmlformats.org/officeDocument/2006/relationships/hyperlink" Target="#'M02-S03'!A1"/><Relationship Id="rId6" Type="http://schemas.openxmlformats.org/officeDocument/2006/relationships/hyperlink" Target="#M02S01F01"/><Relationship Id="rId11" Type="http://schemas.openxmlformats.org/officeDocument/2006/relationships/hyperlink" Target="#M05S02HIDE"/><Relationship Id="rId5" Type="http://schemas.openxmlformats.org/officeDocument/2006/relationships/image" Target="../media/image3.png"/><Relationship Id="rId15" Type="http://schemas.openxmlformats.org/officeDocument/2006/relationships/hyperlink" Target="#'M05-S05'!A1"/><Relationship Id="rId10" Type="http://schemas.openxmlformats.org/officeDocument/2006/relationships/hyperlink" Target="#M05S01F01"/><Relationship Id="rId19" Type="http://schemas.openxmlformats.org/officeDocument/2006/relationships/hyperlink" Target="#'M05-S04'!A1"/><Relationship Id="rId4" Type="http://schemas.openxmlformats.org/officeDocument/2006/relationships/image" Target="../media/image2.jpeg"/><Relationship Id="rId9" Type="http://schemas.openxmlformats.org/officeDocument/2006/relationships/hyperlink" Target="#'M03-S01'!H6"/><Relationship Id="rId14" Type="http://schemas.openxmlformats.org/officeDocument/2006/relationships/hyperlink" Target="#M05S08F01"/></Relationships>
</file>

<file path=xl/drawings/_rels/drawing6.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5S08F01"/><Relationship Id="rId18" Type="http://schemas.openxmlformats.org/officeDocument/2006/relationships/hyperlink" Target="#'M05-S04'!A1"/><Relationship Id="rId3" Type="http://schemas.openxmlformats.org/officeDocument/2006/relationships/hyperlink" Target="#'M01-S01'!A1"/><Relationship Id="rId7" Type="http://schemas.openxmlformats.org/officeDocument/2006/relationships/hyperlink" Target="#M02S01F01"/><Relationship Id="rId12" Type="http://schemas.openxmlformats.org/officeDocument/2006/relationships/hyperlink" Target="#'M05-S01b'!A1"/><Relationship Id="rId17" Type="http://schemas.openxmlformats.org/officeDocument/2006/relationships/hyperlink" Target="#'M05-S06'!A1"/><Relationship Id="rId2" Type="http://schemas.openxmlformats.org/officeDocument/2006/relationships/hyperlink" Target="#M02S02F01"/><Relationship Id="rId16" Type="http://schemas.openxmlformats.org/officeDocument/2006/relationships/hyperlink" Target="#'M01-S04'!A1"/><Relationship Id="rId1" Type="http://schemas.openxmlformats.org/officeDocument/2006/relationships/hyperlink" Target="#M02S04F01"/><Relationship Id="rId6" Type="http://schemas.openxmlformats.org/officeDocument/2006/relationships/image" Target="../media/image3.png"/><Relationship Id="rId11" Type="http://schemas.openxmlformats.org/officeDocument/2006/relationships/hyperlink" Target="#M05S02HIDE"/><Relationship Id="rId5" Type="http://schemas.openxmlformats.org/officeDocument/2006/relationships/image" Target="../media/image2.jpeg"/><Relationship Id="rId15" Type="http://schemas.openxmlformats.org/officeDocument/2006/relationships/hyperlink" Target="#'M01-S03'!A1"/><Relationship Id="rId10" Type="http://schemas.openxmlformats.org/officeDocument/2006/relationships/hyperlink" Target="#M05S01F01"/><Relationship Id="rId4" Type="http://schemas.openxmlformats.org/officeDocument/2006/relationships/hyperlink" Target="#'M01-S02'!A1"/><Relationship Id="rId9" Type="http://schemas.openxmlformats.org/officeDocument/2006/relationships/hyperlink" Target="#'M03-S01'!H6"/><Relationship Id="rId14" Type="http://schemas.openxmlformats.org/officeDocument/2006/relationships/hyperlink" Target="#'M05-S05'!A1"/></Relationships>
</file>

<file path=xl/drawings/_rels/drawing7.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2S04F01"/><Relationship Id="rId18" Type="http://schemas.openxmlformats.org/officeDocument/2006/relationships/hyperlink" Target="#'M05-S06'!A1"/><Relationship Id="rId3" Type="http://schemas.openxmlformats.org/officeDocument/2006/relationships/hyperlink" Target="#'M01-S01'!A1"/><Relationship Id="rId7" Type="http://schemas.openxmlformats.org/officeDocument/2006/relationships/image" Target="../media/image3.png"/><Relationship Id="rId12" Type="http://schemas.openxmlformats.org/officeDocument/2006/relationships/hyperlink" Target="#M05S02HIDE"/><Relationship Id="rId17" Type="http://schemas.openxmlformats.org/officeDocument/2006/relationships/hyperlink" Target="#'M01-S04'!A1"/><Relationship Id="rId2" Type="http://schemas.openxmlformats.org/officeDocument/2006/relationships/hyperlink" Target="#M02S03F01"/><Relationship Id="rId16" Type="http://schemas.openxmlformats.org/officeDocument/2006/relationships/hyperlink" Target="#'M01-S03'!A1"/><Relationship Id="rId1" Type="http://schemas.openxmlformats.org/officeDocument/2006/relationships/hyperlink" Target="#'M03-S01'!A1"/><Relationship Id="rId6" Type="http://schemas.openxmlformats.org/officeDocument/2006/relationships/image" Target="../media/image2.jpeg"/><Relationship Id="rId11" Type="http://schemas.openxmlformats.org/officeDocument/2006/relationships/hyperlink" Target="#M05S01F01"/><Relationship Id="rId5" Type="http://schemas.openxmlformats.org/officeDocument/2006/relationships/hyperlink" Target="#'M05-S05'!A1"/><Relationship Id="rId15" Type="http://schemas.openxmlformats.org/officeDocument/2006/relationships/hyperlink" Target="#M05S08F01"/><Relationship Id="rId10" Type="http://schemas.openxmlformats.org/officeDocument/2006/relationships/hyperlink" Target="#'M03-S01'!H6"/><Relationship Id="rId19" Type="http://schemas.openxmlformats.org/officeDocument/2006/relationships/hyperlink" Target="#'M05-S04'!A1"/><Relationship Id="rId4" Type="http://schemas.openxmlformats.org/officeDocument/2006/relationships/hyperlink" Target="#'M01-S02'!A1"/><Relationship Id="rId9" Type="http://schemas.openxmlformats.org/officeDocument/2006/relationships/hyperlink" Target="#M02S02F01"/><Relationship Id="rId14" Type="http://schemas.openxmlformats.org/officeDocument/2006/relationships/hyperlink" Target="#'M05-S01b'!A1"/></Relationships>
</file>

<file path=xl/drawings/_rels/drawing8.xml.rels><?xml version="1.0" encoding="UTF-8" standalone="yes"?>
<Relationships xmlns="http://schemas.openxmlformats.org/package/2006/relationships"><Relationship Id="rId13" Type="http://schemas.openxmlformats.org/officeDocument/2006/relationships/hyperlink" Target="#M02S04F01"/><Relationship Id="rId18" Type="http://schemas.openxmlformats.org/officeDocument/2006/relationships/hyperlink" Target="#'M01-S04'!A1"/><Relationship Id="rId26" Type="http://schemas.openxmlformats.org/officeDocument/2006/relationships/hyperlink" Target="#Custom_Heating_Tax"/><Relationship Id="rId39" Type="http://schemas.openxmlformats.org/officeDocument/2006/relationships/image" Target="../media/image22.png"/><Relationship Id="rId21" Type="http://schemas.openxmlformats.org/officeDocument/2006/relationships/image" Target="../media/image10.png"/><Relationship Id="rId34" Type="http://schemas.openxmlformats.org/officeDocument/2006/relationships/image" Target="../media/image19.svg"/><Relationship Id="rId42" Type="http://schemas.openxmlformats.org/officeDocument/2006/relationships/image" Target="../media/image24.png"/><Relationship Id="rId47" Type="http://schemas.openxmlformats.org/officeDocument/2006/relationships/hyperlink" Target="#Custom_FS_Tax"/><Relationship Id="rId7" Type="http://schemas.openxmlformats.org/officeDocument/2006/relationships/hyperlink" Target="#M02S01F01"/><Relationship Id="rId2" Type="http://schemas.openxmlformats.org/officeDocument/2006/relationships/hyperlink" Target="#'M02-S04'!A1"/><Relationship Id="rId16" Type="http://schemas.openxmlformats.org/officeDocument/2006/relationships/hyperlink" Target="#'M01-S03'!A1"/><Relationship Id="rId29" Type="http://schemas.openxmlformats.org/officeDocument/2006/relationships/hyperlink" Target="#Custom_WH_Tax"/><Relationship Id="rId11" Type="http://schemas.openxmlformats.org/officeDocument/2006/relationships/hyperlink" Target="#M05S01F01"/><Relationship Id="rId24" Type="http://schemas.openxmlformats.org/officeDocument/2006/relationships/image" Target="../media/image12.png"/><Relationship Id="rId32" Type="http://schemas.openxmlformats.org/officeDocument/2006/relationships/hyperlink" Target="#Custom_Refrig_Tax"/><Relationship Id="rId37" Type="http://schemas.openxmlformats.org/officeDocument/2006/relationships/image" Target="../media/image21.svg"/><Relationship Id="rId40" Type="http://schemas.openxmlformats.org/officeDocument/2006/relationships/image" Target="../media/image23.svg"/><Relationship Id="rId45" Type="http://schemas.openxmlformats.org/officeDocument/2006/relationships/image" Target="../media/image26.png"/><Relationship Id="rId5" Type="http://schemas.openxmlformats.org/officeDocument/2006/relationships/image" Target="../media/image2.jpeg"/><Relationship Id="rId15" Type="http://schemas.openxmlformats.org/officeDocument/2006/relationships/hyperlink" Target="#M05S08F01"/><Relationship Id="rId23" Type="http://schemas.openxmlformats.org/officeDocument/2006/relationships/hyperlink" Target="#Custom_HVAC_Tax"/><Relationship Id="rId28" Type="http://schemas.openxmlformats.org/officeDocument/2006/relationships/image" Target="../media/image15.svg"/><Relationship Id="rId36" Type="http://schemas.openxmlformats.org/officeDocument/2006/relationships/image" Target="../media/image20.png"/><Relationship Id="rId49" Type="http://schemas.openxmlformats.org/officeDocument/2006/relationships/image" Target="../media/image29.svg"/><Relationship Id="rId10" Type="http://schemas.openxmlformats.org/officeDocument/2006/relationships/hyperlink" Target="#'M03-S01'!H6"/><Relationship Id="rId19" Type="http://schemas.openxmlformats.org/officeDocument/2006/relationships/hyperlink" Target="#'M05-S06'!A1"/><Relationship Id="rId31" Type="http://schemas.openxmlformats.org/officeDocument/2006/relationships/image" Target="../media/image17.svg"/><Relationship Id="rId44" Type="http://schemas.openxmlformats.org/officeDocument/2006/relationships/hyperlink" Target="#Custom_Misc_Tax"/><Relationship Id="rId4" Type="http://schemas.openxmlformats.org/officeDocument/2006/relationships/hyperlink" Target="#'M01-S02'!A1"/><Relationship Id="rId9" Type="http://schemas.openxmlformats.org/officeDocument/2006/relationships/hyperlink" Target="#M02S03F01"/><Relationship Id="rId14" Type="http://schemas.openxmlformats.org/officeDocument/2006/relationships/hyperlink" Target="#'M05-S01b'!A1"/><Relationship Id="rId22" Type="http://schemas.openxmlformats.org/officeDocument/2006/relationships/image" Target="../media/image11.svg"/><Relationship Id="rId27" Type="http://schemas.openxmlformats.org/officeDocument/2006/relationships/image" Target="../media/image14.png"/><Relationship Id="rId30" Type="http://schemas.openxmlformats.org/officeDocument/2006/relationships/image" Target="../media/image16.png"/><Relationship Id="rId35" Type="http://schemas.openxmlformats.org/officeDocument/2006/relationships/hyperlink" Target="#Custom_AG_Tax"/><Relationship Id="rId43" Type="http://schemas.openxmlformats.org/officeDocument/2006/relationships/image" Target="../media/image25.svg"/><Relationship Id="rId48" Type="http://schemas.openxmlformats.org/officeDocument/2006/relationships/image" Target="../media/image28.png"/><Relationship Id="rId8" Type="http://schemas.openxmlformats.org/officeDocument/2006/relationships/hyperlink" Target="#M02S02F01"/><Relationship Id="rId3" Type="http://schemas.openxmlformats.org/officeDocument/2006/relationships/hyperlink" Target="#'M01-S01'!A1"/><Relationship Id="rId12" Type="http://schemas.openxmlformats.org/officeDocument/2006/relationships/hyperlink" Target="#M05S02HIDE"/><Relationship Id="rId17" Type="http://schemas.openxmlformats.org/officeDocument/2006/relationships/hyperlink" Target="#'M05-S05'!A1"/><Relationship Id="rId25" Type="http://schemas.openxmlformats.org/officeDocument/2006/relationships/image" Target="../media/image13.svg"/><Relationship Id="rId33" Type="http://schemas.openxmlformats.org/officeDocument/2006/relationships/image" Target="../media/image18.png"/><Relationship Id="rId38" Type="http://schemas.openxmlformats.org/officeDocument/2006/relationships/hyperlink" Target="#Custom_PL_Tax"/><Relationship Id="rId46" Type="http://schemas.openxmlformats.org/officeDocument/2006/relationships/image" Target="../media/image27.svg"/><Relationship Id="rId20" Type="http://schemas.openxmlformats.org/officeDocument/2006/relationships/hyperlink" Target="#'M05-S04'!A1"/><Relationship Id="rId41" Type="http://schemas.openxmlformats.org/officeDocument/2006/relationships/hyperlink" Target="#Custom_RA_Tax"/><Relationship Id="rId1" Type="http://schemas.openxmlformats.org/officeDocument/2006/relationships/hyperlink" Target="#Custom_Lighting_Tax"/><Relationship Id="rId6"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3</xdr:col>
      <xdr:colOff>66675</xdr:colOff>
      <xdr:row>34</xdr:row>
      <xdr:rowOff>168275</xdr:rowOff>
    </xdr:from>
    <xdr:to>
      <xdr:col>55</xdr:col>
      <xdr:colOff>74028</xdr:colOff>
      <xdr:row>45</xdr:row>
      <xdr:rowOff>28272</xdr:rowOff>
    </xdr:to>
    <xdr:pic>
      <xdr:nvPicPr>
        <xdr:cNvPr id="52" name="Picture 51">
          <a:extLst>
            <a:ext uri="{FF2B5EF4-FFF2-40B4-BE49-F238E27FC236}">
              <a16:creationId xmlns:a16="http://schemas.microsoft.com/office/drawing/2014/main" id="{2495DBF8-FF73-44AB-9405-00B9E0B7DB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 t="75988" r="1" b="1"/>
        <a:stretch/>
      </xdr:blipFill>
      <xdr:spPr>
        <a:xfrm>
          <a:off x="1009650" y="7969250"/>
          <a:ext cx="16352253" cy="2079323"/>
        </a:xfrm>
        <a:prstGeom prst="rect">
          <a:avLst/>
        </a:prstGeom>
      </xdr:spPr>
    </xdr:pic>
    <xdr:clientData/>
  </xdr:twoCellAnchor>
  <xdr:twoCellAnchor>
    <xdr:from>
      <xdr:col>0</xdr:col>
      <xdr:colOff>0</xdr:colOff>
      <xdr:row>0</xdr:row>
      <xdr:rowOff>0</xdr:rowOff>
    </xdr:from>
    <xdr:to>
      <xdr:col>4</xdr:col>
      <xdr:colOff>251013</xdr:colOff>
      <xdr:row>2</xdr:row>
      <xdr:rowOff>161363</xdr:rowOff>
    </xdr:to>
    <xdr:sp macro="" textlink="">
      <xdr:nvSpPr>
        <xdr:cNvPr id="33" name="Rectangle 32">
          <a:extLst>
            <a:ext uri="{FF2B5EF4-FFF2-40B4-BE49-F238E27FC236}">
              <a16:creationId xmlns:a16="http://schemas.microsoft.com/office/drawing/2014/main" id="{00000000-0008-0000-0600-000021000000}"/>
            </a:ext>
          </a:extLst>
        </xdr:cNvPr>
        <xdr:cNvSpPr/>
      </xdr:nvSpPr>
      <xdr:spPr>
        <a:xfrm>
          <a:off x="0" y="0"/>
          <a:ext cx="1461248" cy="56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56029</xdr:colOff>
      <xdr:row>3</xdr:row>
      <xdr:rowOff>134472</xdr:rowOff>
    </xdr:from>
    <xdr:to>
      <xdr:col>56</xdr:col>
      <xdr:colOff>261410</xdr:colOff>
      <xdr:row>5</xdr:row>
      <xdr:rowOff>142540</xdr:rowOff>
    </xdr:to>
    <xdr:sp macro="" textlink="">
      <xdr:nvSpPr>
        <xdr:cNvPr id="17" name="Arrow: Right 30">
          <a:hlinkClick xmlns:r="http://schemas.openxmlformats.org/officeDocument/2006/relationships" r:id="rId2" tooltip="Forward: Instructions"/>
          <a:extLst>
            <a:ext uri="{FF2B5EF4-FFF2-40B4-BE49-F238E27FC236}">
              <a16:creationId xmlns:a16="http://schemas.microsoft.com/office/drawing/2014/main" id="{00000000-0008-0000-0600-000011000000}"/>
            </a:ext>
            <a:ext uri="{147F2762-F138-4A5C-976F-8EAC2B608ADB}">
              <a16:predDERef xmlns:a16="http://schemas.microsoft.com/office/drawing/2014/main" pred="{00000000-0008-0000-0800-000037000000}"/>
            </a:ext>
          </a:extLst>
        </xdr:cNvPr>
        <xdr:cNvSpPr/>
      </xdr:nvSpPr>
      <xdr:spPr>
        <a:xfrm>
          <a:off x="16696764" y="739590"/>
          <a:ext cx="507940" cy="411479"/>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2" name="Rectangle 1">
          <a:hlinkClick xmlns:r="http://schemas.openxmlformats.org/officeDocument/2006/relationships" r:id="rId3" tooltip="Welcome"/>
          <a:extLst>
            <a:ext uri="{FF2B5EF4-FFF2-40B4-BE49-F238E27FC236}">
              <a16:creationId xmlns:a16="http://schemas.microsoft.com/office/drawing/2014/main" id="{00000000-0008-0000-0600-000002000000}"/>
            </a:ext>
          </a:extLst>
        </xdr:cNvPr>
        <xdr:cNvSpPr/>
      </xdr:nvSpPr>
      <xdr:spPr>
        <a:xfrm>
          <a:off x="1501587" y="11208"/>
          <a:ext cx="1221442" cy="605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56" name="Rectangle 55">
          <a:hlinkClick xmlns:r="http://schemas.openxmlformats.org/officeDocument/2006/relationships" r:id="rId2" tooltip="Instructions"/>
          <a:extLst>
            <a:ext uri="{FF2B5EF4-FFF2-40B4-BE49-F238E27FC236}">
              <a16:creationId xmlns:a16="http://schemas.microsoft.com/office/drawing/2014/main" id="{00000000-0008-0000-0600-000038000000}"/>
            </a:ext>
          </a:extLst>
        </xdr:cNvPr>
        <xdr:cNvSpPr/>
      </xdr:nvSpPr>
      <xdr:spPr>
        <a:xfrm>
          <a:off x="2726043" y="6725"/>
          <a:ext cx="1145802" cy="5895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0</xdr:colOff>
      <xdr:row>0</xdr:row>
      <xdr:rowOff>0</xdr:rowOff>
    </xdr:from>
    <xdr:to>
      <xdr:col>59</xdr:col>
      <xdr:colOff>0</xdr:colOff>
      <xdr:row>3</xdr:row>
      <xdr:rowOff>0</xdr:rowOff>
    </xdr:to>
    <xdr:sp macro="" textlink="">
      <xdr:nvSpPr>
        <xdr:cNvPr id="57" name="Rectangle 56">
          <a:hlinkClick xmlns:r="http://schemas.openxmlformats.org/officeDocument/2006/relationships" r:id="rId4" tooltip="Contact"/>
          <a:extLst>
            <a:ext uri="{FF2B5EF4-FFF2-40B4-BE49-F238E27FC236}">
              <a16:creationId xmlns:a16="http://schemas.microsoft.com/office/drawing/2014/main" id="{00000000-0008-0000-0600-000039000000}"/>
            </a:ext>
          </a:extLst>
        </xdr:cNvPr>
        <xdr:cNvSpPr/>
      </xdr:nvSpPr>
      <xdr:spPr>
        <a:xfrm>
          <a:off x="16640735" y="0"/>
          <a:ext cx="1210236" cy="605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41</xdr:col>
      <xdr:colOff>6723</xdr:colOff>
      <xdr:row>0</xdr:row>
      <xdr:rowOff>0</xdr:rowOff>
    </xdr:from>
    <xdr:to>
      <xdr:col>45</xdr:col>
      <xdr:colOff>17930</xdr:colOff>
      <xdr:row>3</xdr:row>
      <xdr:rowOff>0</xdr:rowOff>
    </xdr:to>
    <xdr:sp macro="" textlink="">
      <xdr:nvSpPr>
        <xdr:cNvPr id="58" name="Rectangle 57">
          <a:hlinkClick xmlns:r="http://schemas.openxmlformats.org/officeDocument/2006/relationships" r:id="rId5" tooltip=" "/>
          <a:extLst>
            <a:ext uri="{FF2B5EF4-FFF2-40B4-BE49-F238E27FC236}">
              <a16:creationId xmlns:a16="http://schemas.microsoft.com/office/drawing/2014/main" id="{00000000-0008-0000-0600-00003A000000}"/>
            </a:ext>
          </a:extLst>
        </xdr:cNvPr>
        <xdr:cNvSpPr/>
      </xdr:nvSpPr>
      <xdr:spPr>
        <a:xfrm>
          <a:off x="12411635" y="0"/>
          <a:ext cx="1221442" cy="605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44</xdr:col>
      <xdr:colOff>293594</xdr:colOff>
      <xdr:row>0</xdr:row>
      <xdr:rowOff>6723</xdr:rowOff>
    </xdr:from>
    <xdr:to>
      <xdr:col>49</xdr:col>
      <xdr:colOff>2241</xdr:colOff>
      <xdr:row>3</xdr:row>
      <xdr:rowOff>6723</xdr:rowOff>
    </xdr:to>
    <xdr:sp macro="" textlink="">
      <xdr:nvSpPr>
        <xdr:cNvPr id="59" name="Rectangle 58">
          <a:hlinkClick xmlns:r="http://schemas.openxmlformats.org/officeDocument/2006/relationships" r:id="rId6" tooltip=" "/>
          <a:extLst>
            <a:ext uri="{FF2B5EF4-FFF2-40B4-BE49-F238E27FC236}">
              <a16:creationId xmlns:a16="http://schemas.microsoft.com/office/drawing/2014/main" id="{00000000-0008-0000-0600-00003B000000}"/>
            </a:ext>
          </a:extLst>
        </xdr:cNvPr>
        <xdr:cNvSpPr/>
      </xdr:nvSpPr>
      <xdr:spPr>
        <a:xfrm>
          <a:off x="13606182" y="6723"/>
          <a:ext cx="1221441" cy="605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0</xdr:colOff>
      <xdr:row>0</xdr:row>
      <xdr:rowOff>100293</xdr:rowOff>
    </xdr:from>
    <xdr:to>
      <xdr:col>55</xdr:col>
      <xdr:colOff>9525</xdr:colOff>
      <xdr:row>2</xdr:row>
      <xdr:rowOff>128868</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16640735" y="100293"/>
          <a:ext cx="9525" cy="43198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0</xdr:colOff>
      <xdr:row>0</xdr:row>
      <xdr:rowOff>11206</xdr:rowOff>
    </xdr:from>
    <xdr:to>
      <xdr:col>59</xdr:col>
      <xdr:colOff>0</xdr:colOff>
      <xdr:row>3</xdr:row>
      <xdr:rowOff>11206</xdr:rowOff>
    </xdr:to>
    <xdr:sp macro="" textlink="">
      <xdr:nvSpPr>
        <xdr:cNvPr id="35" name="Rectangle 34">
          <a:hlinkClick xmlns:r="http://schemas.openxmlformats.org/officeDocument/2006/relationships" r:id="rId4" tooltip="Contact"/>
          <a:extLst>
            <a:ext uri="{FF2B5EF4-FFF2-40B4-BE49-F238E27FC236}">
              <a16:creationId xmlns:a16="http://schemas.microsoft.com/office/drawing/2014/main" id="{00000000-0008-0000-0600-000023000000}"/>
            </a:ext>
          </a:extLst>
        </xdr:cNvPr>
        <xdr:cNvSpPr/>
      </xdr:nvSpPr>
      <xdr:spPr>
        <a:xfrm>
          <a:off x="16640735" y="11206"/>
          <a:ext cx="1210236" cy="605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3" name="Rectangle 2">
          <a:extLst>
            <a:ext uri="{FF2B5EF4-FFF2-40B4-BE49-F238E27FC236}">
              <a16:creationId xmlns:a16="http://schemas.microsoft.com/office/drawing/2014/main" id="{00000000-0008-0000-0600-000003000000}"/>
            </a:ext>
          </a:extLst>
        </xdr:cNvPr>
        <xdr:cNvSpPr/>
      </xdr:nvSpPr>
      <xdr:spPr>
        <a:xfrm>
          <a:off x="14814177" y="0"/>
          <a:ext cx="1804146" cy="5939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18" name="Straight Connector 17">
          <a:extLst>
            <a:ext uri="{FF2B5EF4-FFF2-40B4-BE49-F238E27FC236}">
              <a16:creationId xmlns:a16="http://schemas.microsoft.com/office/drawing/2014/main" id="{00000000-0008-0000-0600-000012000000}"/>
            </a:ext>
          </a:extLst>
        </xdr:cNvPr>
        <xdr:cNvCxnSpPr/>
      </xdr:nvCxnSpPr>
      <xdr:spPr>
        <a:xfrm>
          <a:off x="1497666" y="100293"/>
          <a:ext cx="9525" cy="43198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153804</xdr:colOff>
      <xdr:row>0</xdr:row>
      <xdr:rowOff>151364</xdr:rowOff>
    </xdr:from>
    <xdr:to>
      <xdr:col>4</xdr:col>
      <xdr:colOff>18746</xdr:colOff>
      <xdr:row>2</xdr:row>
      <xdr:rowOff>45457</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3804" y="151364"/>
          <a:ext cx="1122242" cy="294143"/>
        </a:xfrm>
        <a:prstGeom prst="rect">
          <a:avLst/>
        </a:prstGeom>
      </xdr:spPr>
    </xdr:pic>
    <xdr:clientData/>
  </xdr:twoCellAnchor>
  <xdr:twoCellAnchor>
    <xdr:from>
      <xdr:col>49</xdr:col>
      <xdr:colOff>11787</xdr:colOff>
      <xdr:row>0</xdr:row>
      <xdr:rowOff>100293</xdr:rowOff>
    </xdr:from>
    <xdr:to>
      <xdr:col>49</xdr:col>
      <xdr:colOff>21312</xdr:colOff>
      <xdr:row>2</xdr:row>
      <xdr:rowOff>128868</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14837169" y="100293"/>
          <a:ext cx="9525" cy="43198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298657</xdr:colOff>
      <xdr:row>0</xdr:row>
      <xdr:rowOff>100293</xdr:rowOff>
    </xdr:from>
    <xdr:to>
      <xdr:col>9</xdr:col>
      <xdr:colOff>5624</xdr:colOff>
      <xdr:row>2</xdr:row>
      <xdr:rowOff>128868</xdr:rowOff>
    </xdr:to>
    <xdr:cxnSp macro="">
      <xdr:nvCxnSpPr>
        <xdr:cNvPr id="22" name="Straight Connector 21">
          <a:extLst>
            <a:ext uri="{FF2B5EF4-FFF2-40B4-BE49-F238E27FC236}">
              <a16:creationId xmlns:a16="http://schemas.microsoft.com/office/drawing/2014/main" id="{00000000-0008-0000-0600-000016000000}"/>
            </a:ext>
          </a:extLst>
        </xdr:cNvPr>
        <xdr:cNvCxnSpPr/>
      </xdr:nvCxnSpPr>
      <xdr:spPr>
        <a:xfrm>
          <a:off x="2719128" y="100293"/>
          <a:ext cx="9525" cy="43198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22873</xdr:colOff>
      <xdr:row>0</xdr:row>
      <xdr:rowOff>0</xdr:rowOff>
    </xdr:from>
    <xdr:to>
      <xdr:col>55</xdr:col>
      <xdr:colOff>0</xdr:colOff>
      <xdr:row>2</xdr:row>
      <xdr:rowOff>186186</xdr:rowOff>
    </xdr:to>
    <xdr:sp macro="" textlink="">
      <xdr:nvSpPr>
        <xdr:cNvPr id="23" name="Rectangle 22">
          <a:hlinkClick xmlns:r="http://schemas.openxmlformats.org/officeDocument/2006/relationships" r:id="rId8" tooltip="Incentive Rates &amp; Requirements"/>
          <a:extLst>
            <a:ext uri="{FF2B5EF4-FFF2-40B4-BE49-F238E27FC236}">
              <a16:creationId xmlns:a16="http://schemas.microsoft.com/office/drawing/2014/main" id="{00000000-0008-0000-0600-000017000000}"/>
            </a:ext>
          </a:extLst>
        </xdr:cNvPr>
        <xdr:cNvSpPr/>
      </xdr:nvSpPr>
      <xdr:spPr>
        <a:xfrm>
          <a:off x="14848255" y="0"/>
          <a:ext cx="1792480" cy="5895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64995</xdr:colOff>
      <xdr:row>41</xdr:row>
      <xdr:rowOff>188260</xdr:rowOff>
    </xdr:from>
    <xdr:to>
      <xdr:col>10</xdr:col>
      <xdr:colOff>44825</xdr:colOff>
      <xdr:row>44</xdr:row>
      <xdr:rowOff>33618</xdr:rowOff>
    </xdr:to>
    <xdr:sp macro="" textlink="">
      <xdr:nvSpPr>
        <xdr:cNvPr id="28" name="Rectangle 27">
          <a:hlinkClick xmlns:r="http://schemas.openxmlformats.org/officeDocument/2006/relationships" r:id="rId9" tooltip="PSE&amp;G Energy Efficiency Programs"/>
          <a:extLst>
            <a:ext uri="{FF2B5EF4-FFF2-40B4-BE49-F238E27FC236}">
              <a16:creationId xmlns:a16="http://schemas.microsoft.com/office/drawing/2014/main" id="{00000000-0008-0000-0600-00001C000000}"/>
            </a:ext>
          </a:extLst>
        </xdr:cNvPr>
        <xdr:cNvSpPr/>
      </xdr:nvSpPr>
      <xdr:spPr>
        <a:xfrm>
          <a:off x="1577789" y="9477936"/>
          <a:ext cx="1492624" cy="450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100854</xdr:colOff>
      <xdr:row>41</xdr:row>
      <xdr:rowOff>183778</xdr:rowOff>
    </xdr:from>
    <xdr:to>
      <xdr:col>15</xdr:col>
      <xdr:colOff>56031</xdr:colOff>
      <xdr:row>44</xdr:row>
      <xdr:rowOff>29136</xdr:rowOff>
    </xdr:to>
    <xdr:sp macro="" textlink="">
      <xdr:nvSpPr>
        <xdr:cNvPr id="29" name="Rectangle 28">
          <a:hlinkClick xmlns:r="http://schemas.openxmlformats.org/officeDocument/2006/relationships" r:id="rId10" tooltip="Online Incentive Application"/>
          <a:extLst>
            <a:ext uri="{FF2B5EF4-FFF2-40B4-BE49-F238E27FC236}">
              <a16:creationId xmlns:a16="http://schemas.microsoft.com/office/drawing/2014/main" id="{00000000-0008-0000-0600-00001D000000}"/>
            </a:ext>
          </a:extLst>
        </xdr:cNvPr>
        <xdr:cNvSpPr/>
      </xdr:nvSpPr>
      <xdr:spPr>
        <a:xfrm>
          <a:off x="3429001" y="9473454"/>
          <a:ext cx="1165412" cy="450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246531</xdr:colOff>
      <xdr:row>42</xdr:row>
      <xdr:rowOff>4484</xdr:rowOff>
    </xdr:from>
    <xdr:to>
      <xdr:col>20</xdr:col>
      <xdr:colOff>226361</xdr:colOff>
      <xdr:row>44</xdr:row>
      <xdr:rowOff>51548</xdr:rowOff>
    </xdr:to>
    <xdr:sp macro="" textlink="">
      <xdr:nvSpPr>
        <xdr:cNvPr id="31" name="Rectangle 30">
          <a:hlinkClick xmlns:r="http://schemas.openxmlformats.org/officeDocument/2006/relationships" r:id="rId11" tooltip="Prescriptive/Custom Program Brochure"/>
          <a:extLst>
            <a:ext uri="{FF2B5EF4-FFF2-40B4-BE49-F238E27FC236}">
              <a16:creationId xmlns:a16="http://schemas.microsoft.com/office/drawing/2014/main" id="{00000000-0008-0000-0600-00001F000000}"/>
            </a:ext>
          </a:extLst>
        </xdr:cNvPr>
        <xdr:cNvSpPr/>
      </xdr:nvSpPr>
      <xdr:spPr>
        <a:xfrm>
          <a:off x="4784913" y="9495866"/>
          <a:ext cx="1492624" cy="450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152401</xdr:colOff>
      <xdr:row>42</xdr:row>
      <xdr:rowOff>1</xdr:rowOff>
    </xdr:from>
    <xdr:to>
      <xdr:col>24</xdr:col>
      <xdr:colOff>112059</xdr:colOff>
      <xdr:row>44</xdr:row>
      <xdr:rowOff>47065</xdr:rowOff>
    </xdr:to>
    <xdr:sp macro="" textlink="">
      <xdr:nvSpPr>
        <xdr:cNvPr id="32" name="Rectangle 31">
          <a:hlinkClick xmlns:r="http://schemas.openxmlformats.org/officeDocument/2006/relationships" r:id="rId12" tooltip="Terms &amp; Conditions"/>
          <a:extLst>
            <a:ext uri="{FF2B5EF4-FFF2-40B4-BE49-F238E27FC236}">
              <a16:creationId xmlns:a16="http://schemas.microsoft.com/office/drawing/2014/main" id="{00000000-0008-0000-0600-000020000000}"/>
            </a:ext>
          </a:extLst>
        </xdr:cNvPr>
        <xdr:cNvSpPr/>
      </xdr:nvSpPr>
      <xdr:spPr>
        <a:xfrm>
          <a:off x="6506136" y="9491383"/>
          <a:ext cx="867335" cy="450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285004</xdr:colOff>
      <xdr:row>41</xdr:row>
      <xdr:rowOff>171451</xdr:rowOff>
    </xdr:from>
    <xdr:to>
      <xdr:col>28</xdr:col>
      <xdr:colOff>135592</xdr:colOff>
      <xdr:row>44</xdr:row>
      <xdr:rowOff>16809</xdr:rowOff>
    </xdr:to>
    <xdr:sp macro="" textlink="">
      <xdr:nvSpPr>
        <xdr:cNvPr id="34" name="Rectangle 33">
          <a:hlinkClick xmlns:r="http://schemas.openxmlformats.org/officeDocument/2006/relationships" r:id="rId13" tooltip="OBR: Repayment Agreement"/>
          <a:extLst>
            <a:ext uri="{FF2B5EF4-FFF2-40B4-BE49-F238E27FC236}">
              <a16:creationId xmlns:a16="http://schemas.microsoft.com/office/drawing/2014/main" id="{00000000-0008-0000-0600-000022000000}"/>
            </a:ext>
          </a:extLst>
        </xdr:cNvPr>
        <xdr:cNvSpPr/>
      </xdr:nvSpPr>
      <xdr:spPr>
        <a:xfrm>
          <a:off x="7828804" y="9391651"/>
          <a:ext cx="1107888" cy="4454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208430</xdr:colOff>
      <xdr:row>41</xdr:row>
      <xdr:rowOff>190501</xdr:rowOff>
    </xdr:from>
    <xdr:to>
      <xdr:col>32</xdr:col>
      <xdr:colOff>114674</xdr:colOff>
      <xdr:row>44</xdr:row>
      <xdr:rowOff>35859</xdr:rowOff>
    </xdr:to>
    <xdr:sp macro="" textlink="">
      <xdr:nvSpPr>
        <xdr:cNvPr id="36" name="Rectangle 35">
          <a:hlinkClick xmlns:r="http://schemas.openxmlformats.org/officeDocument/2006/relationships" r:id="rId14" tooltip="Trade Ally Resources"/>
          <a:extLst>
            <a:ext uri="{FF2B5EF4-FFF2-40B4-BE49-F238E27FC236}">
              <a16:creationId xmlns:a16="http://schemas.microsoft.com/office/drawing/2014/main" id="{00000000-0008-0000-0600-000024000000}"/>
            </a:ext>
          </a:extLst>
        </xdr:cNvPr>
        <xdr:cNvSpPr/>
      </xdr:nvSpPr>
      <xdr:spPr>
        <a:xfrm>
          <a:off x="9323855" y="9410701"/>
          <a:ext cx="849219" cy="4454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141755</xdr:colOff>
      <xdr:row>41</xdr:row>
      <xdr:rowOff>163420</xdr:rowOff>
    </xdr:from>
    <xdr:to>
      <xdr:col>38</xdr:col>
      <xdr:colOff>106644</xdr:colOff>
      <xdr:row>44</xdr:row>
      <xdr:rowOff>8778</xdr:rowOff>
    </xdr:to>
    <xdr:sp macro="" textlink="">
      <xdr:nvSpPr>
        <xdr:cNvPr id="37" name="Rectangle 36">
          <a:hlinkClick xmlns:r="http://schemas.openxmlformats.org/officeDocument/2006/relationships" r:id="rId15" tooltip="ENERGY STAR Certified Products"/>
          <a:extLst>
            <a:ext uri="{FF2B5EF4-FFF2-40B4-BE49-F238E27FC236}">
              <a16:creationId xmlns:a16="http://schemas.microsoft.com/office/drawing/2014/main" id="{00000000-0008-0000-0600-000025000000}"/>
            </a:ext>
          </a:extLst>
        </xdr:cNvPr>
        <xdr:cNvSpPr/>
      </xdr:nvSpPr>
      <xdr:spPr>
        <a:xfrm>
          <a:off x="10514480" y="9383620"/>
          <a:ext cx="1536514" cy="4454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11767</xdr:colOff>
      <xdr:row>41</xdr:row>
      <xdr:rowOff>160432</xdr:rowOff>
    </xdr:from>
    <xdr:to>
      <xdr:col>42</xdr:col>
      <xdr:colOff>189380</xdr:colOff>
      <xdr:row>44</xdr:row>
      <xdr:rowOff>12140</xdr:rowOff>
    </xdr:to>
    <xdr:sp macro="" textlink="">
      <xdr:nvSpPr>
        <xdr:cNvPr id="38" name="Rectangle 37">
          <a:hlinkClick xmlns:r="http://schemas.openxmlformats.org/officeDocument/2006/relationships" r:id="rId16" tooltip="CEE Qualifying Products List"/>
          <a:extLst>
            <a:ext uri="{FF2B5EF4-FFF2-40B4-BE49-F238E27FC236}">
              <a16:creationId xmlns:a16="http://schemas.microsoft.com/office/drawing/2014/main" id="{00000000-0008-0000-0600-000026000000}"/>
            </a:ext>
          </a:extLst>
        </xdr:cNvPr>
        <xdr:cNvSpPr/>
      </xdr:nvSpPr>
      <xdr:spPr>
        <a:xfrm>
          <a:off x="12270442" y="9380632"/>
          <a:ext cx="1120588" cy="4517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268942</xdr:colOff>
      <xdr:row>41</xdr:row>
      <xdr:rowOff>160432</xdr:rowOff>
    </xdr:from>
    <xdr:to>
      <xdr:col>47</xdr:col>
      <xdr:colOff>140260</xdr:colOff>
      <xdr:row>44</xdr:row>
      <xdr:rowOff>12140</xdr:rowOff>
    </xdr:to>
    <xdr:sp macro="" textlink="">
      <xdr:nvSpPr>
        <xdr:cNvPr id="39" name="Rectangle 38">
          <a:hlinkClick xmlns:r="http://schemas.openxmlformats.org/officeDocument/2006/relationships" r:id="rId17" tooltip="DLC Qualified Products List"/>
          <a:extLst>
            <a:ext uri="{FF2B5EF4-FFF2-40B4-BE49-F238E27FC236}">
              <a16:creationId xmlns:a16="http://schemas.microsoft.com/office/drawing/2014/main" id="{00000000-0008-0000-0600-000027000000}"/>
            </a:ext>
          </a:extLst>
        </xdr:cNvPr>
        <xdr:cNvSpPr/>
      </xdr:nvSpPr>
      <xdr:spPr>
        <a:xfrm>
          <a:off x="13784917" y="9380632"/>
          <a:ext cx="1128618" cy="4517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49</xdr:col>
      <xdr:colOff>95997</xdr:colOff>
      <xdr:row>41</xdr:row>
      <xdr:rowOff>177988</xdr:rowOff>
    </xdr:from>
    <xdr:to>
      <xdr:col>51</xdr:col>
      <xdr:colOff>306667</xdr:colOff>
      <xdr:row>44</xdr:row>
      <xdr:rowOff>20171</xdr:rowOff>
    </xdr:to>
    <xdr:sp macro="" textlink="">
      <xdr:nvSpPr>
        <xdr:cNvPr id="40" name="Rectangle 39">
          <a:hlinkClick xmlns:r="http://schemas.openxmlformats.org/officeDocument/2006/relationships" r:id="rId18" tooltip="AHRI Directory"/>
          <a:extLst>
            <a:ext uri="{FF2B5EF4-FFF2-40B4-BE49-F238E27FC236}">
              <a16:creationId xmlns:a16="http://schemas.microsoft.com/office/drawing/2014/main" id="{00000000-0008-0000-0600-000028000000}"/>
            </a:ext>
          </a:extLst>
        </xdr:cNvPr>
        <xdr:cNvSpPr/>
      </xdr:nvSpPr>
      <xdr:spPr>
        <a:xfrm>
          <a:off x="15497922" y="9398188"/>
          <a:ext cx="839320" cy="4422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42" name="Rectangle 41">
          <a:hlinkClick xmlns:r="http://schemas.openxmlformats.org/officeDocument/2006/relationships" r:id="rId19" tooltip=" "/>
          <a:extLst>
            <a:ext uri="{FF2B5EF4-FFF2-40B4-BE49-F238E27FC236}">
              <a16:creationId xmlns:a16="http://schemas.microsoft.com/office/drawing/2014/main" id="{00000000-0008-0000-0600-00002A000000}"/>
            </a:ext>
          </a:extLst>
        </xdr:cNvPr>
        <xdr:cNvSpPr/>
      </xdr:nvSpPr>
      <xdr:spPr>
        <a:xfrm>
          <a:off x="112663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14104</xdr:colOff>
      <xdr:row>0</xdr:row>
      <xdr:rowOff>87864</xdr:rowOff>
    </xdr:from>
    <xdr:to>
      <xdr:col>4</xdr:col>
      <xdr:colOff>227231</xdr:colOff>
      <xdr:row>2</xdr:row>
      <xdr:rowOff>64582</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0"/>
        <a:stretch>
          <a:fillRect/>
        </a:stretch>
      </xdr:blipFill>
      <xdr:spPr>
        <a:xfrm>
          <a:off x="14104" y="87864"/>
          <a:ext cx="1483127" cy="389468"/>
        </a:xfrm>
        <a:prstGeom prst="rect">
          <a:avLst/>
        </a:prstGeom>
      </xdr:spPr>
    </xdr:pic>
    <xdr:clientData/>
  </xdr:twoCellAnchor>
  <xdr:twoCellAnchor>
    <xdr:from>
      <xdr:col>23</xdr:col>
      <xdr:colOff>302934</xdr:colOff>
      <xdr:row>18</xdr:row>
      <xdr:rowOff>27081</xdr:rowOff>
    </xdr:from>
    <xdr:to>
      <xdr:col>27</xdr:col>
      <xdr:colOff>0</xdr:colOff>
      <xdr:row>18</xdr:row>
      <xdr:rowOff>171450</xdr:rowOff>
    </xdr:to>
    <xdr:sp macro="" textlink="">
      <xdr:nvSpPr>
        <xdr:cNvPr id="43" name="Rectangle 41">
          <a:hlinkClick xmlns:r="http://schemas.openxmlformats.org/officeDocument/2006/relationships" r:id="rId21" tooltip="Trade Ally List"/>
          <a:extLst>
            <a:ext uri="{FF2B5EF4-FFF2-40B4-BE49-F238E27FC236}">
              <a16:creationId xmlns:a16="http://schemas.microsoft.com/office/drawing/2014/main" id="{928DFF16-C1C3-41B5-8BDB-A46278E0B7DB}"/>
            </a:ext>
          </a:extLst>
        </xdr:cNvPr>
        <xdr:cNvSpPr/>
      </xdr:nvSpPr>
      <xdr:spPr>
        <a:xfrm>
          <a:off x="7532409" y="3830731"/>
          <a:ext cx="954366" cy="1411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293407</xdr:colOff>
      <xdr:row>18</xdr:row>
      <xdr:rowOff>8405</xdr:rowOff>
    </xdr:from>
    <xdr:to>
      <xdr:col>27</xdr:col>
      <xdr:colOff>183963</xdr:colOff>
      <xdr:row>19</xdr:row>
      <xdr:rowOff>28575</xdr:rowOff>
    </xdr:to>
    <xdr:sp macro="" textlink="">
      <xdr:nvSpPr>
        <xdr:cNvPr id="46" name="Rectangle 40">
          <a:hlinkClick xmlns:r="http://schemas.openxmlformats.org/officeDocument/2006/relationships" r:id="rId22" tooltip="Incentive Guide"/>
          <a:extLst>
            <a:ext uri="{FF2B5EF4-FFF2-40B4-BE49-F238E27FC236}">
              <a16:creationId xmlns:a16="http://schemas.microsoft.com/office/drawing/2014/main" id="{414C2B35-5CFA-4178-A64A-2618ACE739D3}"/>
            </a:ext>
          </a:extLst>
        </xdr:cNvPr>
        <xdr:cNvSpPr/>
      </xdr:nvSpPr>
      <xdr:spPr>
        <a:xfrm>
          <a:off x="7522882" y="3808880"/>
          <a:ext cx="1147856" cy="2201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234951</xdr:colOff>
      <xdr:row>28</xdr:row>
      <xdr:rowOff>19050</xdr:rowOff>
    </xdr:from>
    <xdr:to>
      <xdr:col>15</xdr:col>
      <xdr:colOff>190501</xdr:colOff>
      <xdr:row>29</xdr:row>
      <xdr:rowOff>9525</xdr:rowOff>
    </xdr:to>
    <xdr:sp macro="" textlink="">
      <xdr:nvSpPr>
        <xdr:cNvPr id="49" name="Rectangle 40">
          <a:hlinkClick xmlns:r="http://schemas.openxmlformats.org/officeDocument/2006/relationships" r:id="rId23" tooltip="Incentive Guide"/>
          <a:extLst>
            <a:ext uri="{FF2B5EF4-FFF2-40B4-BE49-F238E27FC236}">
              <a16:creationId xmlns:a16="http://schemas.microsoft.com/office/drawing/2014/main" id="{74DD7E2D-0C6B-4BFA-85A8-4F93DD3006C7}"/>
            </a:ext>
          </a:extLst>
        </xdr:cNvPr>
        <xdr:cNvSpPr/>
      </xdr:nvSpPr>
      <xdr:spPr>
        <a:xfrm>
          <a:off x="4324351" y="5819775"/>
          <a:ext cx="581025" cy="187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285750</xdr:colOff>
      <xdr:row>28</xdr:row>
      <xdr:rowOff>0</xdr:rowOff>
    </xdr:from>
    <xdr:to>
      <xdr:col>48</xdr:col>
      <xdr:colOff>47626</xdr:colOff>
      <xdr:row>29</xdr:row>
      <xdr:rowOff>934</xdr:rowOff>
    </xdr:to>
    <xdr:sp macro="" textlink="">
      <xdr:nvSpPr>
        <xdr:cNvPr id="50" name="Rectangle 49">
          <a:hlinkClick xmlns:r="http://schemas.openxmlformats.org/officeDocument/2006/relationships" r:id="rId24" tooltip="Energy Management Incentives"/>
          <a:extLst>
            <a:ext uri="{FF2B5EF4-FFF2-40B4-BE49-F238E27FC236}">
              <a16:creationId xmlns:a16="http://schemas.microsoft.com/office/drawing/2014/main" id="{23CCB7A7-3144-4790-860E-D106432A047B}"/>
            </a:ext>
          </a:extLst>
        </xdr:cNvPr>
        <xdr:cNvSpPr/>
      </xdr:nvSpPr>
      <xdr:spPr>
        <a:xfrm>
          <a:off x="11601450" y="5800725"/>
          <a:ext cx="3530601" cy="2009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57150</xdr:colOff>
      <xdr:row>28</xdr:row>
      <xdr:rowOff>190500</xdr:rowOff>
    </xdr:from>
    <xdr:to>
      <xdr:col>48</xdr:col>
      <xdr:colOff>292475</xdr:colOff>
      <xdr:row>30</xdr:row>
      <xdr:rowOff>40900</xdr:rowOff>
    </xdr:to>
    <xdr:sp macro="" textlink="">
      <xdr:nvSpPr>
        <xdr:cNvPr id="51" name="Rectangle 50">
          <a:hlinkClick xmlns:r="http://schemas.openxmlformats.org/officeDocument/2006/relationships" r:id="rId25" tooltip="Small Business Direct Install Incentives"/>
          <a:extLst>
            <a:ext uri="{FF2B5EF4-FFF2-40B4-BE49-F238E27FC236}">
              <a16:creationId xmlns:a16="http://schemas.microsoft.com/office/drawing/2014/main" id="{C94AB547-9EF9-4E1F-B4F4-DD1F39C7FB84}"/>
            </a:ext>
          </a:extLst>
        </xdr:cNvPr>
        <xdr:cNvSpPr/>
      </xdr:nvSpPr>
      <xdr:spPr>
        <a:xfrm>
          <a:off x="11372850" y="5991225"/>
          <a:ext cx="4010400" cy="250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295275</xdr:colOff>
      <xdr:row>2</xdr:row>
      <xdr:rowOff>164538</xdr:rowOff>
    </xdr:to>
    <xdr:sp macro="" textlink="">
      <xdr:nvSpPr>
        <xdr:cNvPr id="15" name="Rectangle 14">
          <a:extLst>
            <a:ext uri="{FF2B5EF4-FFF2-40B4-BE49-F238E27FC236}">
              <a16:creationId xmlns:a16="http://schemas.microsoft.com/office/drawing/2014/main" id="{00000000-0008-0000-2200-00000F000000}"/>
            </a:ext>
          </a:extLst>
        </xdr:cNvPr>
        <xdr:cNvSpPr/>
      </xdr:nvSpPr>
      <xdr:spPr>
        <a:xfrm>
          <a:off x="0" y="0"/>
          <a:ext cx="1552575" cy="5645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18302</xdr:colOff>
      <xdr:row>0</xdr:row>
      <xdr:rowOff>0</xdr:rowOff>
    </xdr:from>
    <xdr:to>
      <xdr:col>9</xdr:col>
      <xdr:colOff>38100</xdr:colOff>
      <xdr:row>3</xdr:row>
      <xdr:rowOff>0</xdr:rowOff>
    </xdr:to>
    <xdr:sp macro="" textlink="">
      <xdr:nvSpPr>
        <xdr:cNvPr id="16" name="Rectangle 15">
          <a:hlinkClick xmlns:r="http://schemas.openxmlformats.org/officeDocument/2006/relationships" r:id="rId1" tooltip="Welcome"/>
          <a:extLst>
            <a:ext uri="{FF2B5EF4-FFF2-40B4-BE49-F238E27FC236}">
              <a16:creationId xmlns:a16="http://schemas.microsoft.com/office/drawing/2014/main" id="{00000000-0008-0000-2200-000010000000}"/>
            </a:ext>
          </a:extLst>
        </xdr:cNvPr>
        <xdr:cNvSpPr/>
      </xdr:nvSpPr>
      <xdr:spPr>
        <a:xfrm>
          <a:off x="158992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7" name="Rectangle 16">
          <a:hlinkClick xmlns:r="http://schemas.openxmlformats.org/officeDocument/2006/relationships" r:id="rId2" tooltip="Instructions"/>
          <a:extLst>
            <a:ext uri="{FF2B5EF4-FFF2-40B4-BE49-F238E27FC236}">
              <a16:creationId xmlns:a16="http://schemas.microsoft.com/office/drawing/2014/main" id="{00000000-0008-0000-2200-000011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302559</xdr:colOff>
      <xdr:row>0</xdr:row>
      <xdr:rowOff>0</xdr:rowOff>
    </xdr:from>
    <xdr:to>
      <xdr:col>63</xdr:col>
      <xdr:colOff>0</xdr:colOff>
      <xdr:row>3</xdr:row>
      <xdr:rowOff>0</xdr:rowOff>
    </xdr:to>
    <xdr:sp macro="" textlink="">
      <xdr:nvSpPr>
        <xdr:cNvPr id="18" name="Rectangle 17">
          <a:hlinkClick xmlns:r="http://schemas.openxmlformats.org/officeDocument/2006/relationships" r:id="rId3" tooltip="Contact"/>
          <a:extLst>
            <a:ext uri="{FF2B5EF4-FFF2-40B4-BE49-F238E27FC236}">
              <a16:creationId xmlns:a16="http://schemas.microsoft.com/office/drawing/2014/main" id="{00000000-0008-0000-2200-000012000000}"/>
            </a:ext>
          </a:extLst>
        </xdr:cNvPr>
        <xdr:cNvSpPr/>
      </xdr:nvSpPr>
      <xdr:spPr>
        <a:xfrm>
          <a:off x="16761759" y="0"/>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293594</xdr:colOff>
      <xdr:row>0</xdr:row>
      <xdr:rowOff>6723</xdr:rowOff>
    </xdr:from>
    <xdr:to>
      <xdr:col>53</xdr:col>
      <xdr:colOff>2241</xdr:colOff>
      <xdr:row>3</xdr:row>
      <xdr:rowOff>6723</xdr:rowOff>
    </xdr:to>
    <xdr:sp macro="" textlink="">
      <xdr:nvSpPr>
        <xdr:cNvPr id="20" name="Rectangle 19">
          <a:hlinkClick xmlns:r="http://schemas.openxmlformats.org/officeDocument/2006/relationships" r:id="rId4" tooltip=" "/>
          <a:extLst>
            <a:ext uri="{FF2B5EF4-FFF2-40B4-BE49-F238E27FC236}">
              <a16:creationId xmlns:a16="http://schemas.microsoft.com/office/drawing/2014/main" id="{00000000-0008-0000-2200-000014000000}"/>
            </a:ext>
          </a:extLst>
        </xdr:cNvPr>
        <xdr:cNvSpPr/>
      </xdr:nvSpPr>
      <xdr:spPr>
        <a:xfrm>
          <a:off x="137047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0</xdr:colOff>
      <xdr:row>0</xdr:row>
      <xdr:rowOff>100293</xdr:rowOff>
    </xdr:from>
    <xdr:to>
      <xdr:col>59</xdr:col>
      <xdr:colOff>9525</xdr:colOff>
      <xdr:row>2</xdr:row>
      <xdr:rowOff>128868</xdr:rowOff>
    </xdr:to>
    <xdr:cxnSp macro="">
      <xdr:nvCxnSpPr>
        <xdr:cNvPr id="21" name="Straight Connector 20">
          <a:extLst>
            <a:ext uri="{FF2B5EF4-FFF2-40B4-BE49-F238E27FC236}">
              <a16:creationId xmlns:a16="http://schemas.microsoft.com/office/drawing/2014/main" id="{00000000-0008-0000-2200-000015000000}"/>
            </a:ext>
          </a:extLst>
        </xdr:cNvPr>
        <xdr:cNvCxnSpPr/>
      </xdr:nvCxnSpPr>
      <xdr:spPr>
        <a:xfrm>
          <a:off x="16764000"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302559</xdr:colOff>
      <xdr:row>0</xdr:row>
      <xdr:rowOff>11206</xdr:rowOff>
    </xdr:from>
    <xdr:to>
      <xdr:col>63</xdr:col>
      <xdr:colOff>0</xdr:colOff>
      <xdr:row>3</xdr:row>
      <xdr:rowOff>11206</xdr:rowOff>
    </xdr:to>
    <xdr:sp macro="" textlink="">
      <xdr:nvSpPr>
        <xdr:cNvPr id="22" name="Rectangle 21">
          <a:hlinkClick xmlns:r="http://schemas.openxmlformats.org/officeDocument/2006/relationships" r:id="rId3" tooltip="Contact"/>
          <a:extLst>
            <a:ext uri="{FF2B5EF4-FFF2-40B4-BE49-F238E27FC236}">
              <a16:creationId xmlns:a16="http://schemas.microsoft.com/office/drawing/2014/main" id="{00000000-0008-0000-2200-000016000000}"/>
            </a:ext>
          </a:extLst>
        </xdr:cNvPr>
        <xdr:cNvSpPr/>
      </xdr:nvSpPr>
      <xdr:spPr>
        <a:xfrm>
          <a:off x="16761759" y="11206"/>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291353</xdr:colOff>
      <xdr:row>0</xdr:row>
      <xdr:rowOff>0</xdr:rowOff>
    </xdr:from>
    <xdr:to>
      <xdr:col>58</xdr:col>
      <xdr:colOff>280147</xdr:colOff>
      <xdr:row>2</xdr:row>
      <xdr:rowOff>190500</xdr:rowOff>
    </xdr:to>
    <xdr:sp macro="" textlink="">
      <xdr:nvSpPr>
        <xdr:cNvPr id="23" name="Rectangle 22">
          <a:extLst>
            <a:ext uri="{FF2B5EF4-FFF2-40B4-BE49-F238E27FC236}">
              <a16:creationId xmlns:a16="http://schemas.microsoft.com/office/drawing/2014/main" id="{00000000-0008-0000-2200-000017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1681</xdr:colOff>
      <xdr:row>0</xdr:row>
      <xdr:rowOff>74893</xdr:rowOff>
    </xdr:from>
    <xdr:to>
      <xdr:col>5</xdr:col>
      <xdr:colOff>8031</xdr:colOff>
      <xdr:row>2</xdr:row>
      <xdr:rowOff>97118</xdr:rowOff>
    </xdr:to>
    <xdr:cxnSp macro="">
      <xdr:nvCxnSpPr>
        <xdr:cNvPr id="24" name="Straight Connector 23">
          <a:extLst>
            <a:ext uri="{FF2B5EF4-FFF2-40B4-BE49-F238E27FC236}">
              <a16:creationId xmlns:a16="http://schemas.microsoft.com/office/drawing/2014/main" id="{00000000-0008-0000-2200-000018000000}"/>
            </a:ext>
          </a:extLst>
        </xdr:cNvPr>
        <xdr:cNvCxnSpPr/>
      </xdr:nvCxnSpPr>
      <xdr:spPr>
        <a:xfrm>
          <a:off x="1573306" y="74893"/>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284811</xdr:colOff>
      <xdr:row>2</xdr:row>
      <xdr:rowOff>54347</xdr:rowOff>
    </xdr:to>
    <xdr:pic>
      <xdr:nvPicPr>
        <xdr:cNvPr id="25" name="Picture 24">
          <a:extLst>
            <a:ext uri="{FF2B5EF4-FFF2-40B4-BE49-F238E27FC236}">
              <a16:creationId xmlns:a16="http://schemas.microsoft.com/office/drawing/2014/main" id="{00000000-0008-0000-22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53</xdr:col>
      <xdr:colOff>11787</xdr:colOff>
      <xdr:row>0</xdr:row>
      <xdr:rowOff>100293</xdr:rowOff>
    </xdr:from>
    <xdr:to>
      <xdr:col>53</xdr:col>
      <xdr:colOff>21312</xdr:colOff>
      <xdr:row>2</xdr:row>
      <xdr:rowOff>128868</xdr:rowOff>
    </xdr:to>
    <xdr:cxnSp macro="">
      <xdr:nvCxnSpPr>
        <xdr:cNvPr id="26" name="Straight Connector 25">
          <a:extLst>
            <a:ext uri="{FF2B5EF4-FFF2-40B4-BE49-F238E27FC236}">
              <a16:creationId xmlns:a16="http://schemas.microsoft.com/office/drawing/2014/main" id="{00000000-0008-0000-2200-00001A000000}"/>
            </a:ext>
          </a:extLst>
        </xdr:cNvPr>
        <xdr:cNvCxnSpPr/>
      </xdr:nvCxnSpPr>
      <xdr:spPr>
        <a:xfrm>
          <a:off x="14946987"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305007</xdr:colOff>
      <xdr:row>0</xdr:row>
      <xdr:rowOff>47625</xdr:rowOff>
    </xdr:from>
    <xdr:to>
      <xdr:col>8</xdr:col>
      <xdr:colOff>311150</xdr:colOff>
      <xdr:row>2</xdr:row>
      <xdr:rowOff>96557</xdr:rowOff>
    </xdr:to>
    <xdr:cxnSp macro="">
      <xdr:nvCxnSpPr>
        <xdr:cNvPr id="27" name="Straight Connector 26">
          <a:extLst>
            <a:ext uri="{FF2B5EF4-FFF2-40B4-BE49-F238E27FC236}">
              <a16:creationId xmlns:a16="http://schemas.microsoft.com/office/drawing/2014/main" id="{00000000-0008-0000-2200-00001B000000}"/>
            </a:ext>
          </a:extLst>
        </xdr:cNvPr>
        <xdr:cNvCxnSpPr/>
      </xdr:nvCxnSpPr>
      <xdr:spPr>
        <a:xfrm>
          <a:off x="2819607" y="47625"/>
          <a:ext cx="6143" cy="44898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22873</xdr:colOff>
      <xdr:row>0</xdr:row>
      <xdr:rowOff>0</xdr:rowOff>
    </xdr:from>
    <xdr:to>
      <xdr:col>59</xdr:col>
      <xdr:colOff>0</xdr:colOff>
      <xdr:row>2</xdr:row>
      <xdr:rowOff>186186</xdr:rowOff>
    </xdr:to>
    <xdr:sp macro="" textlink="">
      <xdr:nvSpPr>
        <xdr:cNvPr id="28" name="Rectangle 27">
          <a:hlinkClick xmlns:r="http://schemas.openxmlformats.org/officeDocument/2006/relationships" r:id="rId6" tooltip="Incentive Rates &amp; Requirements"/>
          <a:extLst>
            <a:ext uri="{FF2B5EF4-FFF2-40B4-BE49-F238E27FC236}">
              <a16:creationId xmlns:a16="http://schemas.microsoft.com/office/drawing/2014/main" id="{00000000-0008-0000-2200-00001C000000}"/>
            </a:ext>
          </a:extLst>
        </xdr:cNvPr>
        <xdr:cNvSpPr/>
      </xdr:nvSpPr>
      <xdr:spPr>
        <a:xfrm>
          <a:off x="14958073" y="0"/>
          <a:ext cx="1805927"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9</xdr:row>
      <xdr:rowOff>0</xdr:rowOff>
    </xdr:from>
    <xdr:to>
      <xdr:col>2</xdr:col>
      <xdr:colOff>213472</xdr:colOff>
      <xdr:row>11</xdr:row>
      <xdr:rowOff>8068</xdr:rowOff>
    </xdr:to>
    <xdr:sp macro="" textlink="">
      <xdr:nvSpPr>
        <xdr:cNvPr id="43" name="Arrow: Left 34">
          <a:hlinkClick xmlns:r="http://schemas.openxmlformats.org/officeDocument/2006/relationships" r:id="rId7" tooltip="Back: Equipment Type"/>
          <a:extLst>
            <a:ext uri="{FF2B5EF4-FFF2-40B4-BE49-F238E27FC236}">
              <a16:creationId xmlns:a16="http://schemas.microsoft.com/office/drawing/2014/main" id="{00000000-0008-0000-2200-00002B000000}"/>
            </a:ext>
          </a:extLst>
        </xdr:cNvPr>
        <xdr:cNvSpPr/>
      </xdr:nvSpPr>
      <xdr:spPr>
        <a:xfrm>
          <a:off x="304800" y="1800225"/>
          <a:ext cx="518272"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182903</xdr:colOff>
      <xdr:row>8</xdr:row>
      <xdr:rowOff>191957</xdr:rowOff>
    </xdr:from>
    <xdr:to>
      <xdr:col>60</xdr:col>
      <xdr:colOff>85725</xdr:colOff>
      <xdr:row>11</xdr:row>
      <xdr:rowOff>0</xdr:rowOff>
    </xdr:to>
    <xdr:sp macro="" textlink="">
      <xdr:nvSpPr>
        <xdr:cNvPr id="44" name="Arrow: Right 37">
          <a:hlinkClick xmlns:r="http://schemas.openxmlformats.org/officeDocument/2006/relationships" r:id="rId8" tooltip="Foward: Lighting Controls"/>
          <a:extLst>
            <a:ext uri="{FF2B5EF4-FFF2-40B4-BE49-F238E27FC236}">
              <a16:creationId xmlns:a16="http://schemas.microsoft.com/office/drawing/2014/main" id="{00000000-0008-0000-2200-00002C000000}"/>
            </a:ext>
            <a:ext uri="{147F2762-F138-4A5C-976F-8EAC2B608ADB}">
              <a16:predDERef xmlns:a16="http://schemas.microsoft.com/office/drawing/2014/main" pred="{00000000-0008-0000-1100-000023000000}"/>
            </a:ext>
          </a:extLst>
        </xdr:cNvPr>
        <xdr:cNvSpPr/>
      </xdr:nvSpPr>
      <xdr:spPr>
        <a:xfrm>
          <a:off x="16642103" y="1792157"/>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44</xdr:col>
      <xdr:colOff>309282</xdr:colOff>
      <xdr:row>0</xdr:row>
      <xdr:rowOff>0</xdr:rowOff>
    </xdr:from>
    <xdr:to>
      <xdr:col>49</xdr:col>
      <xdr:colOff>17930</xdr:colOff>
      <xdr:row>3</xdr:row>
      <xdr:rowOff>0</xdr:rowOff>
    </xdr:to>
    <xdr:sp macro="" textlink="">
      <xdr:nvSpPr>
        <xdr:cNvPr id="38" name="Rectangle 37">
          <a:hlinkClick xmlns:r="http://schemas.openxmlformats.org/officeDocument/2006/relationships" r:id="rId9" tooltip=" "/>
          <a:extLst>
            <a:ext uri="{FF2B5EF4-FFF2-40B4-BE49-F238E27FC236}">
              <a16:creationId xmlns:a16="http://schemas.microsoft.com/office/drawing/2014/main" id="{00000000-0008-0000-2200-000026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293594</xdr:colOff>
      <xdr:row>0</xdr:row>
      <xdr:rowOff>6723</xdr:rowOff>
    </xdr:from>
    <xdr:to>
      <xdr:col>45</xdr:col>
      <xdr:colOff>2241</xdr:colOff>
      <xdr:row>3</xdr:row>
      <xdr:rowOff>6723</xdr:rowOff>
    </xdr:to>
    <xdr:sp macro="" textlink="">
      <xdr:nvSpPr>
        <xdr:cNvPr id="39" name="Rectangle 38">
          <a:hlinkClick xmlns:r="http://schemas.openxmlformats.org/officeDocument/2006/relationships" r:id="rId10" tooltip=" "/>
          <a:extLst>
            <a:ext uri="{FF2B5EF4-FFF2-40B4-BE49-F238E27FC236}">
              <a16:creationId xmlns:a16="http://schemas.microsoft.com/office/drawing/2014/main" id="{00000000-0008-0000-2200-000027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7754</xdr:colOff>
      <xdr:row>0</xdr:row>
      <xdr:rowOff>84689</xdr:rowOff>
    </xdr:from>
    <xdr:to>
      <xdr:col>4</xdr:col>
      <xdr:colOff>211991</xdr:colOff>
      <xdr:row>2</xdr:row>
      <xdr:rowOff>65005</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1"/>
        <a:stretch>
          <a:fillRect/>
        </a:stretch>
      </xdr:blipFill>
      <xdr:spPr>
        <a:xfrm>
          <a:off x="7754" y="84689"/>
          <a:ext cx="1483127" cy="393701"/>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3" name="Arrow: Chevron 2">
          <a:hlinkClick xmlns:r="http://schemas.openxmlformats.org/officeDocument/2006/relationships" r:id="rId12" tooltip="Terms &amp; Conditions"/>
          <a:extLst>
            <a:ext uri="{FF2B5EF4-FFF2-40B4-BE49-F238E27FC236}">
              <a16:creationId xmlns:a16="http://schemas.microsoft.com/office/drawing/2014/main" id="{00000000-0008-0000-2200-000003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4" name="Arrow: Chevron 3">
          <a:hlinkClick xmlns:r="http://schemas.openxmlformats.org/officeDocument/2006/relationships" r:id="rId13" tooltip="Project Information"/>
          <a:extLst>
            <a:ext uri="{FF2B5EF4-FFF2-40B4-BE49-F238E27FC236}">
              <a16:creationId xmlns:a16="http://schemas.microsoft.com/office/drawing/2014/main" id="{00000000-0008-0000-2200-000004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29" name="Arrow: Chevron 39">
          <a:hlinkClick xmlns:r="http://schemas.openxmlformats.org/officeDocument/2006/relationships" r:id="rId14" tooltip="Customer Information"/>
          <a:extLst>
            <a:ext uri="{FF2B5EF4-FFF2-40B4-BE49-F238E27FC236}">
              <a16:creationId xmlns:a16="http://schemas.microsoft.com/office/drawing/2014/main" id="{00000000-0008-0000-2200-00001D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30" name="Arrow: Chevron 40">
          <a:hlinkClick xmlns:r="http://schemas.openxmlformats.org/officeDocument/2006/relationships" r:id="rId7" tooltip="Equipment Input"/>
          <a:extLst>
            <a:ext uri="{FF2B5EF4-FFF2-40B4-BE49-F238E27FC236}">
              <a16:creationId xmlns:a16="http://schemas.microsoft.com/office/drawing/2014/main" id="{00000000-0008-0000-2200-00001E000000}"/>
            </a:ext>
          </a:extLst>
        </xdr:cNvPr>
        <xdr:cNvSpPr/>
      </xdr:nvSpPr>
      <xdr:spPr>
        <a:xfrm>
          <a:off x="6188077" y="859240"/>
          <a:ext cx="2153708" cy="64745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31" name="Arrow: Chevron 30">
          <a:hlinkClick xmlns:r="http://schemas.openxmlformats.org/officeDocument/2006/relationships" r:id="rId15" tooltip="Payment"/>
          <a:extLst>
            <a:ext uri="{FF2B5EF4-FFF2-40B4-BE49-F238E27FC236}">
              <a16:creationId xmlns:a16="http://schemas.microsoft.com/office/drawing/2014/main" id="{00000000-0008-0000-2200-00001F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32" name="Arrow: Chevron 31">
          <a:hlinkClick xmlns:r="http://schemas.openxmlformats.org/officeDocument/2006/relationships" r:id="rId16" tooltip="Project Review"/>
          <a:extLst>
            <a:ext uri="{FF2B5EF4-FFF2-40B4-BE49-F238E27FC236}">
              <a16:creationId xmlns:a16="http://schemas.microsoft.com/office/drawing/2014/main" id="{00000000-0008-0000-2200-000020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33" name="Arrow: Chevron 43">
          <a:hlinkClick xmlns:r="http://schemas.openxmlformats.org/officeDocument/2006/relationships" r:id="rId17" tooltip="Trade Ally / Contractor Information"/>
          <a:extLst>
            <a:ext uri="{FF2B5EF4-FFF2-40B4-BE49-F238E27FC236}">
              <a16:creationId xmlns:a16="http://schemas.microsoft.com/office/drawing/2014/main" id="{00000000-0008-0000-2200-000021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34" name="Arrow: Chevron 33">
          <a:hlinkClick xmlns:r="http://schemas.openxmlformats.org/officeDocument/2006/relationships" r:id="rId18" tooltip="On-Bill Repayment"/>
          <a:extLst>
            <a:ext uri="{FF2B5EF4-FFF2-40B4-BE49-F238E27FC236}">
              <a16:creationId xmlns:a16="http://schemas.microsoft.com/office/drawing/2014/main" id="{00000000-0008-0000-2200-000022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35" name="Arrow: Chevron 34">
          <a:hlinkClick xmlns:r="http://schemas.openxmlformats.org/officeDocument/2006/relationships" r:id="rId19" tooltip="Payment"/>
          <a:extLst>
            <a:ext uri="{FF2B5EF4-FFF2-40B4-BE49-F238E27FC236}">
              <a16:creationId xmlns:a16="http://schemas.microsoft.com/office/drawing/2014/main" id="{00000000-0008-0000-2200-000023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9</xdr:col>
      <xdr:colOff>293159</xdr:colOff>
      <xdr:row>7</xdr:row>
      <xdr:rowOff>183092</xdr:rowOff>
    </xdr:from>
    <xdr:to>
      <xdr:col>52</xdr:col>
      <xdr:colOff>306917</xdr:colOff>
      <xdr:row>11</xdr:row>
      <xdr:rowOff>40403</xdr:rowOff>
    </xdr:to>
    <xdr:grpSp>
      <xdr:nvGrpSpPr>
        <xdr:cNvPr id="19" name="Group 18">
          <a:extLst>
            <a:ext uri="{FF2B5EF4-FFF2-40B4-BE49-F238E27FC236}">
              <a16:creationId xmlns:a16="http://schemas.microsoft.com/office/drawing/2014/main" id="{735F972D-5B33-43EC-CEF7-8EDAB4612A67}"/>
            </a:ext>
          </a:extLst>
        </xdr:cNvPr>
        <xdr:cNvGrpSpPr/>
      </xdr:nvGrpSpPr>
      <xdr:grpSpPr>
        <a:xfrm>
          <a:off x="3055409" y="1590675"/>
          <a:ext cx="13211175" cy="661645"/>
          <a:chOff x="3150659" y="1590675"/>
          <a:chExt cx="13666258" cy="661645"/>
        </a:xfrm>
      </xdr:grpSpPr>
      <xdr:sp macro="" textlink="">
        <xdr:nvSpPr>
          <xdr:cNvPr id="5" name="Rectangle 4">
            <a:hlinkClick xmlns:r="http://schemas.openxmlformats.org/officeDocument/2006/relationships" r:id="rId20" tooltip="Lighting &amp; Lighting Controls"/>
            <a:extLst>
              <a:ext uri="{FF2B5EF4-FFF2-40B4-BE49-F238E27FC236}">
                <a16:creationId xmlns:a16="http://schemas.microsoft.com/office/drawing/2014/main" id="{345F4A1E-47B4-49EE-9FD8-C2A1895C96C7}"/>
              </a:ext>
            </a:extLst>
          </xdr:cNvPr>
          <xdr:cNvSpPr/>
        </xdr:nvSpPr>
        <xdr:spPr>
          <a:xfrm>
            <a:off x="3150659" y="1616073"/>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Rectangle 5">
            <a:hlinkClick xmlns:r="http://schemas.openxmlformats.org/officeDocument/2006/relationships" r:id="rId8" tooltip="Lighting &amp; Lighting Controls"/>
            <a:extLst>
              <a:ext uri="{FF2B5EF4-FFF2-40B4-BE49-F238E27FC236}">
                <a16:creationId xmlns:a16="http://schemas.microsoft.com/office/drawing/2014/main" id="{E1B4179F-05EE-4DDA-9167-8E5DB8F194C9}"/>
              </a:ext>
            </a:extLst>
          </xdr:cNvPr>
          <xdr:cNvSpPr/>
        </xdr:nvSpPr>
        <xdr:spPr>
          <a:xfrm>
            <a:off x="4434417" y="1598084"/>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hlinkClick xmlns:r="http://schemas.openxmlformats.org/officeDocument/2006/relationships" r:id="rId21" tooltip="Lighting &amp; Lighting Controls"/>
            <a:extLst>
              <a:ext uri="{FF2B5EF4-FFF2-40B4-BE49-F238E27FC236}">
                <a16:creationId xmlns:a16="http://schemas.microsoft.com/office/drawing/2014/main" id="{DE99343D-D530-4EDA-AB10-2AF7616E7E3B}"/>
              </a:ext>
            </a:extLst>
          </xdr:cNvPr>
          <xdr:cNvSpPr/>
        </xdr:nvSpPr>
        <xdr:spPr>
          <a:xfrm>
            <a:off x="5722408" y="1608667"/>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hlinkClick xmlns:r="http://schemas.openxmlformats.org/officeDocument/2006/relationships" r:id="rId22" tooltip="Lighting &amp; Lighting Controls"/>
            <a:extLst>
              <a:ext uri="{FF2B5EF4-FFF2-40B4-BE49-F238E27FC236}">
                <a16:creationId xmlns:a16="http://schemas.microsoft.com/office/drawing/2014/main" id="{70EBB966-B63C-46A5-B449-CE964C376A45}"/>
              </a:ext>
            </a:extLst>
          </xdr:cNvPr>
          <xdr:cNvSpPr/>
        </xdr:nvSpPr>
        <xdr:spPr>
          <a:xfrm>
            <a:off x="6985000" y="1598084"/>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Rectangle 8">
            <a:hlinkClick xmlns:r="http://schemas.openxmlformats.org/officeDocument/2006/relationships" r:id="rId23" tooltip="Lighting &amp; Lighting Controls"/>
            <a:extLst>
              <a:ext uri="{FF2B5EF4-FFF2-40B4-BE49-F238E27FC236}">
                <a16:creationId xmlns:a16="http://schemas.microsoft.com/office/drawing/2014/main" id="{C630FDB4-8C09-45B0-9403-EC5872F7C54B}"/>
              </a:ext>
            </a:extLst>
          </xdr:cNvPr>
          <xdr:cNvSpPr/>
        </xdr:nvSpPr>
        <xdr:spPr>
          <a:xfrm>
            <a:off x="8357659"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Rectangle 9">
            <a:hlinkClick xmlns:r="http://schemas.openxmlformats.org/officeDocument/2006/relationships" r:id="rId24" tooltip="Lighting &amp; Lighting Controls"/>
            <a:extLst>
              <a:ext uri="{FF2B5EF4-FFF2-40B4-BE49-F238E27FC236}">
                <a16:creationId xmlns:a16="http://schemas.microsoft.com/office/drawing/2014/main" id="{FBDDF27B-75A2-41B0-A532-51DDAA47BA37}"/>
              </a:ext>
            </a:extLst>
          </xdr:cNvPr>
          <xdr:cNvSpPr/>
        </xdr:nvSpPr>
        <xdr:spPr>
          <a:xfrm>
            <a:off x="9958916"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Rectangle 10">
            <a:hlinkClick xmlns:r="http://schemas.openxmlformats.org/officeDocument/2006/relationships" r:id="rId25" tooltip="Lighting &amp; Lighting Controls"/>
            <a:extLst>
              <a:ext uri="{FF2B5EF4-FFF2-40B4-BE49-F238E27FC236}">
                <a16:creationId xmlns:a16="http://schemas.microsoft.com/office/drawing/2014/main" id="{B649A8A3-5F6B-4223-87BE-9AF563D672AE}"/>
              </a:ext>
            </a:extLst>
          </xdr:cNvPr>
          <xdr:cNvSpPr/>
        </xdr:nvSpPr>
        <xdr:spPr>
          <a:xfrm>
            <a:off x="11574991" y="1598083"/>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Rectangle 11">
            <a:hlinkClick xmlns:r="http://schemas.openxmlformats.org/officeDocument/2006/relationships" r:id="rId26" tooltip="Lighting &amp; Lighting Controls"/>
            <a:extLst>
              <a:ext uri="{FF2B5EF4-FFF2-40B4-BE49-F238E27FC236}">
                <a16:creationId xmlns:a16="http://schemas.microsoft.com/office/drawing/2014/main" id="{378DE92D-F457-4F7C-BDDB-CED29C8323F8}"/>
              </a:ext>
            </a:extLst>
          </xdr:cNvPr>
          <xdr:cNvSpPr/>
        </xdr:nvSpPr>
        <xdr:spPr>
          <a:xfrm>
            <a:off x="13024908" y="1616075"/>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Rectangle 12">
            <a:hlinkClick xmlns:r="http://schemas.openxmlformats.org/officeDocument/2006/relationships" r:id="rId27" tooltip="Lighting &amp; Lighting Controls"/>
            <a:extLst>
              <a:ext uri="{FF2B5EF4-FFF2-40B4-BE49-F238E27FC236}">
                <a16:creationId xmlns:a16="http://schemas.microsoft.com/office/drawing/2014/main" id="{D397C60D-FE36-47FE-89A7-A54C8C970B1F}"/>
              </a:ext>
            </a:extLst>
          </xdr:cNvPr>
          <xdr:cNvSpPr/>
        </xdr:nvSpPr>
        <xdr:spPr>
          <a:xfrm>
            <a:off x="14294908" y="1598083"/>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ctangle 13">
            <a:hlinkClick xmlns:r="http://schemas.openxmlformats.org/officeDocument/2006/relationships" r:id="rId28" tooltip="Lighting &amp; Lighting Controls"/>
            <a:extLst>
              <a:ext uri="{FF2B5EF4-FFF2-40B4-BE49-F238E27FC236}">
                <a16:creationId xmlns:a16="http://schemas.microsoft.com/office/drawing/2014/main" id="{2612B481-9205-4A89-933D-B2403C9B54B7}"/>
              </a:ext>
            </a:extLst>
          </xdr:cNvPr>
          <xdr:cNvSpPr/>
        </xdr:nvSpPr>
        <xdr:spPr>
          <a:xfrm>
            <a:off x="15546917" y="1590675"/>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251013</xdr:colOff>
      <xdr:row>2</xdr:row>
      <xdr:rowOff>161363</xdr:rowOff>
    </xdr:to>
    <xdr:sp macro="" textlink="">
      <xdr:nvSpPr>
        <xdr:cNvPr id="15" name="Rectangle 14">
          <a:extLst>
            <a:ext uri="{FF2B5EF4-FFF2-40B4-BE49-F238E27FC236}">
              <a16:creationId xmlns:a16="http://schemas.microsoft.com/office/drawing/2014/main" id="{00000000-0008-0000-2300-00000F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6" name="Rectangle 15">
          <a:hlinkClick xmlns:r="http://schemas.openxmlformats.org/officeDocument/2006/relationships" r:id="rId1" tooltip="Welcome"/>
          <a:extLst>
            <a:ext uri="{FF2B5EF4-FFF2-40B4-BE49-F238E27FC236}">
              <a16:creationId xmlns:a16="http://schemas.microsoft.com/office/drawing/2014/main" id="{00000000-0008-0000-2300-000010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7" name="Rectangle 16">
          <a:hlinkClick xmlns:r="http://schemas.openxmlformats.org/officeDocument/2006/relationships" r:id="rId2" tooltip="Instructions"/>
          <a:extLst>
            <a:ext uri="{FF2B5EF4-FFF2-40B4-BE49-F238E27FC236}">
              <a16:creationId xmlns:a16="http://schemas.microsoft.com/office/drawing/2014/main" id="{00000000-0008-0000-2300-000011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302559</xdr:colOff>
      <xdr:row>0</xdr:row>
      <xdr:rowOff>0</xdr:rowOff>
    </xdr:from>
    <xdr:to>
      <xdr:col>63</xdr:col>
      <xdr:colOff>0</xdr:colOff>
      <xdr:row>3</xdr:row>
      <xdr:rowOff>0</xdr:rowOff>
    </xdr:to>
    <xdr:sp macro="" textlink="">
      <xdr:nvSpPr>
        <xdr:cNvPr id="18" name="Rectangle 17">
          <a:hlinkClick xmlns:r="http://schemas.openxmlformats.org/officeDocument/2006/relationships" r:id="rId3" tooltip="Contact"/>
          <a:extLst>
            <a:ext uri="{FF2B5EF4-FFF2-40B4-BE49-F238E27FC236}">
              <a16:creationId xmlns:a16="http://schemas.microsoft.com/office/drawing/2014/main" id="{00000000-0008-0000-2300-000012000000}"/>
            </a:ext>
          </a:extLst>
        </xdr:cNvPr>
        <xdr:cNvSpPr/>
      </xdr:nvSpPr>
      <xdr:spPr>
        <a:xfrm>
          <a:off x="16761759" y="0"/>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293594</xdr:colOff>
      <xdr:row>0</xdr:row>
      <xdr:rowOff>6723</xdr:rowOff>
    </xdr:from>
    <xdr:to>
      <xdr:col>53</xdr:col>
      <xdr:colOff>2241</xdr:colOff>
      <xdr:row>3</xdr:row>
      <xdr:rowOff>6723</xdr:rowOff>
    </xdr:to>
    <xdr:sp macro="" textlink="">
      <xdr:nvSpPr>
        <xdr:cNvPr id="20" name="Rectangle 19">
          <a:hlinkClick xmlns:r="http://schemas.openxmlformats.org/officeDocument/2006/relationships" r:id="rId4" tooltip=" "/>
          <a:extLst>
            <a:ext uri="{FF2B5EF4-FFF2-40B4-BE49-F238E27FC236}">
              <a16:creationId xmlns:a16="http://schemas.microsoft.com/office/drawing/2014/main" id="{00000000-0008-0000-2300-000014000000}"/>
            </a:ext>
          </a:extLst>
        </xdr:cNvPr>
        <xdr:cNvSpPr/>
      </xdr:nvSpPr>
      <xdr:spPr>
        <a:xfrm>
          <a:off x="137047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0</xdr:colOff>
      <xdr:row>0</xdr:row>
      <xdr:rowOff>100293</xdr:rowOff>
    </xdr:from>
    <xdr:to>
      <xdr:col>59</xdr:col>
      <xdr:colOff>9525</xdr:colOff>
      <xdr:row>2</xdr:row>
      <xdr:rowOff>128868</xdr:rowOff>
    </xdr:to>
    <xdr:cxnSp macro="">
      <xdr:nvCxnSpPr>
        <xdr:cNvPr id="21" name="Straight Connector 20">
          <a:extLst>
            <a:ext uri="{FF2B5EF4-FFF2-40B4-BE49-F238E27FC236}">
              <a16:creationId xmlns:a16="http://schemas.microsoft.com/office/drawing/2014/main" id="{00000000-0008-0000-2300-000015000000}"/>
            </a:ext>
          </a:extLst>
        </xdr:cNvPr>
        <xdr:cNvCxnSpPr/>
      </xdr:nvCxnSpPr>
      <xdr:spPr>
        <a:xfrm>
          <a:off x="16764000"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302559</xdr:colOff>
      <xdr:row>0</xdr:row>
      <xdr:rowOff>11206</xdr:rowOff>
    </xdr:from>
    <xdr:to>
      <xdr:col>63</xdr:col>
      <xdr:colOff>0</xdr:colOff>
      <xdr:row>3</xdr:row>
      <xdr:rowOff>11206</xdr:rowOff>
    </xdr:to>
    <xdr:sp macro="" textlink="">
      <xdr:nvSpPr>
        <xdr:cNvPr id="22" name="Rectangle 21">
          <a:hlinkClick xmlns:r="http://schemas.openxmlformats.org/officeDocument/2006/relationships" r:id="rId3" tooltip="Contact"/>
          <a:extLst>
            <a:ext uri="{FF2B5EF4-FFF2-40B4-BE49-F238E27FC236}">
              <a16:creationId xmlns:a16="http://schemas.microsoft.com/office/drawing/2014/main" id="{00000000-0008-0000-2300-000016000000}"/>
            </a:ext>
          </a:extLst>
        </xdr:cNvPr>
        <xdr:cNvSpPr/>
      </xdr:nvSpPr>
      <xdr:spPr>
        <a:xfrm>
          <a:off x="16761759" y="11206"/>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291353</xdr:colOff>
      <xdr:row>0</xdr:row>
      <xdr:rowOff>0</xdr:rowOff>
    </xdr:from>
    <xdr:to>
      <xdr:col>58</xdr:col>
      <xdr:colOff>280147</xdr:colOff>
      <xdr:row>2</xdr:row>
      <xdr:rowOff>190500</xdr:rowOff>
    </xdr:to>
    <xdr:sp macro="" textlink="">
      <xdr:nvSpPr>
        <xdr:cNvPr id="23" name="Rectangle 22">
          <a:extLst>
            <a:ext uri="{FF2B5EF4-FFF2-40B4-BE49-F238E27FC236}">
              <a16:creationId xmlns:a16="http://schemas.microsoft.com/office/drawing/2014/main" id="{00000000-0008-0000-2300-000017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4" name="Straight Connector 23">
          <a:extLst>
            <a:ext uri="{FF2B5EF4-FFF2-40B4-BE49-F238E27FC236}">
              <a16:creationId xmlns:a16="http://schemas.microsoft.com/office/drawing/2014/main" id="{00000000-0008-0000-2300-000018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292431</xdr:colOff>
      <xdr:row>2</xdr:row>
      <xdr:rowOff>56252</xdr:rowOff>
    </xdr:to>
    <xdr:pic>
      <xdr:nvPicPr>
        <xdr:cNvPr id="25" name="Picture 24">
          <a:extLst>
            <a:ext uri="{FF2B5EF4-FFF2-40B4-BE49-F238E27FC236}">
              <a16:creationId xmlns:a16="http://schemas.microsoft.com/office/drawing/2014/main" id="{00000000-0008-0000-23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53</xdr:col>
      <xdr:colOff>11787</xdr:colOff>
      <xdr:row>0</xdr:row>
      <xdr:rowOff>100293</xdr:rowOff>
    </xdr:from>
    <xdr:to>
      <xdr:col>53</xdr:col>
      <xdr:colOff>21312</xdr:colOff>
      <xdr:row>2</xdr:row>
      <xdr:rowOff>128868</xdr:rowOff>
    </xdr:to>
    <xdr:cxnSp macro="">
      <xdr:nvCxnSpPr>
        <xdr:cNvPr id="26" name="Straight Connector 25">
          <a:extLst>
            <a:ext uri="{FF2B5EF4-FFF2-40B4-BE49-F238E27FC236}">
              <a16:creationId xmlns:a16="http://schemas.microsoft.com/office/drawing/2014/main" id="{00000000-0008-0000-2300-00001A000000}"/>
            </a:ext>
          </a:extLst>
        </xdr:cNvPr>
        <xdr:cNvCxnSpPr/>
      </xdr:nvCxnSpPr>
      <xdr:spPr>
        <a:xfrm>
          <a:off x="14946987"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295482</xdr:colOff>
      <xdr:row>0</xdr:row>
      <xdr:rowOff>103468</xdr:rowOff>
    </xdr:from>
    <xdr:to>
      <xdr:col>8</xdr:col>
      <xdr:colOff>304800</xdr:colOff>
      <xdr:row>2</xdr:row>
      <xdr:rowOff>142875</xdr:rowOff>
    </xdr:to>
    <xdr:cxnSp macro="">
      <xdr:nvCxnSpPr>
        <xdr:cNvPr id="27" name="Straight Connector 26">
          <a:extLst>
            <a:ext uri="{FF2B5EF4-FFF2-40B4-BE49-F238E27FC236}">
              <a16:creationId xmlns:a16="http://schemas.microsoft.com/office/drawing/2014/main" id="{00000000-0008-0000-2300-00001B000000}"/>
            </a:ext>
          </a:extLst>
        </xdr:cNvPr>
        <xdr:cNvCxnSpPr/>
      </xdr:nvCxnSpPr>
      <xdr:spPr>
        <a:xfrm>
          <a:off x="3124407" y="103468"/>
          <a:ext cx="9318" cy="43945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22873</xdr:colOff>
      <xdr:row>0</xdr:row>
      <xdr:rowOff>0</xdr:rowOff>
    </xdr:from>
    <xdr:to>
      <xdr:col>59</xdr:col>
      <xdr:colOff>0</xdr:colOff>
      <xdr:row>2</xdr:row>
      <xdr:rowOff>186186</xdr:rowOff>
    </xdr:to>
    <xdr:sp macro="" textlink="">
      <xdr:nvSpPr>
        <xdr:cNvPr id="28" name="Rectangle 27">
          <a:hlinkClick xmlns:r="http://schemas.openxmlformats.org/officeDocument/2006/relationships" r:id="rId6" tooltip="Incentive Rates &amp; Requirements"/>
          <a:extLst>
            <a:ext uri="{FF2B5EF4-FFF2-40B4-BE49-F238E27FC236}">
              <a16:creationId xmlns:a16="http://schemas.microsoft.com/office/drawing/2014/main" id="{00000000-0008-0000-2300-00001C000000}"/>
            </a:ext>
          </a:extLst>
        </xdr:cNvPr>
        <xdr:cNvSpPr/>
      </xdr:nvSpPr>
      <xdr:spPr>
        <a:xfrm>
          <a:off x="14958073" y="0"/>
          <a:ext cx="1805927"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8</xdr:row>
      <xdr:rowOff>190500</xdr:rowOff>
    </xdr:from>
    <xdr:to>
      <xdr:col>2</xdr:col>
      <xdr:colOff>213472</xdr:colOff>
      <xdr:row>10</xdr:row>
      <xdr:rowOff>198568</xdr:rowOff>
    </xdr:to>
    <xdr:sp macro="" textlink="">
      <xdr:nvSpPr>
        <xdr:cNvPr id="29" name="Arrow: Left 28">
          <a:hlinkClick xmlns:r="http://schemas.openxmlformats.org/officeDocument/2006/relationships" r:id="rId7" tooltip="Back: Lighting"/>
          <a:extLst>
            <a:ext uri="{FF2B5EF4-FFF2-40B4-BE49-F238E27FC236}">
              <a16:creationId xmlns:a16="http://schemas.microsoft.com/office/drawing/2014/main" id="{00000000-0008-0000-2300-00001D000000}"/>
            </a:ext>
          </a:extLst>
        </xdr:cNvPr>
        <xdr:cNvSpPr/>
      </xdr:nvSpPr>
      <xdr:spPr>
        <a:xfrm>
          <a:off x="304800" y="1790700"/>
          <a:ext cx="518272"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58</xdr:col>
      <xdr:colOff>133350</xdr:colOff>
      <xdr:row>9</xdr:row>
      <xdr:rowOff>0</xdr:rowOff>
    </xdr:from>
    <xdr:to>
      <xdr:col>60</xdr:col>
      <xdr:colOff>36172</xdr:colOff>
      <xdr:row>11</xdr:row>
      <xdr:rowOff>8068</xdr:rowOff>
    </xdr:to>
    <xdr:sp macro="" textlink="">
      <xdr:nvSpPr>
        <xdr:cNvPr id="30" name="Arrow: Right 29">
          <a:hlinkClick xmlns:r="http://schemas.openxmlformats.org/officeDocument/2006/relationships" r:id="rId8" tooltip="Forward: Heating"/>
          <a:extLst>
            <a:ext uri="{FF2B5EF4-FFF2-40B4-BE49-F238E27FC236}">
              <a16:creationId xmlns:a16="http://schemas.microsoft.com/office/drawing/2014/main" id="{00000000-0008-0000-2300-00001E000000}"/>
            </a:ext>
          </a:extLst>
        </xdr:cNvPr>
        <xdr:cNvSpPr/>
      </xdr:nvSpPr>
      <xdr:spPr>
        <a:xfrm>
          <a:off x="16592550" y="1800225"/>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44</xdr:col>
      <xdr:colOff>309282</xdr:colOff>
      <xdr:row>0</xdr:row>
      <xdr:rowOff>0</xdr:rowOff>
    </xdr:from>
    <xdr:to>
      <xdr:col>49</xdr:col>
      <xdr:colOff>17930</xdr:colOff>
      <xdr:row>3</xdr:row>
      <xdr:rowOff>0</xdr:rowOff>
    </xdr:to>
    <xdr:sp macro="" textlink="">
      <xdr:nvSpPr>
        <xdr:cNvPr id="39" name="Rectangle 38">
          <a:hlinkClick xmlns:r="http://schemas.openxmlformats.org/officeDocument/2006/relationships" r:id="rId9" tooltip=" "/>
          <a:extLst>
            <a:ext uri="{FF2B5EF4-FFF2-40B4-BE49-F238E27FC236}">
              <a16:creationId xmlns:a16="http://schemas.microsoft.com/office/drawing/2014/main" id="{00000000-0008-0000-2300-000027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293594</xdr:colOff>
      <xdr:row>0</xdr:row>
      <xdr:rowOff>6723</xdr:rowOff>
    </xdr:from>
    <xdr:to>
      <xdr:col>45</xdr:col>
      <xdr:colOff>2241</xdr:colOff>
      <xdr:row>3</xdr:row>
      <xdr:rowOff>6723</xdr:rowOff>
    </xdr:to>
    <xdr:sp macro="" textlink="">
      <xdr:nvSpPr>
        <xdr:cNvPr id="40" name="Rectangle 39">
          <a:hlinkClick xmlns:r="http://schemas.openxmlformats.org/officeDocument/2006/relationships" r:id="rId10" tooltip=" "/>
          <a:extLst>
            <a:ext uri="{FF2B5EF4-FFF2-40B4-BE49-F238E27FC236}">
              <a16:creationId xmlns:a16="http://schemas.microsoft.com/office/drawing/2014/main" id="{00000000-0008-0000-2300-000028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33154</xdr:colOff>
      <xdr:row>0</xdr:row>
      <xdr:rowOff>103739</xdr:rowOff>
    </xdr:from>
    <xdr:to>
      <xdr:col>4</xdr:col>
      <xdr:colOff>246281</xdr:colOff>
      <xdr:row>2</xdr:row>
      <xdr:rowOff>95485</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1"/>
        <a:stretch>
          <a:fillRect/>
        </a:stretch>
      </xdr:blipFill>
      <xdr:spPr>
        <a:xfrm>
          <a:off x="33154" y="103739"/>
          <a:ext cx="1483127" cy="393701"/>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14" name="Arrow: Chevron 13">
          <a:hlinkClick xmlns:r="http://schemas.openxmlformats.org/officeDocument/2006/relationships" r:id="rId12" tooltip="Terms &amp; Conditions"/>
          <a:extLst>
            <a:ext uri="{FF2B5EF4-FFF2-40B4-BE49-F238E27FC236}">
              <a16:creationId xmlns:a16="http://schemas.microsoft.com/office/drawing/2014/main" id="{00000000-0008-0000-2300-00000E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19" name="Arrow: Chevron 18">
          <a:hlinkClick xmlns:r="http://schemas.openxmlformats.org/officeDocument/2006/relationships" r:id="rId13" tooltip="Project Information"/>
          <a:extLst>
            <a:ext uri="{FF2B5EF4-FFF2-40B4-BE49-F238E27FC236}">
              <a16:creationId xmlns:a16="http://schemas.microsoft.com/office/drawing/2014/main" id="{00000000-0008-0000-2300-000013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31" name="Arrow: Chevron 39">
          <a:hlinkClick xmlns:r="http://schemas.openxmlformats.org/officeDocument/2006/relationships" r:id="rId14" tooltip="Customer Information"/>
          <a:extLst>
            <a:ext uri="{FF2B5EF4-FFF2-40B4-BE49-F238E27FC236}">
              <a16:creationId xmlns:a16="http://schemas.microsoft.com/office/drawing/2014/main" id="{00000000-0008-0000-2300-00001F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32" name="Arrow: Chevron 40">
          <a:hlinkClick xmlns:r="http://schemas.openxmlformats.org/officeDocument/2006/relationships" r:id="rId15" tooltip="Equipment Input"/>
          <a:extLst>
            <a:ext uri="{FF2B5EF4-FFF2-40B4-BE49-F238E27FC236}">
              <a16:creationId xmlns:a16="http://schemas.microsoft.com/office/drawing/2014/main" id="{00000000-0008-0000-2300-000020000000}"/>
            </a:ext>
          </a:extLst>
        </xdr:cNvPr>
        <xdr:cNvSpPr/>
      </xdr:nvSpPr>
      <xdr:spPr>
        <a:xfrm>
          <a:off x="6188077" y="859240"/>
          <a:ext cx="2153708" cy="64745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33" name="Arrow: Chevron 32">
          <a:hlinkClick xmlns:r="http://schemas.openxmlformats.org/officeDocument/2006/relationships" r:id="rId16" tooltip="Payment"/>
          <a:extLst>
            <a:ext uri="{FF2B5EF4-FFF2-40B4-BE49-F238E27FC236}">
              <a16:creationId xmlns:a16="http://schemas.microsoft.com/office/drawing/2014/main" id="{00000000-0008-0000-2300-000021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46" name="Arrow: Chevron 45">
          <a:hlinkClick xmlns:r="http://schemas.openxmlformats.org/officeDocument/2006/relationships" r:id="rId17" tooltip="Project Review"/>
          <a:extLst>
            <a:ext uri="{FF2B5EF4-FFF2-40B4-BE49-F238E27FC236}">
              <a16:creationId xmlns:a16="http://schemas.microsoft.com/office/drawing/2014/main" id="{00000000-0008-0000-2300-00002E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47" name="Arrow: Chevron 43">
          <a:hlinkClick xmlns:r="http://schemas.openxmlformats.org/officeDocument/2006/relationships" r:id="rId18" tooltip="Trade Ally / Contractor Information"/>
          <a:extLst>
            <a:ext uri="{FF2B5EF4-FFF2-40B4-BE49-F238E27FC236}">
              <a16:creationId xmlns:a16="http://schemas.microsoft.com/office/drawing/2014/main" id="{00000000-0008-0000-2300-00002F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48" name="Arrow: Chevron 47">
          <a:hlinkClick xmlns:r="http://schemas.openxmlformats.org/officeDocument/2006/relationships" r:id="rId19" tooltip="On-Bill Repayment"/>
          <a:extLst>
            <a:ext uri="{FF2B5EF4-FFF2-40B4-BE49-F238E27FC236}">
              <a16:creationId xmlns:a16="http://schemas.microsoft.com/office/drawing/2014/main" id="{00000000-0008-0000-2300-000030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49" name="Arrow: Chevron 48">
          <a:hlinkClick xmlns:r="http://schemas.openxmlformats.org/officeDocument/2006/relationships" r:id="rId20" tooltip="Payment"/>
          <a:extLst>
            <a:ext uri="{FF2B5EF4-FFF2-40B4-BE49-F238E27FC236}">
              <a16:creationId xmlns:a16="http://schemas.microsoft.com/office/drawing/2014/main" id="{00000000-0008-0000-2300-000031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9</xdr:col>
      <xdr:colOff>306916</xdr:colOff>
      <xdr:row>8</xdr:row>
      <xdr:rowOff>0</xdr:rowOff>
    </xdr:from>
    <xdr:to>
      <xdr:col>13</xdr:col>
      <xdr:colOff>306916</xdr:colOff>
      <xdr:row>11</xdr:row>
      <xdr:rowOff>36170</xdr:rowOff>
    </xdr:to>
    <xdr:sp macro="" textlink="">
      <xdr:nvSpPr>
        <xdr:cNvPr id="3" name="Rectangle 2">
          <a:hlinkClick xmlns:r="http://schemas.openxmlformats.org/officeDocument/2006/relationships" r:id="rId7" tooltip="Lighting &amp; Lighting Controls"/>
          <a:extLst>
            <a:ext uri="{FF2B5EF4-FFF2-40B4-BE49-F238E27FC236}">
              <a16:creationId xmlns:a16="http://schemas.microsoft.com/office/drawing/2014/main" id="{E7823B78-8A09-4133-BC51-026695ED6487}"/>
            </a:ext>
          </a:extLst>
        </xdr:cNvPr>
        <xdr:cNvSpPr/>
      </xdr:nvSpPr>
      <xdr:spPr>
        <a:xfrm>
          <a:off x="3164416" y="1608667"/>
          <a:ext cx="1270000" cy="6394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243417</xdr:colOff>
      <xdr:row>7</xdr:row>
      <xdr:rowOff>158750</xdr:rowOff>
    </xdr:from>
    <xdr:to>
      <xdr:col>52</xdr:col>
      <xdr:colOff>250825</xdr:colOff>
      <xdr:row>11</xdr:row>
      <xdr:rowOff>22411</xdr:rowOff>
    </xdr:to>
    <xdr:grpSp>
      <xdr:nvGrpSpPr>
        <xdr:cNvPr id="4" name="Group 3">
          <a:extLst>
            <a:ext uri="{FF2B5EF4-FFF2-40B4-BE49-F238E27FC236}">
              <a16:creationId xmlns:a16="http://schemas.microsoft.com/office/drawing/2014/main" id="{3933A555-19FA-4F7B-ADAD-7C322B130DFA}"/>
            </a:ext>
          </a:extLst>
        </xdr:cNvPr>
        <xdr:cNvGrpSpPr/>
      </xdr:nvGrpSpPr>
      <xdr:grpSpPr>
        <a:xfrm>
          <a:off x="3005667" y="1566333"/>
          <a:ext cx="13204825" cy="667995"/>
          <a:chOff x="3150659" y="1590675"/>
          <a:chExt cx="13666258" cy="661645"/>
        </a:xfrm>
      </xdr:grpSpPr>
      <xdr:sp macro="" textlink="">
        <xdr:nvSpPr>
          <xdr:cNvPr id="5" name="Rectangle 4">
            <a:hlinkClick xmlns:r="http://schemas.openxmlformats.org/officeDocument/2006/relationships" r:id="rId7" tooltip="Lighting &amp; Lighting Controls"/>
            <a:extLst>
              <a:ext uri="{FF2B5EF4-FFF2-40B4-BE49-F238E27FC236}">
                <a16:creationId xmlns:a16="http://schemas.microsoft.com/office/drawing/2014/main" id="{EC9738D2-AF98-A4D4-B212-A94415A2E0C3}"/>
              </a:ext>
            </a:extLst>
          </xdr:cNvPr>
          <xdr:cNvSpPr/>
        </xdr:nvSpPr>
        <xdr:spPr>
          <a:xfrm>
            <a:off x="3150659" y="1616073"/>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Rectangle 5">
            <a:hlinkClick xmlns:r="http://schemas.openxmlformats.org/officeDocument/2006/relationships" r:id="rId21" tooltip="Lighting &amp; Lighting Controls"/>
            <a:extLst>
              <a:ext uri="{FF2B5EF4-FFF2-40B4-BE49-F238E27FC236}">
                <a16:creationId xmlns:a16="http://schemas.microsoft.com/office/drawing/2014/main" id="{403C5E59-5801-6650-9095-4EAFB4F5E49D}"/>
              </a:ext>
            </a:extLst>
          </xdr:cNvPr>
          <xdr:cNvSpPr/>
        </xdr:nvSpPr>
        <xdr:spPr>
          <a:xfrm>
            <a:off x="4434417" y="1598084"/>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hlinkClick xmlns:r="http://schemas.openxmlformats.org/officeDocument/2006/relationships" r:id="rId8" tooltip="Lighting &amp; Lighting Controls"/>
            <a:extLst>
              <a:ext uri="{FF2B5EF4-FFF2-40B4-BE49-F238E27FC236}">
                <a16:creationId xmlns:a16="http://schemas.microsoft.com/office/drawing/2014/main" id="{9DABB772-E6EC-0F09-BBD6-A25866EF1192}"/>
              </a:ext>
            </a:extLst>
          </xdr:cNvPr>
          <xdr:cNvSpPr/>
        </xdr:nvSpPr>
        <xdr:spPr>
          <a:xfrm>
            <a:off x="5722408" y="1608667"/>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hlinkClick xmlns:r="http://schemas.openxmlformats.org/officeDocument/2006/relationships" r:id="rId22" tooltip="Lighting &amp; Lighting Controls"/>
            <a:extLst>
              <a:ext uri="{FF2B5EF4-FFF2-40B4-BE49-F238E27FC236}">
                <a16:creationId xmlns:a16="http://schemas.microsoft.com/office/drawing/2014/main" id="{F2892157-64BB-A9A6-3A7C-6572AA00FD98}"/>
              </a:ext>
            </a:extLst>
          </xdr:cNvPr>
          <xdr:cNvSpPr/>
        </xdr:nvSpPr>
        <xdr:spPr>
          <a:xfrm>
            <a:off x="6985000" y="1598084"/>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Rectangle 8">
            <a:hlinkClick xmlns:r="http://schemas.openxmlformats.org/officeDocument/2006/relationships" r:id="rId23" tooltip="Lighting &amp; Lighting Controls"/>
            <a:extLst>
              <a:ext uri="{FF2B5EF4-FFF2-40B4-BE49-F238E27FC236}">
                <a16:creationId xmlns:a16="http://schemas.microsoft.com/office/drawing/2014/main" id="{438C5477-7734-B586-9964-1318410E20FB}"/>
              </a:ext>
            </a:extLst>
          </xdr:cNvPr>
          <xdr:cNvSpPr/>
        </xdr:nvSpPr>
        <xdr:spPr>
          <a:xfrm>
            <a:off x="8357659"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Rectangle 9">
            <a:hlinkClick xmlns:r="http://schemas.openxmlformats.org/officeDocument/2006/relationships" r:id="rId24" tooltip="Lighting &amp; Lighting Controls"/>
            <a:extLst>
              <a:ext uri="{FF2B5EF4-FFF2-40B4-BE49-F238E27FC236}">
                <a16:creationId xmlns:a16="http://schemas.microsoft.com/office/drawing/2014/main" id="{8E72F7F2-2397-F19A-6441-76831516A39E}"/>
              </a:ext>
            </a:extLst>
          </xdr:cNvPr>
          <xdr:cNvSpPr/>
        </xdr:nvSpPr>
        <xdr:spPr>
          <a:xfrm>
            <a:off x="9958916"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Rectangle 10">
            <a:hlinkClick xmlns:r="http://schemas.openxmlformats.org/officeDocument/2006/relationships" r:id="rId25" tooltip="Lighting &amp; Lighting Controls"/>
            <a:extLst>
              <a:ext uri="{FF2B5EF4-FFF2-40B4-BE49-F238E27FC236}">
                <a16:creationId xmlns:a16="http://schemas.microsoft.com/office/drawing/2014/main" id="{F157A65E-FFF6-C0B3-64DC-1941831DA919}"/>
              </a:ext>
            </a:extLst>
          </xdr:cNvPr>
          <xdr:cNvSpPr/>
        </xdr:nvSpPr>
        <xdr:spPr>
          <a:xfrm>
            <a:off x="11574991" y="1598083"/>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Rectangle 11">
            <a:hlinkClick xmlns:r="http://schemas.openxmlformats.org/officeDocument/2006/relationships" r:id="rId26" tooltip="Lighting &amp; Lighting Controls"/>
            <a:extLst>
              <a:ext uri="{FF2B5EF4-FFF2-40B4-BE49-F238E27FC236}">
                <a16:creationId xmlns:a16="http://schemas.microsoft.com/office/drawing/2014/main" id="{E5FCDF59-26AA-4D4B-2F24-AEF4CDC34B69}"/>
              </a:ext>
            </a:extLst>
          </xdr:cNvPr>
          <xdr:cNvSpPr/>
        </xdr:nvSpPr>
        <xdr:spPr>
          <a:xfrm>
            <a:off x="13024908" y="1616075"/>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Rectangle 12">
            <a:hlinkClick xmlns:r="http://schemas.openxmlformats.org/officeDocument/2006/relationships" r:id="rId27" tooltip="Lighting &amp; Lighting Controls"/>
            <a:extLst>
              <a:ext uri="{FF2B5EF4-FFF2-40B4-BE49-F238E27FC236}">
                <a16:creationId xmlns:a16="http://schemas.microsoft.com/office/drawing/2014/main" id="{315F749E-5ACD-1C58-B6E9-1EB950DC741E}"/>
              </a:ext>
            </a:extLst>
          </xdr:cNvPr>
          <xdr:cNvSpPr/>
        </xdr:nvSpPr>
        <xdr:spPr>
          <a:xfrm>
            <a:off x="14294908" y="1598083"/>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Rectangle 33">
            <a:hlinkClick xmlns:r="http://schemas.openxmlformats.org/officeDocument/2006/relationships" r:id="rId28" tooltip="Lighting &amp; Lighting Controls"/>
            <a:extLst>
              <a:ext uri="{FF2B5EF4-FFF2-40B4-BE49-F238E27FC236}">
                <a16:creationId xmlns:a16="http://schemas.microsoft.com/office/drawing/2014/main" id="{42137297-80F6-CEC5-DDEA-868BCC1BBD2E}"/>
              </a:ext>
            </a:extLst>
          </xdr:cNvPr>
          <xdr:cNvSpPr/>
        </xdr:nvSpPr>
        <xdr:spPr>
          <a:xfrm>
            <a:off x="15546917" y="1590675"/>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44</xdr:col>
      <xdr:colOff>309282</xdr:colOff>
      <xdr:row>0</xdr:row>
      <xdr:rowOff>0</xdr:rowOff>
    </xdr:from>
    <xdr:to>
      <xdr:col>49</xdr:col>
      <xdr:colOff>17930</xdr:colOff>
      <xdr:row>3</xdr:row>
      <xdr:rowOff>0</xdr:rowOff>
    </xdr:to>
    <xdr:sp macro="" textlink="">
      <xdr:nvSpPr>
        <xdr:cNvPr id="5" name="Rectangle 43">
          <a:hlinkClick xmlns:r="http://schemas.openxmlformats.org/officeDocument/2006/relationships" r:id="rId1" tooltip=" "/>
          <a:extLst>
            <a:ext uri="{FF2B5EF4-FFF2-40B4-BE49-F238E27FC236}">
              <a16:creationId xmlns:a16="http://schemas.microsoft.com/office/drawing/2014/main" id="{00000000-0008-0000-2400-000005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15" name="Rectangle 14">
          <a:extLst>
            <a:ext uri="{FF2B5EF4-FFF2-40B4-BE49-F238E27FC236}">
              <a16:creationId xmlns:a16="http://schemas.microsoft.com/office/drawing/2014/main" id="{00000000-0008-0000-2400-00000F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6" name="Rectangle 15">
          <a:hlinkClick xmlns:r="http://schemas.openxmlformats.org/officeDocument/2006/relationships" r:id="rId2" tooltip="Welcome"/>
          <a:extLst>
            <a:ext uri="{FF2B5EF4-FFF2-40B4-BE49-F238E27FC236}">
              <a16:creationId xmlns:a16="http://schemas.microsoft.com/office/drawing/2014/main" id="{00000000-0008-0000-2400-000010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7" name="Rectangle 16">
          <a:hlinkClick xmlns:r="http://schemas.openxmlformats.org/officeDocument/2006/relationships" r:id="rId3" tooltip="Instructions"/>
          <a:extLst>
            <a:ext uri="{FF2B5EF4-FFF2-40B4-BE49-F238E27FC236}">
              <a16:creationId xmlns:a16="http://schemas.microsoft.com/office/drawing/2014/main" id="{00000000-0008-0000-2400-000011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302559</xdr:colOff>
      <xdr:row>0</xdr:row>
      <xdr:rowOff>0</xdr:rowOff>
    </xdr:from>
    <xdr:to>
      <xdr:col>63</xdr:col>
      <xdr:colOff>0</xdr:colOff>
      <xdr:row>3</xdr:row>
      <xdr:rowOff>0</xdr:rowOff>
    </xdr:to>
    <xdr:sp macro="" textlink="">
      <xdr:nvSpPr>
        <xdr:cNvPr id="18" name="Rectangle 17">
          <a:hlinkClick xmlns:r="http://schemas.openxmlformats.org/officeDocument/2006/relationships" r:id="rId4" tooltip="Contact"/>
          <a:extLst>
            <a:ext uri="{FF2B5EF4-FFF2-40B4-BE49-F238E27FC236}">
              <a16:creationId xmlns:a16="http://schemas.microsoft.com/office/drawing/2014/main" id="{00000000-0008-0000-2400-000012000000}"/>
            </a:ext>
          </a:extLst>
        </xdr:cNvPr>
        <xdr:cNvSpPr/>
      </xdr:nvSpPr>
      <xdr:spPr>
        <a:xfrm>
          <a:off x="16761759" y="0"/>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293594</xdr:colOff>
      <xdr:row>0</xdr:row>
      <xdr:rowOff>6723</xdr:rowOff>
    </xdr:from>
    <xdr:to>
      <xdr:col>53</xdr:col>
      <xdr:colOff>2241</xdr:colOff>
      <xdr:row>3</xdr:row>
      <xdr:rowOff>6723</xdr:rowOff>
    </xdr:to>
    <xdr:sp macro="" textlink="">
      <xdr:nvSpPr>
        <xdr:cNvPr id="20" name="Rectangle 19">
          <a:hlinkClick xmlns:r="http://schemas.openxmlformats.org/officeDocument/2006/relationships" r:id="rId5" tooltip=" "/>
          <a:extLst>
            <a:ext uri="{FF2B5EF4-FFF2-40B4-BE49-F238E27FC236}">
              <a16:creationId xmlns:a16="http://schemas.microsoft.com/office/drawing/2014/main" id="{00000000-0008-0000-2400-000014000000}"/>
            </a:ext>
          </a:extLst>
        </xdr:cNvPr>
        <xdr:cNvSpPr/>
      </xdr:nvSpPr>
      <xdr:spPr>
        <a:xfrm>
          <a:off x="137047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0</xdr:colOff>
      <xdr:row>0</xdr:row>
      <xdr:rowOff>100293</xdr:rowOff>
    </xdr:from>
    <xdr:to>
      <xdr:col>59</xdr:col>
      <xdr:colOff>9525</xdr:colOff>
      <xdr:row>2</xdr:row>
      <xdr:rowOff>128868</xdr:rowOff>
    </xdr:to>
    <xdr:cxnSp macro="">
      <xdr:nvCxnSpPr>
        <xdr:cNvPr id="21" name="Straight Connector 20">
          <a:extLst>
            <a:ext uri="{FF2B5EF4-FFF2-40B4-BE49-F238E27FC236}">
              <a16:creationId xmlns:a16="http://schemas.microsoft.com/office/drawing/2014/main" id="{00000000-0008-0000-2400-000015000000}"/>
            </a:ext>
          </a:extLst>
        </xdr:cNvPr>
        <xdr:cNvCxnSpPr/>
      </xdr:nvCxnSpPr>
      <xdr:spPr>
        <a:xfrm>
          <a:off x="16764000"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302559</xdr:colOff>
      <xdr:row>0</xdr:row>
      <xdr:rowOff>11206</xdr:rowOff>
    </xdr:from>
    <xdr:to>
      <xdr:col>63</xdr:col>
      <xdr:colOff>0</xdr:colOff>
      <xdr:row>3</xdr:row>
      <xdr:rowOff>11206</xdr:rowOff>
    </xdr:to>
    <xdr:sp macro="" textlink="">
      <xdr:nvSpPr>
        <xdr:cNvPr id="22" name="Rectangle 21">
          <a:hlinkClick xmlns:r="http://schemas.openxmlformats.org/officeDocument/2006/relationships" r:id="rId4" tooltip="Contact"/>
          <a:extLst>
            <a:ext uri="{FF2B5EF4-FFF2-40B4-BE49-F238E27FC236}">
              <a16:creationId xmlns:a16="http://schemas.microsoft.com/office/drawing/2014/main" id="{00000000-0008-0000-2400-000016000000}"/>
            </a:ext>
          </a:extLst>
        </xdr:cNvPr>
        <xdr:cNvSpPr/>
      </xdr:nvSpPr>
      <xdr:spPr>
        <a:xfrm>
          <a:off x="16761759" y="11206"/>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291353</xdr:colOff>
      <xdr:row>0</xdr:row>
      <xdr:rowOff>0</xdr:rowOff>
    </xdr:from>
    <xdr:to>
      <xdr:col>58</xdr:col>
      <xdr:colOff>280147</xdr:colOff>
      <xdr:row>2</xdr:row>
      <xdr:rowOff>190500</xdr:rowOff>
    </xdr:to>
    <xdr:sp macro="" textlink="">
      <xdr:nvSpPr>
        <xdr:cNvPr id="23" name="Rectangle 22">
          <a:extLst>
            <a:ext uri="{FF2B5EF4-FFF2-40B4-BE49-F238E27FC236}">
              <a16:creationId xmlns:a16="http://schemas.microsoft.com/office/drawing/2014/main" id="{00000000-0008-0000-2400-000017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4" name="Straight Connector 23">
          <a:extLst>
            <a:ext uri="{FF2B5EF4-FFF2-40B4-BE49-F238E27FC236}">
              <a16:creationId xmlns:a16="http://schemas.microsoft.com/office/drawing/2014/main" id="{00000000-0008-0000-2400-000018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285446</xdr:colOff>
      <xdr:row>2</xdr:row>
      <xdr:rowOff>58157</xdr:rowOff>
    </xdr:to>
    <xdr:pic>
      <xdr:nvPicPr>
        <xdr:cNvPr id="25" name="Picture 24">
          <a:extLst>
            <a:ext uri="{FF2B5EF4-FFF2-40B4-BE49-F238E27FC236}">
              <a16:creationId xmlns:a16="http://schemas.microsoft.com/office/drawing/2014/main" id="{00000000-0008-0000-24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53</xdr:col>
      <xdr:colOff>11787</xdr:colOff>
      <xdr:row>0</xdr:row>
      <xdr:rowOff>100293</xdr:rowOff>
    </xdr:from>
    <xdr:to>
      <xdr:col>53</xdr:col>
      <xdr:colOff>21312</xdr:colOff>
      <xdr:row>2</xdr:row>
      <xdr:rowOff>128868</xdr:rowOff>
    </xdr:to>
    <xdr:cxnSp macro="">
      <xdr:nvCxnSpPr>
        <xdr:cNvPr id="26" name="Straight Connector 25">
          <a:extLst>
            <a:ext uri="{FF2B5EF4-FFF2-40B4-BE49-F238E27FC236}">
              <a16:creationId xmlns:a16="http://schemas.microsoft.com/office/drawing/2014/main" id="{00000000-0008-0000-2400-00001A000000}"/>
            </a:ext>
          </a:extLst>
        </xdr:cNvPr>
        <xdr:cNvCxnSpPr/>
      </xdr:nvCxnSpPr>
      <xdr:spPr>
        <a:xfrm>
          <a:off x="14946987"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295482</xdr:colOff>
      <xdr:row>0</xdr:row>
      <xdr:rowOff>103468</xdr:rowOff>
    </xdr:from>
    <xdr:to>
      <xdr:col>8</xdr:col>
      <xdr:colOff>304800</xdr:colOff>
      <xdr:row>2</xdr:row>
      <xdr:rowOff>180975</xdr:rowOff>
    </xdr:to>
    <xdr:cxnSp macro="">
      <xdr:nvCxnSpPr>
        <xdr:cNvPr id="27" name="Straight Connector 26">
          <a:extLst>
            <a:ext uri="{FF2B5EF4-FFF2-40B4-BE49-F238E27FC236}">
              <a16:creationId xmlns:a16="http://schemas.microsoft.com/office/drawing/2014/main" id="{00000000-0008-0000-2400-00001B000000}"/>
            </a:ext>
          </a:extLst>
        </xdr:cNvPr>
        <xdr:cNvCxnSpPr/>
      </xdr:nvCxnSpPr>
      <xdr:spPr>
        <a:xfrm>
          <a:off x="2810082" y="103468"/>
          <a:ext cx="9318" cy="47755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22873</xdr:colOff>
      <xdr:row>0</xdr:row>
      <xdr:rowOff>0</xdr:rowOff>
    </xdr:from>
    <xdr:to>
      <xdr:col>59</xdr:col>
      <xdr:colOff>0</xdr:colOff>
      <xdr:row>2</xdr:row>
      <xdr:rowOff>186186</xdr:rowOff>
    </xdr:to>
    <xdr:sp macro="" textlink="">
      <xdr:nvSpPr>
        <xdr:cNvPr id="28" name="Rectangle 27">
          <a:hlinkClick xmlns:r="http://schemas.openxmlformats.org/officeDocument/2006/relationships" r:id="rId7" tooltip="Incentive Rates &amp; Requirements"/>
          <a:extLst>
            <a:ext uri="{FF2B5EF4-FFF2-40B4-BE49-F238E27FC236}">
              <a16:creationId xmlns:a16="http://schemas.microsoft.com/office/drawing/2014/main" id="{00000000-0008-0000-2400-00001C000000}"/>
            </a:ext>
          </a:extLst>
        </xdr:cNvPr>
        <xdr:cNvSpPr/>
      </xdr:nvSpPr>
      <xdr:spPr>
        <a:xfrm>
          <a:off x="14958073" y="0"/>
          <a:ext cx="1805927"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9</xdr:row>
      <xdr:rowOff>0</xdr:rowOff>
    </xdr:from>
    <xdr:to>
      <xdr:col>2</xdr:col>
      <xdr:colOff>213472</xdr:colOff>
      <xdr:row>11</xdr:row>
      <xdr:rowOff>8068</xdr:rowOff>
    </xdr:to>
    <xdr:sp macro="" textlink="">
      <xdr:nvSpPr>
        <xdr:cNvPr id="29" name="Arrow: Left 28">
          <a:hlinkClick xmlns:r="http://schemas.openxmlformats.org/officeDocument/2006/relationships" r:id="rId8" tooltip="Back: HVAC"/>
          <a:extLst>
            <a:ext uri="{FF2B5EF4-FFF2-40B4-BE49-F238E27FC236}">
              <a16:creationId xmlns:a16="http://schemas.microsoft.com/office/drawing/2014/main" id="{00000000-0008-0000-2400-00001D000000}"/>
            </a:ext>
          </a:extLst>
        </xdr:cNvPr>
        <xdr:cNvSpPr/>
      </xdr:nvSpPr>
      <xdr:spPr>
        <a:xfrm>
          <a:off x="304800" y="1800225"/>
          <a:ext cx="518272"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58</xdr:col>
      <xdr:colOff>114300</xdr:colOff>
      <xdr:row>9</xdr:row>
      <xdr:rowOff>0</xdr:rowOff>
    </xdr:from>
    <xdr:to>
      <xdr:col>60</xdr:col>
      <xdr:colOff>8718</xdr:colOff>
      <xdr:row>11</xdr:row>
      <xdr:rowOff>9469</xdr:rowOff>
    </xdr:to>
    <xdr:sp macro="" textlink="">
      <xdr:nvSpPr>
        <xdr:cNvPr id="43" name="Arrow: Right 42">
          <a:hlinkClick xmlns:r="http://schemas.openxmlformats.org/officeDocument/2006/relationships" r:id="rId9" tooltip="Forward: Water Heating &amp; Boilers"/>
          <a:extLst>
            <a:ext uri="{FF2B5EF4-FFF2-40B4-BE49-F238E27FC236}">
              <a16:creationId xmlns:a16="http://schemas.microsoft.com/office/drawing/2014/main" id="{00000000-0008-0000-2400-00002B000000}"/>
            </a:ext>
          </a:extLst>
        </xdr:cNvPr>
        <xdr:cNvSpPr/>
      </xdr:nvSpPr>
      <xdr:spPr>
        <a:xfrm>
          <a:off x="16573500" y="1800225"/>
          <a:ext cx="504018" cy="409519"/>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40</xdr:col>
      <xdr:colOff>293594</xdr:colOff>
      <xdr:row>0</xdr:row>
      <xdr:rowOff>6723</xdr:rowOff>
    </xdr:from>
    <xdr:to>
      <xdr:col>45</xdr:col>
      <xdr:colOff>2241</xdr:colOff>
      <xdr:row>3</xdr:row>
      <xdr:rowOff>6723</xdr:rowOff>
    </xdr:to>
    <xdr:sp macro="" textlink="">
      <xdr:nvSpPr>
        <xdr:cNvPr id="44" name="Rectangle 43">
          <a:hlinkClick xmlns:r="http://schemas.openxmlformats.org/officeDocument/2006/relationships" r:id="rId10" tooltip=" "/>
          <a:extLst>
            <a:ext uri="{FF2B5EF4-FFF2-40B4-BE49-F238E27FC236}">
              <a16:creationId xmlns:a16="http://schemas.microsoft.com/office/drawing/2014/main" id="{00000000-0008-0000-2400-00002C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20454</xdr:colOff>
      <xdr:row>0</xdr:row>
      <xdr:rowOff>97389</xdr:rowOff>
    </xdr:from>
    <xdr:to>
      <xdr:col>4</xdr:col>
      <xdr:colOff>240566</xdr:colOff>
      <xdr:row>2</xdr:row>
      <xdr:rowOff>85113</xdr:rowOff>
    </xdr:to>
    <xdr:pic>
      <xdr:nvPicPr>
        <xdr:cNvPr id="6" name="Picture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11"/>
        <a:stretch>
          <a:fillRect/>
        </a:stretch>
      </xdr:blipFill>
      <xdr:spPr>
        <a:xfrm>
          <a:off x="20454" y="97389"/>
          <a:ext cx="1483127" cy="393701"/>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7" name="Arrow: Chevron 6">
          <a:hlinkClick xmlns:r="http://schemas.openxmlformats.org/officeDocument/2006/relationships" r:id="rId12" tooltip="Terms &amp; Conditions"/>
          <a:extLst>
            <a:ext uri="{FF2B5EF4-FFF2-40B4-BE49-F238E27FC236}">
              <a16:creationId xmlns:a16="http://schemas.microsoft.com/office/drawing/2014/main" id="{00000000-0008-0000-2400-000007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8" name="Arrow: Chevron 7">
          <a:hlinkClick xmlns:r="http://schemas.openxmlformats.org/officeDocument/2006/relationships" r:id="rId13" tooltip="Project Information"/>
          <a:extLst>
            <a:ext uri="{FF2B5EF4-FFF2-40B4-BE49-F238E27FC236}">
              <a16:creationId xmlns:a16="http://schemas.microsoft.com/office/drawing/2014/main" id="{00000000-0008-0000-2400-000008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9" name="Arrow: Chevron 39">
          <a:hlinkClick xmlns:r="http://schemas.openxmlformats.org/officeDocument/2006/relationships" r:id="rId14" tooltip="Customer Information"/>
          <a:extLst>
            <a:ext uri="{FF2B5EF4-FFF2-40B4-BE49-F238E27FC236}">
              <a16:creationId xmlns:a16="http://schemas.microsoft.com/office/drawing/2014/main" id="{00000000-0008-0000-2400-000009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10" name="Arrow: Chevron 40">
          <a:hlinkClick xmlns:r="http://schemas.openxmlformats.org/officeDocument/2006/relationships" r:id="rId15" tooltip="Equipment Input"/>
          <a:extLst>
            <a:ext uri="{FF2B5EF4-FFF2-40B4-BE49-F238E27FC236}">
              <a16:creationId xmlns:a16="http://schemas.microsoft.com/office/drawing/2014/main" id="{00000000-0008-0000-2400-00000A000000}"/>
            </a:ext>
          </a:extLst>
        </xdr:cNvPr>
        <xdr:cNvSpPr/>
      </xdr:nvSpPr>
      <xdr:spPr>
        <a:xfrm>
          <a:off x="6188077" y="859240"/>
          <a:ext cx="2153708" cy="64745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11" name="Arrow: Chevron 10">
          <a:hlinkClick xmlns:r="http://schemas.openxmlformats.org/officeDocument/2006/relationships" r:id="rId16" tooltip="Payment"/>
          <a:extLst>
            <a:ext uri="{FF2B5EF4-FFF2-40B4-BE49-F238E27FC236}">
              <a16:creationId xmlns:a16="http://schemas.microsoft.com/office/drawing/2014/main" id="{00000000-0008-0000-2400-00000B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12" name="Arrow: Chevron 11">
          <a:hlinkClick xmlns:r="http://schemas.openxmlformats.org/officeDocument/2006/relationships" r:id="rId17" tooltip="Project Review"/>
          <a:extLst>
            <a:ext uri="{FF2B5EF4-FFF2-40B4-BE49-F238E27FC236}">
              <a16:creationId xmlns:a16="http://schemas.microsoft.com/office/drawing/2014/main" id="{00000000-0008-0000-2400-00000C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13" name="Arrow: Chevron 43">
          <a:hlinkClick xmlns:r="http://schemas.openxmlformats.org/officeDocument/2006/relationships" r:id="rId18" tooltip="Trade Ally / Contractor Information"/>
          <a:extLst>
            <a:ext uri="{FF2B5EF4-FFF2-40B4-BE49-F238E27FC236}">
              <a16:creationId xmlns:a16="http://schemas.microsoft.com/office/drawing/2014/main" id="{00000000-0008-0000-2400-00000D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4" name="Arrow: Chevron 13">
          <a:hlinkClick xmlns:r="http://schemas.openxmlformats.org/officeDocument/2006/relationships" r:id="rId19" tooltip="On-Bill Repayment"/>
          <a:extLst>
            <a:ext uri="{FF2B5EF4-FFF2-40B4-BE49-F238E27FC236}">
              <a16:creationId xmlns:a16="http://schemas.microsoft.com/office/drawing/2014/main" id="{00000000-0008-0000-2400-00000E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49" name="Arrow: Chevron 48">
          <a:hlinkClick xmlns:r="http://schemas.openxmlformats.org/officeDocument/2006/relationships" r:id="rId20" tooltip="Payment"/>
          <a:extLst>
            <a:ext uri="{FF2B5EF4-FFF2-40B4-BE49-F238E27FC236}">
              <a16:creationId xmlns:a16="http://schemas.microsoft.com/office/drawing/2014/main" id="{00000000-0008-0000-2400-000031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10</xdr:col>
      <xdr:colOff>21167</xdr:colOff>
      <xdr:row>7</xdr:row>
      <xdr:rowOff>179917</xdr:rowOff>
    </xdr:from>
    <xdr:to>
      <xdr:col>53</xdr:col>
      <xdr:colOff>28575</xdr:colOff>
      <xdr:row>11</xdr:row>
      <xdr:rowOff>43578</xdr:rowOff>
    </xdr:to>
    <xdr:grpSp>
      <xdr:nvGrpSpPr>
        <xdr:cNvPr id="2" name="Group 1">
          <a:extLst>
            <a:ext uri="{FF2B5EF4-FFF2-40B4-BE49-F238E27FC236}">
              <a16:creationId xmlns:a16="http://schemas.microsoft.com/office/drawing/2014/main" id="{674669AA-6A85-4241-9900-90CE0A8A5CC7}"/>
            </a:ext>
          </a:extLst>
        </xdr:cNvPr>
        <xdr:cNvGrpSpPr/>
      </xdr:nvGrpSpPr>
      <xdr:grpSpPr>
        <a:xfrm>
          <a:off x="3090334" y="1587500"/>
          <a:ext cx="13204824" cy="667995"/>
          <a:chOff x="3150659" y="1590675"/>
          <a:chExt cx="13666258" cy="661645"/>
        </a:xfrm>
      </xdr:grpSpPr>
      <xdr:sp macro="" textlink="">
        <xdr:nvSpPr>
          <xdr:cNvPr id="3" name="Rectangle 2">
            <a:hlinkClick xmlns:r="http://schemas.openxmlformats.org/officeDocument/2006/relationships" r:id="rId21" tooltip="Lighting &amp; Lighting Controls"/>
            <a:extLst>
              <a:ext uri="{FF2B5EF4-FFF2-40B4-BE49-F238E27FC236}">
                <a16:creationId xmlns:a16="http://schemas.microsoft.com/office/drawing/2014/main" id="{6341BAC9-756A-D06A-903D-A0002049F101}"/>
              </a:ext>
            </a:extLst>
          </xdr:cNvPr>
          <xdr:cNvSpPr/>
        </xdr:nvSpPr>
        <xdr:spPr>
          <a:xfrm>
            <a:off x="3150659" y="1616073"/>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Rectangle 3">
            <a:hlinkClick xmlns:r="http://schemas.openxmlformats.org/officeDocument/2006/relationships" r:id="rId8" tooltip="Lighting &amp; Lighting Controls"/>
            <a:extLst>
              <a:ext uri="{FF2B5EF4-FFF2-40B4-BE49-F238E27FC236}">
                <a16:creationId xmlns:a16="http://schemas.microsoft.com/office/drawing/2014/main" id="{8EEDED01-DC67-21E1-8FD0-35BBE8C286A2}"/>
              </a:ext>
            </a:extLst>
          </xdr:cNvPr>
          <xdr:cNvSpPr/>
        </xdr:nvSpPr>
        <xdr:spPr>
          <a:xfrm>
            <a:off x="4434417" y="1598084"/>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ectangle 18">
            <a:hlinkClick xmlns:r="http://schemas.openxmlformats.org/officeDocument/2006/relationships" r:id="rId22" tooltip="Lighting &amp; Lighting Controls"/>
            <a:extLst>
              <a:ext uri="{FF2B5EF4-FFF2-40B4-BE49-F238E27FC236}">
                <a16:creationId xmlns:a16="http://schemas.microsoft.com/office/drawing/2014/main" id="{02167B70-8B12-E1B2-F82B-24F10AA0A4F0}"/>
              </a:ext>
            </a:extLst>
          </xdr:cNvPr>
          <xdr:cNvSpPr/>
        </xdr:nvSpPr>
        <xdr:spPr>
          <a:xfrm>
            <a:off x="5722408" y="1608667"/>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Rectangle 29">
            <a:hlinkClick xmlns:r="http://schemas.openxmlformats.org/officeDocument/2006/relationships" r:id="rId9" tooltip="Lighting &amp; Lighting Controls"/>
            <a:extLst>
              <a:ext uri="{FF2B5EF4-FFF2-40B4-BE49-F238E27FC236}">
                <a16:creationId xmlns:a16="http://schemas.microsoft.com/office/drawing/2014/main" id="{436A0A1B-EF30-47EF-8CF1-14659E22610A}"/>
              </a:ext>
            </a:extLst>
          </xdr:cNvPr>
          <xdr:cNvSpPr/>
        </xdr:nvSpPr>
        <xdr:spPr>
          <a:xfrm>
            <a:off x="6985000" y="1598084"/>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Rectangle 30">
            <a:hlinkClick xmlns:r="http://schemas.openxmlformats.org/officeDocument/2006/relationships" r:id="rId23" tooltip="Lighting &amp; Lighting Controls"/>
            <a:extLst>
              <a:ext uri="{FF2B5EF4-FFF2-40B4-BE49-F238E27FC236}">
                <a16:creationId xmlns:a16="http://schemas.microsoft.com/office/drawing/2014/main" id="{56EBC055-EC39-7B60-5E95-9EBF6B8AE66C}"/>
              </a:ext>
            </a:extLst>
          </xdr:cNvPr>
          <xdr:cNvSpPr/>
        </xdr:nvSpPr>
        <xdr:spPr>
          <a:xfrm>
            <a:off x="8357659"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Rectangle 31">
            <a:hlinkClick xmlns:r="http://schemas.openxmlformats.org/officeDocument/2006/relationships" r:id="rId24" tooltip="Lighting &amp; Lighting Controls"/>
            <a:extLst>
              <a:ext uri="{FF2B5EF4-FFF2-40B4-BE49-F238E27FC236}">
                <a16:creationId xmlns:a16="http://schemas.microsoft.com/office/drawing/2014/main" id="{6CC1CE7E-43AD-BB44-10CE-598163332AB6}"/>
              </a:ext>
            </a:extLst>
          </xdr:cNvPr>
          <xdr:cNvSpPr/>
        </xdr:nvSpPr>
        <xdr:spPr>
          <a:xfrm>
            <a:off x="9958916"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Rectangle 32">
            <a:hlinkClick xmlns:r="http://schemas.openxmlformats.org/officeDocument/2006/relationships" r:id="rId25" tooltip="Lighting &amp; Lighting Controls"/>
            <a:extLst>
              <a:ext uri="{FF2B5EF4-FFF2-40B4-BE49-F238E27FC236}">
                <a16:creationId xmlns:a16="http://schemas.microsoft.com/office/drawing/2014/main" id="{BEE25DF6-2F70-1730-C4DE-DA1BAE08F936}"/>
              </a:ext>
            </a:extLst>
          </xdr:cNvPr>
          <xdr:cNvSpPr/>
        </xdr:nvSpPr>
        <xdr:spPr>
          <a:xfrm>
            <a:off x="11574991" y="1598083"/>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Rectangle 33">
            <a:hlinkClick xmlns:r="http://schemas.openxmlformats.org/officeDocument/2006/relationships" r:id="rId26" tooltip="Lighting &amp; Lighting Controls"/>
            <a:extLst>
              <a:ext uri="{FF2B5EF4-FFF2-40B4-BE49-F238E27FC236}">
                <a16:creationId xmlns:a16="http://schemas.microsoft.com/office/drawing/2014/main" id="{C86E0638-F6D0-5B55-0BA2-82135D2E8EDE}"/>
              </a:ext>
            </a:extLst>
          </xdr:cNvPr>
          <xdr:cNvSpPr/>
        </xdr:nvSpPr>
        <xdr:spPr>
          <a:xfrm>
            <a:off x="13024908" y="1616075"/>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Rectangle 34">
            <a:hlinkClick xmlns:r="http://schemas.openxmlformats.org/officeDocument/2006/relationships" r:id="rId27" tooltip="Lighting &amp; Lighting Controls"/>
            <a:extLst>
              <a:ext uri="{FF2B5EF4-FFF2-40B4-BE49-F238E27FC236}">
                <a16:creationId xmlns:a16="http://schemas.microsoft.com/office/drawing/2014/main" id="{9405FBAB-443A-506A-3206-BAF59EE6C42E}"/>
              </a:ext>
            </a:extLst>
          </xdr:cNvPr>
          <xdr:cNvSpPr/>
        </xdr:nvSpPr>
        <xdr:spPr>
          <a:xfrm>
            <a:off x="14294908" y="1598083"/>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Rectangle 35">
            <a:hlinkClick xmlns:r="http://schemas.openxmlformats.org/officeDocument/2006/relationships" r:id="rId28" tooltip="Lighting &amp; Lighting Controls"/>
            <a:extLst>
              <a:ext uri="{FF2B5EF4-FFF2-40B4-BE49-F238E27FC236}">
                <a16:creationId xmlns:a16="http://schemas.microsoft.com/office/drawing/2014/main" id="{20F677B6-4D01-DCE4-2E7A-6B6FB4380655}"/>
              </a:ext>
            </a:extLst>
          </xdr:cNvPr>
          <xdr:cNvSpPr/>
        </xdr:nvSpPr>
        <xdr:spPr>
          <a:xfrm>
            <a:off x="15546917" y="1590675"/>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251013</xdr:colOff>
      <xdr:row>2</xdr:row>
      <xdr:rowOff>161363</xdr:rowOff>
    </xdr:to>
    <xdr:sp macro="" textlink="">
      <xdr:nvSpPr>
        <xdr:cNvPr id="15" name="Rectangle 14">
          <a:extLst>
            <a:ext uri="{FF2B5EF4-FFF2-40B4-BE49-F238E27FC236}">
              <a16:creationId xmlns:a16="http://schemas.microsoft.com/office/drawing/2014/main" id="{00000000-0008-0000-2500-00000F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6" name="Rectangle 15">
          <a:hlinkClick xmlns:r="http://schemas.openxmlformats.org/officeDocument/2006/relationships" r:id="rId1" tooltip="Welcome"/>
          <a:extLst>
            <a:ext uri="{FF2B5EF4-FFF2-40B4-BE49-F238E27FC236}">
              <a16:creationId xmlns:a16="http://schemas.microsoft.com/office/drawing/2014/main" id="{00000000-0008-0000-2500-000010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7" name="Rectangle 16">
          <a:hlinkClick xmlns:r="http://schemas.openxmlformats.org/officeDocument/2006/relationships" r:id="rId2" tooltip="Instructions"/>
          <a:extLst>
            <a:ext uri="{FF2B5EF4-FFF2-40B4-BE49-F238E27FC236}">
              <a16:creationId xmlns:a16="http://schemas.microsoft.com/office/drawing/2014/main" id="{00000000-0008-0000-2500-000011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302559</xdr:colOff>
      <xdr:row>0</xdr:row>
      <xdr:rowOff>0</xdr:rowOff>
    </xdr:from>
    <xdr:to>
      <xdr:col>63</xdr:col>
      <xdr:colOff>0</xdr:colOff>
      <xdr:row>3</xdr:row>
      <xdr:rowOff>0</xdr:rowOff>
    </xdr:to>
    <xdr:sp macro="" textlink="">
      <xdr:nvSpPr>
        <xdr:cNvPr id="18" name="Rectangle 17">
          <a:hlinkClick xmlns:r="http://schemas.openxmlformats.org/officeDocument/2006/relationships" r:id="rId3" tooltip="Contact"/>
          <a:extLst>
            <a:ext uri="{FF2B5EF4-FFF2-40B4-BE49-F238E27FC236}">
              <a16:creationId xmlns:a16="http://schemas.microsoft.com/office/drawing/2014/main" id="{00000000-0008-0000-2500-000012000000}"/>
            </a:ext>
          </a:extLst>
        </xdr:cNvPr>
        <xdr:cNvSpPr/>
      </xdr:nvSpPr>
      <xdr:spPr>
        <a:xfrm>
          <a:off x="16761759" y="0"/>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293594</xdr:colOff>
      <xdr:row>0</xdr:row>
      <xdr:rowOff>6723</xdr:rowOff>
    </xdr:from>
    <xdr:to>
      <xdr:col>53</xdr:col>
      <xdr:colOff>2241</xdr:colOff>
      <xdr:row>3</xdr:row>
      <xdr:rowOff>6723</xdr:rowOff>
    </xdr:to>
    <xdr:sp macro="" textlink="">
      <xdr:nvSpPr>
        <xdr:cNvPr id="20" name="Rectangle 19">
          <a:hlinkClick xmlns:r="http://schemas.openxmlformats.org/officeDocument/2006/relationships" r:id="rId4" tooltip=" "/>
          <a:extLst>
            <a:ext uri="{FF2B5EF4-FFF2-40B4-BE49-F238E27FC236}">
              <a16:creationId xmlns:a16="http://schemas.microsoft.com/office/drawing/2014/main" id="{00000000-0008-0000-2500-000014000000}"/>
            </a:ext>
          </a:extLst>
        </xdr:cNvPr>
        <xdr:cNvSpPr/>
      </xdr:nvSpPr>
      <xdr:spPr>
        <a:xfrm>
          <a:off x="137047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0</xdr:colOff>
      <xdr:row>0</xdr:row>
      <xdr:rowOff>100293</xdr:rowOff>
    </xdr:from>
    <xdr:to>
      <xdr:col>59</xdr:col>
      <xdr:colOff>9525</xdr:colOff>
      <xdr:row>2</xdr:row>
      <xdr:rowOff>128868</xdr:rowOff>
    </xdr:to>
    <xdr:cxnSp macro="">
      <xdr:nvCxnSpPr>
        <xdr:cNvPr id="21" name="Straight Connector 20">
          <a:extLst>
            <a:ext uri="{FF2B5EF4-FFF2-40B4-BE49-F238E27FC236}">
              <a16:creationId xmlns:a16="http://schemas.microsoft.com/office/drawing/2014/main" id="{00000000-0008-0000-2500-000015000000}"/>
            </a:ext>
          </a:extLst>
        </xdr:cNvPr>
        <xdr:cNvCxnSpPr/>
      </xdr:nvCxnSpPr>
      <xdr:spPr>
        <a:xfrm>
          <a:off x="16764000"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302559</xdr:colOff>
      <xdr:row>0</xdr:row>
      <xdr:rowOff>11206</xdr:rowOff>
    </xdr:from>
    <xdr:to>
      <xdr:col>63</xdr:col>
      <xdr:colOff>0</xdr:colOff>
      <xdr:row>3</xdr:row>
      <xdr:rowOff>11206</xdr:rowOff>
    </xdr:to>
    <xdr:sp macro="" textlink="">
      <xdr:nvSpPr>
        <xdr:cNvPr id="22" name="Rectangle 21">
          <a:hlinkClick xmlns:r="http://schemas.openxmlformats.org/officeDocument/2006/relationships" r:id="rId3" tooltip="Contact"/>
          <a:extLst>
            <a:ext uri="{FF2B5EF4-FFF2-40B4-BE49-F238E27FC236}">
              <a16:creationId xmlns:a16="http://schemas.microsoft.com/office/drawing/2014/main" id="{00000000-0008-0000-2500-000016000000}"/>
            </a:ext>
          </a:extLst>
        </xdr:cNvPr>
        <xdr:cNvSpPr/>
      </xdr:nvSpPr>
      <xdr:spPr>
        <a:xfrm>
          <a:off x="16761759" y="11206"/>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291353</xdr:colOff>
      <xdr:row>0</xdr:row>
      <xdr:rowOff>0</xdr:rowOff>
    </xdr:from>
    <xdr:to>
      <xdr:col>58</xdr:col>
      <xdr:colOff>280147</xdr:colOff>
      <xdr:row>2</xdr:row>
      <xdr:rowOff>190500</xdr:rowOff>
    </xdr:to>
    <xdr:sp macro="" textlink="">
      <xdr:nvSpPr>
        <xdr:cNvPr id="23" name="Rectangle 22">
          <a:extLst>
            <a:ext uri="{FF2B5EF4-FFF2-40B4-BE49-F238E27FC236}">
              <a16:creationId xmlns:a16="http://schemas.microsoft.com/office/drawing/2014/main" id="{00000000-0008-0000-2500-000017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4" name="Straight Connector 23">
          <a:extLst>
            <a:ext uri="{FF2B5EF4-FFF2-40B4-BE49-F238E27FC236}">
              <a16:creationId xmlns:a16="http://schemas.microsoft.com/office/drawing/2014/main" id="{00000000-0008-0000-2500-000018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285446</xdr:colOff>
      <xdr:row>2</xdr:row>
      <xdr:rowOff>58157</xdr:rowOff>
    </xdr:to>
    <xdr:pic>
      <xdr:nvPicPr>
        <xdr:cNvPr id="25" name="Picture 24">
          <a:extLst>
            <a:ext uri="{FF2B5EF4-FFF2-40B4-BE49-F238E27FC236}">
              <a16:creationId xmlns:a16="http://schemas.microsoft.com/office/drawing/2014/main" id="{00000000-0008-0000-25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53</xdr:col>
      <xdr:colOff>11787</xdr:colOff>
      <xdr:row>0</xdr:row>
      <xdr:rowOff>100293</xdr:rowOff>
    </xdr:from>
    <xdr:to>
      <xdr:col>53</xdr:col>
      <xdr:colOff>21312</xdr:colOff>
      <xdr:row>2</xdr:row>
      <xdr:rowOff>128868</xdr:rowOff>
    </xdr:to>
    <xdr:cxnSp macro="">
      <xdr:nvCxnSpPr>
        <xdr:cNvPr id="26" name="Straight Connector 25">
          <a:extLst>
            <a:ext uri="{FF2B5EF4-FFF2-40B4-BE49-F238E27FC236}">
              <a16:creationId xmlns:a16="http://schemas.microsoft.com/office/drawing/2014/main" id="{00000000-0008-0000-2500-00001A000000}"/>
            </a:ext>
          </a:extLst>
        </xdr:cNvPr>
        <xdr:cNvCxnSpPr/>
      </xdr:nvCxnSpPr>
      <xdr:spPr>
        <a:xfrm>
          <a:off x="14946987"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276225</xdr:colOff>
      <xdr:row>0</xdr:row>
      <xdr:rowOff>78068</xdr:rowOff>
    </xdr:from>
    <xdr:to>
      <xdr:col>8</xdr:col>
      <xdr:colOff>276432</xdr:colOff>
      <xdr:row>2</xdr:row>
      <xdr:rowOff>114300</xdr:rowOff>
    </xdr:to>
    <xdr:cxnSp macro="">
      <xdr:nvCxnSpPr>
        <xdr:cNvPr id="27" name="Straight Connector 26">
          <a:extLst>
            <a:ext uri="{FF2B5EF4-FFF2-40B4-BE49-F238E27FC236}">
              <a16:creationId xmlns:a16="http://schemas.microsoft.com/office/drawing/2014/main" id="{00000000-0008-0000-2500-00001B000000}"/>
            </a:ext>
          </a:extLst>
        </xdr:cNvPr>
        <xdr:cNvCxnSpPr/>
      </xdr:nvCxnSpPr>
      <xdr:spPr>
        <a:xfrm flipH="1">
          <a:off x="2790825" y="78068"/>
          <a:ext cx="207" cy="43628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22873</xdr:colOff>
      <xdr:row>0</xdr:row>
      <xdr:rowOff>0</xdr:rowOff>
    </xdr:from>
    <xdr:to>
      <xdr:col>59</xdr:col>
      <xdr:colOff>0</xdr:colOff>
      <xdr:row>2</xdr:row>
      <xdr:rowOff>186186</xdr:rowOff>
    </xdr:to>
    <xdr:sp macro="" textlink="">
      <xdr:nvSpPr>
        <xdr:cNvPr id="28" name="Rectangle 27">
          <a:hlinkClick xmlns:r="http://schemas.openxmlformats.org/officeDocument/2006/relationships" r:id="rId6" tooltip="Incentive Rates &amp; Requirements"/>
          <a:extLst>
            <a:ext uri="{FF2B5EF4-FFF2-40B4-BE49-F238E27FC236}">
              <a16:creationId xmlns:a16="http://schemas.microsoft.com/office/drawing/2014/main" id="{00000000-0008-0000-2500-00001C000000}"/>
            </a:ext>
          </a:extLst>
        </xdr:cNvPr>
        <xdr:cNvSpPr/>
      </xdr:nvSpPr>
      <xdr:spPr>
        <a:xfrm>
          <a:off x="14958073" y="0"/>
          <a:ext cx="1805927"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9</xdr:row>
      <xdr:rowOff>0</xdr:rowOff>
    </xdr:from>
    <xdr:to>
      <xdr:col>2</xdr:col>
      <xdr:colOff>213472</xdr:colOff>
      <xdr:row>11</xdr:row>
      <xdr:rowOff>8068</xdr:rowOff>
    </xdr:to>
    <xdr:sp macro="" textlink="">
      <xdr:nvSpPr>
        <xdr:cNvPr id="29" name="Arrow: Left 28">
          <a:hlinkClick xmlns:r="http://schemas.openxmlformats.org/officeDocument/2006/relationships" r:id="rId7" tooltip="Back: Heating"/>
          <a:extLst>
            <a:ext uri="{FF2B5EF4-FFF2-40B4-BE49-F238E27FC236}">
              <a16:creationId xmlns:a16="http://schemas.microsoft.com/office/drawing/2014/main" id="{00000000-0008-0000-2500-00001D000000}"/>
            </a:ext>
          </a:extLst>
        </xdr:cNvPr>
        <xdr:cNvSpPr/>
      </xdr:nvSpPr>
      <xdr:spPr>
        <a:xfrm>
          <a:off x="304800" y="1800225"/>
          <a:ext cx="518272"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58</xdr:col>
      <xdr:colOff>163853</xdr:colOff>
      <xdr:row>8</xdr:row>
      <xdr:rowOff>190500</xdr:rowOff>
    </xdr:from>
    <xdr:to>
      <xdr:col>60</xdr:col>
      <xdr:colOff>66675</xdr:colOff>
      <xdr:row>10</xdr:row>
      <xdr:rowOff>196887</xdr:rowOff>
    </xdr:to>
    <xdr:sp macro="" textlink="">
      <xdr:nvSpPr>
        <xdr:cNvPr id="43" name="Arrow: Right 42">
          <a:hlinkClick xmlns:r="http://schemas.openxmlformats.org/officeDocument/2006/relationships" r:id="rId8" tooltip="Forward: Refrigeration"/>
          <a:extLst>
            <a:ext uri="{FF2B5EF4-FFF2-40B4-BE49-F238E27FC236}">
              <a16:creationId xmlns:a16="http://schemas.microsoft.com/office/drawing/2014/main" id="{00000000-0008-0000-2500-00002B000000}"/>
            </a:ext>
          </a:extLst>
        </xdr:cNvPr>
        <xdr:cNvSpPr/>
      </xdr:nvSpPr>
      <xdr:spPr>
        <a:xfrm>
          <a:off x="16623053" y="1790700"/>
          <a:ext cx="512422" cy="406437"/>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44</xdr:col>
      <xdr:colOff>309282</xdr:colOff>
      <xdr:row>0</xdr:row>
      <xdr:rowOff>0</xdr:rowOff>
    </xdr:from>
    <xdr:to>
      <xdr:col>49</xdr:col>
      <xdr:colOff>17930</xdr:colOff>
      <xdr:row>3</xdr:row>
      <xdr:rowOff>0</xdr:rowOff>
    </xdr:to>
    <xdr:sp macro="" textlink="">
      <xdr:nvSpPr>
        <xdr:cNvPr id="44" name="Rectangle 43">
          <a:hlinkClick xmlns:r="http://schemas.openxmlformats.org/officeDocument/2006/relationships" r:id="rId9" tooltip=" "/>
          <a:extLst>
            <a:ext uri="{FF2B5EF4-FFF2-40B4-BE49-F238E27FC236}">
              <a16:creationId xmlns:a16="http://schemas.microsoft.com/office/drawing/2014/main" id="{00000000-0008-0000-2500-00002C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293594</xdr:colOff>
      <xdr:row>0</xdr:row>
      <xdr:rowOff>6723</xdr:rowOff>
    </xdr:from>
    <xdr:to>
      <xdr:col>45</xdr:col>
      <xdr:colOff>2241</xdr:colOff>
      <xdr:row>3</xdr:row>
      <xdr:rowOff>6723</xdr:rowOff>
    </xdr:to>
    <xdr:sp macro="" textlink="">
      <xdr:nvSpPr>
        <xdr:cNvPr id="45" name="Rectangle 44">
          <a:hlinkClick xmlns:r="http://schemas.openxmlformats.org/officeDocument/2006/relationships" r:id="rId10" tooltip=" "/>
          <a:extLst>
            <a:ext uri="{FF2B5EF4-FFF2-40B4-BE49-F238E27FC236}">
              <a16:creationId xmlns:a16="http://schemas.microsoft.com/office/drawing/2014/main" id="{00000000-0008-0000-2500-00002D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7754</xdr:colOff>
      <xdr:row>0</xdr:row>
      <xdr:rowOff>97389</xdr:rowOff>
    </xdr:from>
    <xdr:to>
      <xdr:col>4</xdr:col>
      <xdr:colOff>211991</xdr:colOff>
      <xdr:row>2</xdr:row>
      <xdr:rowOff>93156</xdr:rowOff>
    </xdr:to>
    <xdr:pic>
      <xdr:nvPicPr>
        <xdr:cNvPr id="5" name="Picture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11"/>
        <a:stretch>
          <a:fillRect/>
        </a:stretch>
      </xdr:blipFill>
      <xdr:spPr>
        <a:xfrm>
          <a:off x="7754" y="97389"/>
          <a:ext cx="1483127" cy="402167"/>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6" name="Arrow: Chevron 5">
          <a:hlinkClick xmlns:r="http://schemas.openxmlformats.org/officeDocument/2006/relationships" r:id="rId12" tooltip="Terms &amp; Conditions"/>
          <a:extLst>
            <a:ext uri="{FF2B5EF4-FFF2-40B4-BE49-F238E27FC236}">
              <a16:creationId xmlns:a16="http://schemas.microsoft.com/office/drawing/2014/main" id="{00000000-0008-0000-2500-000006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19" name="Arrow: Chevron 18">
          <a:hlinkClick xmlns:r="http://schemas.openxmlformats.org/officeDocument/2006/relationships" r:id="rId13" tooltip="Project Information"/>
          <a:extLst>
            <a:ext uri="{FF2B5EF4-FFF2-40B4-BE49-F238E27FC236}">
              <a16:creationId xmlns:a16="http://schemas.microsoft.com/office/drawing/2014/main" id="{00000000-0008-0000-2500-000013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30" name="Arrow: Chevron 39">
          <a:hlinkClick xmlns:r="http://schemas.openxmlformats.org/officeDocument/2006/relationships" r:id="rId14" tooltip="Customer Information"/>
          <a:extLst>
            <a:ext uri="{FF2B5EF4-FFF2-40B4-BE49-F238E27FC236}">
              <a16:creationId xmlns:a16="http://schemas.microsoft.com/office/drawing/2014/main" id="{00000000-0008-0000-2500-00001E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31" name="Arrow: Chevron 40">
          <a:hlinkClick xmlns:r="http://schemas.openxmlformats.org/officeDocument/2006/relationships" r:id="rId15" tooltip="Equipment Input"/>
          <a:extLst>
            <a:ext uri="{FF2B5EF4-FFF2-40B4-BE49-F238E27FC236}">
              <a16:creationId xmlns:a16="http://schemas.microsoft.com/office/drawing/2014/main" id="{00000000-0008-0000-2500-00001F000000}"/>
            </a:ext>
          </a:extLst>
        </xdr:cNvPr>
        <xdr:cNvSpPr/>
      </xdr:nvSpPr>
      <xdr:spPr>
        <a:xfrm>
          <a:off x="6188077" y="859240"/>
          <a:ext cx="2153708" cy="64745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32" name="Arrow: Chevron 31">
          <a:hlinkClick xmlns:r="http://schemas.openxmlformats.org/officeDocument/2006/relationships" r:id="rId16" tooltip="Payment"/>
          <a:extLst>
            <a:ext uri="{FF2B5EF4-FFF2-40B4-BE49-F238E27FC236}">
              <a16:creationId xmlns:a16="http://schemas.microsoft.com/office/drawing/2014/main" id="{00000000-0008-0000-2500-000020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46" name="Arrow: Chevron 45">
          <a:hlinkClick xmlns:r="http://schemas.openxmlformats.org/officeDocument/2006/relationships" r:id="rId17" tooltip="Project Review"/>
          <a:extLst>
            <a:ext uri="{FF2B5EF4-FFF2-40B4-BE49-F238E27FC236}">
              <a16:creationId xmlns:a16="http://schemas.microsoft.com/office/drawing/2014/main" id="{00000000-0008-0000-2500-00002E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47" name="Arrow: Chevron 43">
          <a:hlinkClick xmlns:r="http://schemas.openxmlformats.org/officeDocument/2006/relationships" r:id="rId18" tooltip="Trade Ally / Contractor Information"/>
          <a:extLst>
            <a:ext uri="{FF2B5EF4-FFF2-40B4-BE49-F238E27FC236}">
              <a16:creationId xmlns:a16="http://schemas.microsoft.com/office/drawing/2014/main" id="{00000000-0008-0000-2500-00002F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48" name="Arrow: Chevron 47">
          <a:hlinkClick xmlns:r="http://schemas.openxmlformats.org/officeDocument/2006/relationships" r:id="rId19" tooltip="On-Bill Repayment"/>
          <a:extLst>
            <a:ext uri="{FF2B5EF4-FFF2-40B4-BE49-F238E27FC236}">
              <a16:creationId xmlns:a16="http://schemas.microsoft.com/office/drawing/2014/main" id="{00000000-0008-0000-2500-000030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49" name="Arrow: Chevron 48">
          <a:hlinkClick xmlns:r="http://schemas.openxmlformats.org/officeDocument/2006/relationships" r:id="rId20" tooltip="Payment"/>
          <a:extLst>
            <a:ext uri="{FF2B5EF4-FFF2-40B4-BE49-F238E27FC236}">
              <a16:creationId xmlns:a16="http://schemas.microsoft.com/office/drawing/2014/main" id="{00000000-0008-0000-2500-000031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9</xdr:col>
      <xdr:colOff>275166</xdr:colOff>
      <xdr:row>7</xdr:row>
      <xdr:rowOff>190500</xdr:rowOff>
    </xdr:from>
    <xdr:to>
      <xdr:col>52</xdr:col>
      <xdr:colOff>282574</xdr:colOff>
      <xdr:row>11</xdr:row>
      <xdr:rowOff>54161</xdr:rowOff>
    </xdr:to>
    <xdr:grpSp>
      <xdr:nvGrpSpPr>
        <xdr:cNvPr id="2" name="Group 1">
          <a:extLst>
            <a:ext uri="{FF2B5EF4-FFF2-40B4-BE49-F238E27FC236}">
              <a16:creationId xmlns:a16="http://schemas.microsoft.com/office/drawing/2014/main" id="{18EFBE40-271B-4733-89ED-FF494F26ACBE}"/>
            </a:ext>
          </a:extLst>
        </xdr:cNvPr>
        <xdr:cNvGrpSpPr/>
      </xdr:nvGrpSpPr>
      <xdr:grpSpPr>
        <a:xfrm>
          <a:off x="3037416" y="1598083"/>
          <a:ext cx="13204825" cy="667995"/>
          <a:chOff x="3150659" y="1590675"/>
          <a:chExt cx="13666258" cy="661645"/>
        </a:xfrm>
      </xdr:grpSpPr>
      <xdr:sp macro="" textlink="">
        <xdr:nvSpPr>
          <xdr:cNvPr id="3" name="Rectangle 2">
            <a:hlinkClick xmlns:r="http://schemas.openxmlformats.org/officeDocument/2006/relationships" r:id="rId21" tooltip="Lighting &amp; Lighting Controls"/>
            <a:extLst>
              <a:ext uri="{FF2B5EF4-FFF2-40B4-BE49-F238E27FC236}">
                <a16:creationId xmlns:a16="http://schemas.microsoft.com/office/drawing/2014/main" id="{1BA21580-C453-DF89-6AF5-ECC946BFCE19}"/>
              </a:ext>
            </a:extLst>
          </xdr:cNvPr>
          <xdr:cNvSpPr/>
        </xdr:nvSpPr>
        <xdr:spPr>
          <a:xfrm>
            <a:off x="3150659" y="1616073"/>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Rectangle 3">
            <a:hlinkClick xmlns:r="http://schemas.openxmlformats.org/officeDocument/2006/relationships" r:id="rId22" tooltip="Lighting &amp; Lighting Controls"/>
            <a:extLst>
              <a:ext uri="{FF2B5EF4-FFF2-40B4-BE49-F238E27FC236}">
                <a16:creationId xmlns:a16="http://schemas.microsoft.com/office/drawing/2014/main" id="{2CD1A2EA-14EA-CBF0-CB2F-69485113B14C}"/>
              </a:ext>
            </a:extLst>
          </xdr:cNvPr>
          <xdr:cNvSpPr/>
        </xdr:nvSpPr>
        <xdr:spPr>
          <a:xfrm>
            <a:off x="4434417" y="1598084"/>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hlinkClick xmlns:r="http://schemas.openxmlformats.org/officeDocument/2006/relationships" r:id="rId7" tooltip="Lighting &amp; Lighting Controls"/>
            <a:extLst>
              <a:ext uri="{FF2B5EF4-FFF2-40B4-BE49-F238E27FC236}">
                <a16:creationId xmlns:a16="http://schemas.microsoft.com/office/drawing/2014/main" id="{091593BC-D311-B920-4E6A-CE17230E3DE1}"/>
              </a:ext>
            </a:extLst>
          </xdr:cNvPr>
          <xdr:cNvSpPr/>
        </xdr:nvSpPr>
        <xdr:spPr>
          <a:xfrm>
            <a:off x="5722408" y="1608667"/>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hlinkClick xmlns:r="http://schemas.openxmlformats.org/officeDocument/2006/relationships" r:id="rId23" tooltip="Lighting &amp; Lighting Controls"/>
            <a:extLst>
              <a:ext uri="{FF2B5EF4-FFF2-40B4-BE49-F238E27FC236}">
                <a16:creationId xmlns:a16="http://schemas.microsoft.com/office/drawing/2014/main" id="{5544EABA-37E1-DBCD-686D-A3855EF95074}"/>
              </a:ext>
            </a:extLst>
          </xdr:cNvPr>
          <xdr:cNvSpPr/>
        </xdr:nvSpPr>
        <xdr:spPr>
          <a:xfrm>
            <a:off x="6985000" y="1598084"/>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Rectangle 8">
            <a:hlinkClick xmlns:r="http://schemas.openxmlformats.org/officeDocument/2006/relationships" r:id="rId8" tooltip="Lighting &amp; Lighting Controls"/>
            <a:extLst>
              <a:ext uri="{FF2B5EF4-FFF2-40B4-BE49-F238E27FC236}">
                <a16:creationId xmlns:a16="http://schemas.microsoft.com/office/drawing/2014/main" id="{9173B0EB-2BEE-74A1-A3D4-3E6BA6EE4664}"/>
              </a:ext>
            </a:extLst>
          </xdr:cNvPr>
          <xdr:cNvSpPr/>
        </xdr:nvSpPr>
        <xdr:spPr>
          <a:xfrm>
            <a:off x="8357659"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Rectangle 9">
            <a:hlinkClick xmlns:r="http://schemas.openxmlformats.org/officeDocument/2006/relationships" r:id="rId24" tooltip="Lighting &amp; Lighting Controls"/>
            <a:extLst>
              <a:ext uri="{FF2B5EF4-FFF2-40B4-BE49-F238E27FC236}">
                <a16:creationId xmlns:a16="http://schemas.microsoft.com/office/drawing/2014/main" id="{13E0E415-ABB0-4135-FA40-0A82A2BC4514}"/>
              </a:ext>
            </a:extLst>
          </xdr:cNvPr>
          <xdr:cNvSpPr/>
        </xdr:nvSpPr>
        <xdr:spPr>
          <a:xfrm>
            <a:off x="9958916"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Rectangle 10">
            <a:hlinkClick xmlns:r="http://schemas.openxmlformats.org/officeDocument/2006/relationships" r:id="rId25" tooltip="Lighting &amp; Lighting Controls"/>
            <a:extLst>
              <a:ext uri="{FF2B5EF4-FFF2-40B4-BE49-F238E27FC236}">
                <a16:creationId xmlns:a16="http://schemas.microsoft.com/office/drawing/2014/main" id="{C4D9D9FA-3CFA-04EA-668F-9C85E43634AE}"/>
              </a:ext>
            </a:extLst>
          </xdr:cNvPr>
          <xdr:cNvSpPr/>
        </xdr:nvSpPr>
        <xdr:spPr>
          <a:xfrm>
            <a:off x="11574991" y="1598083"/>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Rectangle 11">
            <a:hlinkClick xmlns:r="http://schemas.openxmlformats.org/officeDocument/2006/relationships" r:id="rId26" tooltip="Lighting &amp; Lighting Controls"/>
            <a:extLst>
              <a:ext uri="{FF2B5EF4-FFF2-40B4-BE49-F238E27FC236}">
                <a16:creationId xmlns:a16="http://schemas.microsoft.com/office/drawing/2014/main" id="{F1A21765-33A3-10B8-496D-5A418DC5C2DA}"/>
              </a:ext>
            </a:extLst>
          </xdr:cNvPr>
          <xdr:cNvSpPr/>
        </xdr:nvSpPr>
        <xdr:spPr>
          <a:xfrm>
            <a:off x="13024908" y="1616075"/>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Rectangle 12">
            <a:hlinkClick xmlns:r="http://schemas.openxmlformats.org/officeDocument/2006/relationships" r:id="rId27" tooltip="Lighting &amp; Lighting Controls"/>
            <a:extLst>
              <a:ext uri="{FF2B5EF4-FFF2-40B4-BE49-F238E27FC236}">
                <a16:creationId xmlns:a16="http://schemas.microsoft.com/office/drawing/2014/main" id="{FD1AB0E8-4EC2-FFE1-9B03-A65125AF4245}"/>
              </a:ext>
            </a:extLst>
          </xdr:cNvPr>
          <xdr:cNvSpPr/>
        </xdr:nvSpPr>
        <xdr:spPr>
          <a:xfrm>
            <a:off x="14294908" y="1598083"/>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ctangle 13">
            <a:hlinkClick xmlns:r="http://schemas.openxmlformats.org/officeDocument/2006/relationships" r:id="rId28" tooltip="Lighting &amp; Lighting Controls"/>
            <a:extLst>
              <a:ext uri="{FF2B5EF4-FFF2-40B4-BE49-F238E27FC236}">
                <a16:creationId xmlns:a16="http://schemas.microsoft.com/office/drawing/2014/main" id="{B6CFB323-9350-839C-261D-531B03DA1513}"/>
              </a:ext>
            </a:extLst>
          </xdr:cNvPr>
          <xdr:cNvSpPr/>
        </xdr:nvSpPr>
        <xdr:spPr>
          <a:xfrm>
            <a:off x="15546917" y="1590675"/>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251013</xdr:colOff>
      <xdr:row>2</xdr:row>
      <xdr:rowOff>161363</xdr:rowOff>
    </xdr:to>
    <xdr:sp macro="" textlink="">
      <xdr:nvSpPr>
        <xdr:cNvPr id="15" name="Rectangle 14">
          <a:extLst>
            <a:ext uri="{FF2B5EF4-FFF2-40B4-BE49-F238E27FC236}">
              <a16:creationId xmlns:a16="http://schemas.microsoft.com/office/drawing/2014/main" id="{00000000-0008-0000-2600-00000F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6" name="Rectangle 15">
          <a:hlinkClick xmlns:r="http://schemas.openxmlformats.org/officeDocument/2006/relationships" r:id="rId1" tooltip="Welcome"/>
          <a:extLst>
            <a:ext uri="{FF2B5EF4-FFF2-40B4-BE49-F238E27FC236}">
              <a16:creationId xmlns:a16="http://schemas.microsoft.com/office/drawing/2014/main" id="{00000000-0008-0000-2600-000010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7" name="Rectangle 16">
          <a:hlinkClick xmlns:r="http://schemas.openxmlformats.org/officeDocument/2006/relationships" r:id="rId2" tooltip="Instructions"/>
          <a:extLst>
            <a:ext uri="{FF2B5EF4-FFF2-40B4-BE49-F238E27FC236}">
              <a16:creationId xmlns:a16="http://schemas.microsoft.com/office/drawing/2014/main" id="{00000000-0008-0000-2600-000011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302559</xdr:colOff>
      <xdr:row>0</xdr:row>
      <xdr:rowOff>0</xdr:rowOff>
    </xdr:from>
    <xdr:to>
      <xdr:col>63</xdr:col>
      <xdr:colOff>0</xdr:colOff>
      <xdr:row>3</xdr:row>
      <xdr:rowOff>0</xdr:rowOff>
    </xdr:to>
    <xdr:sp macro="" textlink="">
      <xdr:nvSpPr>
        <xdr:cNvPr id="18" name="Rectangle 17">
          <a:hlinkClick xmlns:r="http://schemas.openxmlformats.org/officeDocument/2006/relationships" r:id="rId3" tooltip="Contact"/>
          <a:extLst>
            <a:ext uri="{FF2B5EF4-FFF2-40B4-BE49-F238E27FC236}">
              <a16:creationId xmlns:a16="http://schemas.microsoft.com/office/drawing/2014/main" id="{00000000-0008-0000-2600-000012000000}"/>
            </a:ext>
          </a:extLst>
        </xdr:cNvPr>
        <xdr:cNvSpPr/>
      </xdr:nvSpPr>
      <xdr:spPr>
        <a:xfrm>
          <a:off x="16761759" y="0"/>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293594</xdr:colOff>
      <xdr:row>0</xdr:row>
      <xdr:rowOff>6723</xdr:rowOff>
    </xdr:from>
    <xdr:to>
      <xdr:col>53</xdr:col>
      <xdr:colOff>2241</xdr:colOff>
      <xdr:row>3</xdr:row>
      <xdr:rowOff>6723</xdr:rowOff>
    </xdr:to>
    <xdr:sp macro="" textlink="">
      <xdr:nvSpPr>
        <xdr:cNvPr id="20" name="Rectangle 19">
          <a:hlinkClick xmlns:r="http://schemas.openxmlformats.org/officeDocument/2006/relationships" r:id="rId4" tooltip=" "/>
          <a:extLst>
            <a:ext uri="{FF2B5EF4-FFF2-40B4-BE49-F238E27FC236}">
              <a16:creationId xmlns:a16="http://schemas.microsoft.com/office/drawing/2014/main" id="{00000000-0008-0000-2600-000014000000}"/>
            </a:ext>
          </a:extLst>
        </xdr:cNvPr>
        <xdr:cNvSpPr/>
      </xdr:nvSpPr>
      <xdr:spPr>
        <a:xfrm>
          <a:off x="137047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0</xdr:colOff>
      <xdr:row>0</xdr:row>
      <xdr:rowOff>100293</xdr:rowOff>
    </xdr:from>
    <xdr:to>
      <xdr:col>59</xdr:col>
      <xdr:colOff>9525</xdr:colOff>
      <xdr:row>2</xdr:row>
      <xdr:rowOff>128868</xdr:rowOff>
    </xdr:to>
    <xdr:cxnSp macro="">
      <xdr:nvCxnSpPr>
        <xdr:cNvPr id="21" name="Straight Connector 20">
          <a:extLst>
            <a:ext uri="{FF2B5EF4-FFF2-40B4-BE49-F238E27FC236}">
              <a16:creationId xmlns:a16="http://schemas.microsoft.com/office/drawing/2014/main" id="{00000000-0008-0000-2600-000015000000}"/>
            </a:ext>
          </a:extLst>
        </xdr:cNvPr>
        <xdr:cNvCxnSpPr/>
      </xdr:nvCxnSpPr>
      <xdr:spPr>
        <a:xfrm>
          <a:off x="16764000"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302559</xdr:colOff>
      <xdr:row>0</xdr:row>
      <xdr:rowOff>11206</xdr:rowOff>
    </xdr:from>
    <xdr:to>
      <xdr:col>63</xdr:col>
      <xdr:colOff>0</xdr:colOff>
      <xdr:row>3</xdr:row>
      <xdr:rowOff>11206</xdr:rowOff>
    </xdr:to>
    <xdr:sp macro="" textlink="">
      <xdr:nvSpPr>
        <xdr:cNvPr id="22" name="Rectangle 21">
          <a:hlinkClick xmlns:r="http://schemas.openxmlformats.org/officeDocument/2006/relationships" r:id="rId3" tooltip="Contact"/>
          <a:extLst>
            <a:ext uri="{FF2B5EF4-FFF2-40B4-BE49-F238E27FC236}">
              <a16:creationId xmlns:a16="http://schemas.microsoft.com/office/drawing/2014/main" id="{00000000-0008-0000-2600-000016000000}"/>
            </a:ext>
          </a:extLst>
        </xdr:cNvPr>
        <xdr:cNvSpPr/>
      </xdr:nvSpPr>
      <xdr:spPr>
        <a:xfrm>
          <a:off x="16761759" y="11206"/>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291353</xdr:colOff>
      <xdr:row>0</xdr:row>
      <xdr:rowOff>0</xdr:rowOff>
    </xdr:from>
    <xdr:to>
      <xdr:col>58</xdr:col>
      <xdr:colOff>280147</xdr:colOff>
      <xdr:row>2</xdr:row>
      <xdr:rowOff>190500</xdr:rowOff>
    </xdr:to>
    <xdr:sp macro="" textlink="">
      <xdr:nvSpPr>
        <xdr:cNvPr id="23" name="Rectangle 22">
          <a:extLst>
            <a:ext uri="{FF2B5EF4-FFF2-40B4-BE49-F238E27FC236}">
              <a16:creationId xmlns:a16="http://schemas.microsoft.com/office/drawing/2014/main" id="{00000000-0008-0000-2600-000017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4" name="Straight Connector 23">
          <a:extLst>
            <a:ext uri="{FF2B5EF4-FFF2-40B4-BE49-F238E27FC236}">
              <a16:creationId xmlns:a16="http://schemas.microsoft.com/office/drawing/2014/main" id="{00000000-0008-0000-2600-000018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285446</xdr:colOff>
      <xdr:row>2</xdr:row>
      <xdr:rowOff>58157</xdr:rowOff>
    </xdr:to>
    <xdr:pic>
      <xdr:nvPicPr>
        <xdr:cNvPr id="25" name="Picture 24">
          <a:extLst>
            <a:ext uri="{FF2B5EF4-FFF2-40B4-BE49-F238E27FC236}">
              <a16:creationId xmlns:a16="http://schemas.microsoft.com/office/drawing/2014/main" id="{00000000-0008-0000-26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53</xdr:col>
      <xdr:colOff>11787</xdr:colOff>
      <xdr:row>0</xdr:row>
      <xdr:rowOff>100293</xdr:rowOff>
    </xdr:from>
    <xdr:to>
      <xdr:col>53</xdr:col>
      <xdr:colOff>21312</xdr:colOff>
      <xdr:row>2</xdr:row>
      <xdr:rowOff>128868</xdr:rowOff>
    </xdr:to>
    <xdr:cxnSp macro="">
      <xdr:nvCxnSpPr>
        <xdr:cNvPr id="26" name="Straight Connector 25">
          <a:extLst>
            <a:ext uri="{FF2B5EF4-FFF2-40B4-BE49-F238E27FC236}">
              <a16:creationId xmlns:a16="http://schemas.microsoft.com/office/drawing/2014/main" id="{00000000-0008-0000-2600-00001A000000}"/>
            </a:ext>
          </a:extLst>
        </xdr:cNvPr>
        <xdr:cNvCxnSpPr/>
      </xdr:nvCxnSpPr>
      <xdr:spPr>
        <a:xfrm>
          <a:off x="14946987"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295275</xdr:colOff>
      <xdr:row>0</xdr:row>
      <xdr:rowOff>103468</xdr:rowOff>
    </xdr:from>
    <xdr:to>
      <xdr:col>8</xdr:col>
      <xdr:colOff>295482</xdr:colOff>
      <xdr:row>2</xdr:row>
      <xdr:rowOff>66675</xdr:rowOff>
    </xdr:to>
    <xdr:cxnSp macro="">
      <xdr:nvCxnSpPr>
        <xdr:cNvPr id="27" name="Straight Connector 26">
          <a:extLst>
            <a:ext uri="{FF2B5EF4-FFF2-40B4-BE49-F238E27FC236}">
              <a16:creationId xmlns:a16="http://schemas.microsoft.com/office/drawing/2014/main" id="{00000000-0008-0000-2600-00001B000000}"/>
            </a:ext>
          </a:extLst>
        </xdr:cNvPr>
        <xdr:cNvCxnSpPr/>
      </xdr:nvCxnSpPr>
      <xdr:spPr>
        <a:xfrm flipH="1">
          <a:off x="2809875" y="103468"/>
          <a:ext cx="207" cy="36325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22873</xdr:colOff>
      <xdr:row>0</xdr:row>
      <xdr:rowOff>0</xdr:rowOff>
    </xdr:from>
    <xdr:to>
      <xdr:col>59</xdr:col>
      <xdr:colOff>0</xdr:colOff>
      <xdr:row>2</xdr:row>
      <xdr:rowOff>186186</xdr:rowOff>
    </xdr:to>
    <xdr:sp macro="" textlink="">
      <xdr:nvSpPr>
        <xdr:cNvPr id="28" name="Rectangle 27">
          <a:hlinkClick xmlns:r="http://schemas.openxmlformats.org/officeDocument/2006/relationships" r:id="rId6" tooltip="Incentive Rates &amp; Requirements"/>
          <a:extLst>
            <a:ext uri="{FF2B5EF4-FFF2-40B4-BE49-F238E27FC236}">
              <a16:creationId xmlns:a16="http://schemas.microsoft.com/office/drawing/2014/main" id="{00000000-0008-0000-2600-00001C000000}"/>
            </a:ext>
          </a:extLst>
        </xdr:cNvPr>
        <xdr:cNvSpPr/>
      </xdr:nvSpPr>
      <xdr:spPr>
        <a:xfrm>
          <a:off x="14958073" y="0"/>
          <a:ext cx="1805927"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9</xdr:row>
      <xdr:rowOff>0</xdr:rowOff>
    </xdr:from>
    <xdr:to>
      <xdr:col>2</xdr:col>
      <xdr:colOff>213472</xdr:colOff>
      <xdr:row>11</xdr:row>
      <xdr:rowOff>8068</xdr:rowOff>
    </xdr:to>
    <xdr:sp macro="" textlink="">
      <xdr:nvSpPr>
        <xdr:cNvPr id="29" name="Arrow: Left 28">
          <a:hlinkClick xmlns:r="http://schemas.openxmlformats.org/officeDocument/2006/relationships" r:id="rId7" tooltip="Back: Water Heating &amp; Boilers"/>
          <a:extLst>
            <a:ext uri="{FF2B5EF4-FFF2-40B4-BE49-F238E27FC236}">
              <a16:creationId xmlns:a16="http://schemas.microsoft.com/office/drawing/2014/main" id="{00000000-0008-0000-2600-00001D000000}"/>
            </a:ext>
          </a:extLst>
        </xdr:cNvPr>
        <xdr:cNvSpPr/>
      </xdr:nvSpPr>
      <xdr:spPr>
        <a:xfrm>
          <a:off x="304800" y="1800225"/>
          <a:ext cx="518272"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58</xdr:col>
      <xdr:colOff>173378</xdr:colOff>
      <xdr:row>9</xdr:row>
      <xdr:rowOff>0</xdr:rowOff>
    </xdr:from>
    <xdr:to>
      <xdr:col>60</xdr:col>
      <xdr:colOff>76200</xdr:colOff>
      <xdr:row>11</xdr:row>
      <xdr:rowOff>8068</xdr:rowOff>
    </xdr:to>
    <xdr:sp macro="" textlink="">
      <xdr:nvSpPr>
        <xdr:cNvPr id="30" name="Arrow: Right 29">
          <a:hlinkClick xmlns:r="http://schemas.openxmlformats.org/officeDocument/2006/relationships" r:id="rId8" tooltip="Forward: Food Service"/>
          <a:extLst>
            <a:ext uri="{FF2B5EF4-FFF2-40B4-BE49-F238E27FC236}">
              <a16:creationId xmlns:a16="http://schemas.microsoft.com/office/drawing/2014/main" id="{00000000-0008-0000-2600-00001E000000}"/>
            </a:ext>
          </a:extLst>
        </xdr:cNvPr>
        <xdr:cNvSpPr/>
      </xdr:nvSpPr>
      <xdr:spPr>
        <a:xfrm>
          <a:off x="16632578" y="1800225"/>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44</xdr:col>
      <xdr:colOff>309282</xdr:colOff>
      <xdr:row>0</xdr:row>
      <xdr:rowOff>0</xdr:rowOff>
    </xdr:from>
    <xdr:to>
      <xdr:col>49</xdr:col>
      <xdr:colOff>17930</xdr:colOff>
      <xdr:row>3</xdr:row>
      <xdr:rowOff>0</xdr:rowOff>
    </xdr:to>
    <xdr:sp macro="" textlink="">
      <xdr:nvSpPr>
        <xdr:cNvPr id="41" name="Rectangle 40">
          <a:hlinkClick xmlns:r="http://schemas.openxmlformats.org/officeDocument/2006/relationships" r:id="rId9" tooltip=" "/>
          <a:extLst>
            <a:ext uri="{FF2B5EF4-FFF2-40B4-BE49-F238E27FC236}">
              <a16:creationId xmlns:a16="http://schemas.microsoft.com/office/drawing/2014/main" id="{00000000-0008-0000-2600-000029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293594</xdr:colOff>
      <xdr:row>0</xdr:row>
      <xdr:rowOff>6723</xdr:rowOff>
    </xdr:from>
    <xdr:to>
      <xdr:col>45</xdr:col>
      <xdr:colOff>2241</xdr:colOff>
      <xdr:row>3</xdr:row>
      <xdr:rowOff>6723</xdr:rowOff>
    </xdr:to>
    <xdr:sp macro="" textlink="">
      <xdr:nvSpPr>
        <xdr:cNvPr id="42" name="Rectangle 41">
          <a:hlinkClick xmlns:r="http://schemas.openxmlformats.org/officeDocument/2006/relationships" r:id="rId10" tooltip=" "/>
          <a:extLst>
            <a:ext uri="{FF2B5EF4-FFF2-40B4-BE49-F238E27FC236}">
              <a16:creationId xmlns:a16="http://schemas.microsoft.com/office/drawing/2014/main" id="{00000000-0008-0000-2600-00002A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20454</xdr:colOff>
      <xdr:row>0</xdr:row>
      <xdr:rowOff>103739</xdr:rowOff>
    </xdr:from>
    <xdr:to>
      <xdr:col>4</xdr:col>
      <xdr:colOff>237391</xdr:colOff>
      <xdr:row>2</xdr:row>
      <xdr:rowOff>95061</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1"/>
        <a:stretch>
          <a:fillRect/>
        </a:stretch>
      </xdr:blipFill>
      <xdr:spPr>
        <a:xfrm>
          <a:off x="20454" y="103739"/>
          <a:ext cx="1483127" cy="402167"/>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48" name="Arrow: Chevron 47">
          <a:hlinkClick xmlns:r="http://schemas.openxmlformats.org/officeDocument/2006/relationships" r:id="rId12" tooltip="Terms &amp; Conditions"/>
          <a:extLst>
            <a:ext uri="{FF2B5EF4-FFF2-40B4-BE49-F238E27FC236}">
              <a16:creationId xmlns:a16="http://schemas.microsoft.com/office/drawing/2014/main" id="{00000000-0008-0000-2600-000030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49" name="Arrow: Chevron 48">
          <a:hlinkClick xmlns:r="http://schemas.openxmlformats.org/officeDocument/2006/relationships" r:id="rId13" tooltip="Project Information"/>
          <a:extLst>
            <a:ext uri="{FF2B5EF4-FFF2-40B4-BE49-F238E27FC236}">
              <a16:creationId xmlns:a16="http://schemas.microsoft.com/office/drawing/2014/main" id="{00000000-0008-0000-2600-000031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50" name="Arrow: Chevron 39">
          <a:hlinkClick xmlns:r="http://schemas.openxmlformats.org/officeDocument/2006/relationships" r:id="rId14" tooltip="Customer Information"/>
          <a:extLst>
            <a:ext uri="{FF2B5EF4-FFF2-40B4-BE49-F238E27FC236}">
              <a16:creationId xmlns:a16="http://schemas.microsoft.com/office/drawing/2014/main" id="{00000000-0008-0000-2600-000032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51" name="Arrow: Chevron 40">
          <a:hlinkClick xmlns:r="http://schemas.openxmlformats.org/officeDocument/2006/relationships" r:id="rId15" tooltip="Equipment Input"/>
          <a:extLst>
            <a:ext uri="{FF2B5EF4-FFF2-40B4-BE49-F238E27FC236}">
              <a16:creationId xmlns:a16="http://schemas.microsoft.com/office/drawing/2014/main" id="{00000000-0008-0000-2600-000033000000}"/>
            </a:ext>
          </a:extLst>
        </xdr:cNvPr>
        <xdr:cNvSpPr/>
      </xdr:nvSpPr>
      <xdr:spPr>
        <a:xfrm>
          <a:off x="6188077" y="859240"/>
          <a:ext cx="2153708" cy="64745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52" name="Arrow: Chevron 51">
          <a:hlinkClick xmlns:r="http://schemas.openxmlformats.org/officeDocument/2006/relationships" r:id="rId16" tooltip="Payment"/>
          <a:extLst>
            <a:ext uri="{FF2B5EF4-FFF2-40B4-BE49-F238E27FC236}">
              <a16:creationId xmlns:a16="http://schemas.microsoft.com/office/drawing/2014/main" id="{00000000-0008-0000-2600-000034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53" name="Arrow: Chevron 52">
          <a:hlinkClick xmlns:r="http://schemas.openxmlformats.org/officeDocument/2006/relationships" r:id="rId17" tooltip="Project Review"/>
          <a:extLst>
            <a:ext uri="{FF2B5EF4-FFF2-40B4-BE49-F238E27FC236}">
              <a16:creationId xmlns:a16="http://schemas.microsoft.com/office/drawing/2014/main" id="{00000000-0008-0000-2600-000035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54" name="Arrow: Chevron 43">
          <a:hlinkClick xmlns:r="http://schemas.openxmlformats.org/officeDocument/2006/relationships" r:id="rId18" tooltip="Trade Ally / Contractor Information"/>
          <a:extLst>
            <a:ext uri="{FF2B5EF4-FFF2-40B4-BE49-F238E27FC236}">
              <a16:creationId xmlns:a16="http://schemas.microsoft.com/office/drawing/2014/main" id="{00000000-0008-0000-2600-000036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55" name="Arrow: Chevron 54">
          <a:hlinkClick xmlns:r="http://schemas.openxmlformats.org/officeDocument/2006/relationships" r:id="rId19" tooltip="On-Bill Repayment"/>
          <a:extLst>
            <a:ext uri="{FF2B5EF4-FFF2-40B4-BE49-F238E27FC236}">
              <a16:creationId xmlns:a16="http://schemas.microsoft.com/office/drawing/2014/main" id="{00000000-0008-0000-2600-000037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56" name="Arrow: Chevron 55">
          <a:hlinkClick xmlns:r="http://schemas.openxmlformats.org/officeDocument/2006/relationships" r:id="rId20" tooltip="Payment"/>
          <a:extLst>
            <a:ext uri="{FF2B5EF4-FFF2-40B4-BE49-F238E27FC236}">
              <a16:creationId xmlns:a16="http://schemas.microsoft.com/office/drawing/2014/main" id="{00000000-0008-0000-2600-000038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9</xdr:col>
      <xdr:colOff>306916</xdr:colOff>
      <xdr:row>7</xdr:row>
      <xdr:rowOff>169334</xdr:rowOff>
    </xdr:from>
    <xdr:to>
      <xdr:col>52</xdr:col>
      <xdr:colOff>314324</xdr:colOff>
      <xdr:row>11</xdr:row>
      <xdr:rowOff>32995</xdr:rowOff>
    </xdr:to>
    <xdr:grpSp>
      <xdr:nvGrpSpPr>
        <xdr:cNvPr id="3" name="Group 2">
          <a:extLst>
            <a:ext uri="{FF2B5EF4-FFF2-40B4-BE49-F238E27FC236}">
              <a16:creationId xmlns:a16="http://schemas.microsoft.com/office/drawing/2014/main" id="{9D092EA3-9034-41CB-BFA1-75EDAFEF9DDF}"/>
            </a:ext>
          </a:extLst>
        </xdr:cNvPr>
        <xdr:cNvGrpSpPr/>
      </xdr:nvGrpSpPr>
      <xdr:grpSpPr>
        <a:xfrm>
          <a:off x="3069166" y="1576917"/>
          <a:ext cx="13195300" cy="667995"/>
          <a:chOff x="3150659" y="1590675"/>
          <a:chExt cx="13666258" cy="661645"/>
        </a:xfrm>
      </xdr:grpSpPr>
      <xdr:sp macro="" textlink="">
        <xdr:nvSpPr>
          <xdr:cNvPr id="4" name="Rectangle 3">
            <a:hlinkClick xmlns:r="http://schemas.openxmlformats.org/officeDocument/2006/relationships" r:id="rId21" tooltip="Lighting &amp; Lighting Controls"/>
            <a:extLst>
              <a:ext uri="{FF2B5EF4-FFF2-40B4-BE49-F238E27FC236}">
                <a16:creationId xmlns:a16="http://schemas.microsoft.com/office/drawing/2014/main" id="{6B563729-E043-4EEF-F6A1-2B2B7DA8C96A}"/>
              </a:ext>
            </a:extLst>
          </xdr:cNvPr>
          <xdr:cNvSpPr/>
        </xdr:nvSpPr>
        <xdr:spPr>
          <a:xfrm>
            <a:off x="3150659" y="1616073"/>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Rectangle 4">
            <a:hlinkClick xmlns:r="http://schemas.openxmlformats.org/officeDocument/2006/relationships" r:id="rId22" tooltip="Lighting &amp; Lighting Controls"/>
            <a:extLst>
              <a:ext uri="{FF2B5EF4-FFF2-40B4-BE49-F238E27FC236}">
                <a16:creationId xmlns:a16="http://schemas.microsoft.com/office/drawing/2014/main" id="{CBE215E9-6E3B-C586-3162-4395383E47E3}"/>
              </a:ext>
            </a:extLst>
          </xdr:cNvPr>
          <xdr:cNvSpPr/>
        </xdr:nvSpPr>
        <xdr:spPr>
          <a:xfrm>
            <a:off x="4434417" y="1598084"/>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Rectangle 5">
            <a:hlinkClick xmlns:r="http://schemas.openxmlformats.org/officeDocument/2006/relationships" r:id="rId23" tooltip="Lighting &amp; Lighting Controls"/>
            <a:extLst>
              <a:ext uri="{FF2B5EF4-FFF2-40B4-BE49-F238E27FC236}">
                <a16:creationId xmlns:a16="http://schemas.microsoft.com/office/drawing/2014/main" id="{C0C3F468-8E7B-EAE4-7A14-8DFF419B963A}"/>
              </a:ext>
            </a:extLst>
          </xdr:cNvPr>
          <xdr:cNvSpPr/>
        </xdr:nvSpPr>
        <xdr:spPr>
          <a:xfrm>
            <a:off x="5722408" y="1608667"/>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hlinkClick xmlns:r="http://schemas.openxmlformats.org/officeDocument/2006/relationships" r:id="rId7" tooltip="Lighting &amp; Lighting Controls"/>
            <a:extLst>
              <a:ext uri="{FF2B5EF4-FFF2-40B4-BE49-F238E27FC236}">
                <a16:creationId xmlns:a16="http://schemas.microsoft.com/office/drawing/2014/main" id="{0FCC8BEA-7075-F8DE-9CC8-1D9340827C07}"/>
              </a:ext>
            </a:extLst>
          </xdr:cNvPr>
          <xdr:cNvSpPr/>
        </xdr:nvSpPr>
        <xdr:spPr>
          <a:xfrm>
            <a:off x="6985000" y="1598084"/>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hlinkClick xmlns:r="http://schemas.openxmlformats.org/officeDocument/2006/relationships" r:id="rId24" tooltip="Lighting &amp; Lighting Controls"/>
            <a:extLst>
              <a:ext uri="{FF2B5EF4-FFF2-40B4-BE49-F238E27FC236}">
                <a16:creationId xmlns:a16="http://schemas.microsoft.com/office/drawing/2014/main" id="{1050DFA3-5E9B-B671-122A-3F8E53C530F0}"/>
              </a:ext>
            </a:extLst>
          </xdr:cNvPr>
          <xdr:cNvSpPr/>
        </xdr:nvSpPr>
        <xdr:spPr>
          <a:xfrm>
            <a:off x="8357659"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Rectangle 8">
            <a:hlinkClick xmlns:r="http://schemas.openxmlformats.org/officeDocument/2006/relationships" r:id="rId8" tooltip="Lighting &amp; Lighting Controls"/>
            <a:extLst>
              <a:ext uri="{FF2B5EF4-FFF2-40B4-BE49-F238E27FC236}">
                <a16:creationId xmlns:a16="http://schemas.microsoft.com/office/drawing/2014/main" id="{4A372C2C-A979-4862-3CCD-EC5D4B5792B2}"/>
              </a:ext>
            </a:extLst>
          </xdr:cNvPr>
          <xdr:cNvSpPr/>
        </xdr:nvSpPr>
        <xdr:spPr>
          <a:xfrm>
            <a:off x="9958916"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Rectangle 9">
            <a:hlinkClick xmlns:r="http://schemas.openxmlformats.org/officeDocument/2006/relationships" r:id="rId25" tooltip="Lighting &amp; Lighting Controls"/>
            <a:extLst>
              <a:ext uri="{FF2B5EF4-FFF2-40B4-BE49-F238E27FC236}">
                <a16:creationId xmlns:a16="http://schemas.microsoft.com/office/drawing/2014/main" id="{C2FD1FCE-7776-0930-7D9B-4793EE2BB201}"/>
              </a:ext>
            </a:extLst>
          </xdr:cNvPr>
          <xdr:cNvSpPr/>
        </xdr:nvSpPr>
        <xdr:spPr>
          <a:xfrm>
            <a:off x="11574991" y="1598083"/>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Rectangle 10">
            <a:hlinkClick xmlns:r="http://schemas.openxmlformats.org/officeDocument/2006/relationships" r:id="rId26" tooltip="Lighting &amp; Lighting Controls"/>
            <a:extLst>
              <a:ext uri="{FF2B5EF4-FFF2-40B4-BE49-F238E27FC236}">
                <a16:creationId xmlns:a16="http://schemas.microsoft.com/office/drawing/2014/main" id="{C00DFFBC-2F2A-AFA8-40DA-F11A8080EB8A}"/>
              </a:ext>
            </a:extLst>
          </xdr:cNvPr>
          <xdr:cNvSpPr/>
        </xdr:nvSpPr>
        <xdr:spPr>
          <a:xfrm>
            <a:off x="13024908" y="1616075"/>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Rectangle 11">
            <a:hlinkClick xmlns:r="http://schemas.openxmlformats.org/officeDocument/2006/relationships" r:id="rId27" tooltip="Lighting &amp; Lighting Controls"/>
            <a:extLst>
              <a:ext uri="{FF2B5EF4-FFF2-40B4-BE49-F238E27FC236}">
                <a16:creationId xmlns:a16="http://schemas.microsoft.com/office/drawing/2014/main" id="{A3DCD1FD-5FD1-3C62-E553-E5F5DBDC7F44}"/>
              </a:ext>
            </a:extLst>
          </xdr:cNvPr>
          <xdr:cNvSpPr/>
        </xdr:nvSpPr>
        <xdr:spPr>
          <a:xfrm>
            <a:off x="14294908" y="1598083"/>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Rectangle 12">
            <a:hlinkClick xmlns:r="http://schemas.openxmlformats.org/officeDocument/2006/relationships" r:id="rId28" tooltip="Lighting &amp; Lighting Controls"/>
            <a:extLst>
              <a:ext uri="{FF2B5EF4-FFF2-40B4-BE49-F238E27FC236}">
                <a16:creationId xmlns:a16="http://schemas.microsoft.com/office/drawing/2014/main" id="{5AF9216D-6EEA-4620-44D0-15CCB64A6E8B}"/>
              </a:ext>
            </a:extLst>
          </xdr:cNvPr>
          <xdr:cNvSpPr/>
        </xdr:nvSpPr>
        <xdr:spPr>
          <a:xfrm>
            <a:off x="15546917" y="1590675"/>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251013</xdr:colOff>
      <xdr:row>2</xdr:row>
      <xdr:rowOff>161363</xdr:rowOff>
    </xdr:to>
    <xdr:sp macro="" textlink="">
      <xdr:nvSpPr>
        <xdr:cNvPr id="15" name="Rectangle 14">
          <a:extLst>
            <a:ext uri="{FF2B5EF4-FFF2-40B4-BE49-F238E27FC236}">
              <a16:creationId xmlns:a16="http://schemas.microsoft.com/office/drawing/2014/main" id="{00000000-0008-0000-2700-00000F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6" name="Rectangle 15">
          <a:hlinkClick xmlns:r="http://schemas.openxmlformats.org/officeDocument/2006/relationships" r:id="rId1" tooltip="Welcome"/>
          <a:extLst>
            <a:ext uri="{FF2B5EF4-FFF2-40B4-BE49-F238E27FC236}">
              <a16:creationId xmlns:a16="http://schemas.microsoft.com/office/drawing/2014/main" id="{00000000-0008-0000-2700-000010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7" name="Rectangle 16">
          <a:hlinkClick xmlns:r="http://schemas.openxmlformats.org/officeDocument/2006/relationships" r:id="rId2" tooltip="Instructions"/>
          <a:extLst>
            <a:ext uri="{FF2B5EF4-FFF2-40B4-BE49-F238E27FC236}">
              <a16:creationId xmlns:a16="http://schemas.microsoft.com/office/drawing/2014/main" id="{00000000-0008-0000-2700-000011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302559</xdr:colOff>
      <xdr:row>0</xdr:row>
      <xdr:rowOff>0</xdr:rowOff>
    </xdr:from>
    <xdr:to>
      <xdr:col>63</xdr:col>
      <xdr:colOff>0</xdr:colOff>
      <xdr:row>3</xdr:row>
      <xdr:rowOff>0</xdr:rowOff>
    </xdr:to>
    <xdr:sp macro="" textlink="">
      <xdr:nvSpPr>
        <xdr:cNvPr id="18" name="Rectangle 17">
          <a:hlinkClick xmlns:r="http://schemas.openxmlformats.org/officeDocument/2006/relationships" r:id="rId3" tooltip="Contact"/>
          <a:extLst>
            <a:ext uri="{FF2B5EF4-FFF2-40B4-BE49-F238E27FC236}">
              <a16:creationId xmlns:a16="http://schemas.microsoft.com/office/drawing/2014/main" id="{00000000-0008-0000-2700-000012000000}"/>
            </a:ext>
          </a:extLst>
        </xdr:cNvPr>
        <xdr:cNvSpPr/>
      </xdr:nvSpPr>
      <xdr:spPr>
        <a:xfrm>
          <a:off x="16761759" y="0"/>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293594</xdr:colOff>
      <xdr:row>0</xdr:row>
      <xdr:rowOff>6723</xdr:rowOff>
    </xdr:from>
    <xdr:to>
      <xdr:col>53</xdr:col>
      <xdr:colOff>2241</xdr:colOff>
      <xdr:row>3</xdr:row>
      <xdr:rowOff>6723</xdr:rowOff>
    </xdr:to>
    <xdr:sp macro="" textlink="">
      <xdr:nvSpPr>
        <xdr:cNvPr id="20" name="Rectangle 19">
          <a:hlinkClick xmlns:r="http://schemas.openxmlformats.org/officeDocument/2006/relationships" r:id="rId4" tooltip=" "/>
          <a:extLst>
            <a:ext uri="{FF2B5EF4-FFF2-40B4-BE49-F238E27FC236}">
              <a16:creationId xmlns:a16="http://schemas.microsoft.com/office/drawing/2014/main" id="{00000000-0008-0000-2700-000014000000}"/>
            </a:ext>
          </a:extLst>
        </xdr:cNvPr>
        <xdr:cNvSpPr/>
      </xdr:nvSpPr>
      <xdr:spPr>
        <a:xfrm>
          <a:off x="137047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0</xdr:colOff>
      <xdr:row>0</xdr:row>
      <xdr:rowOff>100293</xdr:rowOff>
    </xdr:from>
    <xdr:to>
      <xdr:col>59</xdr:col>
      <xdr:colOff>9525</xdr:colOff>
      <xdr:row>2</xdr:row>
      <xdr:rowOff>128868</xdr:rowOff>
    </xdr:to>
    <xdr:cxnSp macro="">
      <xdr:nvCxnSpPr>
        <xdr:cNvPr id="21" name="Straight Connector 20">
          <a:extLst>
            <a:ext uri="{FF2B5EF4-FFF2-40B4-BE49-F238E27FC236}">
              <a16:creationId xmlns:a16="http://schemas.microsoft.com/office/drawing/2014/main" id="{00000000-0008-0000-2700-000015000000}"/>
            </a:ext>
          </a:extLst>
        </xdr:cNvPr>
        <xdr:cNvCxnSpPr/>
      </xdr:nvCxnSpPr>
      <xdr:spPr>
        <a:xfrm>
          <a:off x="16764000"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302559</xdr:colOff>
      <xdr:row>0</xdr:row>
      <xdr:rowOff>11206</xdr:rowOff>
    </xdr:from>
    <xdr:to>
      <xdr:col>63</xdr:col>
      <xdr:colOff>0</xdr:colOff>
      <xdr:row>3</xdr:row>
      <xdr:rowOff>11206</xdr:rowOff>
    </xdr:to>
    <xdr:sp macro="" textlink="">
      <xdr:nvSpPr>
        <xdr:cNvPr id="22" name="Rectangle 21">
          <a:hlinkClick xmlns:r="http://schemas.openxmlformats.org/officeDocument/2006/relationships" r:id="rId3" tooltip="Contact"/>
          <a:extLst>
            <a:ext uri="{FF2B5EF4-FFF2-40B4-BE49-F238E27FC236}">
              <a16:creationId xmlns:a16="http://schemas.microsoft.com/office/drawing/2014/main" id="{00000000-0008-0000-2700-000016000000}"/>
            </a:ext>
          </a:extLst>
        </xdr:cNvPr>
        <xdr:cNvSpPr/>
      </xdr:nvSpPr>
      <xdr:spPr>
        <a:xfrm>
          <a:off x="16761759" y="11206"/>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291353</xdr:colOff>
      <xdr:row>0</xdr:row>
      <xdr:rowOff>0</xdr:rowOff>
    </xdr:from>
    <xdr:to>
      <xdr:col>58</xdr:col>
      <xdr:colOff>280147</xdr:colOff>
      <xdr:row>2</xdr:row>
      <xdr:rowOff>190500</xdr:rowOff>
    </xdr:to>
    <xdr:sp macro="" textlink="">
      <xdr:nvSpPr>
        <xdr:cNvPr id="23" name="Rectangle 22">
          <a:extLst>
            <a:ext uri="{FF2B5EF4-FFF2-40B4-BE49-F238E27FC236}">
              <a16:creationId xmlns:a16="http://schemas.microsoft.com/office/drawing/2014/main" id="{00000000-0008-0000-2700-000017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4" name="Straight Connector 23">
          <a:extLst>
            <a:ext uri="{FF2B5EF4-FFF2-40B4-BE49-F238E27FC236}">
              <a16:creationId xmlns:a16="http://schemas.microsoft.com/office/drawing/2014/main" id="{00000000-0008-0000-2700-000018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285446</xdr:colOff>
      <xdr:row>2</xdr:row>
      <xdr:rowOff>58157</xdr:rowOff>
    </xdr:to>
    <xdr:pic>
      <xdr:nvPicPr>
        <xdr:cNvPr id="25" name="Picture 24">
          <a:extLst>
            <a:ext uri="{FF2B5EF4-FFF2-40B4-BE49-F238E27FC236}">
              <a16:creationId xmlns:a16="http://schemas.microsoft.com/office/drawing/2014/main" id="{00000000-0008-0000-27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53</xdr:col>
      <xdr:colOff>11787</xdr:colOff>
      <xdr:row>0</xdr:row>
      <xdr:rowOff>100293</xdr:rowOff>
    </xdr:from>
    <xdr:to>
      <xdr:col>53</xdr:col>
      <xdr:colOff>21312</xdr:colOff>
      <xdr:row>2</xdr:row>
      <xdr:rowOff>128868</xdr:rowOff>
    </xdr:to>
    <xdr:cxnSp macro="">
      <xdr:nvCxnSpPr>
        <xdr:cNvPr id="26" name="Straight Connector 25">
          <a:extLst>
            <a:ext uri="{FF2B5EF4-FFF2-40B4-BE49-F238E27FC236}">
              <a16:creationId xmlns:a16="http://schemas.microsoft.com/office/drawing/2014/main" id="{00000000-0008-0000-2700-00001A000000}"/>
            </a:ext>
          </a:extLst>
        </xdr:cNvPr>
        <xdr:cNvCxnSpPr/>
      </xdr:nvCxnSpPr>
      <xdr:spPr>
        <a:xfrm>
          <a:off x="14946987"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285750</xdr:colOff>
      <xdr:row>0</xdr:row>
      <xdr:rowOff>103468</xdr:rowOff>
    </xdr:from>
    <xdr:to>
      <xdr:col>8</xdr:col>
      <xdr:colOff>295482</xdr:colOff>
      <xdr:row>2</xdr:row>
      <xdr:rowOff>114300</xdr:rowOff>
    </xdr:to>
    <xdr:cxnSp macro="">
      <xdr:nvCxnSpPr>
        <xdr:cNvPr id="27" name="Straight Connector 26">
          <a:extLst>
            <a:ext uri="{FF2B5EF4-FFF2-40B4-BE49-F238E27FC236}">
              <a16:creationId xmlns:a16="http://schemas.microsoft.com/office/drawing/2014/main" id="{00000000-0008-0000-2700-00001B000000}"/>
            </a:ext>
          </a:extLst>
        </xdr:cNvPr>
        <xdr:cNvCxnSpPr/>
      </xdr:nvCxnSpPr>
      <xdr:spPr>
        <a:xfrm flipH="1">
          <a:off x="2800350" y="103468"/>
          <a:ext cx="9732" cy="41088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22873</xdr:colOff>
      <xdr:row>0</xdr:row>
      <xdr:rowOff>0</xdr:rowOff>
    </xdr:from>
    <xdr:to>
      <xdr:col>59</xdr:col>
      <xdr:colOff>0</xdr:colOff>
      <xdr:row>2</xdr:row>
      <xdr:rowOff>186186</xdr:rowOff>
    </xdr:to>
    <xdr:sp macro="" textlink="">
      <xdr:nvSpPr>
        <xdr:cNvPr id="28" name="Rectangle 27">
          <a:hlinkClick xmlns:r="http://schemas.openxmlformats.org/officeDocument/2006/relationships" r:id="rId6" tooltip="Incentive Rates &amp; Requirements"/>
          <a:extLst>
            <a:ext uri="{FF2B5EF4-FFF2-40B4-BE49-F238E27FC236}">
              <a16:creationId xmlns:a16="http://schemas.microsoft.com/office/drawing/2014/main" id="{00000000-0008-0000-2700-00001C000000}"/>
            </a:ext>
          </a:extLst>
        </xdr:cNvPr>
        <xdr:cNvSpPr/>
      </xdr:nvSpPr>
      <xdr:spPr>
        <a:xfrm>
          <a:off x="14958073" y="0"/>
          <a:ext cx="1805927"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9</xdr:row>
      <xdr:rowOff>0</xdr:rowOff>
    </xdr:from>
    <xdr:to>
      <xdr:col>2</xdr:col>
      <xdr:colOff>203947</xdr:colOff>
      <xdr:row>11</xdr:row>
      <xdr:rowOff>8068</xdr:rowOff>
    </xdr:to>
    <xdr:sp macro="" textlink="">
      <xdr:nvSpPr>
        <xdr:cNvPr id="29" name="Arrow: Left 28">
          <a:hlinkClick xmlns:r="http://schemas.openxmlformats.org/officeDocument/2006/relationships" r:id="rId7" tooltip="Back: Refrigeration"/>
          <a:extLst>
            <a:ext uri="{FF2B5EF4-FFF2-40B4-BE49-F238E27FC236}">
              <a16:creationId xmlns:a16="http://schemas.microsoft.com/office/drawing/2014/main" id="{00000000-0008-0000-2700-00001D000000}"/>
            </a:ext>
          </a:extLst>
        </xdr:cNvPr>
        <xdr:cNvSpPr/>
      </xdr:nvSpPr>
      <xdr:spPr>
        <a:xfrm>
          <a:off x="304800" y="1800225"/>
          <a:ext cx="508747"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58</xdr:col>
      <xdr:colOff>178140</xdr:colOff>
      <xdr:row>9</xdr:row>
      <xdr:rowOff>0</xdr:rowOff>
    </xdr:from>
    <xdr:to>
      <xdr:col>60</xdr:col>
      <xdr:colOff>85725</xdr:colOff>
      <xdr:row>11</xdr:row>
      <xdr:rowOff>8068</xdr:rowOff>
    </xdr:to>
    <xdr:sp macro="" textlink="">
      <xdr:nvSpPr>
        <xdr:cNvPr id="30" name="Arrow: Right 29">
          <a:hlinkClick xmlns:r="http://schemas.openxmlformats.org/officeDocument/2006/relationships" r:id="rId8" tooltip="Forward: Agriculture"/>
          <a:extLst>
            <a:ext uri="{FF2B5EF4-FFF2-40B4-BE49-F238E27FC236}">
              <a16:creationId xmlns:a16="http://schemas.microsoft.com/office/drawing/2014/main" id="{00000000-0008-0000-2700-00001E000000}"/>
            </a:ext>
          </a:extLst>
        </xdr:cNvPr>
        <xdr:cNvSpPr/>
      </xdr:nvSpPr>
      <xdr:spPr>
        <a:xfrm>
          <a:off x="16637340" y="1800225"/>
          <a:ext cx="517185"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44</xdr:col>
      <xdr:colOff>309282</xdr:colOff>
      <xdr:row>0</xdr:row>
      <xdr:rowOff>0</xdr:rowOff>
    </xdr:from>
    <xdr:to>
      <xdr:col>49</xdr:col>
      <xdr:colOff>17930</xdr:colOff>
      <xdr:row>3</xdr:row>
      <xdr:rowOff>0</xdr:rowOff>
    </xdr:to>
    <xdr:sp macro="" textlink="">
      <xdr:nvSpPr>
        <xdr:cNvPr id="44" name="Rectangle 43">
          <a:hlinkClick xmlns:r="http://schemas.openxmlformats.org/officeDocument/2006/relationships" r:id="rId9" tooltip=" "/>
          <a:extLst>
            <a:ext uri="{FF2B5EF4-FFF2-40B4-BE49-F238E27FC236}">
              <a16:creationId xmlns:a16="http://schemas.microsoft.com/office/drawing/2014/main" id="{00000000-0008-0000-2700-00002C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293594</xdr:colOff>
      <xdr:row>0</xdr:row>
      <xdr:rowOff>6723</xdr:rowOff>
    </xdr:from>
    <xdr:to>
      <xdr:col>45</xdr:col>
      <xdr:colOff>2241</xdr:colOff>
      <xdr:row>3</xdr:row>
      <xdr:rowOff>6723</xdr:rowOff>
    </xdr:to>
    <xdr:sp macro="" textlink="">
      <xdr:nvSpPr>
        <xdr:cNvPr id="45" name="Rectangle 44">
          <a:hlinkClick xmlns:r="http://schemas.openxmlformats.org/officeDocument/2006/relationships" r:id="rId10" tooltip=" "/>
          <a:extLst>
            <a:ext uri="{FF2B5EF4-FFF2-40B4-BE49-F238E27FC236}">
              <a16:creationId xmlns:a16="http://schemas.microsoft.com/office/drawing/2014/main" id="{00000000-0008-0000-2700-00002D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20454</xdr:colOff>
      <xdr:row>0</xdr:row>
      <xdr:rowOff>110089</xdr:rowOff>
    </xdr:from>
    <xdr:to>
      <xdr:col>4</xdr:col>
      <xdr:colOff>237391</xdr:colOff>
      <xdr:row>2</xdr:row>
      <xdr:rowOff>95061</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11"/>
        <a:stretch>
          <a:fillRect/>
        </a:stretch>
      </xdr:blipFill>
      <xdr:spPr>
        <a:xfrm>
          <a:off x="20454" y="110089"/>
          <a:ext cx="1483127" cy="402167"/>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61" name="Arrow: Chevron 60">
          <a:hlinkClick xmlns:r="http://schemas.openxmlformats.org/officeDocument/2006/relationships" r:id="rId12" tooltip="Terms &amp; Conditions"/>
          <a:extLst>
            <a:ext uri="{FF2B5EF4-FFF2-40B4-BE49-F238E27FC236}">
              <a16:creationId xmlns:a16="http://schemas.microsoft.com/office/drawing/2014/main" id="{00000000-0008-0000-2700-00003D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62" name="Arrow: Chevron 61">
          <a:hlinkClick xmlns:r="http://schemas.openxmlformats.org/officeDocument/2006/relationships" r:id="rId13" tooltip="Project Information"/>
          <a:extLst>
            <a:ext uri="{FF2B5EF4-FFF2-40B4-BE49-F238E27FC236}">
              <a16:creationId xmlns:a16="http://schemas.microsoft.com/office/drawing/2014/main" id="{00000000-0008-0000-2700-00003E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63" name="Arrow: Chevron 39">
          <a:hlinkClick xmlns:r="http://schemas.openxmlformats.org/officeDocument/2006/relationships" r:id="rId14" tooltip="Customer Information"/>
          <a:extLst>
            <a:ext uri="{FF2B5EF4-FFF2-40B4-BE49-F238E27FC236}">
              <a16:creationId xmlns:a16="http://schemas.microsoft.com/office/drawing/2014/main" id="{00000000-0008-0000-2700-00003F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64" name="Arrow: Chevron 40">
          <a:hlinkClick xmlns:r="http://schemas.openxmlformats.org/officeDocument/2006/relationships" r:id="rId15" tooltip="Equipment Input"/>
          <a:extLst>
            <a:ext uri="{FF2B5EF4-FFF2-40B4-BE49-F238E27FC236}">
              <a16:creationId xmlns:a16="http://schemas.microsoft.com/office/drawing/2014/main" id="{00000000-0008-0000-2700-000040000000}"/>
            </a:ext>
          </a:extLst>
        </xdr:cNvPr>
        <xdr:cNvSpPr/>
      </xdr:nvSpPr>
      <xdr:spPr>
        <a:xfrm>
          <a:off x="6188077" y="859240"/>
          <a:ext cx="2153708" cy="64745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65" name="Arrow: Chevron 64">
          <a:hlinkClick xmlns:r="http://schemas.openxmlformats.org/officeDocument/2006/relationships" r:id="rId16" tooltip="Payment"/>
          <a:extLst>
            <a:ext uri="{FF2B5EF4-FFF2-40B4-BE49-F238E27FC236}">
              <a16:creationId xmlns:a16="http://schemas.microsoft.com/office/drawing/2014/main" id="{00000000-0008-0000-2700-000041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66" name="Arrow: Chevron 65">
          <a:hlinkClick xmlns:r="http://schemas.openxmlformats.org/officeDocument/2006/relationships" r:id="rId17" tooltip="Project Review"/>
          <a:extLst>
            <a:ext uri="{FF2B5EF4-FFF2-40B4-BE49-F238E27FC236}">
              <a16:creationId xmlns:a16="http://schemas.microsoft.com/office/drawing/2014/main" id="{00000000-0008-0000-2700-000042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67" name="Arrow: Chevron 43">
          <a:hlinkClick xmlns:r="http://schemas.openxmlformats.org/officeDocument/2006/relationships" r:id="rId18" tooltip="Trade Ally / Contractor Information"/>
          <a:extLst>
            <a:ext uri="{FF2B5EF4-FFF2-40B4-BE49-F238E27FC236}">
              <a16:creationId xmlns:a16="http://schemas.microsoft.com/office/drawing/2014/main" id="{00000000-0008-0000-2700-000043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68" name="Arrow: Chevron 67">
          <a:hlinkClick xmlns:r="http://schemas.openxmlformats.org/officeDocument/2006/relationships" r:id="rId19" tooltip="On-Bill Repayment"/>
          <a:extLst>
            <a:ext uri="{FF2B5EF4-FFF2-40B4-BE49-F238E27FC236}">
              <a16:creationId xmlns:a16="http://schemas.microsoft.com/office/drawing/2014/main" id="{00000000-0008-0000-2700-000044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69" name="Arrow: Chevron 68">
          <a:hlinkClick xmlns:r="http://schemas.openxmlformats.org/officeDocument/2006/relationships" r:id="rId20" tooltip="Payment"/>
          <a:extLst>
            <a:ext uri="{FF2B5EF4-FFF2-40B4-BE49-F238E27FC236}">
              <a16:creationId xmlns:a16="http://schemas.microsoft.com/office/drawing/2014/main" id="{00000000-0008-0000-2700-000045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10</xdr:col>
      <xdr:colOff>10584</xdr:colOff>
      <xdr:row>7</xdr:row>
      <xdr:rowOff>190500</xdr:rowOff>
    </xdr:from>
    <xdr:to>
      <xdr:col>53</xdr:col>
      <xdr:colOff>17992</xdr:colOff>
      <xdr:row>11</xdr:row>
      <xdr:rowOff>54161</xdr:rowOff>
    </xdr:to>
    <xdr:grpSp>
      <xdr:nvGrpSpPr>
        <xdr:cNvPr id="2" name="Group 1">
          <a:extLst>
            <a:ext uri="{FF2B5EF4-FFF2-40B4-BE49-F238E27FC236}">
              <a16:creationId xmlns:a16="http://schemas.microsoft.com/office/drawing/2014/main" id="{63129994-142D-41BC-A139-0759A5714BD0}"/>
            </a:ext>
          </a:extLst>
        </xdr:cNvPr>
        <xdr:cNvGrpSpPr/>
      </xdr:nvGrpSpPr>
      <xdr:grpSpPr>
        <a:xfrm>
          <a:off x="3079751" y="1598083"/>
          <a:ext cx="13204824" cy="667995"/>
          <a:chOff x="3150659" y="1590675"/>
          <a:chExt cx="13666258" cy="661645"/>
        </a:xfrm>
      </xdr:grpSpPr>
      <xdr:sp macro="" textlink="">
        <xdr:nvSpPr>
          <xdr:cNvPr id="3" name="Rectangle 2">
            <a:hlinkClick xmlns:r="http://schemas.openxmlformats.org/officeDocument/2006/relationships" r:id="rId21" tooltip="Lighting &amp; Lighting Controls"/>
            <a:extLst>
              <a:ext uri="{FF2B5EF4-FFF2-40B4-BE49-F238E27FC236}">
                <a16:creationId xmlns:a16="http://schemas.microsoft.com/office/drawing/2014/main" id="{F5961942-8697-05C3-9A3C-9C3DA323C5BE}"/>
              </a:ext>
            </a:extLst>
          </xdr:cNvPr>
          <xdr:cNvSpPr/>
        </xdr:nvSpPr>
        <xdr:spPr>
          <a:xfrm>
            <a:off x="3150659" y="1616073"/>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Rectangle 3">
            <a:hlinkClick xmlns:r="http://schemas.openxmlformats.org/officeDocument/2006/relationships" r:id="rId22" tooltip="Lighting &amp; Lighting Controls"/>
            <a:extLst>
              <a:ext uri="{FF2B5EF4-FFF2-40B4-BE49-F238E27FC236}">
                <a16:creationId xmlns:a16="http://schemas.microsoft.com/office/drawing/2014/main" id="{3D2E4A67-22A6-934F-8C05-C2A48986893B}"/>
              </a:ext>
            </a:extLst>
          </xdr:cNvPr>
          <xdr:cNvSpPr/>
        </xdr:nvSpPr>
        <xdr:spPr>
          <a:xfrm>
            <a:off x="4434417" y="1598084"/>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Rectangle 5">
            <a:hlinkClick xmlns:r="http://schemas.openxmlformats.org/officeDocument/2006/relationships" r:id="rId23" tooltip="Lighting &amp; Lighting Controls"/>
            <a:extLst>
              <a:ext uri="{FF2B5EF4-FFF2-40B4-BE49-F238E27FC236}">
                <a16:creationId xmlns:a16="http://schemas.microsoft.com/office/drawing/2014/main" id="{3A87B2F5-3027-26E2-7152-DCB2C4B09599}"/>
              </a:ext>
            </a:extLst>
          </xdr:cNvPr>
          <xdr:cNvSpPr/>
        </xdr:nvSpPr>
        <xdr:spPr>
          <a:xfrm>
            <a:off x="5722408" y="1608667"/>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hlinkClick xmlns:r="http://schemas.openxmlformats.org/officeDocument/2006/relationships" r:id="rId24" tooltip="Lighting &amp; Lighting Controls"/>
            <a:extLst>
              <a:ext uri="{FF2B5EF4-FFF2-40B4-BE49-F238E27FC236}">
                <a16:creationId xmlns:a16="http://schemas.microsoft.com/office/drawing/2014/main" id="{69B23505-07A6-B01E-B616-51DCBAF263DB}"/>
              </a:ext>
            </a:extLst>
          </xdr:cNvPr>
          <xdr:cNvSpPr/>
        </xdr:nvSpPr>
        <xdr:spPr>
          <a:xfrm>
            <a:off x="6985000" y="1598084"/>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hlinkClick xmlns:r="http://schemas.openxmlformats.org/officeDocument/2006/relationships" r:id="rId7" tooltip="Lighting &amp; Lighting Controls"/>
            <a:extLst>
              <a:ext uri="{FF2B5EF4-FFF2-40B4-BE49-F238E27FC236}">
                <a16:creationId xmlns:a16="http://schemas.microsoft.com/office/drawing/2014/main" id="{8FDF49E4-596F-73B8-BCC8-06CA5EEBD118}"/>
              </a:ext>
            </a:extLst>
          </xdr:cNvPr>
          <xdr:cNvSpPr/>
        </xdr:nvSpPr>
        <xdr:spPr>
          <a:xfrm>
            <a:off x="8357659"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Rectangle 8">
            <a:hlinkClick xmlns:r="http://schemas.openxmlformats.org/officeDocument/2006/relationships" r:id="rId25" tooltip="Lighting &amp; Lighting Controls"/>
            <a:extLst>
              <a:ext uri="{FF2B5EF4-FFF2-40B4-BE49-F238E27FC236}">
                <a16:creationId xmlns:a16="http://schemas.microsoft.com/office/drawing/2014/main" id="{166A02FC-5B07-499E-16E9-E3148FF25BF0}"/>
              </a:ext>
            </a:extLst>
          </xdr:cNvPr>
          <xdr:cNvSpPr/>
        </xdr:nvSpPr>
        <xdr:spPr>
          <a:xfrm>
            <a:off x="9958916"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Rectangle 9">
            <a:hlinkClick xmlns:r="http://schemas.openxmlformats.org/officeDocument/2006/relationships" r:id="rId8" tooltip="Lighting &amp; Lighting Controls"/>
            <a:extLst>
              <a:ext uri="{FF2B5EF4-FFF2-40B4-BE49-F238E27FC236}">
                <a16:creationId xmlns:a16="http://schemas.microsoft.com/office/drawing/2014/main" id="{42761A64-D779-F4ED-8BCD-FAA8F25CF0D7}"/>
              </a:ext>
            </a:extLst>
          </xdr:cNvPr>
          <xdr:cNvSpPr/>
        </xdr:nvSpPr>
        <xdr:spPr>
          <a:xfrm>
            <a:off x="11574991" y="1598083"/>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Rectangle 10">
            <a:hlinkClick xmlns:r="http://schemas.openxmlformats.org/officeDocument/2006/relationships" r:id="rId26" tooltip="Lighting &amp; Lighting Controls"/>
            <a:extLst>
              <a:ext uri="{FF2B5EF4-FFF2-40B4-BE49-F238E27FC236}">
                <a16:creationId xmlns:a16="http://schemas.microsoft.com/office/drawing/2014/main" id="{D97F5FC0-C770-3B8C-1CED-55C8F52CC434}"/>
              </a:ext>
            </a:extLst>
          </xdr:cNvPr>
          <xdr:cNvSpPr/>
        </xdr:nvSpPr>
        <xdr:spPr>
          <a:xfrm>
            <a:off x="13024908" y="1616075"/>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Rectangle 11">
            <a:hlinkClick xmlns:r="http://schemas.openxmlformats.org/officeDocument/2006/relationships" r:id="rId27" tooltip="Lighting &amp; Lighting Controls"/>
            <a:extLst>
              <a:ext uri="{FF2B5EF4-FFF2-40B4-BE49-F238E27FC236}">
                <a16:creationId xmlns:a16="http://schemas.microsoft.com/office/drawing/2014/main" id="{6308F317-B124-9C43-BB04-FAF075A2AF23}"/>
              </a:ext>
            </a:extLst>
          </xdr:cNvPr>
          <xdr:cNvSpPr/>
        </xdr:nvSpPr>
        <xdr:spPr>
          <a:xfrm>
            <a:off x="14294908" y="1598083"/>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Rectangle 12">
            <a:hlinkClick xmlns:r="http://schemas.openxmlformats.org/officeDocument/2006/relationships" r:id="rId28" tooltip="Lighting &amp; Lighting Controls"/>
            <a:extLst>
              <a:ext uri="{FF2B5EF4-FFF2-40B4-BE49-F238E27FC236}">
                <a16:creationId xmlns:a16="http://schemas.microsoft.com/office/drawing/2014/main" id="{EC9D5F48-6D09-E973-2C50-8B3C3549269B}"/>
              </a:ext>
            </a:extLst>
          </xdr:cNvPr>
          <xdr:cNvSpPr/>
        </xdr:nvSpPr>
        <xdr:spPr>
          <a:xfrm>
            <a:off x="15546917" y="1590675"/>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21166</xdr:colOff>
      <xdr:row>0</xdr:row>
      <xdr:rowOff>0</xdr:rowOff>
    </xdr:from>
    <xdr:to>
      <xdr:col>4</xdr:col>
      <xdr:colOff>275354</xdr:colOff>
      <xdr:row>2</xdr:row>
      <xdr:rowOff>164538</xdr:rowOff>
    </xdr:to>
    <xdr:sp macro="" textlink="">
      <xdr:nvSpPr>
        <xdr:cNvPr id="15" name="Rectangle 14">
          <a:extLst>
            <a:ext uri="{FF2B5EF4-FFF2-40B4-BE49-F238E27FC236}">
              <a16:creationId xmlns:a16="http://schemas.microsoft.com/office/drawing/2014/main" id="{00000000-0008-0000-2800-00000F000000}"/>
            </a:ext>
          </a:extLst>
        </xdr:cNvPr>
        <xdr:cNvSpPr/>
      </xdr:nvSpPr>
      <xdr:spPr>
        <a:xfrm>
          <a:off x="21166" y="0"/>
          <a:ext cx="1524188" cy="56670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6" name="Rectangle 15">
          <a:hlinkClick xmlns:r="http://schemas.openxmlformats.org/officeDocument/2006/relationships" r:id="rId1" tooltip="Welcome"/>
          <a:extLst>
            <a:ext uri="{FF2B5EF4-FFF2-40B4-BE49-F238E27FC236}">
              <a16:creationId xmlns:a16="http://schemas.microsoft.com/office/drawing/2014/main" id="{00000000-0008-0000-2800-000010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7" name="Rectangle 16">
          <a:hlinkClick xmlns:r="http://schemas.openxmlformats.org/officeDocument/2006/relationships" r:id="rId2" tooltip="Instructions"/>
          <a:extLst>
            <a:ext uri="{FF2B5EF4-FFF2-40B4-BE49-F238E27FC236}">
              <a16:creationId xmlns:a16="http://schemas.microsoft.com/office/drawing/2014/main" id="{00000000-0008-0000-2800-000011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302559</xdr:colOff>
      <xdr:row>0</xdr:row>
      <xdr:rowOff>0</xdr:rowOff>
    </xdr:from>
    <xdr:to>
      <xdr:col>63</xdr:col>
      <xdr:colOff>0</xdr:colOff>
      <xdr:row>3</xdr:row>
      <xdr:rowOff>0</xdr:rowOff>
    </xdr:to>
    <xdr:sp macro="" textlink="">
      <xdr:nvSpPr>
        <xdr:cNvPr id="18" name="Rectangle 17">
          <a:hlinkClick xmlns:r="http://schemas.openxmlformats.org/officeDocument/2006/relationships" r:id="rId3" tooltip="Contact"/>
          <a:extLst>
            <a:ext uri="{FF2B5EF4-FFF2-40B4-BE49-F238E27FC236}">
              <a16:creationId xmlns:a16="http://schemas.microsoft.com/office/drawing/2014/main" id="{00000000-0008-0000-2800-000012000000}"/>
            </a:ext>
          </a:extLst>
        </xdr:cNvPr>
        <xdr:cNvSpPr/>
      </xdr:nvSpPr>
      <xdr:spPr>
        <a:xfrm>
          <a:off x="16761759" y="0"/>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293594</xdr:colOff>
      <xdr:row>0</xdr:row>
      <xdr:rowOff>6723</xdr:rowOff>
    </xdr:from>
    <xdr:to>
      <xdr:col>53</xdr:col>
      <xdr:colOff>2241</xdr:colOff>
      <xdr:row>3</xdr:row>
      <xdr:rowOff>6723</xdr:rowOff>
    </xdr:to>
    <xdr:sp macro="" textlink="">
      <xdr:nvSpPr>
        <xdr:cNvPr id="20" name="Rectangle 19">
          <a:hlinkClick xmlns:r="http://schemas.openxmlformats.org/officeDocument/2006/relationships" r:id="rId4" tooltip=" "/>
          <a:extLst>
            <a:ext uri="{FF2B5EF4-FFF2-40B4-BE49-F238E27FC236}">
              <a16:creationId xmlns:a16="http://schemas.microsoft.com/office/drawing/2014/main" id="{00000000-0008-0000-2800-000014000000}"/>
            </a:ext>
          </a:extLst>
        </xdr:cNvPr>
        <xdr:cNvSpPr/>
      </xdr:nvSpPr>
      <xdr:spPr>
        <a:xfrm>
          <a:off x="137047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0</xdr:colOff>
      <xdr:row>0</xdr:row>
      <xdr:rowOff>100293</xdr:rowOff>
    </xdr:from>
    <xdr:to>
      <xdr:col>59</xdr:col>
      <xdr:colOff>9525</xdr:colOff>
      <xdr:row>2</xdr:row>
      <xdr:rowOff>128868</xdr:rowOff>
    </xdr:to>
    <xdr:cxnSp macro="">
      <xdr:nvCxnSpPr>
        <xdr:cNvPr id="21" name="Straight Connector 20">
          <a:extLst>
            <a:ext uri="{FF2B5EF4-FFF2-40B4-BE49-F238E27FC236}">
              <a16:creationId xmlns:a16="http://schemas.microsoft.com/office/drawing/2014/main" id="{00000000-0008-0000-2800-000015000000}"/>
            </a:ext>
          </a:extLst>
        </xdr:cNvPr>
        <xdr:cNvCxnSpPr/>
      </xdr:nvCxnSpPr>
      <xdr:spPr>
        <a:xfrm>
          <a:off x="16764000"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302559</xdr:colOff>
      <xdr:row>0</xdr:row>
      <xdr:rowOff>11206</xdr:rowOff>
    </xdr:from>
    <xdr:to>
      <xdr:col>63</xdr:col>
      <xdr:colOff>0</xdr:colOff>
      <xdr:row>3</xdr:row>
      <xdr:rowOff>11206</xdr:rowOff>
    </xdr:to>
    <xdr:sp macro="" textlink="">
      <xdr:nvSpPr>
        <xdr:cNvPr id="22" name="Rectangle 21">
          <a:hlinkClick xmlns:r="http://schemas.openxmlformats.org/officeDocument/2006/relationships" r:id="rId3" tooltip="Contact"/>
          <a:extLst>
            <a:ext uri="{FF2B5EF4-FFF2-40B4-BE49-F238E27FC236}">
              <a16:creationId xmlns:a16="http://schemas.microsoft.com/office/drawing/2014/main" id="{00000000-0008-0000-2800-000016000000}"/>
            </a:ext>
          </a:extLst>
        </xdr:cNvPr>
        <xdr:cNvSpPr/>
      </xdr:nvSpPr>
      <xdr:spPr>
        <a:xfrm>
          <a:off x="16761759" y="11206"/>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291353</xdr:colOff>
      <xdr:row>0</xdr:row>
      <xdr:rowOff>0</xdr:rowOff>
    </xdr:from>
    <xdr:to>
      <xdr:col>58</xdr:col>
      <xdr:colOff>280147</xdr:colOff>
      <xdr:row>2</xdr:row>
      <xdr:rowOff>190500</xdr:rowOff>
    </xdr:to>
    <xdr:sp macro="" textlink="">
      <xdr:nvSpPr>
        <xdr:cNvPr id="23" name="Rectangle 22">
          <a:extLst>
            <a:ext uri="{FF2B5EF4-FFF2-40B4-BE49-F238E27FC236}">
              <a16:creationId xmlns:a16="http://schemas.microsoft.com/office/drawing/2014/main" id="{00000000-0008-0000-2800-000017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4" name="Straight Connector 23">
          <a:extLst>
            <a:ext uri="{FF2B5EF4-FFF2-40B4-BE49-F238E27FC236}">
              <a16:creationId xmlns:a16="http://schemas.microsoft.com/office/drawing/2014/main" id="{00000000-0008-0000-2800-000018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292431</xdr:colOff>
      <xdr:row>2</xdr:row>
      <xdr:rowOff>54347</xdr:rowOff>
    </xdr:to>
    <xdr:pic>
      <xdr:nvPicPr>
        <xdr:cNvPr id="25" name="Picture 24">
          <a:extLst>
            <a:ext uri="{FF2B5EF4-FFF2-40B4-BE49-F238E27FC236}">
              <a16:creationId xmlns:a16="http://schemas.microsoft.com/office/drawing/2014/main" id="{00000000-0008-0000-28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53</xdr:col>
      <xdr:colOff>11787</xdr:colOff>
      <xdr:row>0</xdr:row>
      <xdr:rowOff>100293</xdr:rowOff>
    </xdr:from>
    <xdr:to>
      <xdr:col>53</xdr:col>
      <xdr:colOff>21312</xdr:colOff>
      <xdr:row>2</xdr:row>
      <xdr:rowOff>128868</xdr:rowOff>
    </xdr:to>
    <xdr:cxnSp macro="">
      <xdr:nvCxnSpPr>
        <xdr:cNvPr id="26" name="Straight Connector 25">
          <a:extLst>
            <a:ext uri="{FF2B5EF4-FFF2-40B4-BE49-F238E27FC236}">
              <a16:creationId xmlns:a16="http://schemas.microsoft.com/office/drawing/2014/main" id="{00000000-0008-0000-2800-00001A000000}"/>
            </a:ext>
          </a:extLst>
        </xdr:cNvPr>
        <xdr:cNvCxnSpPr/>
      </xdr:nvCxnSpPr>
      <xdr:spPr>
        <a:xfrm>
          <a:off x="14946987"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295482</xdr:colOff>
      <xdr:row>0</xdr:row>
      <xdr:rowOff>103468</xdr:rowOff>
    </xdr:from>
    <xdr:to>
      <xdr:col>9</xdr:col>
      <xdr:colOff>0</xdr:colOff>
      <xdr:row>2</xdr:row>
      <xdr:rowOff>114300</xdr:rowOff>
    </xdr:to>
    <xdr:cxnSp macro="">
      <xdr:nvCxnSpPr>
        <xdr:cNvPr id="27" name="Straight Connector 26">
          <a:extLst>
            <a:ext uri="{FF2B5EF4-FFF2-40B4-BE49-F238E27FC236}">
              <a16:creationId xmlns:a16="http://schemas.microsoft.com/office/drawing/2014/main" id="{00000000-0008-0000-2800-00001B000000}"/>
            </a:ext>
          </a:extLst>
        </xdr:cNvPr>
        <xdr:cNvCxnSpPr/>
      </xdr:nvCxnSpPr>
      <xdr:spPr>
        <a:xfrm>
          <a:off x="2810082" y="103468"/>
          <a:ext cx="18843" cy="41088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22873</xdr:colOff>
      <xdr:row>0</xdr:row>
      <xdr:rowOff>0</xdr:rowOff>
    </xdr:from>
    <xdr:to>
      <xdr:col>59</xdr:col>
      <xdr:colOff>0</xdr:colOff>
      <xdr:row>2</xdr:row>
      <xdr:rowOff>186186</xdr:rowOff>
    </xdr:to>
    <xdr:sp macro="" textlink="">
      <xdr:nvSpPr>
        <xdr:cNvPr id="28" name="Rectangle 27">
          <a:hlinkClick xmlns:r="http://schemas.openxmlformats.org/officeDocument/2006/relationships" r:id="rId6" tooltip="Incentive Rates &amp; Requirements"/>
          <a:extLst>
            <a:ext uri="{FF2B5EF4-FFF2-40B4-BE49-F238E27FC236}">
              <a16:creationId xmlns:a16="http://schemas.microsoft.com/office/drawing/2014/main" id="{00000000-0008-0000-2800-00001C000000}"/>
            </a:ext>
          </a:extLst>
        </xdr:cNvPr>
        <xdr:cNvSpPr/>
      </xdr:nvSpPr>
      <xdr:spPr>
        <a:xfrm>
          <a:off x="14958073" y="0"/>
          <a:ext cx="1805927"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8</xdr:row>
      <xdr:rowOff>191957</xdr:rowOff>
    </xdr:from>
    <xdr:to>
      <xdr:col>2</xdr:col>
      <xdr:colOff>213472</xdr:colOff>
      <xdr:row>11</xdr:row>
      <xdr:rowOff>0</xdr:rowOff>
    </xdr:to>
    <xdr:sp macro="" textlink="">
      <xdr:nvSpPr>
        <xdr:cNvPr id="29" name="Arrow: Left 28">
          <a:hlinkClick xmlns:r="http://schemas.openxmlformats.org/officeDocument/2006/relationships" r:id="rId7" tooltip="Back: Food Service"/>
          <a:extLst>
            <a:ext uri="{FF2B5EF4-FFF2-40B4-BE49-F238E27FC236}">
              <a16:creationId xmlns:a16="http://schemas.microsoft.com/office/drawing/2014/main" id="{00000000-0008-0000-2800-00001D000000}"/>
            </a:ext>
          </a:extLst>
        </xdr:cNvPr>
        <xdr:cNvSpPr/>
      </xdr:nvSpPr>
      <xdr:spPr>
        <a:xfrm>
          <a:off x="304800" y="1792157"/>
          <a:ext cx="518272"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58</xdr:col>
      <xdr:colOff>291353</xdr:colOff>
      <xdr:row>8</xdr:row>
      <xdr:rowOff>156883</xdr:rowOff>
    </xdr:from>
    <xdr:to>
      <xdr:col>60</xdr:col>
      <xdr:colOff>194175</xdr:colOff>
      <xdr:row>10</xdr:row>
      <xdr:rowOff>164951</xdr:rowOff>
    </xdr:to>
    <xdr:sp macro="" textlink="">
      <xdr:nvSpPr>
        <xdr:cNvPr id="30" name="Arrow: Right 29">
          <a:hlinkClick xmlns:r="http://schemas.openxmlformats.org/officeDocument/2006/relationships" r:id="rId8" tooltip="Forward: Plug Loads"/>
          <a:extLst>
            <a:ext uri="{FF2B5EF4-FFF2-40B4-BE49-F238E27FC236}">
              <a16:creationId xmlns:a16="http://schemas.microsoft.com/office/drawing/2014/main" id="{00000000-0008-0000-2800-00001E000000}"/>
            </a:ext>
          </a:extLst>
        </xdr:cNvPr>
        <xdr:cNvSpPr/>
      </xdr:nvSpPr>
      <xdr:spPr>
        <a:xfrm>
          <a:off x="16750553" y="1757083"/>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44</xdr:col>
      <xdr:colOff>309282</xdr:colOff>
      <xdr:row>0</xdr:row>
      <xdr:rowOff>0</xdr:rowOff>
    </xdr:from>
    <xdr:to>
      <xdr:col>49</xdr:col>
      <xdr:colOff>17930</xdr:colOff>
      <xdr:row>3</xdr:row>
      <xdr:rowOff>0</xdr:rowOff>
    </xdr:to>
    <xdr:sp macro="" textlink="">
      <xdr:nvSpPr>
        <xdr:cNvPr id="41" name="Rectangle 40">
          <a:hlinkClick xmlns:r="http://schemas.openxmlformats.org/officeDocument/2006/relationships" r:id="rId9" tooltip=" "/>
          <a:extLst>
            <a:ext uri="{FF2B5EF4-FFF2-40B4-BE49-F238E27FC236}">
              <a16:creationId xmlns:a16="http://schemas.microsoft.com/office/drawing/2014/main" id="{00000000-0008-0000-2800-000029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293594</xdr:colOff>
      <xdr:row>0</xdr:row>
      <xdr:rowOff>6723</xdr:rowOff>
    </xdr:from>
    <xdr:to>
      <xdr:col>45</xdr:col>
      <xdr:colOff>2241</xdr:colOff>
      <xdr:row>3</xdr:row>
      <xdr:rowOff>6723</xdr:rowOff>
    </xdr:to>
    <xdr:sp macro="" textlink="">
      <xdr:nvSpPr>
        <xdr:cNvPr id="42" name="Rectangle 41">
          <a:hlinkClick xmlns:r="http://schemas.openxmlformats.org/officeDocument/2006/relationships" r:id="rId10" tooltip=" "/>
          <a:extLst>
            <a:ext uri="{FF2B5EF4-FFF2-40B4-BE49-F238E27FC236}">
              <a16:creationId xmlns:a16="http://schemas.microsoft.com/office/drawing/2014/main" id="{00000000-0008-0000-2800-00002A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10583</xdr:colOff>
      <xdr:row>0</xdr:row>
      <xdr:rowOff>82550</xdr:rowOff>
    </xdr:from>
    <xdr:to>
      <xdr:col>4</xdr:col>
      <xdr:colOff>216090</xdr:colOff>
      <xdr:row>2</xdr:row>
      <xdr:rowOff>88265</xdr:rowOff>
    </xdr:to>
    <xdr:pic>
      <xdr:nvPicPr>
        <xdr:cNvPr id="5" name="Pictur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11"/>
        <a:stretch>
          <a:fillRect/>
        </a:stretch>
      </xdr:blipFill>
      <xdr:spPr>
        <a:xfrm>
          <a:off x="10583" y="82550"/>
          <a:ext cx="1483127" cy="402167"/>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71" name="Arrow: Chevron 70">
          <a:hlinkClick xmlns:r="http://schemas.openxmlformats.org/officeDocument/2006/relationships" r:id="rId12" tooltip="Terms &amp; Conditions"/>
          <a:extLst>
            <a:ext uri="{FF2B5EF4-FFF2-40B4-BE49-F238E27FC236}">
              <a16:creationId xmlns:a16="http://schemas.microsoft.com/office/drawing/2014/main" id="{00000000-0008-0000-2800-000047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72" name="Arrow: Chevron 71">
          <a:hlinkClick xmlns:r="http://schemas.openxmlformats.org/officeDocument/2006/relationships" r:id="rId13" tooltip="Project Information"/>
          <a:extLst>
            <a:ext uri="{FF2B5EF4-FFF2-40B4-BE49-F238E27FC236}">
              <a16:creationId xmlns:a16="http://schemas.microsoft.com/office/drawing/2014/main" id="{00000000-0008-0000-2800-000048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73" name="Arrow: Chevron 39">
          <a:hlinkClick xmlns:r="http://schemas.openxmlformats.org/officeDocument/2006/relationships" r:id="rId14" tooltip="Customer Information"/>
          <a:extLst>
            <a:ext uri="{FF2B5EF4-FFF2-40B4-BE49-F238E27FC236}">
              <a16:creationId xmlns:a16="http://schemas.microsoft.com/office/drawing/2014/main" id="{00000000-0008-0000-2800-000049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74" name="Arrow: Chevron 40">
          <a:hlinkClick xmlns:r="http://schemas.openxmlformats.org/officeDocument/2006/relationships" r:id="rId15" tooltip="Equipment Input"/>
          <a:extLst>
            <a:ext uri="{FF2B5EF4-FFF2-40B4-BE49-F238E27FC236}">
              <a16:creationId xmlns:a16="http://schemas.microsoft.com/office/drawing/2014/main" id="{00000000-0008-0000-2800-00004A000000}"/>
            </a:ext>
          </a:extLst>
        </xdr:cNvPr>
        <xdr:cNvSpPr/>
      </xdr:nvSpPr>
      <xdr:spPr>
        <a:xfrm>
          <a:off x="6188077" y="859240"/>
          <a:ext cx="2153708" cy="64745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75" name="Arrow: Chevron 74">
          <a:hlinkClick xmlns:r="http://schemas.openxmlformats.org/officeDocument/2006/relationships" r:id="rId16" tooltip="Payment"/>
          <a:extLst>
            <a:ext uri="{FF2B5EF4-FFF2-40B4-BE49-F238E27FC236}">
              <a16:creationId xmlns:a16="http://schemas.microsoft.com/office/drawing/2014/main" id="{00000000-0008-0000-2800-00004B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76" name="Arrow: Chevron 75">
          <a:hlinkClick xmlns:r="http://schemas.openxmlformats.org/officeDocument/2006/relationships" r:id="rId17" tooltip="Project Review"/>
          <a:extLst>
            <a:ext uri="{FF2B5EF4-FFF2-40B4-BE49-F238E27FC236}">
              <a16:creationId xmlns:a16="http://schemas.microsoft.com/office/drawing/2014/main" id="{00000000-0008-0000-2800-00004C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77" name="Arrow: Chevron 43">
          <a:hlinkClick xmlns:r="http://schemas.openxmlformats.org/officeDocument/2006/relationships" r:id="rId18" tooltip="Trade Ally / Contractor Information"/>
          <a:extLst>
            <a:ext uri="{FF2B5EF4-FFF2-40B4-BE49-F238E27FC236}">
              <a16:creationId xmlns:a16="http://schemas.microsoft.com/office/drawing/2014/main" id="{00000000-0008-0000-2800-00004D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78" name="Arrow: Chevron 77">
          <a:hlinkClick xmlns:r="http://schemas.openxmlformats.org/officeDocument/2006/relationships" r:id="rId19" tooltip="On-Bill Repayment"/>
          <a:extLst>
            <a:ext uri="{FF2B5EF4-FFF2-40B4-BE49-F238E27FC236}">
              <a16:creationId xmlns:a16="http://schemas.microsoft.com/office/drawing/2014/main" id="{00000000-0008-0000-2800-00004E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79" name="Arrow: Chevron 78">
          <a:hlinkClick xmlns:r="http://schemas.openxmlformats.org/officeDocument/2006/relationships" r:id="rId20" tooltip="Payment"/>
          <a:extLst>
            <a:ext uri="{FF2B5EF4-FFF2-40B4-BE49-F238E27FC236}">
              <a16:creationId xmlns:a16="http://schemas.microsoft.com/office/drawing/2014/main" id="{00000000-0008-0000-2800-00004F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9</xdr:col>
      <xdr:colOff>306916</xdr:colOff>
      <xdr:row>7</xdr:row>
      <xdr:rowOff>190500</xdr:rowOff>
    </xdr:from>
    <xdr:to>
      <xdr:col>52</xdr:col>
      <xdr:colOff>314324</xdr:colOff>
      <xdr:row>11</xdr:row>
      <xdr:rowOff>54161</xdr:rowOff>
    </xdr:to>
    <xdr:grpSp>
      <xdr:nvGrpSpPr>
        <xdr:cNvPr id="2" name="Group 1">
          <a:extLst>
            <a:ext uri="{FF2B5EF4-FFF2-40B4-BE49-F238E27FC236}">
              <a16:creationId xmlns:a16="http://schemas.microsoft.com/office/drawing/2014/main" id="{B4BC0A3E-6937-4ECB-A626-04B5526E2BB8}"/>
            </a:ext>
          </a:extLst>
        </xdr:cNvPr>
        <xdr:cNvGrpSpPr/>
      </xdr:nvGrpSpPr>
      <xdr:grpSpPr>
        <a:xfrm>
          <a:off x="3069166" y="1598083"/>
          <a:ext cx="13195300" cy="667995"/>
          <a:chOff x="3150659" y="1590675"/>
          <a:chExt cx="13666258" cy="661645"/>
        </a:xfrm>
      </xdr:grpSpPr>
      <xdr:sp macro="" textlink="">
        <xdr:nvSpPr>
          <xdr:cNvPr id="3" name="Rectangle 2">
            <a:hlinkClick xmlns:r="http://schemas.openxmlformats.org/officeDocument/2006/relationships" r:id="rId21" tooltip="Lighting &amp; Lighting Controls"/>
            <a:extLst>
              <a:ext uri="{FF2B5EF4-FFF2-40B4-BE49-F238E27FC236}">
                <a16:creationId xmlns:a16="http://schemas.microsoft.com/office/drawing/2014/main" id="{37DAD89B-B2A4-D880-37D1-6AAA20DB2118}"/>
              </a:ext>
            </a:extLst>
          </xdr:cNvPr>
          <xdr:cNvSpPr/>
        </xdr:nvSpPr>
        <xdr:spPr>
          <a:xfrm>
            <a:off x="3150659" y="1616073"/>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Rectangle 3">
            <a:hlinkClick xmlns:r="http://schemas.openxmlformats.org/officeDocument/2006/relationships" r:id="rId22" tooltip="Lighting &amp; Lighting Controls"/>
            <a:extLst>
              <a:ext uri="{FF2B5EF4-FFF2-40B4-BE49-F238E27FC236}">
                <a16:creationId xmlns:a16="http://schemas.microsoft.com/office/drawing/2014/main" id="{9828303F-5E38-27EE-47F0-AE3C7F3473B6}"/>
              </a:ext>
            </a:extLst>
          </xdr:cNvPr>
          <xdr:cNvSpPr/>
        </xdr:nvSpPr>
        <xdr:spPr>
          <a:xfrm>
            <a:off x="4434417" y="1598084"/>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Rectangle 5">
            <a:hlinkClick xmlns:r="http://schemas.openxmlformats.org/officeDocument/2006/relationships" r:id="rId23" tooltip="Lighting &amp; Lighting Controls"/>
            <a:extLst>
              <a:ext uri="{FF2B5EF4-FFF2-40B4-BE49-F238E27FC236}">
                <a16:creationId xmlns:a16="http://schemas.microsoft.com/office/drawing/2014/main" id="{B673A395-9767-C5F5-28A4-A5214810CBAE}"/>
              </a:ext>
            </a:extLst>
          </xdr:cNvPr>
          <xdr:cNvSpPr/>
        </xdr:nvSpPr>
        <xdr:spPr>
          <a:xfrm>
            <a:off x="5722408" y="1608667"/>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hlinkClick xmlns:r="http://schemas.openxmlformats.org/officeDocument/2006/relationships" r:id="rId24" tooltip="Lighting &amp; Lighting Controls"/>
            <a:extLst>
              <a:ext uri="{FF2B5EF4-FFF2-40B4-BE49-F238E27FC236}">
                <a16:creationId xmlns:a16="http://schemas.microsoft.com/office/drawing/2014/main" id="{7E22F280-7466-8116-2FAC-3F0AD0DBA45A}"/>
              </a:ext>
            </a:extLst>
          </xdr:cNvPr>
          <xdr:cNvSpPr/>
        </xdr:nvSpPr>
        <xdr:spPr>
          <a:xfrm>
            <a:off x="6985000" y="1598084"/>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hlinkClick xmlns:r="http://schemas.openxmlformats.org/officeDocument/2006/relationships" r:id="rId25" tooltip="Lighting &amp; Lighting Controls"/>
            <a:extLst>
              <a:ext uri="{FF2B5EF4-FFF2-40B4-BE49-F238E27FC236}">
                <a16:creationId xmlns:a16="http://schemas.microsoft.com/office/drawing/2014/main" id="{7809C83C-2FD3-3A7C-E7B5-C55D3831043A}"/>
              </a:ext>
            </a:extLst>
          </xdr:cNvPr>
          <xdr:cNvSpPr/>
        </xdr:nvSpPr>
        <xdr:spPr>
          <a:xfrm>
            <a:off x="8357659"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Rectangle 8">
            <a:hlinkClick xmlns:r="http://schemas.openxmlformats.org/officeDocument/2006/relationships" r:id="rId7" tooltip="Lighting &amp; Lighting Controls"/>
            <a:extLst>
              <a:ext uri="{FF2B5EF4-FFF2-40B4-BE49-F238E27FC236}">
                <a16:creationId xmlns:a16="http://schemas.microsoft.com/office/drawing/2014/main" id="{205B2375-1AC6-58BC-1898-EE173629FF06}"/>
              </a:ext>
            </a:extLst>
          </xdr:cNvPr>
          <xdr:cNvSpPr/>
        </xdr:nvSpPr>
        <xdr:spPr>
          <a:xfrm>
            <a:off x="9958916"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Rectangle 9">
            <a:hlinkClick xmlns:r="http://schemas.openxmlformats.org/officeDocument/2006/relationships" r:id="rId26" tooltip="Lighting &amp; Lighting Controls"/>
            <a:extLst>
              <a:ext uri="{FF2B5EF4-FFF2-40B4-BE49-F238E27FC236}">
                <a16:creationId xmlns:a16="http://schemas.microsoft.com/office/drawing/2014/main" id="{7C2216D5-9EE3-1971-8188-E5BBA6D011D4}"/>
              </a:ext>
            </a:extLst>
          </xdr:cNvPr>
          <xdr:cNvSpPr/>
        </xdr:nvSpPr>
        <xdr:spPr>
          <a:xfrm>
            <a:off x="11574991" y="1598083"/>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Rectangle 10">
            <a:hlinkClick xmlns:r="http://schemas.openxmlformats.org/officeDocument/2006/relationships" r:id="rId8" tooltip="Lighting &amp; Lighting Controls"/>
            <a:extLst>
              <a:ext uri="{FF2B5EF4-FFF2-40B4-BE49-F238E27FC236}">
                <a16:creationId xmlns:a16="http://schemas.microsoft.com/office/drawing/2014/main" id="{83C28F7B-12FF-1BDD-5E35-FD669A6F4A00}"/>
              </a:ext>
            </a:extLst>
          </xdr:cNvPr>
          <xdr:cNvSpPr/>
        </xdr:nvSpPr>
        <xdr:spPr>
          <a:xfrm>
            <a:off x="13024908" y="1616075"/>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Rectangle 11">
            <a:hlinkClick xmlns:r="http://schemas.openxmlformats.org/officeDocument/2006/relationships" r:id="rId27" tooltip="Lighting &amp; Lighting Controls"/>
            <a:extLst>
              <a:ext uri="{FF2B5EF4-FFF2-40B4-BE49-F238E27FC236}">
                <a16:creationId xmlns:a16="http://schemas.microsoft.com/office/drawing/2014/main" id="{65C80203-C2C0-C525-249A-2071A90E1B99}"/>
              </a:ext>
            </a:extLst>
          </xdr:cNvPr>
          <xdr:cNvSpPr/>
        </xdr:nvSpPr>
        <xdr:spPr>
          <a:xfrm>
            <a:off x="14294908" y="1598083"/>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Rectangle 12">
            <a:hlinkClick xmlns:r="http://schemas.openxmlformats.org/officeDocument/2006/relationships" r:id="rId28" tooltip="Lighting &amp; Lighting Controls"/>
            <a:extLst>
              <a:ext uri="{FF2B5EF4-FFF2-40B4-BE49-F238E27FC236}">
                <a16:creationId xmlns:a16="http://schemas.microsoft.com/office/drawing/2014/main" id="{79AB4FA3-2158-6EAA-3B4D-0D40DF71617A}"/>
              </a:ext>
            </a:extLst>
          </xdr:cNvPr>
          <xdr:cNvSpPr/>
        </xdr:nvSpPr>
        <xdr:spPr>
          <a:xfrm>
            <a:off x="15546917" y="1590675"/>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251013</xdr:colOff>
      <xdr:row>2</xdr:row>
      <xdr:rowOff>161363</xdr:rowOff>
    </xdr:to>
    <xdr:sp macro="" textlink="">
      <xdr:nvSpPr>
        <xdr:cNvPr id="12" name="Rectangle 11">
          <a:extLst>
            <a:ext uri="{FF2B5EF4-FFF2-40B4-BE49-F238E27FC236}">
              <a16:creationId xmlns:a16="http://schemas.microsoft.com/office/drawing/2014/main" id="{00000000-0008-0000-2900-00000C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3" name="Rectangle 12">
          <a:hlinkClick xmlns:r="http://schemas.openxmlformats.org/officeDocument/2006/relationships" r:id="rId1" tooltip="Welcome"/>
          <a:extLst>
            <a:ext uri="{FF2B5EF4-FFF2-40B4-BE49-F238E27FC236}">
              <a16:creationId xmlns:a16="http://schemas.microsoft.com/office/drawing/2014/main" id="{00000000-0008-0000-2900-00000D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4" name="Rectangle 13">
          <a:hlinkClick xmlns:r="http://schemas.openxmlformats.org/officeDocument/2006/relationships" r:id="rId2" tooltip="Instructions"/>
          <a:extLst>
            <a:ext uri="{FF2B5EF4-FFF2-40B4-BE49-F238E27FC236}">
              <a16:creationId xmlns:a16="http://schemas.microsoft.com/office/drawing/2014/main" id="{00000000-0008-0000-2900-00000E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302559</xdr:colOff>
      <xdr:row>0</xdr:row>
      <xdr:rowOff>0</xdr:rowOff>
    </xdr:from>
    <xdr:to>
      <xdr:col>63</xdr:col>
      <xdr:colOff>0</xdr:colOff>
      <xdr:row>3</xdr:row>
      <xdr:rowOff>0</xdr:rowOff>
    </xdr:to>
    <xdr:sp macro="" textlink="">
      <xdr:nvSpPr>
        <xdr:cNvPr id="17" name="Rectangle 16">
          <a:hlinkClick xmlns:r="http://schemas.openxmlformats.org/officeDocument/2006/relationships" r:id="rId3" tooltip="Contact"/>
          <a:extLst>
            <a:ext uri="{FF2B5EF4-FFF2-40B4-BE49-F238E27FC236}">
              <a16:creationId xmlns:a16="http://schemas.microsoft.com/office/drawing/2014/main" id="{00000000-0008-0000-2900-000011000000}"/>
            </a:ext>
          </a:extLst>
        </xdr:cNvPr>
        <xdr:cNvSpPr/>
      </xdr:nvSpPr>
      <xdr:spPr>
        <a:xfrm>
          <a:off x="16761759" y="0"/>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293594</xdr:colOff>
      <xdr:row>0</xdr:row>
      <xdr:rowOff>6723</xdr:rowOff>
    </xdr:from>
    <xdr:to>
      <xdr:col>53</xdr:col>
      <xdr:colOff>2241</xdr:colOff>
      <xdr:row>3</xdr:row>
      <xdr:rowOff>6723</xdr:rowOff>
    </xdr:to>
    <xdr:sp macro="" textlink="">
      <xdr:nvSpPr>
        <xdr:cNvPr id="19" name="Rectangle 18">
          <a:hlinkClick xmlns:r="http://schemas.openxmlformats.org/officeDocument/2006/relationships" r:id="rId4" tooltip=" "/>
          <a:extLst>
            <a:ext uri="{FF2B5EF4-FFF2-40B4-BE49-F238E27FC236}">
              <a16:creationId xmlns:a16="http://schemas.microsoft.com/office/drawing/2014/main" id="{00000000-0008-0000-2900-000013000000}"/>
            </a:ext>
          </a:extLst>
        </xdr:cNvPr>
        <xdr:cNvSpPr/>
      </xdr:nvSpPr>
      <xdr:spPr>
        <a:xfrm>
          <a:off x="137047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0</xdr:colOff>
      <xdr:row>0</xdr:row>
      <xdr:rowOff>100293</xdr:rowOff>
    </xdr:from>
    <xdr:to>
      <xdr:col>59</xdr:col>
      <xdr:colOff>9525</xdr:colOff>
      <xdr:row>2</xdr:row>
      <xdr:rowOff>128868</xdr:rowOff>
    </xdr:to>
    <xdr:cxnSp macro="">
      <xdr:nvCxnSpPr>
        <xdr:cNvPr id="20" name="Straight Connector 19">
          <a:extLst>
            <a:ext uri="{FF2B5EF4-FFF2-40B4-BE49-F238E27FC236}">
              <a16:creationId xmlns:a16="http://schemas.microsoft.com/office/drawing/2014/main" id="{00000000-0008-0000-2900-000014000000}"/>
            </a:ext>
          </a:extLst>
        </xdr:cNvPr>
        <xdr:cNvCxnSpPr/>
      </xdr:nvCxnSpPr>
      <xdr:spPr>
        <a:xfrm>
          <a:off x="16764000"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302559</xdr:colOff>
      <xdr:row>0</xdr:row>
      <xdr:rowOff>11206</xdr:rowOff>
    </xdr:from>
    <xdr:to>
      <xdr:col>63</xdr:col>
      <xdr:colOff>0</xdr:colOff>
      <xdr:row>3</xdr:row>
      <xdr:rowOff>11206</xdr:rowOff>
    </xdr:to>
    <xdr:sp macro="" textlink="">
      <xdr:nvSpPr>
        <xdr:cNvPr id="21" name="Rectangle 20">
          <a:hlinkClick xmlns:r="http://schemas.openxmlformats.org/officeDocument/2006/relationships" r:id="rId3" tooltip="Contact"/>
          <a:extLst>
            <a:ext uri="{FF2B5EF4-FFF2-40B4-BE49-F238E27FC236}">
              <a16:creationId xmlns:a16="http://schemas.microsoft.com/office/drawing/2014/main" id="{00000000-0008-0000-2900-000015000000}"/>
            </a:ext>
          </a:extLst>
        </xdr:cNvPr>
        <xdr:cNvSpPr/>
      </xdr:nvSpPr>
      <xdr:spPr>
        <a:xfrm>
          <a:off x="16761759" y="11206"/>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291353</xdr:colOff>
      <xdr:row>0</xdr:row>
      <xdr:rowOff>0</xdr:rowOff>
    </xdr:from>
    <xdr:to>
      <xdr:col>58</xdr:col>
      <xdr:colOff>280147</xdr:colOff>
      <xdr:row>2</xdr:row>
      <xdr:rowOff>190500</xdr:rowOff>
    </xdr:to>
    <xdr:sp macro="" textlink="">
      <xdr:nvSpPr>
        <xdr:cNvPr id="22" name="Rectangle 21">
          <a:extLst>
            <a:ext uri="{FF2B5EF4-FFF2-40B4-BE49-F238E27FC236}">
              <a16:creationId xmlns:a16="http://schemas.microsoft.com/office/drawing/2014/main" id="{00000000-0008-0000-2900-000016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3" name="Straight Connector 22">
          <a:extLst>
            <a:ext uri="{FF2B5EF4-FFF2-40B4-BE49-F238E27FC236}">
              <a16:creationId xmlns:a16="http://schemas.microsoft.com/office/drawing/2014/main" id="{00000000-0008-0000-2900-000017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284811</xdr:colOff>
      <xdr:row>2</xdr:row>
      <xdr:rowOff>54347</xdr:rowOff>
    </xdr:to>
    <xdr:pic>
      <xdr:nvPicPr>
        <xdr:cNvPr id="24" name="Picture 23">
          <a:extLst>
            <a:ext uri="{FF2B5EF4-FFF2-40B4-BE49-F238E27FC236}">
              <a16:creationId xmlns:a16="http://schemas.microsoft.com/office/drawing/2014/main" id="{00000000-0008-0000-29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53</xdr:col>
      <xdr:colOff>11787</xdr:colOff>
      <xdr:row>0</xdr:row>
      <xdr:rowOff>100293</xdr:rowOff>
    </xdr:from>
    <xdr:to>
      <xdr:col>53</xdr:col>
      <xdr:colOff>21312</xdr:colOff>
      <xdr:row>2</xdr:row>
      <xdr:rowOff>128868</xdr:rowOff>
    </xdr:to>
    <xdr:cxnSp macro="">
      <xdr:nvCxnSpPr>
        <xdr:cNvPr id="25" name="Straight Connector 24">
          <a:extLst>
            <a:ext uri="{FF2B5EF4-FFF2-40B4-BE49-F238E27FC236}">
              <a16:creationId xmlns:a16="http://schemas.microsoft.com/office/drawing/2014/main" id="{00000000-0008-0000-2900-000019000000}"/>
            </a:ext>
          </a:extLst>
        </xdr:cNvPr>
        <xdr:cNvCxnSpPr/>
      </xdr:nvCxnSpPr>
      <xdr:spPr>
        <a:xfrm>
          <a:off x="14946987"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295275</xdr:colOff>
      <xdr:row>0</xdr:row>
      <xdr:rowOff>103468</xdr:rowOff>
    </xdr:from>
    <xdr:to>
      <xdr:col>8</xdr:col>
      <xdr:colOff>295482</xdr:colOff>
      <xdr:row>2</xdr:row>
      <xdr:rowOff>104775</xdr:rowOff>
    </xdr:to>
    <xdr:cxnSp macro="">
      <xdr:nvCxnSpPr>
        <xdr:cNvPr id="26" name="Straight Connector 25">
          <a:extLst>
            <a:ext uri="{FF2B5EF4-FFF2-40B4-BE49-F238E27FC236}">
              <a16:creationId xmlns:a16="http://schemas.microsoft.com/office/drawing/2014/main" id="{00000000-0008-0000-2900-00001A000000}"/>
            </a:ext>
          </a:extLst>
        </xdr:cNvPr>
        <xdr:cNvCxnSpPr/>
      </xdr:nvCxnSpPr>
      <xdr:spPr>
        <a:xfrm flipH="1">
          <a:off x="2809875" y="103468"/>
          <a:ext cx="207" cy="40135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22873</xdr:colOff>
      <xdr:row>0</xdr:row>
      <xdr:rowOff>0</xdr:rowOff>
    </xdr:from>
    <xdr:to>
      <xdr:col>59</xdr:col>
      <xdr:colOff>0</xdr:colOff>
      <xdr:row>2</xdr:row>
      <xdr:rowOff>186186</xdr:rowOff>
    </xdr:to>
    <xdr:sp macro="" textlink="">
      <xdr:nvSpPr>
        <xdr:cNvPr id="27" name="Rectangle 26">
          <a:hlinkClick xmlns:r="http://schemas.openxmlformats.org/officeDocument/2006/relationships" r:id="rId6" tooltip="Incentive Rates &amp; Requirements"/>
          <a:extLst>
            <a:ext uri="{FF2B5EF4-FFF2-40B4-BE49-F238E27FC236}">
              <a16:creationId xmlns:a16="http://schemas.microsoft.com/office/drawing/2014/main" id="{00000000-0008-0000-2900-00001B000000}"/>
            </a:ext>
          </a:extLst>
        </xdr:cNvPr>
        <xdr:cNvSpPr/>
      </xdr:nvSpPr>
      <xdr:spPr>
        <a:xfrm>
          <a:off x="14958073" y="0"/>
          <a:ext cx="1805927"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8</xdr:row>
      <xdr:rowOff>193638</xdr:rowOff>
    </xdr:from>
    <xdr:to>
      <xdr:col>2</xdr:col>
      <xdr:colOff>212912</xdr:colOff>
      <xdr:row>11</xdr:row>
      <xdr:rowOff>0</xdr:rowOff>
    </xdr:to>
    <xdr:sp macro="" textlink="">
      <xdr:nvSpPr>
        <xdr:cNvPr id="28" name="Arrow: Left 27">
          <a:hlinkClick xmlns:r="http://schemas.openxmlformats.org/officeDocument/2006/relationships" r:id="rId7" tooltip="Back: Agriculture"/>
          <a:extLst>
            <a:ext uri="{FF2B5EF4-FFF2-40B4-BE49-F238E27FC236}">
              <a16:creationId xmlns:a16="http://schemas.microsoft.com/office/drawing/2014/main" id="{00000000-0008-0000-2900-00001C000000}"/>
            </a:ext>
          </a:extLst>
        </xdr:cNvPr>
        <xdr:cNvSpPr/>
      </xdr:nvSpPr>
      <xdr:spPr>
        <a:xfrm>
          <a:off x="304800" y="1793838"/>
          <a:ext cx="517712" cy="406437"/>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58</xdr:col>
      <xdr:colOff>164414</xdr:colOff>
      <xdr:row>9</xdr:row>
      <xdr:rowOff>0</xdr:rowOff>
    </xdr:from>
    <xdr:to>
      <xdr:col>60</xdr:col>
      <xdr:colOff>67236</xdr:colOff>
      <xdr:row>11</xdr:row>
      <xdr:rowOff>8068</xdr:rowOff>
    </xdr:to>
    <xdr:sp macro="" textlink="">
      <xdr:nvSpPr>
        <xdr:cNvPr id="29" name="Arrow: Right 28">
          <a:hlinkClick xmlns:r="http://schemas.openxmlformats.org/officeDocument/2006/relationships" r:id="rId8" tooltip="Forward: Residential Appliances"/>
          <a:extLst>
            <a:ext uri="{FF2B5EF4-FFF2-40B4-BE49-F238E27FC236}">
              <a16:creationId xmlns:a16="http://schemas.microsoft.com/office/drawing/2014/main" id="{00000000-0008-0000-2900-00001D000000}"/>
            </a:ext>
          </a:extLst>
        </xdr:cNvPr>
        <xdr:cNvSpPr/>
      </xdr:nvSpPr>
      <xdr:spPr>
        <a:xfrm>
          <a:off x="16623614" y="1800225"/>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44</xdr:col>
      <xdr:colOff>309282</xdr:colOff>
      <xdr:row>0</xdr:row>
      <xdr:rowOff>0</xdr:rowOff>
    </xdr:from>
    <xdr:to>
      <xdr:col>49</xdr:col>
      <xdr:colOff>17930</xdr:colOff>
      <xdr:row>3</xdr:row>
      <xdr:rowOff>0</xdr:rowOff>
    </xdr:to>
    <xdr:sp macro="" textlink="">
      <xdr:nvSpPr>
        <xdr:cNvPr id="40" name="Rectangle 39">
          <a:hlinkClick xmlns:r="http://schemas.openxmlformats.org/officeDocument/2006/relationships" r:id="rId9" tooltip=" "/>
          <a:extLst>
            <a:ext uri="{FF2B5EF4-FFF2-40B4-BE49-F238E27FC236}">
              <a16:creationId xmlns:a16="http://schemas.microsoft.com/office/drawing/2014/main" id="{00000000-0008-0000-2900-000028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293594</xdr:colOff>
      <xdr:row>0</xdr:row>
      <xdr:rowOff>6723</xdr:rowOff>
    </xdr:from>
    <xdr:to>
      <xdr:col>45</xdr:col>
      <xdr:colOff>2241</xdr:colOff>
      <xdr:row>3</xdr:row>
      <xdr:rowOff>6723</xdr:rowOff>
    </xdr:to>
    <xdr:sp macro="" textlink="">
      <xdr:nvSpPr>
        <xdr:cNvPr id="41" name="Rectangle 40">
          <a:hlinkClick xmlns:r="http://schemas.openxmlformats.org/officeDocument/2006/relationships" r:id="rId10" tooltip=" "/>
          <a:extLst>
            <a:ext uri="{FF2B5EF4-FFF2-40B4-BE49-F238E27FC236}">
              <a16:creationId xmlns:a16="http://schemas.microsoft.com/office/drawing/2014/main" id="{00000000-0008-0000-2900-000029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7754</xdr:colOff>
      <xdr:row>0</xdr:row>
      <xdr:rowOff>97389</xdr:rowOff>
    </xdr:from>
    <xdr:to>
      <xdr:col>4</xdr:col>
      <xdr:colOff>211991</xdr:colOff>
      <xdr:row>2</xdr:row>
      <xdr:rowOff>97389</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1"/>
        <a:stretch>
          <a:fillRect/>
        </a:stretch>
      </xdr:blipFill>
      <xdr:spPr>
        <a:xfrm>
          <a:off x="7754" y="97389"/>
          <a:ext cx="1483127" cy="406400"/>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81" name="Arrow: Chevron 80">
          <a:hlinkClick xmlns:r="http://schemas.openxmlformats.org/officeDocument/2006/relationships" r:id="rId12" tooltip="Terms &amp; Conditions"/>
          <a:extLst>
            <a:ext uri="{FF2B5EF4-FFF2-40B4-BE49-F238E27FC236}">
              <a16:creationId xmlns:a16="http://schemas.microsoft.com/office/drawing/2014/main" id="{00000000-0008-0000-2900-000051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82" name="Arrow: Chevron 81">
          <a:hlinkClick xmlns:r="http://schemas.openxmlformats.org/officeDocument/2006/relationships" r:id="rId13" tooltip="Project Information"/>
          <a:extLst>
            <a:ext uri="{FF2B5EF4-FFF2-40B4-BE49-F238E27FC236}">
              <a16:creationId xmlns:a16="http://schemas.microsoft.com/office/drawing/2014/main" id="{00000000-0008-0000-2900-000052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83" name="Arrow: Chevron 39">
          <a:hlinkClick xmlns:r="http://schemas.openxmlformats.org/officeDocument/2006/relationships" r:id="rId14" tooltip="Customer Information"/>
          <a:extLst>
            <a:ext uri="{FF2B5EF4-FFF2-40B4-BE49-F238E27FC236}">
              <a16:creationId xmlns:a16="http://schemas.microsoft.com/office/drawing/2014/main" id="{00000000-0008-0000-2900-000053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84" name="Arrow: Chevron 40">
          <a:hlinkClick xmlns:r="http://schemas.openxmlformats.org/officeDocument/2006/relationships" r:id="rId15" tooltip="Equipment Input"/>
          <a:extLst>
            <a:ext uri="{FF2B5EF4-FFF2-40B4-BE49-F238E27FC236}">
              <a16:creationId xmlns:a16="http://schemas.microsoft.com/office/drawing/2014/main" id="{00000000-0008-0000-2900-000054000000}"/>
            </a:ext>
          </a:extLst>
        </xdr:cNvPr>
        <xdr:cNvSpPr/>
      </xdr:nvSpPr>
      <xdr:spPr>
        <a:xfrm>
          <a:off x="6188077" y="859240"/>
          <a:ext cx="2153708" cy="64745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85" name="Arrow: Chevron 84">
          <a:hlinkClick xmlns:r="http://schemas.openxmlformats.org/officeDocument/2006/relationships" r:id="rId16" tooltip="Payment"/>
          <a:extLst>
            <a:ext uri="{FF2B5EF4-FFF2-40B4-BE49-F238E27FC236}">
              <a16:creationId xmlns:a16="http://schemas.microsoft.com/office/drawing/2014/main" id="{00000000-0008-0000-2900-000055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86" name="Arrow: Chevron 85">
          <a:hlinkClick xmlns:r="http://schemas.openxmlformats.org/officeDocument/2006/relationships" r:id="rId17" tooltip="Project Review"/>
          <a:extLst>
            <a:ext uri="{FF2B5EF4-FFF2-40B4-BE49-F238E27FC236}">
              <a16:creationId xmlns:a16="http://schemas.microsoft.com/office/drawing/2014/main" id="{00000000-0008-0000-2900-000056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87" name="Arrow: Chevron 43">
          <a:hlinkClick xmlns:r="http://schemas.openxmlformats.org/officeDocument/2006/relationships" r:id="rId18" tooltip="Trade Ally / Contractor Information"/>
          <a:extLst>
            <a:ext uri="{FF2B5EF4-FFF2-40B4-BE49-F238E27FC236}">
              <a16:creationId xmlns:a16="http://schemas.microsoft.com/office/drawing/2014/main" id="{00000000-0008-0000-2900-000057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88" name="Arrow: Chevron 87">
          <a:hlinkClick xmlns:r="http://schemas.openxmlformats.org/officeDocument/2006/relationships" r:id="rId19" tooltip="On-Bill Repayment"/>
          <a:extLst>
            <a:ext uri="{FF2B5EF4-FFF2-40B4-BE49-F238E27FC236}">
              <a16:creationId xmlns:a16="http://schemas.microsoft.com/office/drawing/2014/main" id="{00000000-0008-0000-2900-000058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89" name="Arrow: Chevron 88">
          <a:hlinkClick xmlns:r="http://schemas.openxmlformats.org/officeDocument/2006/relationships" r:id="rId20" tooltip="Payment"/>
          <a:extLst>
            <a:ext uri="{FF2B5EF4-FFF2-40B4-BE49-F238E27FC236}">
              <a16:creationId xmlns:a16="http://schemas.microsoft.com/office/drawing/2014/main" id="{00000000-0008-0000-2900-000059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9</xdr:col>
      <xdr:colOff>275167</xdr:colOff>
      <xdr:row>7</xdr:row>
      <xdr:rowOff>179917</xdr:rowOff>
    </xdr:from>
    <xdr:to>
      <xdr:col>52</xdr:col>
      <xdr:colOff>282575</xdr:colOff>
      <xdr:row>11</xdr:row>
      <xdr:rowOff>43578</xdr:rowOff>
    </xdr:to>
    <xdr:grpSp>
      <xdr:nvGrpSpPr>
        <xdr:cNvPr id="3" name="Group 2">
          <a:extLst>
            <a:ext uri="{FF2B5EF4-FFF2-40B4-BE49-F238E27FC236}">
              <a16:creationId xmlns:a16="http://schemas.microsoft.com/office/drawing/2014/main" id="{FFADB28C-8E98-4858-9C59-407DA7DE6F74}"/>
            </a:ext>
          </a:extLst>
        </xdr:cNvPr>
        <xdr:cNvGrpSpPr/>
      </xdr:nvGrpSpPr>
      <xdr:grpSpPr>
        <a:xfrm>
          <a:off x="3037417" y="1587500"/>
          <a:ext cx="13204825" cy="667995"/>
          <a:chOff x="3150659" y="1590675"/>
          <a:chExt cx="13666258" cy="661645"/>
        </a:xfrm>
      </xdr:grpSpPr>
      <xdr:sp macro="" textlink="">
        <xdr:nvSpPr>
          <xdr:cNvPr id="4" name="Rectangle 3">
            <a:hlinkClick xmlns:r="http://schemas.openxmlformats.org/officeDocument/2006/relationships" r:id="rId21" tooltip="Lighting &amp; Lighting Controls"/>
            <a:extLst>
              <a:ext uri="{FF2B5EF4-FFF2-40B4-BE49-F238E27FC236}">
                <a16:creationId xmlns:a16="http://schemas.microsoft.com/office/drawing/2014/main" id="{CBCAD2D3-6E95-47B4-4C85-F8406F28FEE0}"/>
              </a:ext>
            </a:extLst>
          </xdr:cNvPr>
          <xdr:cNvSpPr/>
        </xdr:nvSpPr>
        <xdr:spPr>
          <a:xfrm>
            <a:off x="3150659" y="1616073"/>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Rectangle 4">
            <a:hlinkClick xmlns:r="http://schemas.openxmlformats.org/officeDocument/2006/relationships" r:id="rId22" tooltip="Lighting &amp; Lighting Controls"/>
            <a:extLst>
              <a:ext uri="{FF2B5EF4-FFF2-40B4-BE49-F238E27FC236}">
                <a16:creationId xmlns:a16="http://schemas.microsoft.com/office/drawing/2014/main" id="{868072CF-ED89-B514-EC2D-0A057AB9E613}"/>
              </a:ext>
            </a:extLst>
          </xdr:cNvPr>
          <xdr:cNvSpPr/>
        </xdr:nvSpPr>
        <xdr:spPr>
          <a:xfrm>
            <a:off x="4434417" y="1598084"/>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Rectangle 5">
            <a:hlinkClick xmlns:r="http://schemas.openxmlformats.org/officeDocument/2006/relationships" r:id="rId23" tooltip="Lighting &amp; Lighting Controls"/>
            <a:extLst>
              <a:ext uri="{FF2B5EF4-FFF2-40B4-BE49-F238E27FC236}">
                <a16:creationId xmlns:a16="http://schemas.microsoft.com/office/drawing/2014/main" id="{169148C7-3A91-C44D-2CAC-3EA40F631DC1}"/>
              </a:ext>
            </a:extLst>
          </xdr:cNvPr>
          <xdr:cNvSpPr/>
        </xdr:nvSpPr>
        <xdr:spPr>
          <a:xfrm>
            <a:off x="5722408" y="1608667"/>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Rectangle 6">
            <a:hlinkClick xmlns:r="http://schemas.openxmlformats.org/officeDocument/2006/relationships" r:id="rId24" tooltip="Lighting &amp; Lighting Controls"/>
            <a:extLst>
              <a:ext uri="{FF2B5EF4-FFF2-40B4-BE49-F238E27FC236}">
                <a16:creationId xmlns:a16="http://schemas.microsoft.com/office/drawing/2014/main" id="{9ECA6E98-362D-775F-9E56-98EE0A63A1F9}"/>
              </a:ext>
            </a:extLst>
          </xdr:cNvPr>
          <xdr:cNvSpPr/>
        </xdr:nvSpPr>
        <xdr:spPr>
          <a:xfrm>
            <a:off x="6985000" y="1598084"/>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hlinkClick xmlns:r="http://schemas.openxmlformats.org/officeDocument/2006/relationships" r:id="rId25" tooltip="Lighting &amp; Lighting Controls"/>
            <a:extLst>
              <a:ext uri="{FF2B5EF4-FFF2-40B4-BE49-F238E27FC236}">
                <a16:creationId xmlns:a16="http://schemas.microsoft.com/office/drawing/2014/main" id="{35286EAA-5B8C-6ED5-CBE4-F1BE2CC32ED3}"/>
              </a:ext>
            </a:extLst>
          </xdr:cNvPr>
          <xdr:cNvSpPr/>
        </xdr:nvSpPr>
        <xdr:spPr>
          <a:xfrm>
            <a:off x="8357659"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Rectangle 8">
            <a:hlinkClick xmlns:r="http://schemas.openxmlformats.org/officeDocument/2006/relationships" r:id="rId26" tooltip="Lighting &amp; Lighting Controls"/>
            <a:extLst>
              <a:ext uri="{FF2B5EF4-FFF2-40B4-BE49-F238E27FC236}">
                <a16:creationId xmlns:a16="http://schemas.microsoft.com/office/drawing/2014/main" id="{E4DFE038-5103-F268-777D-4E70F2BB1509}"/>
              </a:ext>
            </a:extLst>
          </xdr:cNvPr>
          <xdr:cNvSpPr/>
        </xdr:nvSpPr>
        <xdr:spPr>
          <a:xfrm>
            <a:off x="9958916"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Rectangle 9">
            <a:hlinkClick xmlns:r="http://schemas.openxmlformats.org/officeDocument/2006/relationships" r:id="rId7" tooltip="Lighting &amp; Lighting Controls"/>
            <a:extLst>
              <a:ext uri="{FF2B5EF4-FFF2-40B4-BE49-F238E27FC236}">
                <a16:creationId xmlns:a16="http://schemas.microsoft.com/office/drawing/2014/main" id="{73ADA52C-860C-AF8A-B76A-B404CA4F67D9}"/>
              </a:ext>
            </a:extLst>
          </xdr:cNvPr>
          <xdr:cNvSpPr/>
        </xdr:nvSpPr>
        <xdr:spPr>
          <a:xfrm>
            <a:off x="11574991" y="1598083"/>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Rectangle 10">
            <a:hlinkClick xmlns:r="http://schemas.openxmlformats.org/officeDocument/2006/relationships" r:id="rId27" tooltip="Lighting &amp; Lighting Controls"/>
            <a:extLst>
              <a:ext uri="{FF2B5EF4-FFF2-40B4-BE49-F238E27FC236}">
                <a16:creationId xmlns:a16="http://schemas.microsoft.com/office/drawing/2014/main" id="{0FD8055A-E833-AB10-7881-8288C52C1C42}"/>
              </a:ext>
            </a:extLst>
          </xdr:cNvPr>
          <xdr:cNvSpPr/>
        </xdr:nvSpPr>
        <xdr:spPr>
          <a:xfrm>
            <a:off x="13024908" y="1616075"/>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ctangle 14">
            <a:hlinkClick xmlns:r="http://schemas.openxmlformats.org/officeDocument/2006/relationships" r:id="rId8" tooltip="Lighting &amp; Lighting Controls"/>
            <a:extLst>
              <a:ext uri="{FF2B5EF4-FFF2-40B4-BE49-F238E27FC236}">
                <a16:creationId xmlns:a16="http://schemas.microsoft.com/office/drawing/2014/main" id="{DC708B96-E8B9-8FE0-7BE2-2E5E0DD63ECD}"/>
              </a:ext>
            </a:extLst>
          </xdr:cNvPr>
          <xdr:cNvSpPr/>
        </xdr:nvSpPr>
        <xdr:spPr>
          <a:xfrm>
            <a:off x="14294908" y="1598083"/>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Rectangle 15">
            <a:hlinkClick xmlns:r="http://schemas.openxmlformats.org/officeDocument/2006/relationships" r:id="rId28" tooltip="Lighting &amp; Lighting Controls"/>
            <a:extLst>
              <a:ext uri="{FF2B5EF4-FFF2-40B4-BE49-F238E27FC236}">
                <a16:creationId xmlns:a16="http://schemas.microsoft.com/office/drawing/2014/main" id="{8D935CC7-0C06-AF4C-ACDD-3762FBD69FC1}"/>
              </a:ext>
            </a:extLst>
          </xdr:cNvPr>
          <xdr:cNvSpPr/>
        </xdr:nvSpPr>
        <xdr:spPr>
          <a:xfrm>
            <a:off x="15546917" y="1590675"/>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251013</xdr:colOff>
      <xdr:row>2</xdr:row>
      <xdr:rowOff>161363</xdr:rowOff>
    </xdr:to>
    <xdr:sp macro="" textlink="">
      <xdr:nvSpPr>
        <xdr:cNvPr id="12" name="Rectangle 11">
          <a:extLst>
            <a:ext uri="{FF2B5EF4-FFF2-40B4-BE49-F238E27FC236}">
              <a16:creationId xmlns:a16="http://schemas.microsoft.com/office/drawing/2014/main" id="{00000000-0008-0000-2A00-00000C000000}"/>
            </a:ext>
          </a:extLst>
        </xdr:cNvPr>
        <xdr:cNvSpPr/>
      </xdr:nvSpPr>
      <xdr:spPr>
        <a:xfrm>
          <a:off x="0" y="0"/>
          <a:ext cx="1470213" cy="56141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3" name="Rectangle 12">
          <a:hlinkClick xmlns:r="http://schemas.openxmlformats.org/officeDocument/2006/relationships" r:id="rId1" tooltip="Welcome"/>
          <a:extLst>
            <a:ext uri="{FF2B5EF4-FFF2-40B4-BE49-F238E27FC236}">
              <a16:creationId xmlns:a16="http://schemas.microsoft.com/office/drawing/2014/main" id="{00000000-0008-0000-2A00-00000D000000}"/>
            </a:ext>
          </a:extLst>
        </xdr:cNvPr>
        <xdr:cNvSpPr/>
      </xdr:nvSpPr>
      <xdr:spPr>
        <a:xfrm>
          <a:off x="1510552" y="11208"/>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4" name="Rectangle 13">
          <a:hlinkClick xmlns:r="http://schemas.openxmlformats.org/officeDocument/2006/relationships" r:id="rId2" tooltip="Instructions"/>
          <a:extLst>
            <a:ext uri="{FF2B5EF4-FFF2-40B4-BE49-F238E27FC236}">
              <a16:creationId xmlns:a16="http://schemas.microsoft.com/office/drawing/2014/main" id="{00000000-0008-0000-2A00-00000E000000}"/>
            </a:ext>
          </a:extLst>
        </xdr:cNvPr>
        <xdr:cNvSpPr/>
      </xdr:nvSpPr>
      <xdr:spPr>
        <a:xfrm>
          <a:off x="2746214" y="6725"/>
          <a:ext cx="1152525"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302559</xdr:colOff>
      <xdr:row>0</xdr:row>
      <xdr:rowOff>0</xdr:rowOff>
    </xdr:from>
    <xdr:to>
      <xdr:col>63</xdr:col>
      <xdr:colOff>0</xdr:colOff>
      <xdr:row>3</xdr:row>
      <xdr:rowOff>0</xdr:rowOff>
    </xdr:to>
    <xdr:sp macro="" textlink="">
      <xdr:nvSpPr>
        <xdr:cNvPr id="15" name="Rectangle 14">
          <a:hlinkClick xmlns:r="http://schemas.openxmlformats.org/officeDocument/2006/relationships" r:id="rId3" tooltip="Contact"/>
          <a:extLst>
            <a:ext uri="{FF2B5EF4-FFF2-40B4-BE49-F238E27FC236}">
              <a16:creationId xmlns:a16="http://schemas.microsoft.com/office/drawing/2014/main" id="{00000000-0008-0000-2A00-00000F000000}"/>
            </a:ext>
          </a:extLst>
        </xdr:cNvPr>
        <xdr:cNvSpPr/>
      </xdr:nvSpPr>
      <xdr:spPr>
        <a:xfrm>
          <a:off x="16761759" y="0"/>
          <a:ext cx="122144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293594</xdr:colOff>
      <xdr:row>0</xdr:row>
      <xdr:rowOff>6723</xdr:rowOff>
    </xdr:from>
    <xdr:to>
      <xdr:col>53</xdr:col>
      <xdr:colOff>2241</xdr:colOff>
      <xdr:row>3</xdr:row>
      <xdr:rowOff>6723</xdr:rowOff>
    </xdr:to>
    <xdr:sp macro="" textlink="">
      <xdr:nvSpPr>
        <xdr:cNvPr id="17" name="Rectangle 16">
          <a:hlinkClick xmlns:r="http://schemas.openxmlformats.org/officeDocument/2006/relationships" r:id="rId4" tooltip=" "/>
          <a:extLst>
            <a:ext uri="{FF2B5EF4-FFF2-40B4-BE49-F238E27FC236}">
              <a16:creationId xmlns:a16="http://schemas.microsoft.com/office/drawing/2014/main" id="{00000000-0008-0000-2A00-000011000000}"/>
            </a:ext>
          </a:extLst>
        </xdr:cNvPr>
        <xdr:cNvSpPr/>
      </xdr:nvSpPr>
      <xdr:spPr>
        <a:xfrm>
          <a:off x="137047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0</xdr:colOff>
      <xdr:row>0</xdr:row>
      <xdr:rowOff>100293</xdr:rowOff>
    </xdr:from>
    <xdr:to>
      <xdr:col>59</xdr:col>
      <xdr:colOff>9525</xdr:colOff>
      <xdr:row>2</xdr:row>
      <xdr:rowOff>128868</xdr:rowOff>
    </xdr:to>
    <xdr:cxnSp macro="">
      <xdr:nvCxnSpPr>
        <xdr:cNvPr id="18" name="Straight Connector 17">
          <a:extLst>
            <a:ext uri="{FF2B5EF4-FFF2-40B4-BE49-F238E27FC236}">
              <a16:creationId xmlns:a16="http://schemas.microsoft.com/office/drawing/2014/main" id="{00000000-0008-0000-2A00-000012000000}"/>
            </a:ext>
          </a:extLst>
        </xdr:cNvPr>
        <xdr:cNvCxnSpPr/>
      </xdr:nvCxnSpPr>
      <xdr:spPr>
        <a:xfrm>
          <a:off x="16764000"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302559</xdr:colOff>
      <xdr:row>0</xdr:row>
      <xdr:rowOff>11206</xdr:rowOff>
    </xdr:from>
    <xdr:to>
      <xdr:col>63</xdr:col>
      <xdr:colOff>0</xdr:colOff>
      <xdr:row>3</xdr:row>
      <xdr:rowOff>11206</xdr:rowOff>
    </xdr:to>
    <xdr:sp macro="" textlink="">
      <xdr:nvSpPr>
        <xdr:cNvPr id="19" name="Rectangle 18">
          <a:hlinkClick xmlns:r="http://schemas.openxmlformats.org/officeDocument/2006/relationships" r:id="rId3" tooltip="Contact"/>
          <a:extLst>
            <a:ext uri="{FF2B5EF4-FFF2-40B4-BE49-F238E27FC236}">
              <a16:creationId xmlns:a16="http://schemas.microsoft.com/office/drawing/2014/main" id="{00000000-0008-0000-2A00-000013000000}"/>
            </a:ext>
          </a:extLst>
        </xdr:cNvPr>
        <xdr:cNvSpPr/>
      </xdr:nvSpPr>
      <xdr:spPr>
        <a:xfrm>
          <a:off x="16761759" y="11206"/>
          <a:ext cx="122144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291353</xdr:colOff>
      <xdr:row>0</xdr:row>
      <xdr:rowOff>0</xdr:rowOff>
    </xdr:from>
    <xdr:to>
      <xdr:col>58</xdr:col>
      <xdr:colOff>280147</xdr:colOff>
      <xdr:row>2</xdr:row>
      <xdr:rowOff>190500</xdr:rowOff>
    </xdr:to>
    <xdr:sp macro="" textlink="">
      <xdr:nvSpPr>
        <xdr:cNvPr id="20" name="Rectangle 19">
          <a:extLst>
            <a:ext uri="{FF2B5EF4-FFF2-40B4-BE49-F238E27FC236}">
              <a16:creationId xmlns:a16="http://schemas.microsoft.com/office/drawing/2014/main" id="{00000000-0008-0000-2A00-000014000000}"/>
            </a:ext>
          </a:extLst>
        </xdr:cNvPr>
        <xdr:cNvSpPr/>
      </xdr:nvSpPr>
      <xdr:spPr>
        <a:xfrm>
          <a:off x="14921753" y="0"/>
          <a:ext cx="18175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1" name="Straight Connector 20">
          <a:extLst>
            <a:ext uri="{FF2B5EF4-FFF2-40B4-BE49-F238E27FC236}">
              <a16:creationId xmlns:a16="http://schemas.microsoft.com/office/drawing/2014/main" id="{00000000-0008-0000-2A00-000015000000}"/>
            </a:ext>
          </a:extLst>
        </xdr:cNvPr>
        <xdr:cNvCxnSpPr/>
      </xdr:nvCxnSpPr>
      <xdr:spPr>
        <a:xfrm>
          <a:off x="1506631"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284811</xdr:colOff>
      <xdr:row>2</xdr:row>
      <xdr:rowOff>54347</xdr:rowOff>
    </xdr:to>
    <xdr:pic>
      <xdr:nvPicPr>
        <xdr:cNvPr id="22" name="Picture 21">
          <a:extLst>
            <a:ext uri="{FF2B5EF4-FFF2-40B4-BE49-F238E27FC236}">
              <a16:creationId xmlns:a16="http://schemas.microsoft.com/office/drawing/2014/main" id="{00000000-0008-0000-2A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096842" cy="290968"/>
        </a:xfrm>
        <a:prstGeom prst="rect">
          <a:avLst/>
        </a:prstGeom>
      </xdr:spPr>
    </xdr:pic>
    <xdr:clientData/>
  </xdr:twoCellAnchor>
  <xdr:twoCellAnchor>
    <xdr:from>
      <xdr:col>53</xdr:col>
      <xdr:colOff>11787</xdr:colOff>
      <xdr:row>0</xdr:row>
      <xdr:rowOff>100293</xdr:rowOff>
    </xdr:from>
    <xdr:to>
      <xdr:col>53</xdr:col>
      <xdr:colOff>21312</xdr:colOff>
      <xdr:row>2</xdr:row>
      <xdr:rowOff>128868</xdr:rowOff>
    </xdr:to>
    <xdr:cxnSp macro="">
      <xdr:nvCxnSpPr>
        <xdr:cNvPr id="23" name="Straight Connector 22">
          <a:extLst>
            <a:ext uri="{FF2B5EF4-FFF2-40B4-BE49-F238E27FC236}">
              <a16:creationId xmlns:a16="http://schemas.microsoft.com/office/drawing/2014/main" id="{00000000-0008-0000-2A00-000017000000}"/>
            </a:ext>
          </a:extLst>
        </xdr:cNvPr>
        <xdr:cNvCxnSpPr/>
      </xdr:nvCxnSpPr>
      <xdr:spPr>
        <a:xfrm>
          <a:off x="14946987"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295275</xdr:colOff>
      <xdr:row>0</xdr:row>
      <xdr:rowOff>103468</xdr:rowOff>
    </xdr:from>
    <xdr:to>
      <xdr:col>8</xdr:col>
      <xdr:colOff>295482</xdr:colOff>
      <xdr:row>2</xdr:row>
      <xdr:rowOff>123825</xdr:rowOff>
    </xdr:to>
    <xdr:cxnSp macro="">
      <xdr:nvCxnSpPr>
        <xdr:cNvPr id="24" name="Straight Connector 23">
          <a:extLst>
            <a:ext uri="{FF2B5EF4-FFF2-40B4-BE49-F238E27FC236}">
              <a16:creationId xmlns:a16="http://schemas.microsoft.com/office/drawing/2014/main" id="{00000000-0008-0000-2A00-000018000000}"/>
            </a:ext>
          </a:extLst>
        </xdr:cNvPr>
        <xdr:cNvCxnSpPr/>
      </xdr:nvCxnSpPr>
      <xdr:spPr>
        <a:xfrm flipH="1">
          <a:off x="2809875" y="103468"/>
          <a:ext cx="207" cy="42040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22873</xdr:colOff>
      <xdr:row>0</xdr:row>
      <xdr:rowOff>0</xdr:rowOff>
    </xdr:from>
    <xdr:to>
      <xdr:col>59</xdr:col>
      <xdr:colOff>0</xdr:colOff>
      <xdr:row>2</xdr:row>
      <xdr:rowOff>186186</xdr:rowOff>
    </xdr:to>
    <xdr:sp macro="" textlink="">
      <xdr:nvSpPr>
        <xdr:cNvPr id="25" name="Rectangle 24">
          <a:hlinkClick xmlns:r="http://schemas.openxmlformats.org/officeDocument/2006/relationships" r:id="rId6" tooltip="Incentive Rates &amp; Requirements"/>
          <a:extLst>
            <a:ext uri="{FF2B5EF4-FFF2-40B4-BE49-F238E27FC236}">
              <a16:creationId xmlns:a16="http://schemas.microsoft.com/office/drawing/2014/main" id="{00000000-0008-0000-2A00-000019000000}"/>
            </a:ext>
          </a:extLst>
        </xdr:cNvPr>
        <xdr:cNvSpPr/>
      </xdr:nvSpPr>
      <xdr:spPr>
        <a:xfrm>
          <a:off x="14958073" y="0"/>
          <a:ext cx="1805927"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8</xdr:row>
      <xdr:rowOff>191957</xdr:rowOff>
    </xdr:from>
    <xdr:to>
      <xdr:col>2</xdr:col>
      <xdr:colOff>213472</xdr:colOff>
      <xdr:row>11</xdr:row>
      <xdr:rowOff>0</xdr:rowOff>
    </xdr:to>
    <xdr:sp macro="" textlink="">
      <xdr:nvSpPr>
        <xdr:cNvPr id="26" name="Arrow: Left 25">
          <a:hlinkClick xmlns:r="http://schemas.openxmlformats.org/officeDocument/2006/relationships" r:id="rId7" tooltip="Back: Plug Loads"/>
          <a:extLst>
            <a:ext uri="{FF2B5EF4-FFF2-40B4-BE49-F238E27FC236}">
              <a16:creationId xmlns:a16="http://schemas.microsoft.com/office/drawing/2014/main" id="{00000000-0008-0000-2A00-00001A000000}"/>
            </a:ext>
          </a:extLst>
        </xdr:cNvPr>
        <xdr:cNvSpPr/>
      </xdr:nvSpPr>
      <xdr:spPr>
        <a:xfrm>
          <a:off x="304800" y="1792157"/>
          <a:ext cx="518272"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58</xdr:col>
      <xdr:colOff>171450</xdr:colOff>
      <xdr:row>9</xdr:row>
      <xdr:rowOff>26857</xdr:rowOff>
    </xdr:from>
    <xdr:to>
      <xdr:col>60</xdr:col>
      <xdr:colOff>74272</xdr:colOff>
      <xdr:row>11</xdr:row>
      <xdr:rowOff>38100</xdr:rowOff>
    </xdr:to>
    <xdr:sp macro="" textlink="">
      <xdr:nvSpPr>
        <xdr:cNvPr id="27" name="Arrow: Right 26">
          <a:hlinkClick xmlns:r="http://schemas.openxmlformats.org/officeDocument/2006/relationships" r:id="rId8" tooltip="Forward: Miscellaneous"/>
          <a:extLst>
            <a:ext uri="{FF2B5EF4-FFF2-40B4-BE49-F238E27FC236}">
              <a16:creationId xmlns:a16="http://schemas.microsoft.com/office/drawing/2014/main" id="{00000000-0008-0000-2A00-00001B000000}"/>
            </a:ext>
          </a:extLst>
        </xdr:cNvPr>
        <xdr:cNvSpPr/>
      </xdr:nvSpPr>
      <xdr:spPr>
        <a:xfrm>
          <a:off x="18586450" y="1855657"/>
          <a:ext cx="537822" cy="417643"/>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44</xdr:col>
      <xdr:colOff>309282</xdr:colOff>
      <xdr:row>0</xdr:row>
      <xdr:rowOff>0</xdr:rowOff>
    </xdr:from>
    <xdr:to>
      <xdr:col>49</xdr:col>
      <xdr:colOff>17930</xdr:colOff>
      <xdr:row>3</xdr:row>
      <xdr:rowOff>0</xdr:rowOff>
    </xdr:to>
    <xdr:sp macro="" textlink="">
      <xdr:nvSpPr>
        <xdr:cNvPr id="38" name="Rectangle 37">
          <a:hlinkClick xmlns:r="http://schemas.openxmlformats.org/officeDocument/2006/relationships" r:id="rId9" tooltip=" "/>
          <a:extLst>
            <a:ext uri="{FF2B5EF4-FFF2-40B4-BE49-F238E27FC236}">
              <a16:creationId xmlns:a16="http://schemas.microsoft.com/office/drawing/2014/main" id="{00000000-0008-0000-2A00-000026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293594</xdr:colOff>
      <xdr:row>0</xdr:row>
      <xdr:rowOff>6723</xdr:rowOff>
    </xdr:from>
    <xdr:to>
      <xdr:col>45</xdr:col>
      <xdr:colOff>2241</xdr:colOff>
      <xdr:row>3</xdr:row>
      <xdr:rowOff>6723</xdr:rowOff>
    </xdr:to>
    <xdr:sp macro="" textlink="">
      <xdr:nvSpPr>
        <xdr:cNvPr id="39" name="Rectangle 38">
          <a:hlinkClick xmlns:r="http://schemas.openxmlformats.org/officeDocument/2006/relationships" r:id="rId10" tooltip=" "/>
          <a:extLst>
            <a:ext uri="{FF2B5EF4-FFF2-40B4-BE49-F238E27FC236}">
              <a16:creationId xmlns:a16="http://schemas.microsoft.com/office/drawing/2014/main" id="{00000000-0008-0000-2A00-000027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20454</xdr:colOff>
      <xdr:row>0</xdr:row>
      <xdr:rowOff>84689</xdr:rowOff>
    </xdr:from>
    <xdr:to>
      <xdr:col>4</xdr:col>
      <xdr:colOff>240566</xdr:colOff>
      <xdr:row>2</xdr:row>
      <xdr:rowOff>95484</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1"/>
        <a:stretch>
          <a:fillRect/>
        </a:stretch>
      </xdr:blipFill>
      <xdr:spPr>
        <a:xfrm>
          <a:off x="20454" y="84689"/>
          <a:ext cx="1483127" cy="406400"/>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4" name="Arrow: Chevron 3">
          <a:hlinkClick xmlns:r="http://schemas.openxmlformats.org/officeDocument/2006/relationships" r:id="rId12" tooltip="Terms &amp; Conditions"/>
          <a:extLst>
            <a:ext uri="{FF2B5EF4-FFF2-40B4-BE49-F238E27FC236}">
              <a16:creationId xmlns:a16="http://schemas.microsoft.com/office/drawing/2014/main" id="{00000000-0008-0000-2A00-000004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5" name="Arrow: Chevron 4">
          <a:hlinkClick xmlns:r="http://schemas.openxmlformats.org/officeDocument/2006/relationships" r:id="rId13" tooltip="Project Information"/>
          <a:extLst>
            <a:ext uri="{FF2B5EF4-FFF2-40B4-BE49-F238E27FC236}">
              <a16:creationId xmlns:a16="http://schemas.microsoft.com/office/drawing/2014/main" id="{00000000-0008-0000-2A00-000005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6" name="Arrow: Chevron 39">
          <a:hlinkClick xmlns:r="http://schemas.openxmlformats.org/officeDocument/2006/relationships" r:id="rId14" tooltip="Customer Information"/>
          <a:extLst>
            <a:ext uri="{FF2B5EF4-FFF2-40B4-BE49-F238E27FC236}">
              <a16:creationId xmlns:a16="http://schemas.microsoft.com/office/drawing/2014/main" id="{00000000-0008-0000-2A00-000006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7" name="Arrow: Chevron 40">
          <a:hlinkClick xmlns:r="http://schemas.openxmlformats.org/officeDocument/2006/relationships" r:id="rId15" tooltip="Equipment Input"/>
          <a:extLst>
            <a:ext uri="{FF2B5EF4-FFF2-40B4-BE49-F238E27FC236}">
              <a16:creationId xmlns:a16="http://schemas.microsoft.com/office/drawing/2014/main" id="{00000000-0008-0000-2A00-000007000000}"/>
            </a:ext>
          </a:extLst>
        </xdr:cNvPr>
        <xdr:cNvSpPr/>
      </xdr:nvSpPr>
      <xdr:spPr>
        <a:xfrm>
          <a:off x="6188077" y="859240"/>
          <a:ext cx="2153708" cy="64745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8" name="Arrow: Chevron 7">
          <a:hlinkClick xmlns:r="http://schemas.openxmlformats.org/officeDocument/2006/relationships" r:id="rId16" tooltip="Payment"/>
          <a:extLst>
            <a:ext uri="{FF2B5EF4-FFF2-40B4-BE49-F238E27FC236}">
              <a16:creationId xmlns:a16="http://schemas.microsoft.com/office/drawing/2014/main" id="{00000000-0008-0000-2A00-000008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9" name="Arrow: Chevron 8">
          <a:hlinkClick xmlns:r="http://schemas.openxmlformats.org/officeDocument/2006/relationships" r:id="rId17" tooltip="Project Review"/>
          <a:extLst>
            <a:ext uri="{FF2B5EF4-FFF2-40B4-BE49-F238E27FC236}">
              <a16:creationId xmlns:a16="http://schemas.microsoft.com/office/drawing/2014/main" id="{00000000-0008-0000-2A00-000009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10" name="Arrow: Chevron 43">
          <a:hlinkClick xmlns:r="http://schemas.openxmlformats.org/officeDocument/2006/relationships" r:id="rId18" tooltip="Trade Ally / Contractor Information"/>
          <a:extLst>
            <a:ext uri="{FF2B5EF4-FFF2-40B4-BE49-F238E27FC236}">
              <a16:creationId xmlns:a16="http://schemas.microsoft.com/office/drawing/2014/main" id="{00000000-0008-0000-2A00-00000A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1" name="Arrow: Chevron 10">
          <a:hlinkClick xmlns:r="http://schemas.openxmlformats.org/officeDocument/2006/relationships" r:id="rId19" tooltip="On-Bill Repayment"/>
          <a:extLst>
            <a:ext uri="{FF2B5EF4-FFF2-40B4-BE49-F238E27FC236}">
              <a16:creationId xmlns:a16="http://schemas.microsoft.com/office/drawing/2014/main" id="{00000000-0008-0000-2A00-00000B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99" name="Arrow: Chevron 98">
          <a:hlinkClick xmlns:r="http://schemas.openxmlformats.org/officeDocument/2006/relationships" r:id="rId20" tooltip="Payment"/>
          <a:extLst>
            <a:ext uri="{FF2B5EF4-FFF2-40B4-BE49-F238E27FC236}">
              <a16:creationId xmlns:a16="http://schemas.microsoft.com/office/drawing/2014/main" id="{00000000-0008-0000-2A00-000063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10</xdr:col>
      <xdr:colOff>0</xdr:colOff>
      <xdr:row>7</xdr:row>
      <xdr:rowOff>179917</xdr:rowOff>
    </xdr:from>
    <xdr:to>
      <xdr:col>53</xdr:col>
      <xdr:colOff>7408</xdr:colOff>
      <xdr:row>11</xdr:row>
      <xdr:rowOff>43578</xdr:rowOff>
    </xdr:to>
    <xdr:grpSp>
      <xdr:nvGrpSpPr>
        <xdr:cNvPr id="3" name="Group 2">
          <a:extLst>
            <a:ext uri="{FF2B5EF4-FFF2-40B4-BE49-F238E27FC236}">
              <a16:creationId xmlns:a16="http://schemas.microsoft.com/office/drawing/2014/main" id="{C4FE6DAA-B36D-4910-9988-FD8EC40AA871}"/>
            </a:ext>
          </a:extLst>
        </xdr:cNvPr>
        <xdr:cNvGrpSpPr/>
      </xdr:nvGrpSpPr>
      <xdr:grpSpPr>
        <a:xfrm>
          <a:off x="3069167" y="1587500"/>
          <a:ext cx="13204824" cy="667995"/>
          <a:chOff x="3150659" y="1590675"/>
          <a:chExt cx="13666258" cy="661645"/>
        </a:xfrm>
      </xdr:grpSpPr>
      <xdr:sp macro="" textlink="">
        <xdr:nvSpPr>
          <xdr:cNvPr id="16" name="Rectangle 15">
            <a:hlinkClick xmlns:r="http://schemas.openxmlformats.org/officeDocument/2006/relationships" r:id="rId21" tooltip="Lighting &amp; Lighting Controls"/>
            <a:extLst>
              <a:ext uri="{FF2B5EF4-FFF2-40B4-BE49-F238E27FC236}">
                <a16:creationId xmlns:a16="http://schemas.microsoft.com/office/drawing/2014/main" id="{BA14924B-C849-5BB4-04AC-BAFC3A04825C}"/>
              </a:ext>
            </a:extLst>
          </xdr:cNvPr>
          <xdr:cNvSpPr/>
        </xdr:nvSpPr>
        <xdr:spPr>
          <a:xfrm>
            <a:off x="3150659" y="1616073"/>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Rectangle 27">
            <a:hlinkClick xmlns:r="http://schemas.openxmlformats.org/officeDocument/2006/relationships" r:id="rId22" tooltip="Lighting &amp; Lighting Controls"/>
            <a:extLst>
              <a:ext uri="{FF2B5EF4-FFF2-40B4-BE49-F238E27FC236}">
                <a16:creationId xmlns:a16="http://schemas.microsoft.com/office/drawing/2014/main" id="{1B300CEE-814B-12C9-C157-B0AAF009C304}"/>
              </a:ext>
            </a:extLst>
          </xdr:cNvPr>
          <xdr:cNvSpPr/>
        </xdr:nvSpPr>
        <xdr:spPr>
          <a:xfrm>
            <a:off x="4434417" y="1598084"/>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Rectangle 28">
            <a:hlinkClick xmlns:r="http://schemas.openxmlformats.org/officeDocument/2006/relationships" r:id="rId23" tooltip="Lighting &amp; Lighting Controls"/>
            <a:extLst>
              <a:ext uri="{FF2B5EF4-FFF2-40B4-BE49-F238E27FC236}">
                <a16:creationId xmlns:a16="http://schemas.microsoft.com/office/drawing/2014/main" id="{6B9DAADC-A8C9-1321-41D6-4DE30B25E5E2}"/>
              </a:ext>
            </a:extLst>
          </xdr:cNvPr>
          <xdr:cNvSpPr/>
        </xdr:nvSpPr>
        <xdr:spPr>
          <a:xfrm>
            <a:off x="5722408" y="1608667"/>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Rectangle 29">
            <a:hlinkClick xmlns:r="http://schemas.openxmlformats.org/officeDocument/2006/relationships" r:id="rId24" tooltip="Lighting &amp; Lighting Controls"/>
            <a:extLst>
              <a:ext uri="{FF2B5EF4-FFF2-40B4-BE49-F238E27FC236}">
                <a16:creationId xmlns:a16="http://schemas.microsoft.com/office/drawing/2014/main" id="{6D2AA0D5-34DB-EF8B-292D-6ABAEE92C7BE}"/>
              </a:ext>
            </a:extLst>
          </xdr:cNvPr>
          <xdr:cNvSpPr/>
        </xdr:nvSpPr>
        <xdr:spPr>
          <a:xfrm>
            <a:off x="6985000" y="1598084"/>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Rectangle 30">
            <a:hlinkClick xmlns:r="http://schemas.openxmlformats.org/officeDocument/2006/relationships" r:id="rId25" tooltip="Lighting &amp; Lighting Controls"/>
            <a:extLst>
              <a:ext uri="{FF2B5EF4-FFF2-40B4-BE49-F238E27FC236}">
                <a16:creationId xmlns:a16="http://schemas.microsoft.com/office/drawing/2014/main" id="{FFC3CA4E-2674-4AD3-5D5E-62F562E582C9}"/>
              </a:ext>
            </a:extLst>
          </xdr:cNvPr>
          <xdr:cNvSpPr/>
        </xdr:nvSpPr>
        <xdr:spPr>
          <a:xfrm>
            <a:off x="8357659"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Rectangle 31">
            <a:hlinkClick xmlns:r="http://schemas.openxmlformats.org/officeDocument/2006/relationships" r:id="rId26" tooltip="Lighting &amp; Lighting Controls"/>
            <a:extLst>
              <a:ext uri="{FF2B5EF4-FFF2-40B4-BE49-F238E27FC236}">
                <a16:creationId xmlns:a16="http://schemas.microsoft.com/office/drawing/2014/main" id="{BD803CD5-1CB0-4758-727F-029B8E94874D}"/>
              </a:ext>
            </a:extLst>
          </xdr:cNvPr>
          <xdr:cNvSpPr/>
        </xdr:nvSpPr>
        <xdr:spPr>
          <a:xfrm>
            <a:off x="9958916"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Rectangle 32">
            <a:hlinkClick xmlns:r="http://schemas.openxmlformats.org/officeDocument/2006/relationships" r:id="rId27" tooltip="Lighting &amp; Lighting Controls"/>
            <a:extLst>
              <a:ext uri="{FF2B5EF4-FFF2-40B4-BE49-F238E27FC236}">
                <a16:creationId xmlns:a16="http://schemas.microsoft.com/office/drawing/2014/main" id="{BD492B1B-28B5-C8AE-E5EF-1249A09F9E5A}"/>
              </a:ext>
            </a:extLst>
          </xdr:cNvPr>
          <xdr:cNvSpPr/>
        </xdr:nvSpPr>
        <xdr:spPr>
          <a:xfrm>
            <a:off x="11574991" y="1598083"/>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Rectangle 33">
            <a:hlinkClick xmlns:r="http://schemas.openxmlformats.org/officeDocument/2006/relationships" r:id="rId7" tooltip="Lighting &amp; Lighting Controls"/>
            <a:extLst>
              <a:ext uri="{FF2B5EF4-FFF2-40B4-BE49-F238E27FC236}">
                <a16:creationId xmlns:a16="http://schemas.microsoft.com/office/drawing/2014/main" id="{11D55865-E6AA-B195-1B9F-EC0D29784043}"/>
              </a:ext>
            </a:extLst>
          </xdr:cNvPr>
          <xdr:cNvSpPr/>
        </xdr:nvSpPr>
        <xdr:spPr>
          <a:xfrm>
            <a:off x="13024908" y="1616075"/>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Rectangle 34">
            <a:hlinkClick xmlns:r="http://schemas.openxmlformats.org/officeDocument/2006/relationships" r:id="rId28" tooltip="Lighting &amp; Lighting Controls"/>
            <a:extLst>
              <a:ext uri="{FF2B5EF4-FFF2-40B4-BE49-F238E27FC236}">
                <a16:creationId xmlns:a16="http://schemas.microsoft.com/office/drawing/2014/main" id="{DD3855E0-593B-64F4-1618-D6C8A538A9EF}"/>
              </a:ext>
            </a:extLst>
          </xdr:cNvPr>
          <xdr:cNvSpPr/>
        </xdr:nvSpPr>
        <xdr:spPr>
          <a:xfrm>
            <a:off x="14294908" y="1598083"/>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Rectangle 35">
            <a:hlinkClick xmlns:r="http://schemas.openxmlformats.org/officeDocument/2006/relationships" r:id="rId8" tooltip="Lighting &amp; Lighting Controls"/>
            <a:extLst>
              <a:ext uri="{FF2B5EF4-FFF2-40B4-BE49-F238E27FC236}">
                <a16:creationId xmlns:a16="http://schemas.microsoft.com/office/drawing/2014/main" id="{9797403E-EDB2-1927-B861-651655A60AF0}"/>
              </a:ext>
            </a:extLst>
          </xdr:cNvPr>
          <xdr:cNvSpPr/>
        </xdr:nvSpPr>
        <xdr:spPr>
          <a:xfrm>
            <a:off x="15546917" y="1590675"/>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291352</xdr:colOff>
      <xdr:row>0</xdr:row>
      <xdr:rowOff>11208</xdr:rowOff>
    </xdr:from>
    <xdr:to>
      <xdr:col>9</xdr:col>
      <xdr:colOff>0</xdr:colOff>
      <xdr:row>3</xdr:row>
      <xdr:rowOff>11208</xdr:rowOff>
    </xdr:to>
    <xdr:sp macro="" textlink="">
      <xdr:nvSpPr>
        <xdr:cNvPr id="13" name="Rectangle 12">
          <a:hlinkClick xmlns:r="http://schemas.openxmlformats.org/officeDocument/2006/relationships" r:id="rId1" tooltip="Welcome"/>
          <a:extLst>
            <a:ext uri="{FF2B5EF4-FFF2-40B4-BE49-F238E27FC236}">
              <a16:creationId xmlns:a16="http://schemas.microsoft.com/office/drawing/2014/main" id="{00000000-0008-0000-2B00-00000D000000}"/>
            </a:ext>
          </a:extLst>
        </xdr:cNvPr>
        <xdr:cNvSpPr/>
      </xdr:nvSpPr>
      <xdr:spPr>
        <a:xfrm>
          <a:off x="1510552" y="11208"/>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4" name="Rectangle 13">
          <a:hlinkClick xmlns:r="http://schemas.openxmlformats.org/officeDocument/2006/relationships" r:id="rId2" tooltip="Instructions"/>
          <a:extLst>
            <a:ext uri="{FF2B5EF4-FFF2-40B4-BE49-F238E27FC236}">
              <a16:creationId xmlns:a16="http://schemas.microsoft.com/office/drawing/2014/main" id="{00000000-0008-0000-2B00-00000E000000}"/>
            </a:ext>
          </a:extLst>
        </xdr:cNvPr>
        <xdr:cNvSpPr/>
      </xdr:nvSpPr>
      <xdr:spPr>
        <a:xfrm>
          <a:off x="2746214" y="6725"/>
          <a:ext cx="1152525"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302559</xdr:colOff>
      <xdr:row>0</xdr:row>
      <xdr:rowOff>0</xdr:rowOff>
    </xdr:from>
    <xdr:to>
      <xdr:col>63</xdr:col>
      <xdr:colOff>0</xdr:colOff>
      <xdr:row>3</xdr:row>
      <xdr:rowOff>0</xdr:rowOff>
    </xdr:to>
    <xdr:sp macro="" textlink="">
      <xdr:nvSpPr>
        <xdr:cNvPr id="15" name="Rectangle 14">
          <a:hlinkClick xmlns:r="http://schemas.openxmlformats.org/officeDocument/2006/relationships" r:id="rId3" tooltip="Contact"/>
          <a:extLst>
            <a:ext uri="{FF2B5EF4-FFF2-40B4-BE49-F238E27FC236}">
              <a16:creationId xmlns:a16="http://schemas.microsoft.com/office/drawing/2014/main" id="{00000000-0008-0000-2B00-00000F000000}"/>
            </a:ext>
          </a:extLst>
        </xdr:cNvPr>
        <xdr:cNvSpPr/>
      </xdr:nvSpPr>
      <xdr:spPr>
        <a:xfrm>
          <a:off x="16761759" y="0"/>
          <a:ext cx="122144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293594</xdr:colOff>
      <xdr:row>0</xdr:row>
      <xdr:rowOff>6723</xdr:rowOff>
    </xdr:from>
    <xdr:to>
      <xdr:col>53</xdr:col>
      <xdr:colOff>2241</xdr:colOff>
      <xdr:row>3</xdr:row>
      <xdr:rowOff>6723</xdr:rowOff>
    </xdr:to>
    <xdr:sp macro="" textlink="">
      <xdr:nvSpPr>
        <xdr:cNvPr id="17" name="Rectangle 16">
          <a:hlinkClick xmlns:r="http://schemas.openxmlformats.org/officeDocument/2006/relationships" r:id="rId4" tooltip=" "/>
          <a:extLst>
            <a:ext uri="{FF2B5EF4-FFF2-40B4-BE49-F238E27FC236}">
              <a16:creationId xmlns:a16="http://schemas.microsoft.com/office/drawing/2014/main" id="{00000000-0008-0000-2B00-000011000000}"/>
            </a:ext>
          </a:extLst>
        </xdr:cNvPr>
        <xdr:cNvSpPr/>
      </xdr:nvSpPr>
      <xdr:spPr>
        <a:xfrm>
          <a:off x="137047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0</xdr:colOff>
      <xdr:row>0</xdr:row>
      <xdr:rowOff>100293</xdr:rowOff>
    </xdr:from>
    <xdr:to>
      <xdr:col>59</xdr:col>
      <xdr:colOff>9525</xdr:colOff>
      <xdr:row>2</xdr:row>
      <xdr:rowOff>128868</xdr:rowOff>
    </xdr:to>
    <xdr:cxnSp macro="">
      <xdr:nvCxnSpPr>
        <xdr:cNvPr id="18" name="Straight Connector 17">
          <a:extLst>
            <a:ext uri="{FF2B5EF4-FFF2-40B4-BE49-F238E27FC236}">
              <a16:creationId xmlns:a16="http://schemas.microsoft.com/office/drawing/2014/main" id="{00000000-0008-0000-2B00-000012000000}"/>
            </a:ext>
          </a:extLst>
        </xdr:cNvPr>
        <xdr:cNvCxnSpPr/>
      </xdr:nvCxnSpPr>
      <xdr:spPr>
        <a:xfrm>
          <a:off x="16764000"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302559</xdr:colOff>
      <xdr:row>0</xdr:row>
      <xdr:rowOff>11206</xdr:rowOff>
    </xdr:from>
    <xdr:to>
      <xdr:col>63</xdr:col>
      <xdr:colOff>0</xdr:colOff>
      <xdr:row>3</xdr:row>
      <xdr:rowOff>11206</xdr:rowOff>
    </xdr:to>
    <xdr:sp macro="" textlink="">
      <xdr:nvSpPr>
        <xdr:cNvPr id="19" name="Rectangle 18">
          <a:hlinkClick xmlns:r="http://schemas.openxmlformats.org/officeDocument/2006/relationships" r:id="rId3" tooltip="Contact"/>
          <a:extLst>
            <a:ext uri="{FF2B5EF4-FFF2-40B4-BE49-F238E27FC236}">
              <a16:creationId xmlns:a16="http://schemas.microsoft.com/office/drawing/2014/main" id="{00000000-0008-0000-2B00-000013000000}"/>
            </a:ext>
          </a:extLst>
        </xdr:cNvPr>
        <xdr:cNvSpPr/>
      </xdr:nvSpPr>
      <xdr:spPr>
        <a:xfrm>
          <a:off x="16761759" y="11206"/>
          <a:ext cx="122144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291353</xdr:colOff>
      <xdr:row>0</xdr:row>
      <xdr:rowOff>0</xdr:rowOff>
    </xdr:from>
    <xdr:to>
      <xdr:col>58</xdr:col>
      <xdr:colOff>280147</xdr:colOff>
      <xdr:row>2</xdr:row>
      <xdr:rowOff>190500</xdr:rowOff>
    </xdr:to>
    <xdr:sp macro="" textlink="">
      <xdr:nvSpPr>
        <xdr:cNvPr id="20" name="Rectangle 19">
          <a:extLst>
            <a:ext uri="{FF2B5EF4-FFF2-40B4-BE49-F238E27FC236}">
              <a16:creationId xmlns:a16="http://schemas.microsoft.com/office/drawing/2014/main" id="{00000000-0008-0000-2B00-000014000000}"/>
            </a:ext>
          </a:extLst>
        </xdr:cNvPr>
        <xdr:cNvSpPr/>
      </xdr:nvSpPr>
      <xdr:spPr>
        <a:xfrm>
          <a:off x="14921753" y="0"/>
          <a:ext cx="18175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1" name="Straight Connector 20">
          <a:extLst>
            <a:ext uri="{FF2B5EF4-FFF2-40B4-BE49-F238E27FC236}">
              <a16:creationId xmlns:a16="http://schemas.microsoft.com/office/drawing/2014/main" id="{00000000-0008-0000-2B00-000015000000}"/>
            </a:ext>
          </a:extLst>
        </xdr:cNvPr>
        <xdr:cNvCxnSpPr/>
      </xdr:nvCxnSpPr>
      <xdr:spPr>
        <a:xfrm>
          <a:off x="1506631"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11787</xdr:colOff>
      <xdr:row>0</xdr:row>
      <xdr:rowOff>100293</xdr:rowOff>
    </xdr:from>
    <xdr:to>
      <xdr:col>53</xdr:col>
      <xdr:colOff>21312</xdr:colOff>
      <xdr:row>2</xdr:row>
      <xdr:rowOff>128868</xdr:rowOff>
    </xdr:to>
    <xdr:cxnSp macro="">
      <xdr:nvCxnSpPr>
        <xdr:cNvPr id="23" name="Straight Connector 22">
          <a:extLst>
            <a:ext uri="{FF2B5EF4-FFF2-40B4-BE49-F238E27FC236}">
              <a16:creationId xmlns:a16="http://schemas.microsoft.com/office/drawing/2014/main" id="{00000000-0008-0000-2B00-000017000000}"/>
            </a:ext>
          </a:extLst>
        </xdr:cNvPr>
        <xdr:cNvCxnSpPr/>
      </xdr:nvCxnSpPr>
      <xdr:spPr>
        <a:xfrm>
          <a:off x="14946987"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295275</xdr:colOff>
      <xdr:row>0</xdr:row>
      <xdr:rowOff>103468</xdr:rowOff>
    </xdr:from>
    <xdr:to>
      <xdr:col>8</xdr:col>
      <xdr:colOff>295482</xdr:colOff>
      <xdr:row>2</xdr:row>
      <xdr:rowOff>114300</xdr:rowOff>
    </xdr:to>
    <xdr:cxnSp macro="">
      <xdr:nvCxnSpPr>
        <xdr:cNvPr id="24" name="Straight Connector 23">
          <a:extLst>
            <a:ext uri="{FF2B5EF4-FFF2-40B4-BE49-F238E27FC236}">
              <a16:creationId xmlns:a16="http://schemas.microsoft.com/office/drawing/2014/main" id="{00000000-0008-0000-2B00-000018000000}"/>
            </a:ext>
          </a:extLst>
        </xdr:cNvPr>
        <xdr:cNvCxnSpPr/>
      </xdr:nvCxnSpPr>
      <xdr:spPr>
        <a:xfrm flipH="1">
          <a:off x="2809875" y="103468"/>
          <a:ext cx="207" cy="41088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22873</xdr:colOff>
      <xdr:row>0</xdr:row>
      <xdr:rowOff>0</xdr:rowOff>
    </xdr:from>
    <xdr:to>
      <xdr:col>59</xdr:col>
      <xdr:colOff>0</xdr:colOff>
      <xdr:row>2</xdr:row>
      <xdr:rowOff>186186</xdr:rowOff>
    </xdr:to>
    <xdr:sp macro="" textlink="">
      <xdr:nvSpPr>
        <xdr:cNvPr id="25" name="Rectangle 24">
          <a:hlinkClick xmlns:r="http://schemas.openxmlformats.org/officeDocument/2006/relationships" r:id="rId5" tooltip="Incentive Rates &amp; Requirements"/>
          <a:extLst>
            <a:ext uri="{FF2B5EF4-FFF2-40B4-BE49-F238E27FC236}">
              <a16:creationId xmlns:a16="http://schemas.microsoft.com/office/drawing/2014/main" id="{00000000-0008-0000-2B00-000019000000}"/>
            </a:ext>
          </a:extLst>
        </xdr:cNvPr>
        <xdr:cNvSpPr/>
      </xdr:nvSpPr>
      <xdr:spPr>
        <a:xfrm>
          <a:off x="14958073" y="0"/>
          <a:ext cx="1805927"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9</xdr:row>
      <xdr:rowOff>0</xdr:rowOff>
    </xdr:from>
    <xdr:to>
      <xdr:col>2</xdr:col>
      <xdr:colOff>213472</xdr:colOff>
      <xdr:row>11</xdr:row>
      <xdr:rowOff>8068</xdr:rowOff>
    </xdr:to>
    <xdr:sp macro="" textlink="">
      <xdr:nvSpPr>
        <xdr:cNvPr id="26" name="Arrow: Left 25">
          <a:hlinkClick xmlns:r="http://schemas.openxmlformats.org/officeDocument/2006/relationships" r:id="rId6" tooltip="Back: Residential Appliances"/>
          <a:extLst>
            <a:ext uri="{FF2B5EF4-FFF2-40B4-BE49-F238E27FC236}">
              <a16:creationId xmlns:a16="http://schemas.microsoft.com/office/drawing/2014/main" id="{00000000-0008-0000-2B00-00001A000000}"/>
            </a:ext>
          </a:extLst>
        </xdr:cNvPr>
        <xdr:cNvSpPr/>
      </xdr:nvSpPr>
      <xdr:spPr>
        <a:xfrm>
          <a:off x="304800" y="1800225"/>
          <a:ext cx="518272"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58</xdr:col>
      <xdr:colOff>154328</xdr:colOff>
      <xdr:row>8</xdr:row>
      <xdr:rowOff>191957</xdr:rowOff>
    </xdr:from>
    <xdr:to>
      <xdr:col>60</xdr:col>
      <xdr:colOff>57150</xdr:colOff>
      <xdr:row>11</xdr:row>
      <xdr:rowOff>0</xdr:rowOff>
    </xdr:to>
    <xdr:sp macro="" textlink="">
      <xdr:nvSpPr>
        <xdr:cNvPr id="27" name="Arrow: Right 26">
          <a:hlinkClick xmlns:r="http://schemas.openxmlformats.org/officeDocument/2006/relationships" r:id="rId7" tooltip="Forward: Payment"/>
          <a:extLst>
            <a:ext uri="{FF2B5EF4-FFF2-40B4-BE49-F238E27FC236}">
              <a16:creationId xmlns:a16="http://schemas.microsoft.com/office/drawing/2014/main" id="{00000000-0008-0000-2B00-00001B000000}"/>
            </a:ext>
          </a:extLst>
        </xdr:cNvPr>
        <xdr:cNvSpPr/>
      </xdr:nvSpPr>
      <xdr:spPr>
        <a:xfrm>
          <a:off x="16613528" y="1792157"/>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44</xdr:col>
      <xdr:colOff>309282</xdr:colOff>
      <xdr:row>0</xdr:row>
      <xdr:rowOff>0</xdr:rowOff>
    </xdr:from>
    <xdr:to>
      <xdr:col>49</xdr:col>
      <xdr:colOff>17930</xdr:colOff>
      <xdr:row>3</xdr:row>
      <xdr:rowOff>0</xdr:rowOff>
    </xdr:to>
    <xdr:sp macro="" textlink="">
      <xdr:nvSpPr>
        <xdr:cNvPr id="41" name="Rectangle 40">
          <a:hlinkClick xmlns:r="http://schemas.openxmlformats.org/officeDocument/2006/relationships" r:id="rId8" tooltip=" "/>
          <a:extLst>
            <a:ext uri="{FF2B5EF4-FFF2-40B4-BE49-F238E27FC236}">
              <a16:creationId xmlns:a16="http://schemas.microsoft.com/office/drawing/2014/main" id="{00000000-0008-0000-2B00-000029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293594</xdr:colOff>
      <xdr:row>0</xdr:row>
      <xdr:rowOff>6723</xdr:rowOff>
    </xdr:from>
    <xdr:to>
      <xdr:col>45</xdr:col>
      <xdr:colOff>2241</xdr:colOff>
      <xdr:row>3</xdr:row>
      <xdr:rowOff>6723</xdr:rowOff>
    </xdr:to>
    <xdr:sp macro="" textlink="">
      <xdr:nvSpPr>
        <xdr:cNvPr id="42" name="Rectangle 41">
          <a:hlinkClick xmlns:r="http://schemas.openxmlformats.org/officeDocument/2006/relationships" r:id="rId9" tooltip=" "/>
          <a:extLst>
            <a:ext uri="{FF2B5EF4-FFF2-40B4-BE49-F238E27FC236}">
              <a16:creationId xmlns:a16="http://schemas.microsoft.com/office/drawing/2014/main" id="{00000000-0008-0000-2B00-00002A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25400</xdr:colOff>
      <xdr:row>0</xdr:row>
      <xdr:rowOff>82550</xdr:rowOff>
    </xdr:from>
    <xdr:to>
      <xdr:col>4</xdr:col>
      <xdr:colOff>241067</xdr:colOff>
      <xdr:row>2</xdr:row>
      <xdr:rowOff>95250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0"/>
        <a:stretch>
          <a:fillRect/>
        </a:stretch>
      </xdr:blipFill>
      <xdr:spPr>
        <a:xfrm>
          <a:off x="25400" y="82550"/>
          <a:ext cx="1483127" cy="406400"/>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4" name="Arrow: Chevron 3">
          <a:hlinkClick xmlns:r="http://schemas.openxmlformats.org/officeDocument/2006/relationships" r:id="rId11" tooltip="Terms &amp; Conditions"/>
          <a:extLst>
            <a:ext uri="{FF2B5EF4-FFF2-40B4-BE49-F238E27FC236}">
              <a16:creationId xmlns:a16="http://schemas.microsoft.com/office/drawing/2014/main" id="{00000000-0008-0000-2B00-000004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5" name="Arrow: Chevron 4">
          <a:hlinkClick xmlns:r="http://schemas.openxmlformats.org/officeDocument/2006/relationships" r:id="rId12" tooltip="Project Information"/>
          <a:extLst>
            <a:ext uri="{FF2B5EF4-FFF2-40B4-BE49-F238E27FC236}">
              <a16:creationId xmlns:a16="http://schemas.microsoft.com/office/drawing/2014/main" id="{00000000-0008-0000-2B00-000005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6" name="Arrow: Chevron 39">
          <a:hlinkClick xmlns:r="http://schemas.openxmlformats.org/officeDocument/2006/relationships" r:id="rId13" tooltip="Customer Information"/>
          <a:extLst>
            <a:ext uri="{FF2B5EF4-FFF2-40B4-BE49-F238E27FC236}">
              <a16:creationId xmlns:a16="http://schemas.microsoft.com/office/drawing/2014/main" id="{00000000-0008-0000-2B00-000006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7" name="Arrow: Chevron 40">
          <a:hlinkClick xmlns:r="http://schemas.openxmlformats.org/officeDocument/2006/relationships" r:id="rId14" tooltip="Equipment Input"/>
          <a:extLst>
            <a:ext uri="{FF2B5EF4-FFF2-40B4-BE49-F238E27FC236}">
              <a16:creationId xmlns:a16="http://schemas.microsoft.com/office/drawing/2014/main" id="{00000000-0008-0000-2B00-000007000000}"/>
            </a:ext>
          </a:extLst>
        </xdr:cNvPr>
        <xdr:cNvSpPr/>
      </xdr:nvSpPr>
      <xdr:spPr>
        <a:xfrm>
          <a:off x="6188077" y="859240"/>
          <a:ext cx="2153708" cy="64745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8" name="Arrow: Chevron 7">
          <a:hlinkClick xmlns:r="http://schemas.openxmlformats.org/officeDocument/2006/relationships" r:id="rId15" tooltip="Payment"/>
          <a:extLst>
            <a:ext uri="{FF2B5EF4-FFF2-40B4-BE49-F238E27FC236}">
              <a16:creationId xmlns:a16="http://schemas.microsoft.com/office/drawing/2014/main" id="{00000000-0008-0000-2B00-000008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9" name="Arrow: Chevron 8">
          <a:hlinkClick xmlns:r="http://schemas.openxmlformats.org/officeDocument/2006/relationships" r:id="rId16" tooltip="Project Review"/>
          <a:extLst>
            <a:ext uri="{FF2B5EF4-FFF2-40B4-BE49-F238E27FC236}">
              <a16:creationId xmlns:a16="http://schemas.microsoft.com/office/drawing/2014/main" id="{00000000-0008-0000-2B00-000009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10" name="Arrow: Chevron 43">
          <a:hlinkClick xmlns:r="http://schemas.openxmlformats.org/officeDocument/2006/relationships" r:id="rId17" tooltip="Trade Ally / Contractor Information"/>
          <a:extLst>
            <a:ext uri="{FF2B5EF4-FFF2-40B4-BE49-F238E27FC236}">
              <a16:creationId xmlns:a16="http://schemas.microsoft.com/office/drawing/2014/main" id="{00000000-0008-0000-2B00-00000A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1" name="Arrow: Chevron 10">
          <a:hlinkClick xmlns:r="http://schemas.openxmlformats.org/officeDocument/2006/relationships" r:id="rId18" tooltip="On-Bill Repayment"/>
          <a:extLst>
            <a:ext uri="{FF2B5EF4-FFF2-40B4-BE49-F238E27FC236}">
              <a16:creationId xmlns:a16="http://schemas.microsoft.com/office/drawing/2014/main" id="{00000000-0008-0000-2B00-00000B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12" name="Arrow: Chevron 11">
          <a:hlinkClick xmlns:r="http://schemas.openxmlformats.org/officeDocument/2006/relationships" r:id="rId7" tooltip="Payment"/>
          <a:extLst>
            <a:ext uri="{FF2B5EF4-FFF2-40B4-BE49-F238E27FC236}">
              <a16:creationId xmlns:a16="http://schemas.microsoft.com/office/drawing/2014/main" id="{00000000-0008-0000-2B00-00000C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10</xdr:col>
      <xdr:colOff>0</xdr:colOff>
      <xdr:row>7</xdr:row>
      <xdr:rowOff>190500</xdr:rowOff>
    </xdr:from>
    <xdr:to>
      <xdr:col>53</xdr:col>
      <xdr:colOff>7408</xdr:colOff>
      <xdr:row>11</xdr:row>
      <xdr:rowOff>54161</xdr:rowOff>
    </xdr:to>
    <xdr:grpSp>
      <xdr:nvGrpSpPr>
        <xdr:cNvPr id="3" name="Group 2">
          <a:extLst>
            <a:ext uri="{FF2B5EF4-FFF2-40B4-BE49-F238E27FC236}">
              <a16:creationId xmlns:a16="http://schemas.microsoft.com/office/drawing/2014/main" id="{B8DD0ACE-58CE-44AB-B590-A547508FFC1C}"/>
            </a:ext>
          </a:extLst>
        </xdr:cNvPr>
        <xdr:cNvGrpSpPr/>
      </xdr:nvGrpSpPr>
      <xdr:grpSpPr>
        <a:xfrm>
          <a:off x="3069167" y="1598083"/>
          <a:ext cx="13204824" cy="667995"/>
          <a:chOff x="3150659" y="1590675"/>
          <a:chExt cx="13666258" cy="661645"/>
        </a:xfrm>
      </xdr:grpSpPr>
      <xdr:sp macro="" textlink="">
        <xdr:nvSpPr>
          <xdr:cNvPr id="16" name="Rectangle 15">
            <a:hlinkClick xmlns:r="http://schemas.openxmlformats.org/officeDocument/2006/relationships" r:id="rId19" tooltip="Lighting &amp; Lighting Controls"/>
            <a:extLst>
              <a:ext uri="{FF2B5EF4-FFF2-40B4-BE49-F238E27FC236}">
                <a16:creationId xmlns:a16="http://schemas.microsoft.com/office/drawing/2014/main" id="{AEC6CD5A-CEF7-A08A-02E4-FF9CE7D0B8F2}"/>
              </a:ext>
            </a:extLst>
          </xdr:cNvPr>
          <xdr:cNvSpPr/>
        </xdr:nvSpPr>
        <xdr:spPr>
          <a:xfrm>
            <a:off x="3150659" y="1616073"/>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Rectangle 21">
            <a:hlinkClick xmlns:r="http://schemas.openxmlformats.org/officeDocument/2006/relationships" r:id="rId20" tooltip="Lighting &amp; Lighting Controls"/>
            <a:extLst>
              <a:ext uri="{FF2B5EF4-FFF2-40B4-BE49-F238E27FC236}">
                <a16:creationId xmlns:a16="http://schemas.microsoft.com/office/drawing/2014/main" id="{812DE6DC-C80A-896F-EA47-0FB8EDE64137}"/>
              </a:ext>
            </a:extLst>
          </xdr:cNvPr>
          <xdr:cNvSpPr/>
        </xdr:nvSpPr>
        <xdr:spPr>
          <a:xfrm>
            <a:off x="4434417" y="1598084"/>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Rectangle 27">
            <a:hlinkClick xmlns:r="http://schemas.openxmlformats.org/officeDocument/2006/relationships" r:id="rId21" tooltip="Lighting &amp; Lighting Controls"/>
            <a:extLst>
              <a:ext uri="{FF2B5EF4-FFF2-40B4-BE49-F238E27FC236}">
                <a16:creationId xmlns:a16="http://schemas.microsoft.com/office/drawing/2014/main" id="{A61477B2-B41F-B0F9-366B-6547664A1D8B}"/>
              </a:ext>
            </a:extLst>
          </xdr:cNvPr>
          <xdr:cNvSpPr/>
        </xdr:nvSpPr>
        <xdr:spPr>
          <a:xfrm>
            <a:off x="5722408" y="1608667"/>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Rectangle 28">
            <a:hlinkClick xmlns:r="http://schemas.openxmlformats.org/officeDocument/2006/relationships" r:id="rId22" tooltip="Lighting &amp; Lighting Controls"/>
            <a:extLst>
              <a:ext uri="{FF2B5EF4-FFF2-40B4-BE49-F238E27FC236}">
                <a16:creationId xmlns:a16="http://schemas.microsoft.com/office/drawing/2014/main" id="{14B4C730-E601-F0B8-101E-1977777908D2}"/>
              </a:ext>
            </a:extLst>
          </xdr:cNvPr>
          <xdr:cNvSpPr/>
        </xdr:nvSpPr>
        <xdr:spPr>
          <a:xfrm>
            <a:off x="6985000" y="1598084"/>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Rectangle 29">
            <a:hlinkClick xmlns:r="http://schemas.openxmlformats.org/officeDocument/2006/relationships" r:id="rId23" tooltip="Lighting &amp; Lighting Controls"/>
            <a:extLst>
              <a:ext uri="{FF2B5EF4-FFF2-40B4-BE49-F238E27FC236}">
                <a16:creationId xmlns:a16="http://schemas.microsoft.com/office/drawing/2014/main" id="{8ABEB97F-A07F-D9B8-361B-D2A721EE94D4}"/>
              </a:ext>
            </a:extLst>
          </xdr:cNvPr>
          <xdr:cNvSpPr/>
        </xdr:nvSpPr>
        <xdr:spPr>
          <a:xfrm>
            <a:off x="8357659"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Rectangle 30">
            <a:hlinkClick xmlns:r="http://schemas.openxmlformats.org/officeDocument/2006/relationships" r:id="rId24" tooltip="Lighting &amp; Lighting Controls"/>
            <a:extLst>
              <a:ext uri="{FF2B5EF4-FFF2-40B4-BE49-F238E27FC236}">
                <a16:creationId xmlns:a16="http://schemas.microsoft.com/office/drawing/2014/main" id="{83FD5ECB-7221-DB68-E9C2-0701074ED6DF}"/>
              </a:ext>
            </a:extLst>
          </xdr:cNvPr>
          <xdr:cNvSpPr/>
        </xdr:nvSpPr>
        <xdr:spPr>
          <a:xfrm>
            <a:off x="9958916" y="1616075"/>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Rectangle 31">
            <a:hlinkClick xmlns:r="http://schemas.openxmlformats.org/officeDocument/2006/relationships" r:id="rId25" tooltip="Lighting &amp; Lighting Controls"/>
            <a:extLst>
              <a:ext uri="{FF2B5EF4-FFF2-40B4-BE49-F238E27FC236}">
                <a16:creationId xmlns:a16="http://schemas.microsoft.com/office/drawing/2014/main" id="{628CC7EF-530C-56F1-D711-5061201A154A}"/>
              </a:ext>
            </a:extLst>
          </xdr:cNvPr>
          <xdr:cNvSpPr/>
        </xdr:nvSpPr>
        <xdr:spPr>
          <a:xfrm>
            <a:off x="11574991" y="1598083"/>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Rectangle 32">
            <a:hlinkClick xmlns:r="http://schemas.openxmlformats.org/officeDocument/2006/relationships" r:id="rId26" tooltip="Lighting &amp; Lighting Controls"/>
            <a:extLst>
              <a:ext uri="{FF2B5EF4-FFF2-40B4-BE49-F238E27FC236}">
                <a16:creationId xmlns:a16="http://schemas.microsoft.com/office/drawing/2014/main" id="{0A52041A-CF9D-16E2-31C2-DC9FAE10F225}"/>
              </a:ext>
            </a:extLst>
          </xdr:cNvPr>
          <xdr:cNvSpPr/>
        </xdr:nvSpPr>
        <xdr:spPr>
          <a:xfrm>
            <a:off x="13024908" y="1616075"/>
            <a:ext cx="1270000" cy="6362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Rectangle 33">
            <a:hlinkClick xmlns:r="http://schemas.openxmlformats.org/officeDocument/2006/relationships" r:id="rId6" tooltip="Lighting &amp; Lighting Controls"/>
            <a:extLst>
              <a:ext uri="{FF2B5EF4-FFF2-40B4-BE49-F238E27FC236}">
                <a16:creationId xmlns:a16="http://schemas.microsoft.com/office/drawing/2014/main" id="{77580A13-46D3-C8F6-5785-194636FADCF4}"/>
              </a:ext>
            </a:extLst>
          </xdr:cNvPr>
          <xdr:cNvSpPr/>
        </xdr:nvSpPr>
        <xdr:spPr>
          <a:xfrm>
            <a:off x="14294908" y="1598083"/>
            <a:ext cx="1270000" cy="63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Rectangle 34">
            <a:hlinkClick xmlns:r="http://schemas.openxmlformats.org/officeDocument/2006/relationships" r:id="rId27" tooltip="Lighting &amp; Lighting Controls"/>
            <a:extLst>
              <a:ext uri="{FF2B5EF4-FFF2-40B4-BE49-F238E27FC236}">
                <a16:creationId xmlns:a16="http://schemas.microsoft.com/office/drawing/2014/main" id="{141CE966-BEA6-7D94-ED91-747F3434AA48}"/>
              </a:ext>
            </a:extLst>
          </xdr:cNvPr>
          <xdr:cNvSpPr/>
        </xdr:nvSpPr>
        <xdr:spPr>
          <a:xfrm>
            <a:off x="15546917" y="1590675"/>
            <a:ext cx="1270000" cy="6298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309282</xdr:colOff>
      <xdr:row>0</xdr:row>
      <xdr:rowOff>0</xdr:rowOff>
    </xdr:from>
    <xdr:to>
      <xdr:col>45</xdr:col>
      <xdr:colOff>17930</xdr:colOff>
      <xdr:row>3</xdr:row>
      <xdr:rowOff>0</xdr:rowOff>
    </xdr:to>
    <xdr:sp macro="" textlink="">
      <xdr:nvSpPr>
        <xdr:cNvPr id="24" name="Rectangle 23">
          <a:hlinkClick xmlns:r="http://schemas.openxmlformats.org/officeDocument/2006/relationships" r:id="rId1" tooltip=" "/>
          <a:extLst>
            <a:ext uri="{FF2B5EF4-FFF2-40B4-BE49-F238E27FC236}">
              <a16:creationId xmlns:a16="http://schemas.microsoft.com/office/drawing/2014/main" id="{00000000-0008-0000-0700-000018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123263</xdr:colOff>
      <xdr:row>4</xdr:row>
      <xdr:rowOff>32387</xdr:rowOff>
    </xdr:from>
    <xdr:to>
      <xdr:col>4</xdr:col>
      <xdr:colOff>22410</xdr:colOff>
      <xdr:row>6</xdr:row>
      <xdr:rowOff>40455</xdr:rowOff>
    </xdr:to>
    <xdr:sp macro="" textlink="">
      <xdr:nvSpPr>
        <xdr:cNvPr id="2" name="Arrow: Left 1">
          <a:hlinkClick xmlns:r="http://schemas.openxmlformats.org/officeDocument/2006/relationships" r:id="rId2" tooltip="Back: Welcome"/>
          <a:extLst>
            <a:ext uri="{FF2B5EF4-FFF2-40B4-BE49-F238E27FC236}">
              <a16:creationId xmlns:a16="http://schemas.microsoft.com/office/drawing/2014/main" id="{00000000-0008-0000-0700-000002000000}"/>
            </a:ext>
          </a:extLst>
        </xdr:cNvPr>
        <xdr:cNvSpPr/>
      </xdr:nvSpPr>
      <xdr:spPr>
        <a:xfrm>
          <a:off x="753818" y="868682"/>
          <a:ext cx="522082" cy="41954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41701</xdr:colOff>
      <xdr:row>4</xdr:row>
      <xdr:rowOff>87232</xdr:rowOff>
    </xdr:from>
    <xdr:to>
      <xdr:col>57</xdr:col>
      <xdr:colOff>237048</xdr:colOff>
      <xdr:row>6</xdr:row>
      <xdr:rowOff>87358</xdr:rowOff>
    </xdr:to>
    <xdr:sp macro="" textlink="">
      <xdr:nvSpPr>
        <xdr:cNvPr id="3" name="Arrow: Right 14">
          <a:hlinkClick xmlns:r="http://schemas.openxmlformats.org/officeDocument/2006/relationships" r:id="rId3" tooltip="Start"/>
          <a:extLst>
            <a:ext uri="{FF2B5EF4-FFF2-40B4-BE49-F238E27FC236}">
              <a16:creationId xmlns:a16="http://schemas.microsoft.com/office/drawing/2014/main" id="{00000000-0008-0000-0700-000003000000}"/>
            </a:ext>
          </a:extLst>
        </xdr:cNvPr>
        <xdr:cNvSpPr/>
      </xdr:nvSpPr>
      <xdr:spPr>
        <a:xfrm>
          <a:off x="16984995" y="871644"/>
          <a:ext cx="497906" cy="403538"/>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7" name="Rectangle 6">
          <a:hlinkClick xmlns:r="http://schemas.openxmlformats.org/officeDocument/2006/relationships" r:id="rId2" tooltip="Welcome"/>
          <a:extLst>
            <a:ext uri="{FF2B5EF4-FFF2-40B4-BE49-F238E27FC236}">
              <a16:creationId xmlns:a16="http://schemas.microsoft.com/office/drawing/2014/main" id="{00000000-0008-0000-0700-000007000000}"/>
            </a:ext>
          </a:extLst>
        </xdr:cNvPr>
        <xdr:cNvSpPr/>
      </xdr:nvSpPr>
      <xdr:spPr>
        <a:xfrm>
          <a:off x="1544842" y="13113"/>
          <a:ext cx="1284083" cy="628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8" name="Rectangle 7">
          <a:hlinkClick xmlns:r="http://schemas.openxmlformats.org/officeDocument/2006/relationships" r:id="rId4" tooltip="Instructions"/>
          <a:extLst>
            <a:ext uri="{FF2B5EF4-FFF2-40B4-BE49-F238E27FC236}">
              <a16:creationId xmlns:a16="http://schemas.microsoft.com/office/drawing/2014/main" id="{00000000-0008-0000-0700-000008000000}"/>
            </a:ext>
          </a:extLst>
        </xdr:cNvPr>
        <xdr:cNvSpPr/>
      </xdr:nvSpPr>
      <xdr:spPr>
        <a:xfrm>
          <a:off x="2831939" y="8630"/>
          <a:ext cx="1184910" cy="6033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9" name="Rectangle 8">
          <a:hlinkClick xmlns:r="http://schemas.openxmlformats.org/officeDocument/2006/relationships" r:id="rId5" tooltip="Contact"/>
          <a:extLst>
            <a:ext uri="{FF2B5EF4-FFF2-40B4-BE49-F238E27FC236}">
              <a16:creationId xmlns:a16="http://schemas.microsoft.com/office/drawing/2014/main" id="{00000000-0008-0000-0700-000009000000}"/>
            </a:ext>
          </a:extLst>
        </xdr:cNvPr>
        <xdr:cNvSpPr/>
      </xdr:nvSpPr>
      <xdr:spPr>
        <a:xfrm>
          <a:off x="17276109" y="0"/>
          <a:ext cx="1269066" cy="628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44</xdr:col>
      <xdr:colOff>293594</xdr:colOff>
      <xdr:row>0</xdr:row>
      <xdr:rowOff>6723</xdr:rowOff>
    </xdr:from>
    <xdr:to>
      <xdr:col>49</xdr:col>
      <xdr:colOff>2241</xdr:colOff>
      <xdr:row>3</xdr:row>
      <xdr:rowOff>6723</xdr:rowOff>
    </xdr:to>
    <xdr:sp macro="" textlink="">
      <xdr:nvSpPr>
        <xdr:cNvPr id="11" name="Rectangle 10">
          <a:hlinkClick xmlns:r="http://schemas.openxmlformats.org/officeDocument/2006/relationships" r:id="rId6" tooltip=" "/>
          <a:extLst>
            <a:ext uri="{FF2B5EF4-FFF2-40B4-BE49-F238E27FC236}">
              <a16:creationId xmlns:a16="http://schemas.microsoft.com/office/drawing/2014/main" id="{00000000-0008-0000-0700-00000B000000}"/>
            </a:ext>
          </a:extLst>
        </xdr:cNvPr>
        <xdr:cNvSpPr/>
      </xdr:nvSpPr>
      <xdr:spPr>
        <a:xfrm>
          <a:off x="14121989" y="8628"/>
          <a:ext cx="1282177" cy="628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0</xdr:colOff>
      <xdr:row>0</xdr:row>
      <xdr:rowOff>100293</xdr:rowOff>
    </xdr:from>
    <xdr:to>
      <xdr:col>55</xdr:col>
      <xdr:colOff>9525</xdr:colOff>
      <xdr:row>2</xdr:row>
      <xdr:rowOff>128868</xdr:rowOff>
    </xdr:to>
    <xdr:cxnSp macro="">
      <xdr:nvCxnSpPr>
        <xdr:cNvPr id="12" name="Straight Connector 11">
          <a:extLst>
            <a:ext uri="{FF2B5EF4-FFF2-40B4-BE49-F238E27FC236}">
              <a16:creationId xmlns:a16="http://schemas.microsoft.com/office/drawing/2014/main" id="{00000000-0008-0000-0700-00000C000000}"/>
            </a:ext>
          </a:extLst>
        </xdr:cNvPr>
        <xdr:cNvCxnSpPr/>
      </xdr:nvCxnSpPr>
      <xdr:spPr>
        <a:xfrm>
          <a:off x="17287875" y="96483"/>
          <a:ext cx="11430" cy="45529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302559</xdr:colOff>
      <xdr:row>0</xdr:row>
      <xdr:rowOff>11206</xdr:rowOff>
    </xdr:from>
    <xdr:to>
      <xdr:col>59</xdr:col>
      <xdr:colOff>0</xdr:colOff>
      <xdr:row>3</xdr:row>
      <xdr:rowOff>11206</xdr:rowOff>
    </xdr:to>
    <xdr:sp macro="" textlink="">
      <xdr:nvSpPr>
        <xdr:cNvPr id="13" name="Rectangle 12">
          <a:hlinkClick xmlns:r="http://schemas.openxmlformats.org/officeDocument/2006/relationships" r:id="rId5" tooltip="Contact"/>
          <a:extLst>
            <a:ext uri="{FF2B5EF4-FFF2-40B4-BE49-F238E27FC236}">
              <a16:creationId xmlns:a16="http://schemas.microsoft.com/office/drawing/2014/main" id="{00000000-0008-0000-0700-00000D000000}"/>
            </a:ext>
          </a:extLst>
        </xdr:cNvPr>
        <xdr:cNvSpPr/>
      </xdr:nvSpPr>
      <xdr:spPr>
        <a:xfrm>
          <a:off x="17276109" y="13111"/>
          <a:ext cx="1269066" cy="628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14" name="Rectangle 13">
          <a:extLst>
            <a:ext uri="{FF2B5EF4-FFF2-40B4-BE49-F238E27FC236}">
              <a16:creationId xmlns:a16="http://schemas.microsoft.com/office/drawing/2014/main" id="{00000000-0008-0000-0700-00000E000000}"/>
            </a:ext>
          </a:extLst>
        </xdr:cNvPr>
        <xdr:cNvSpPr/>
      </xdr:nvSpPr>
      <xdr:spPr>
        <a:xfrm>
          <a:off x="15375143" y="0"/>
          <a:ext cx="1882364" cy="609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15" name="Straight Connector 14">
          <a:extLst>
            <a:ext uri="{FF2B5EF4-FFF2-40B4-BE49-F238E27FC236}">
              <a16:creationId xmlns:a16="http://schemas.microsoft.com/office/drawing/2014/main" id="{00000000-0008-0000-0700-00000F000000}"/>
            </a:ext>
          </a:extLst>
        </xdr:cNvPr>
        <xdr:cNvCxnSpPr/>
      </xdr:nvCxnSpPr>
      <xdr:spPr>
        <a:xfrm>
          <a:off x="1540921" y="96483"/>
          <a:ext cx="11430" cy="45529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11787</xdr:colOff>
      <xdr:row>0</xdr:row>
      <xdr:rowOff>100293</xdr:rowOff>
    </xdr:from>
    <xdr:to>
      <xdr:col>49</xdr:col>
      <xdr:colOff>21312</xdr:colOff>
      <xdr:row>2</xdr:row>
      <xdr:rowOff>128868</xdr:rowOff>
    </xdr:to>
    <xdr:cxnSp macro="">
      <xdr:nvCxnSpPr>
        <xdr:cNvPr id="17" name="Straight Connector 16">
          <a:extLst>
            <a:ext uri="{FF2B5EF4-FFF2-40B4-BE49-F238E27FC236}">
              <a16:creationId xmlns:a16="http://schemas.microsoft.com/office/drawing/2014/main" id="{00000000-0008-0000-0700-000011000000}"/>
            </a:ext>
          </a:extLst>
        </xdr:cNvPr>
        <xdr:cNvCxnSpPr/>
      </xdr:nvCxnSpPr>
      <xdr:spPr>
        <a:xfrm>
          <a:off x="15417522" y="96483"/>
          <a:ext cx="1905" cy="45529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298657</xdr:colOff>
      <xdr:row>0</xdr:row>
      <xdr:rowOff>100293</xdr:rowOff>
    </xdr:from>
    <xdr:to>
      <xdr:col>9</xdr:col>
      <xdr:colOff>5624</xdr:colOff>
      <xdr:row>2</xdr:row>
      <xdr:rowOff>128868</xdr:rowOff>
    </xdr:to>
    <xdr:cxnSp macro="">
      <xdr:nvCxnSpPr>
        <xdr:cNvPr id="18" name="Straight Connector 17">
          <a:extLst>
            <a:ext uri="{FF2B5EF4-FFF2-40B4-BE49-F238E27FC236}">
              <a16:creationId xmlns:a16="http://schemas.microsoft.com/office/drawing/2014/main" id="{00000000-0008-0000-0700-000012000000}"/>
            </a:ext>
          </a:extLst>
        </xdr:cNvPr>
        <xdr:cNvCxnSpPr/>
      </xdr:nvCxnSpPr>
      <xdr:spPr>
        <a:xfrm>
          <a:off x="2811352" y="96483"/>
          <a:ext cx="25102" cy="45529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22873</xdr:colOff>
      <xdr:row>0</xdr:row>
      <xdr:rowOff>0</xdr:rowOff>
    </xdr:from>
    <xdr:to>
      <xdr:col>55</xdr:col>
      <xdr:colOff>0</xdr:colOff>
      <xdr:row>2</xdr:row>
      <xdr:rowOff>186186</xdr:rowOff>
    </xdr:to>
    <xdr:sp macro="" textlink="">
      <xdr:nvSpPr>
        <xdr:cNvPr id="19" name="Rectangle 18">
          <a:hlinkClick xmlns:r="http://schemas.openxmlformats.org/officeDocument/2006/relationships" r:id="rId7" tooltip="Incentive Rates &amp; Requirements"/>
          <a:extLst>
            <a:ext uri="{FF2B5EF4-FFF2-40B4-BE49-F238E27FC236}">
              <a16:creationId xmlns:a16="http://schemas.microsoft.com/office/drawing/2014/main" id="{00000000-0008-0000-0700-000013000000}"/>
            </a:ext>
          </a:extLst>
        </xdr:cNvPr>
        <xdr:cNvSpPr/>
      </xdr:nvSpPr>
      <xdr:spPr>
        <a:xfrm>
          <a:off x="15420988" y="0"/>
          <a:ext cx="1866887" cy="6033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20" name="Rectangle 19">
          <a:extLst>
            <a:ext uri="{FF2B5EF4-FFF2-40B4-BE49-F238E27FC236}">
              <a16:creationId xmlns:a16="http://schemas.microsoft.com/office/drawing/2014/main" id="{00000000-0008-0000-0700-000014000000}"/>
            </a:ext>
          </a:extLst>
        </xdr:cNvPr>
        <xdr:cNvSpPr/>
      </xdr:nvSpPr>
      <xdr:spPr>
        <a:xfrm>
          <a:off x="0" y="0"/>
          <a:ext cx="1504503" cy="58236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1" name="Straight Connector 20">
          <a:extLst>
            <a:ext uri="{FF2B5EF4-FFF2-40B4-BE49-F238E27FC236}">
              <a16:creationId xmlns:a16="http://schemas.microsoft.com/office/drawing/2014/main" id="{00000000-0008-0000-0700-000015000000}"/>
            </a:ext>
          </a:extLst>
        </xdr:cNvPr>
        <xdr:cNvCxnSpPr/>
      </xdr:nvCxnSpPr>
      <xdr:spPr>
        <a:xfrm>
          <a:off x="1540921" y="96483"/>
          <a:ext cx="11430" cy="45529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4</xdr:col>
      <xdr:colOff>7951</xdr:colOff>
      <xdr:row>2</xdr:row>
      <xdr:rowOff>88002</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1099" y="171049"/>
          <a:ext cx="1131132" cy="302398"/>
        </a:xfrm>
        <a:prstGeom prst="rect">
          <a:avLst/>
        </a:prstGeom>
      </xdr:spPr>
    </xdr:pic>
    <xdr:clientData/>
  </xdr:twoCellAnchor>
  <xdr:twoCellAnchor>
    <xdr:from>
      <xdr:col>52</xdr:col>
      <xdr:colOff>268941</xdr:colOff>
      <xdr:row>3</xdr:row>
      <xdr:rowOff>190500</xdr:rowOff>
    </xdr:from>
    <xdr:to>
      <xdr:col>58</xdr:col>
      <xdr:colOff>11205</xdr:colOff>
      <xdr:row>7</xdr:row>
      <xdr:rowOff>11206</xdr:rowOff>
    </xdr:to>
    <xdr:sp macro="" textlink="">
      <xdr:nvSpPr>
        <xdr:cNvPr id="25" name="Arrow: Right 14">
          <a:hlinkClick xmlns:r="http://schemas.openxmlformats.org/officeDocument/2006/relationships" r:id="rId3" tooltip="Start"/>
          <a:extLst>
            <a:ext uri="{FF2B5EF4-FFF2-40B4-BE49-F238E27FC236}">
              <a16:creationId xmlns:a16="http://schemas.microsoft.com/office/drawing/2014/main" id="{00000000-0008-0000-0700-000019000000}"/>
            </a:ext>
          </a:extLst>
        </xdr:cNvPr>
        <xdr:cNvSpPr/>
      </xdr:nvSpPr>
      <xdr:spPr>
        <a:xfrm>
          <a:off x="16002000" y="773206"/>
          <a:ext cx="1557617" cy="605118"/>
        </a:xfrm>
        <a:prstGeom prst="rightArrow">
          <a:avLst>
            <a:gd name="adj1" fmla="val 100000"/>
            <a:gd name="adj2" fmla="val 0"/>
          </a:avLst>
        </a:prstGeom>
        <a:solidFill>
          <a:srgbClr val="F0532A">
            <a:alpha val="0"/>
          </a:srgbClr>
        </a:solidFill>
        <a:ln>
          <a:solidFill>
            <a:srgbClr val="F0532A">
              <a:alpha val="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26" name="Rectangle 25">
          <a:hlinkClick xmlns:r="http://schemas.openxmlformats.org/officeDocument/2006/relationships" r:id="rId9" tooltip=" "/>
          <a:extLst>
            <a:ext uri="{FF2B5EF4-FFF2-40B4-BE49-F238E27FC236}">
              <a16:creationId xmlns:a16="http://schemas.microsoft.com/office/drawing/2014/main" id="{00000000-0008-0000-0700-00001A000000}"/>
            </a:ext>
          </a:extLst>
        </xdr:cNvPr>
        <xdr:cNvSpPr/>
      </xdr:nvSpPr>
      <xdr:spPr>
        <a:xfrm>
          <a:off x="112663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12199</xdr:colOff>
      <xdr:row>0</xdr:row>
      <xdr:rowOff>107549</xdr:rowOff>
    </xdr:from>
    <xdr:to>
      <xdr:col>4</xdr:col>
      <xdr:colOff>222151</xdr:colOff>
      <xdr:row>2</xdr:row>
      <xdr:rowOff>111784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0"/>
        <a:stretch>
          <a:fillRect/>
        </a:stretch>
      </xdr:blipFill>
      <xdr:spPr>
        <a:xfrm>
          <a:off x="12199" y="107549"/>
          <a:ext cx="1483127" cy="385235"/>
        </a:xfrm>
        <a:prstGeom prst="rect">
          <a:avLst/>
        </a:prstGeom>
      </xdr:spPr>
    </xdr:pic>
    <xdr:clientData/>
  </xdr:twoCellAnchor>
  <xdr:twoCellAnchor editAs="oneCell">
    <xdr:from>
      <xdr:col>8</xdr:col>
      <xdr:colOff>59531</xdr:colOff>
      <xdr:row>19</xdr:row>
      <xdr:rowOff>92074</xdr:rowOff>
    </xdr:from>
    <xdr:to>
      <xdr:col>14</xdr:col>
      <xdr:colOff>161670</xdr:colOff>
      <xdr:row>23</xdr:row>
      <xdr:rowOff>178593</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1"/>
        <a:stretch>
          <a:fillRect/>
        </a:stretch>
      </xdr:blipFill>
      <xdr:spPr>
        <a:xfrm>
          <a:off x="2536031" y="4140199"/>
          <a:ext cx="1962689" cy="899319"/>
        </a:xfrm>
        <a:prstGeom prst="rect">
          <a:avLst/>
        </a:prstGeom>
      </xdr:spPr>
    </xdr:pic>
    <xdr:clientData/>
  </xdr:twoCellAnchor>
  <xdr:twoCellAnchor editAs="oneCell">
    <xdr:from>
      <xdr:col>8</xdr:col>
      <xdr:colOff>175418</xdr:colOff>
      <xdr:row>28</xdr:row>
      <xdr:rowOff>110331</xdr:rowOff>
    </xdr:from>
    <xdr:to>
      <xdr:col>12</xdr:col>
      <xdr:colOff>86455</xdr:colOff>
      <xdr:row>31</xdr:row>
      <xdr:rowOff>193674</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2"/>
        <a:stretch>
          <a:fillRect/>
        </a:stretch>
      </xdr:blipFill>
      <xdr:spPr>
        <a:xfrm>
          <a:off x="2651918" y="5980112"/>
          <a:ext cx="1146112" cy="690562"/>
        </a:xfrm>
        <a:prstGeom prst="rect">
          <a:avLst/>
        </a:prstGeom>
      </xdr:spPr>
    </xdr:pic>
    <xdr:clientData/>
  </xdr:twoCellAnchor>
  <xdr:twoCellAnchor editAs="oneCell">
    <xdr:from>
      <xdr:col>9</xdr:col>
      <xdr:colOff>47625</xdr:colOff>
      <xdr:row>32</xdr:row>
      <xdr:rowOff>0</xdr:rowOff>
    </xdr:from>
    <xdr:to>
      <xdr:col>11</xdr:col>
      <xdr:colOff>246856</xdr:colOff>
      <xdr:row>35</xdr:row>
      <xdr:rowOff>117025</xdr:rowOff>
    </xdr:to>
    <xdr:pic>
      <xdr:nvPicPr>
        <xdr:cNvPr id="31" name="Pictur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13"/>
        <a:stretch>
          <a:fillRect/>
        </a:stretch>
      </xdr:blipFill>
      <xdr:spPr>
        <a:xfrm>
          <a:off x="2833688" y="6679406"/>
          <a:ext cx="818356" cy="724244"/>
        </a:xfrm>
        <a:prstGeom prst="rect">
          <a:avLst/>
        </a:prstGeom>
      </xdr:spPr>
    </xdr:pic>
    <xdr:clientData/>
  </xdr:twoCellAnchor>
  <xdr:twoCellAnchor editAs="oneCell">
    <xdr:from>
      <xdr:col>1</xdr:col>
      <xdr:colOff>217486</xdr:colOff>
      <xdr:row>44</xdr:row>
      <xdr:rowOff>83343</xdr:rowOff>
    </xdr:from>
    <xdr:to>
      <xdr:col>18</xdr:col>
      <xdr:colOff>103464</xdr:colOff>
      <xdr:row>47</xdr:row>
      <xdr:rowOff>113505</xdr:rowOff>
    </xdr:to>
    <xdr:pic>
      <xdr:nvPicPr>
        <xdr:cNvPr id="32" name="Picture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14"/>
        <a:stretch>
          <a:fillRect/>
        </a:stretch>
      </xdr:blipFill>
      <xdr:spPr>
        <a:xfrm>
          <a:off x="527049" y="9191624"/>
          <a:ext cx="5151715" cy="637381"/>
        </a:xfrm>
        <a:prstGeom prst="rect">
          <a:avLst/>
        </a:prstGeom>
      </xdr:spPr>
    </xdr:pic>
    <xdr:clientData/>
  </xdr:twoCellAnchor>
  <xdr:twoCellAnchor>
    <xdr:from>
      <xdr:col>3</xdr:col>
      <xdr:colOff>151606</xdr:colOff>
      <xdr:row>46</xdr:row>
      <xdr:rowOff>130969</xdr:rowOff>
    </xdr:from>
    <xdr:to>
      <xdr:col>4</xdr:col>
      <xdr:colOff>297656</xdr:colOff>
      <xdr:row>51</xdr:row>
      <xdr:rowOff>62706</xdr:rowOff>
    </xdr:to>
    <xdr:cxnSp macro="">
      <xdr:nvCxnSpPr>
        <xdr:cNvPr id="34" name="Straight Arrow Connector 33">
          <a:extLst>
            <a:ext uri="{FF2B5EF4-FFF2-40B4-BE49-F238E27FC236}">
              <a16:creationId xmlns:a16="http://schemas.microsoft.com/office/drawing/2014/main" id="{00000000-0008-0000-0700-000022000000}"/>
            </a:ext>
          </a:extLst>
        </xdr:cNvPr>
        <xdr:cNvCxnSpPr/>
      </xdr:nvCxnSpPr>
      <xdr:spPr>
        <a:xfrm flipH="1" flipV="1">
          <a:off x="1080294" y="9644063"/>
          <a:ext cx="455612" cy="943768"/>
        </a:xfrm>
        <a:prstGeom prst="straightConnector1">
          <a:avLst/>
        </a:prstGeom>
        <a:ln w="76200">
          <a:solidFill>
            <a:srgbClr val="9BA4B8"/>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200025</xdr:colOff>
      <xdr:row>23</xdr:row>
      <xdr:rowOff>57150</xdr:rowOff>
    </xdr:from>
    <xdr:to>
      <xdr:col>41</xdr:col>
      <xdr:colOff>76200</xdr:colOff>
      <xdr:row>23</xdr:row>
      <xdr:rowOff>65087</xdr:rowOff>
    </xdr:to>
    <xdr:cxnSp macro="">
      <xdr:nvCxnSpPr>
        <xdr:cNvPr id="10" name="Straight Arrow Connector 9">
          <a:extLst>
            <a:ext uri="{FF2B5EF4-FFF2-40B4-BE49-F238E27FC236}">
              <a16:creationId xmlns:a16="http://schemas.microsoft.com/office/drawing/2014/main" id="{00000000-0008-0000-0700-00000A000000}"/>
            </a:ext>
          </a:extLst>
        </xdr:cNvPr>
        <xdr:cNvCxnSpPr/>
      </xdr:nvCxnSpPr>
      <xdr:spPr>
        <a:xfrm flipV="1">
          <a:off x="6172200" y="4876800"/>
          <a:ext cx="6791325" cy="7937"/>
        </a:xfrm>
        <a:prstGeom prst="straightConnector1">
          <a:avLst/>
        </a:prstGeom>
        <a:ln w="76200">
          <a:solidFill>
            <a:srgbClr val="9BA4B8"/>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45</xdr:col>
      <xdr:colOff>113505</xdr:colOff>
      <xdr:row>35</xdr:row>
      <xdr:rowOff>148429</xdr:rowOff>
    </xdr:from>
    <xdr:to>
      <xdr:col>54</xdr:col>
      <xdr:colOff>64887</xdr:colOff>
      <xdr:row>40</xdr:row>
      <xdr:rowOff>180973</xdr:rowOff>
    </xdr:to>
    <xdr:pic>
      <xdr:nvPicPr>
        <xdr:cNvPr id="38" name="Picture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5"/>
        <a:stretch>
          <a:fillRect/>
        </a:stretch>
      </xdr:blipFill>
      <xdr:spPr>
        <a:xfrm>
          <a:off x="14043818" y="7411242"/>
          <a:ext cx="2743794" cy="1050925"/>
        </a:xfrm>
        <a:prstGeom prst="rect">
          <a:avLst/>
        </a:prstGeom>
      </xdr:spPr>
    </xdr:pic>
    <xdr:clientData/>
  </xdr:twoCellAnchor>
  <xdr:twoCellAnchor editAs="oneCell">
    <xdr:from>
      <xdr:col>19</xdr:col>
      <xdr:colOff>134408</xdr:colOff>
      <xdr:row>19</xdr:row>
      <xdr:rowOff>200491</xdr:rowOff>
    </xdr:from>
    <xdr:to>
      <xdr:col>41</xdr:col>
      <xdr:colOff>264584</xdr:colOff>
      <xdr:row>21</xdr:row>
      <xdr:rowOff>177891</xdr:rowOff>
    </xdr:to>
    <xdr:pic>
      <xdr:nvPicPr>
        <xdr:cNvPr id="37" name="Picture 36">
          <a:extLst>
            <a:ext uri="{FF2B5EF4-FFF2-40B4-BE49-F238E27FC236}">
              <a16:creationId xmlns:a16="http://schemas.microsoft.com/office/drawing/2014/main" id="{01BC13AD-0C30-1FF5-287D-5B5AE7BC9E08}"/>
            </a:ext>
          </a:extLst>
        </xdr:cNvPr>
        <xdr:cNvPicPr>
          <a:picLocks noChangeAspect="1"/>
        </xdr:cNvPicPr>
      </xdr:nvPicPr>
      <xdr:blipFill>
        <a:blip xmlns:r="http://schemas.openxmlformats.org/officeDocument/2006/relationships" r:embed="rId16"/>
        <a:stretch>
          <a:fillRect/>
        </a:stretch>
      </xdr:blipFill>
      <xdr:spPr>
        <a:xfrm>
          <a:off x="6166908" y="4211574"/>
          <a:ext cx="7115176" cy="38274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54</xdr:col>
      <xdr:colOff>97178</xdr:colOff>
      <xdr:row>9</xdr:row>
      <xdr:rowOff>0</xdr:rowOff>
    </xdr:from>
    <xdr:to>
      <xdr:col>56</xdr:col>
      <xdr:colOff>0</xdr:colOff>
      <xdr:row>11</xdr:row>
      <xdr:rowOff>8068</xdr:rowOff>
    </xdr:to>
    <xdr:sp macro="" textlink="">
      <xdr:nvSpPr>
        <xdr:cNvPr id="15" name="Arrow: Right 14">
          <a:hlinkClick xmlns:r="http://schemas.openxmlformats.org/officeDocument/2006/relationships" r:id="rId1" tooltip="Forward: On-Bill Repayment"/>
          <a:extLst>
            <a:ext uri="{FF2B5EF4-FFF2-40B4-BE49-F238E27FC236}">
              <a16:creationId xmlns:a16="http://schemas.microsoft.com/office/drawing/2014/main" id="{00000000-0008-0000-2C00-00000F000000}"/>
            </a:ext>
          </a:extLst>
        </xdr:cNvPr>
        <xdr:cNvSpPr/>
      </xdr:nvSpPr>
      <xdr:spPr>
        <a:xfrm>
          <a:off x="16556378" y="1800225"/>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8</xdr:row>
      <xdr:rowOff>191957</xdr:rowOff>
    </xdr:from>
    <xdr:to>
      <xdr:col>2</xdr:col>
      <xdr:colOff>203947</xdr:colOff>
      <xdr:row>11</xdr:row>
      <xdr:rowOff>0</xdr:rowOff>
    </xdr:to>
    <xdr:sp macro="" textlink="">
      <xdr:nvSpPr>
        <xdr:cNvPr id="16" name="Arrow: Left 15">
          <a:hlinkClick xmlns:r="http://schemas.openxmlformats.org/officeDocument/2006/relationships" r:id="rId2" tooltip="Back: Equipment Input"/>
          <a:extLst>
            <a:ext uri="{FF2B5EF4-FFF2-40B4-BE49-F238E27FC236}">
              <a16:creationId xmlns:a16="http://schemas.microsoft.com/office/drawing/2014/main" id="{00000000-0008-0000-2C00-000010000000}"/>
            </a:ext>
          </a:extLst>
        </xdr:cNvPr>
        <xdr:cNvSpPr/>
      </xdr:nvSpPr>
      <xdr:spPr>
        <a:xfrm>
          <a:off x="302559" y="1805604"/>
          <a:ext cx="506506" cy="413161"/>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13" name="Rectangle 12">
          <a:extLst>
            <a:ext uri="{FF2B5EF4-FFF2-40B4-BE49-F238E27FC236}">
              <a16:creationId xmlns:a16="http://schemas.microsoft.com/office/drawing/2014/main" id="{00000000-0008-0000-2C00-00000D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4" name="Rectangle 13">
          <a:hlinkClick xmlns:r="http://schemas.openxmlformats.org/officeDocument/2006/relationships" r:id="rId3" tooltip="Welcome"/>
          <a:extLst>
            <a:ext uri="{FF2B5EF4-FFF2-40B4-BE49-F238E27FC236}">
              <a16:creationId xmlns:a16="http://schemas.microsoft.com/office/drawing/2014/main" id="{00000000-0008-0000-2C00-00000E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7" name="Rectangle 16">
          <a:hlinkClick xmlns:r="http://schemas.openxmlformats.org/officeDocument/2006/relationships" r:id="rId4" tooltip="Instructions"/>
          <a:extLst>
            <a:ext uri="{FF2B5EF4-FFF2-40B4-BE49-F238E27FC236}">
              <a16:creationId xmlns:a16="http://schemas.microsoft.com/office/drawing/2014/main" id="{00000000-0008-0000-2C00-000011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4" name="Straight Connector 23">
          <a:extLst>
            <a:ext uri="{FF2B5EF4-FFF2-40B4-BE49-F238E27FC236}">
              <a16:creationId xmlns:a16="http://schemas.microsoft.com/office/drawing/2014/main" id="{00000000-0008-0000-2C00-000018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285446</xdr:colOff>
      <xdr:row>2</xdr:row>
      <xdr:rowOff>58157</xdr:rowOff>
    </xdr:to>
    <xdr:pic>
      <xdr:nvPicPr>
        <xdr:cNvPr id="25" name="Picture 24">
          <a:extLst>
            <a:ext uri="{FF2B5EF4-FFF2-40B4-BE49-F238E27FC236}">
              <a16:creationId xmlns:a16="http://schemas.microsoft.com/office/drawing/2014/main" id="{00000000-0008-0000-2C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27" name="Straight Connector 26">
          <a:extLst>
            <a:ext uri="{FF2B5EF4-FFF2-40B4-BE49-F238E27FC236}">
              <a16:creationId xmlns:a16="http://schemas.microsoft.com/office/drawing/2014/main" id="{00000000-0008-0000-2C00-00001B000000}"/>
            </a:ext>
          </a:extLst>
        </xdr:cNvPr>
        <xdr:cNvCxnSpPr/>
      </xdr:nvCxnSpPr>
      <xdr:spPr>
        <a:xfrm>
          <a:off x="2737057" y="100293"/>
          <a:ext cx="11767"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100852</xdr:colOff>
      <xdr:row>13</xdr:row>
      <xdr:rowOff>100855</xdr:rowOff>
    </xdr:from>
    <xdr:to>
      <xdr:col>16</xdr:col>
      <xdr:colOff>257734</xdr:colOff>
      <xdr:row>15</xdr:row>
      <xdr:rowOff>112060</xdr:rowOff>
    </xdr:to>
    <xdr:grpSp>
      <xdr:nvGrpSpPr>
        <xdr:cNvPr id="32" name="Group 31">
          <a:extLst>
            <a:ext uri="{FF2B5EF4-FFF2-40B4-BE49-F238E27FC236}">
              <a16:creationId xmlns:a16="http://schemas.microsoft.com/office/drawing/2014/main" id="{00000000-0008-0000-2C00-000020000000}"/>
            </a:ext>
          </a:extLst>
        </xdr:cNvPr>
        <xdr:cNvGrpSpPr/>
      </xdr:nvGrpSpPr>
      <xdr:grpSpPr>
        <a:xfrm>
          <a:off x="4704602" y="2513855"/>
          <a:ext cx="463799" cy="413372"/>
          <a:chOff x="3014383" y="2084294"/>
          <a:chExt cx="526676" cy="537883"/>
        </a:xfrm>
      </xdr:grpSpPr>
      <xdr:pic>
        <xdr:nvPicPr>
          <xdr:cNvPr id="33" name="Graphic 32" descr="Exclamation mark">
            <a:extLst>
              <a:ext uri="{FF2B5EF4-FFF2-40B4-BE49-F238E27FC236}">
                <a16:creationId xmlns:a16="http://schemas.microsoft.com/office/drawing/2014/main" id="{00000000-0008-0000-2C00-00002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a:off x="3087221" y="2162735"/>
            <a:ext cx="381000" cy="381000"/>
          </a:xfrm>
          <a:prstGeom prst="rect">
            <a:avLst/>
          </a:prstGeom>
        </xdr:spPr>
      </xdr:pic>
      <xdr:sp macro="" textlink="">
        <xdr:nvSpPr>
          <xdr:cNvPr id="34" name="Oval 33">
            <a:extLst>
              <a:ext uri="{FF2B5EF4-FFF2-40B4-BE49-F238E27FC236}">
                <a16:creationId xmlns:a16="http://schemas.microsoft.com/office/drawing/2014/main" id="{00000000-0008-0000-2C00-000022000000}"/>
              </a:ext>
            </a:extLst>
          </xdr:cNvPr>
          <xdr:cNvSpPr/>
        </xdr:nvSpPr>
        <xdr:spPr>
          <a:xfrm>
            <a:off x="3014383" y="2084294"/>
            <a:ext cx="526676" cy="537883"/>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60670</xdr:colOff>
      <xdr:row>0</xdr:row>
      <xdr:rowOff>114322</xdr:rowOff>
    </xdr:from>
    <xdr:to>
      <xdr:col>4</xdr:col>
      <xdr:colOff>180879</xdr:colOff>
      <xdr:row>2</xdr:row>
      <xdr:rowOff>93268</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8"/>
        <a:stretch>
          <a:fillRect/>
        </a:stretch>
      </xdr:blipFill>
      <xdr:spPr>
        <a:xfrm>
          <a:off x="60670" y="114322"/>
          <a:ext cx="1390844" cy="381113"/>
        </a:xfrm>
        <a:prstGeom prst="rect">
          <a:avLst/>
        </a:prstGeom>
      </xdr:spPr>
    </xdr:pic>
    <xdr:clientData/>
  </xdr:twoCellAnchor>
  <xdr:twoCellAnchor editAs="oneCell">
    <xdr:from>
      <xdr:col>35</xdr:col>
      <xdr:colOff>254622</xdr:colOff>
      <xdr:row>18</xdr:row>
      <xdr:rowOff>83482</xdr:rowOff>
    </xdr:from>
    <xdr:to>
      <xdr:col>41</xdr:col>
      <xdr:colOff>247928</xdr:colOff>
      <xdr:row>20</xdr:row>
      <xdr:rowOff>135850</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67122" y="3501899"/>
          <a:ext cx="1898306" cy="466599"/>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4" name="Arrow: Chevron 3">
          <a:hlinkClick xmlns:r="http://schemas.openxmlformats.org/officeDocument/2006/relationships" r:id="rId10" tooltip="Terms &amp; Conditions"/>
          <a:extLst>
            <a:ext uri="{FF2B5EF4-FFF2-40B4-BE49-F238E27FC236}">
              <a16:creationId xmlns:a16="http://schemas.microsoft.com/office/drawing/2014/main" id="{00000000-0008-0000-2C00-000004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5" name="Arrow: Chevron 4">
          <a:hlinkClick xmlns:r="http://schemas.openxmlformats.org/officeDocument/2006/relationships" r:id="rId11" tooltip="Project Information"/>
          <a:extLst>
            <a:ext uri="{FF2B5EF4-FFF2-40B4-BE49-F238E27FC236}">
              <a16:creationId xmlns:a16="http://schemas.microsoft.com/office/drawing/2014/main" id="{00000000-0008-0000-2C00-000005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6" name="Arrow: Chevron 39">
          <a:hlinkClick xmlns:r="http://schemas.openxmlformats.org/officeDocument/2006/relationships" r:id="rId12" tooltip="Customer Information"/>
          <a:extLst>
            <a:ext uri="{FF2B5EF4-FFF2-40B4-BE49-F238E27FC236}">
              <a16:creationId xmlns:a16="http://schemas.microsoft.com/office/drawing/2014/main" id="{00000000-0008-0000-2C00-000006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7" name="Arrow: Chevron 40">
          <a:hlinkClick xmlns:r="http://schemas.openxmlformats.org/officeDocument/2006/relationships" r:id="rId13" tooltip="Equipment Input"/>
          <a:extLst>
            <a:ext uri="{FF2B5EF4-FFF2-40B4-BE49-F238E27FC236}">
              <a16:creationId xmlns:a16="http://schemas.microsoft.com/office/drawing/2014/main" id="{00000000-0008-0000-2C00-000007000000}"/>
            </a:ext>
          </a:extLst>
        </xdr:cNvPr>
        <xdr:cNvSpPr/>
      </xdr:nvSpPr>
      <xdr:spPr>
        <a:xfrm>
          <a:off x="6188077" y="859240"/>
          <a:ext cx="2153708"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8" name="Arrow: Chevron 7">
          <a:hlinkClick xmlns:r="http://schemas.openxmlformats.org/officeDocument/2006/relationships" r:id="rId14" tooltip="Payment"/>
          <a:extLst>
            <a:ext uri="{FF2B5EF4-FFF2-40B4-BE49-F238E27FC236}">
              <a16:creationId xmlns:a16="http://schemas.microsoft.com/office/drawing/2014/main" id="{00000000-0008-0000-2C00-000008000000}"/>
            </a:ext>
          </a:extLst>
        </xdr:cNvPr>
        <xdr:cNvSpPr/>
      </xdr:nvSpPr>
      <xdr:spPr>
        <a:xfrm>
          <a:off x="10259482" y="874353"/>
          <a:ext cx="2313432" cy="63836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9" name="Arrow: Chevron 8">
          <a:hlinkClick xmlns:r="http://schemas.openxmlformats.org/officeDocument/2006/relationships" r:id="rId15" tooltip="Project Review"/>
          <a:extLst>
            <a:ext uri="{FF2B5EF4-FFF2-40B4-BE49-F238E27FC236}">
              <a16:creationId xmlns:a16="http://schemas.microsoft.com/office/drawing/2014/main" id="{00000000-0008-0000-2C00-000009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10" name="Arrow: Chevron 43">
          <a:hlinkClick xmlns:r="http://schemas.openxmlformats.org/officeDocument/2006/relationships" r:id="rId16" tooltip="Trade Ally / Contractor Information"/>
          <a:extLst>
            <a:ext uri="{FF2B5EF4-FFF2-40B4-BE49-F238E27FC236}">
              <a16:creationId xmlns:a16="http://schemas.microsoft.com/office/drawing/2014/main" id="{00000000-0008-0000-2C00-00000A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1" name="Arrow: Chevron 10">
          <a:hlinkClick xmlns:r="http://schemas.openxmlformats.org/officeDocument/2006/relationships" r:id="rId17" tooltip="On-Bill Repayment"/>
          <a:extLst>
            <a:ext uri="{FF2B5EF4-FFF2-40B4-BE49-F238E27FC236}">
              <a16:creationId xmlns:a16="http://schemas.microsoft.com/office/drawing/2014/main" id="{00000000-0008-0000-2C00-00000B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12" name="Arrow: Chevron 11">
          <a:hlinkClick xmlns:r="http://schemas.openxmlformats.org/officeDocument/2006/relationships" r:id="rId2" tooltip="Payment"/>
          <a:extLst>
            <a:ext uri="{FF2B5EF4-FFF2-40B4-BE49-F238E27FC236}">
              <a16:creationId xmlns:a16="http://schemas.microsoft.com/office/drawing/2014/main" id="{00000000-0008-0000-2C00-00000C000000}"/>
            </a:ext>
          </a:extLst>
        </xdr:cNvPr>
        <xdr:cNvSpPr/>
      </xdr:nvSpPr>
      <xdr:spPr>
        <a:xfrm>
          <a:off x="8154458" y="869949"/>
          <a:ext cx="2303907" cy="63201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cap="none" baseline="0">
              <a:solidFill>
                <a:schemeClr val="bg1"/>
              </a:solidFill>
              <a:latin typeface="Arial" panose="020B0604020202020204" pitchFamily="34" charset="0"/>
              <a:ea typeface="+mn-ea"/>
              <a:cs typeface="Arial" panose="020B0604020202020204" pitchFamily="34" charset="0"/>
            </a:rPr>
            <a:t>Union Information</a:t>
          </a:r>
          <a:r>
            <a:rPr lang="en-US" sz="1100" b="0" i="0" u="none" strike="noStrike" cap="none" baseline="0">
              <a:solidFill>
                <a:srgbClr val="142C41"/>
              </a:solidFill>
              <a:latin typeface="Arial" panose="020B0604020202020204" pitchFamily="34" charset="0"/>
              <a:ea typeface="+mn-ea"/>
              <a:cs typeface="Arial" panose="020B0604020202020204" pitchFamily="34" charset="0"/>
            </a:rPr>
            <a:t>on</a:t>
          </a:r>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19" name="Rectangle 18">
          <a:extLst>
            <a:ext uri="{FF2B5EF4-FFF2-40B4-BE49-F238E27FC236}">
              <a16:creationId xmlns:a16="http://schemas.microsoft.com/office/drawing/2014/main" id="{00000000-0008-0000-2C00-000013000000}"/>
            </a:ext>
          </a:extLst>
        </xdr:cNvPr>
        <xdr:cNvSpPr/>
      </xdr:nvSpPr>
      <xdr:spPr>
        <a:xfrm>
          <a:off x="153821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31" name="Rectangle 30">
          <a:hlinkClick xmlns:r="http://schemas.openxmlformats.org/officeDocument/2006/relationships" r:id="rId18" tooltip="Contact"/>
          <a:extLst>
            <a:ext uri="{FF2B5EF4-FFF2-40B4-BE49-F238E27FC236}">
              <a16:creationId xmlns:a16="http://schemas.microsoft.com/office/drawing/2014/main" id="{00000000-0008-0000-2C00-00001F000000}"/>
            </a:ext>
          </a:extLst>
        </xdr:cNvPr>
        <xdr:cNvSpPr/>
      </xdr:nvSpPr>
      <xdr:spPr>
        <a:xfrm>
          <a:off x="1727610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35" name="Rectangle 34">
          <a:hlinkClick xmlns:r="http://schemas.openxmlformats.org/officeDocument/2006/relationships" r:id="rId18" tooltip="Contact"/>
          <a:extLst>
            <a:ext uri="{FF2B5EF4-FFF2-40B4-BE49-F238E27FC236}">
              <a16:creationId xmlns:a16="http://schemas.microsoft.com/office/drawing/2014/main" id="{00000000-0008-0000-2C00-000023000000}"/>
            </a:ext>
          </a:extLst>
        </xdr:cNvPr>
        <xdr:cNvSpPr/>
      </xdr:nvSpPr>
      <xdr:spPr>
        <a:xfrm>
          <a:off x="1727610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36" name="Rectangle 35">
          <a:extLst>
            <a:ext uri="{FF2B5EF4-FFF2-40B4-BE49-F238E27FC236}">
              <a16:creationId xmlns:a16="http://schemas.microsoft.com/office/drawing/2014/main" id="{00000000-0008-0000-2C00-000024000000}"/>
            </a:ext>
          </a:extLst>
        </xdr:cNvPr>
        <xdr:cNvSpPr/>
      </xdr:nvSpPr>
      <xdr:spPr>
        <a:xfrm>
          <a:off x="153821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291353</xdr:colOff>
      <xdr:row>0</xdr:row>
      <xdr:rowOff>0</xdr:rowOff>
    </xdr:from>
    <xdr:to>
      <xdr:col>57</xdr:col>
      <xdr:colOff>280147</xdr:colOff>
      <xdr:row>2</xdr:row>
      <xdr:rowOff>190500</xdr:rowOff>
    </xdr:to>
    <xdr:sp macro="" textlink="">
      <xdr:nvSpPr>
        <xdr:cNvPr id="37" name="Rectangle 36">
          <a:extLst>
            <a:ext uri="{FF2B5EF4-FFF2-40B4-BE49-F238E27FC236}">
              <a16:creationId xmlns:a16="http://schemas.microsoft.com/office/drawing/2014/main" id="{00000000-0008-0000-2C00-000025000000}"/>
            </a:ext>
          </a:extLst>
        </xdr:cNvPr>
        <xdr:cNvSpPr/>
      </xdr:nvSpPr>
      <xdr:spPr>
        <a:xfrm>
          <a:off x="16325103"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38" name="Rectangle 37">
          <a:hlinkClick xmlns:r="http://schemas.openxmlformats.org/officeDocument/2006/relationships" r:id="rId18" tooltip="Contact"/>
          <a:extLst>
            <a:ext uri="{FF2B5EF4-FFF2-40B4-BE49-F238E27FC236}">
              <a16:creationId xmlns:a16="http://schemas.microsoft.com/office/drawing/2014/main" id="{00000000-0008-0000-2C00-000026000000}"/>
            </a:ext>
          </a:extLst>
        </xdr:cNvPr>
        <xdr:cNvSpPr/>
      </xdr:nvSpPr>
      <xdr:spPr>
        <a:xfrm>
          <a:off x="1790475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39" name="Rectangle 38">
          <a:hlinkClick xmlns:r="http://schemas.openxmlformats.org/officeDocument/2006/relationships" r:id="rId19" tooltip=" "/>
          <a:extLst>
            <a:ext uri="{FF2B5EF4-FFF2-40B4-BE49-F238E27FC236}">
              <a16:creationId xmlns:a16="http://schemas.microsoft.com/office/drawing/2014/main" id="{00000000-0008-0000-2C00-000027000000}"/>
            </a:ext>
          </a:extLst>
        </xdr:cNvPr>
        <xdr:cNvSpPr/>
      </xdr:nvSpPr>
      <xdr:spPr>
        <a:xfrm>
          <a:off x="147557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40" name="Straight Connector 39">
          <a:extLst>
            <a:ext uri="{FF2B5EF4-FFF2-40B4-BE49-F238E27FC236}">
              <a16:creationId xmlns:a16="http://schemas.microsoft.com/office/drawing/2014/main" id="{00000000-0008-0000-2C00-000028000000}"/>
            </a:ext>
          </a:extLst>
        </xdr:cNvPr>
        <xdr:cNvCxnSpPr/>
      </xdr:nvCxnSpPr>
      <xdr:spPr>
        <a:xfrm>
          <a:off x="1791652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41" name="Rectangle 40">
          <a:hlinkClick xmlns:r="http://schemas.openxmlformats.org/officeDocument/2006/relationships" r:id="rId18" tooltip="Contact"/>
          <a:extLst>
            <a:ext uri="{FF2B5EF4-FFF2-40B4-BE49-F238E27FC236}">
              <a16:creationId xmlns:a16="http://schemas.microsoft.com/office/drawing/2014/main" id="{00000000-0008-0000-2C00-000029000000}"/>
            </a:ext>
          </a:extLst>
        </xdr:cNvPr>
        <xdr:cNvSpPr/>
      </xdr:nvSpPr>
      <xdr:spPr>
        <a:xfrm>
          <a:off x="1790475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42" name="Rectangle 41">
          <a:extLst>
            <a:ext uri="{FF2B5EF4-FFF2-40B4-BE49-F238E27FC236}">
              <a16:creationId xmlns:a16="http://schemas.microsoft.com/office/drawing/2014/main" id="{00000000-0008-0000-2C00-00002A000000}"/>
            </a:ext>
          </a:extLst>
        </xdr:cNvPr>
        <xdr:cNvSpPr/>
      </xdr:nvSpPr>
      <xdr:spPr>
        <a:xfrm>
          <a:off x="1601077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43" name="Straight Connector 42">
          <a:extLst>
            <a:ext uri="{FF2B5EF4-FFF2-40B4-BE49-F238E27FC236}">
              <a16:creationId xmlns:a16="http://schemas.microsoft.com/office/drawing/2014/main" id="{00000000-0008-0000-2C00-00002B000000}"/>
            </a:ext>
          </a:extLst>
        </xdr:cNvPr>
        <xdr:cNvCxnSpPr/>
      </xdr:nvCxnSpPr>
      <xdr:spPr>
        <a:xfrm>
          <a:off x="1603918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44" name="Rectangle 43">
          <a:hlinkClick xmlns:r="http://schemas.openxmlformats.org/officeDocument/2006/relationships" r:id="rId20" tooltip="Incentive Rates &amp; Requirements"/>
          <a:extLst>
            <a:ext uri="{FF2B5EF4-FFF2-40B4-BE49-F238E27FC236}">
              <a16:creationId xmlns:a16="http://schemas.microsoft.com/office/drawing/2014/main" id="{00000000-0008-0000-2C00-00002C000000}"/>
            </a:ext>
          </a:extLst>
        </xdr:cNvPr>
        <xdr:cNvSpPr/>
      </xdr:nvSpPr>
      <xdr:spPr>
        <a:xfrm>
          <a:off x="1605662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45" name="Rectangle 44">
          <a:hlinkClick xmlns:r="http://schemas.openxmlformats.org/officeDocument/2006/relationships" r:id="rId21" tooltip=" "/>
          <a:extLst>
            <a:ext uri="{FF2B5EF4-FFF2-40B4-BE49-F238E27FC236}">
              <a16:creationId xmlns:a16="http://schemas.microsoft.com/office/drawing/2014/main" id="{00000000-0008-0000-2C00-00002D000000}"/>
            </a:ext>
          </a:extLst>
        </xdr:cNvPr>
        <xdr:cNvSpPr/>
      </xdr:nvSpPr>
      <xdr:spPr>
        <a:xfrm>
          <a:off x="1351410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293594</xdr:colOff>
      <xdr:row>0</xdr:row>
      <xdr:rowOff>6723</xdr:rowOff>
    </xdr:from>
    <xdr:to>
      <xdr:col>43</xdr:col>
      <xdr:colOff>2241</xdr:colOff>
      <xdr:row>3</xdr:row>
      <xdr:rowOff>6723</xdr:rowOff>
    </xdr:to>
    <xdr:sp macro="" textlink="">
      <xdr:nvSpPr>
        <xdr:cNvPr id="46" name="Rectangle 45">
          <a:hlinkClick xmlns:r="http://schemas.openxmlformats.org/officeDocument/2006/relationships" r:id="rId22" tooltip=" "/>
          <a:extLst>
            <a:ext uri="{FF2B5EF4-FFF2-40B4-BE49-F238E27FC236}">
              <a16:creationId xmlns:a16="http://schemas.microsoft.com/office/drawing/2014/main" id="{00000000-0008-0000-2C00-00002E000000}"/>
            </a:ext>
          </a:extLst>
        </xdr:cNvPr>
        <xdr:cNvSpPr/>
      </xdr:nvSpPr>
      <xdr:spPr>
        <a:xfrm>
          <a:off x="122411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54</xdr:col>
      <xdr:colOff>142875</xdr:colOff>
      <xdr:row>9</xdr:row>
      <xdr:rowOff>0</xdr:rowOff>
    </xdr:from>
    <xdr:to>
      <xdr:col>56</xdr:col>
      <xdr:colOff>45697</xdr:colOff>
      <xdr:row>11</xdr:row>
      <xdr:rowOff>8068</xdr:rowOff>
    </xdr:to>
    <xdr:sp macro="" textlink="">
      <xdr:nvSpPr>
        <xdr:cNvPr id="3" name="Arrow: Right 2">
          <a:hlinkClick xmlns:r="http://schemas.openxmlformats.org/officeDocument/2006/relationships" r:id="rId1" tooltip="Forward: Terms &amp; Conditions"/>
          <a:extLst>
            <a:ext uri="{FF2B5EF4-FFF2-40B4-BE49-F238E27FC236}">
              <a16:creationId xmlns:a16="http://schemas.microsoft.com/office/drawing/2014/main" id="{00000000-0008-0000-2D00-000003000000}"/>
            </a:ext>
          </a:extLst>
        </xdr:cNvPr>
        <xdr:cNvSpPr/>
      </xdr:nvSpPr>
      <xdr:spPr>
        <a:xfrm>
          <a:off x="16602075" y="1800225"/>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8</xdr:row>
      <xdr:rowOff>191957</xdr:rowOff>
    </xdr:from>
    <xdr:to>
      <xdr:col>2</xdr:col>
      <xdr:colOff>203948</xdr:colOff>
      <xdr:row>11</xdr:row>
      <xdr:rowOff>0</xdr:rowOff>
    </xdr:to>
    <xdr:sp macro="" textlink="">
      <xdr:nvSpPr>
        <xdr:cNvPr id="57" name="Arrow: Left 56">
          <a:hlinkClick xmlns:r="http://schemas.openxmlformats.org/officeDocument/2006/relationships" r:id="rId2" tooltip="Back: Payment"/>
          <a:extLst>
            <a:ext uri="{FF2B5EF4-FFF2-40B4-BE49-F238E27FC236}">
              <a16:creationId xmlns:a16="http://schemas.microsoft.com/office/drawing/2014/main" id="{00000000-0008-0000-2D00-000039000000}"/>
            </a:ext>
          </a:extLst>
        </xdr:cNvPr>
        <xdr:cNvSpPr/>
      </xdr:nvSpPr>
      <xdr:spPr>
        <a:xfrm>
          <a:off x="304800" y="1792157"/>
          <a:ext cx="508748"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48</xdr:col>
      <xdr:colOff>11907</xdr:colOff>
      <xdr:row>18</xdr:row>
      <xdr:rowOff>35718</xdr:rowOff>
    </xdr:from>
    <xdr:to>
      <xdr:col>51</xdr:col>
      <xdr:colOff>20797</xdr:colOff>
      <xdr:row>20</xdr:row>
      <xdr:rowOff>285273</xdr:rowOff>
    </xdr:to>
    <xdr:pic>
      <xdr:nvPicPr>
        <xdr:cNvPr id="58" name="Graphic 5" descr="Questions">
          <a:extLst>
            <a:ext uri="{FF2B5EF4-FFF2-40B4-BE49-F238E27FC236}">
              <a16:creationId xmlns:a16="http://schemas.microsoft.com/office/drawing/2014/main" id="{00000000-0008-0000-2D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4870907" y="3738562"/>
          <a:ext cx="914400" cy="914400"/>
        </a:xfrm>
        <a:prstGeom prst="rect">
          <a:avLst/>
        </a:prstGeom>
      </xdr:spPr>
    </xdr:pic>
    <xdr:clientData/>
  </xdr:twoCellAnchor>
  <xdr:twoCellAnchor>
    <xdr:from>
      <xdr:col>0</xdr:col>
      <xdr:colOff>0</xdr:colOff>
      <xdr:row>0</xdr:row>
      <xdr:rowOff>0</xdr:rowOff>
    </xdr:from>
    <xdr:to>
      <xdr:col>4</xdr:col>
      <xdr:colOff>251013</xdr:colOff>
      <xdr:row>2</xdr:row>
      <xdr:rowOff>161363</xdr:rowOff>
    </xdr:to>
    <xdr:sp macro="" textlink="">
      <xdr:nvSpPr>
        <xdr:cNvPr id="13" name="Rectangle 12">
          <a:extLst>
            <a:ext uri="{FF2B5EF4-FFF2-40B4-BE49-F238E27FC236}">
              <a16:creationId xmlns:a16="http://schemas.microsoft.com/office/drawing/2014/main" id="{00000000-0008-0000-2D00-00000D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4" name="Rectangle 13">
          <a:hlinkClick xmlns:r="http://schemas.openxmlformats.org/officeDocument/2006/relationships" r:id="rId5" tooltip="Welcome"/>
          <a:extLst>
            <a:ext uri="{FF2B5EF4-FFF2-40B4-BE49-F238E27FC236}">
              <a16:creationId xmlns:a16="http://schemas.microsoft.com/office/drawing/2014/main" id="{00000000-0008-0000-2D00-00000E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5" name="Rectangle 14">
          <a:hlinkClick xmlns:r="http://schemas.openxmlformats.org/officeDocument/2006/relationships" r:id="rId6" tooltip="Instructions"/>
          <a:extLst>
            <a:ext uri="{FF2B5EF4-FFF2-40B4-BE49-F238E27FC236}">
              <a16:creationId xmlns:a16="http://schemas.microsoft.com/office/drawing/2014/main" id="{00000000-0008-0000-2D00-00000F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21" name="Rectangle 20">
          <a:extLst>
            <a:ext uri="{FF2B5EF4-FFF2-40B4-BE49-F238E27FC236}">
              <a16:creationId xmlns:a16="http://schemas.microsoft.com/office/drawing/2014/main" id="{00000000-0008-0000-2D00-000015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2" name="Straight Connector 21">
          <a:extLst>
            <a:ext uri="{FF2B5EF4-FFF2-40B4-BE49-F238E27FC236}">
              <a16:creationId xmlns:a16="http://schemas.microsoft.com/office/drawing/2014/main" id="{00000000-0008-0000-2D00-000016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284176</xdr:colOff>
      <xdr:row>2</xdr:row>
      <xdr:rowOff>54347</xdr:rowOff>
    </xdr:to>
    <xdr:pic>
      <xdr:nvPicPr>
        <xdr:cNvPr id="23" name="Picture 22">
          <a:extLst>
            <a:ext uri="{FF2B5EF4-FFF2-40B4-BE49-F238E27FC236}">
              <a16:creationId xmlns:a16="http://schemas.microsoft.com/office/drawing/2014/main" id="{00000000-0008-0000-2D00-00001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25" name="Straight Connector 24">
          <a:extLst>
            <a:ext uri="{FF2B5EF4-FFF2-40B4-BE49-F238E27FC236}">
              <a16:creationId xmlns:a16="http://schemas.microsoft.com/office/drawing/2014/main" id="{00000000-0008-0000-2D00-000019000000}"/>
            </a:ext>
          </a:extLst>
        </xdr:cNvPr>
        <xdr:cNvCxnSpPr/>
      </xdr:nvCxnSpPr>
      <xdr:spPr>
        <a:xfrm>
          <a:off x="2737057" y="100293"/>
          <a:ext cx="11767"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268941</xdr:colOff>
      <xdr:row>21</xdr:row>
      <xdr:rowOff>11205</xdr:rowOff>
    </xdr:from>
    <xdr:to>
      <xdr:col>53</xdr:col>
      <xdr:colOff>11206</xdr:colOff>
      <xdr:row>22</xdr:row>
      <xdr:rowOff>56029</xdr:rowOff>
    </xdr:to>
    <xdr:sp macro="" textlink="">
      <xdr:nvSpPr>
        <xdr:cNvPr id="2" name="Rectangle 1">
          <a:hlinkClick xmlns:r="http://schemas.openxmlformats.org/officeDocument/2006/relationships" r:id="rId8" tooltip="OBR FAQ"/>
          <a:extLst>
            <a:ext uri="{FF2B5EF4-FFF2-40B4-BE49-F238E27FC236}">
              <a16:creationId xmlns:a16="http://schemas.microsoft.com/office/drawing/2014/main" id="{00000000-0008-0000-2D00-000002000000}"/>
            </a:ext>
          </a:extLst>
        </xdr:cNvPr>
        <xdr:cNvSpPr/>
      </xdr:nvSpPr>
      <xdr:spPr>
        <a:xfrm>
          <a:off x="13884088" y="4717676"/>
          <a:ext cx="2162736" cy="3361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100852</xdr:colOff>
      <xdr:row>24</xdr:row>
      <xdr:rowOff>100855</xdr:rowOff>
    </xdr:from>
    <xdr:to>
      <xdr:col>16</xdr:col>
      <xdr:colOff>257734</xdr:colOff>
      <xdr:row>26</xdr:row>
      <xdr:rowOff>112060</xdr:rowOff>
    </xdr:to>
    <xdr:grpSp>
      <xdr:nvGrpSpPr>
        <xdr:cNvPr id="33" name="Group 32">
          <a:extLst>
            <a:ext uri="{FF2B5EF4-FFF2-40B4-BE49-F238E27FC236}">
              <a16:creationId xmlns:a16="http://schemas.microsoft.com/office/drawing/2014/main" id="{00000000-0008-0000-2D00-000021000000}"/>
            </a:ext>
          </a:extLst>
        </xdr:cNvPr>
        <xdr:cNvGrpSpPr/>
      </xdr:nvGrpSpPr>
      <xdr:grpSpPr>
        <a:xfrm>
          <a:off x="4704602" y="5519522"/>
          <a:ext cx="463799" cy="455705"/>
          <a:chOff x="3014383" y="2084294"/>
          <a:chExt cx="526676" cy="537883"/>
        </a:xfrm>
      </xdr:grpSpPr>
      <xdr:pic>
        <xdr:nvPicPr>
          <xdr:cNvPr id="34" name="Graphic 33" descr="Exclamation mark">
            <a:extLst>
              <a:ext uri="{FF2B5EF4-FFF2-40B4-BE49-F238E27FC236}">
                <a16:creationId xmlns:a16="http://schemas.microsoft.com/office/drawing/2014/main" id="{00000000-0008-0000-2D00-000022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3087221" y="2162735"/>
            <a:ext cx="381000" cy="381000"/>
          </a:xfrm>
          <a:prstGeom prst="rect">
            <a:avLst/>
          </a:prstGeom>
        </xdr:spPr>
      </xdr:pic>
      <xdr:sp macro="" textlink="">
        <xdr:nvSpPr>
          <xdr:cNvPr id="35" name="Oval 34">
            <a:extLst>
              <a:ext uri="{FF2B5EF4-FFF2-40B4-BE49-F238E27FC236}">
                <a16:creationId xmlns:a16="http://schemas.microsoft.com/office/drawing/2014/main" id="{00000000-0008-0000-2D00-000023000000}"/>
              </a:ext>
            </a:extLst>
          </xdr:cNvPr>
          <xdr:cNvSpPr/>
        </xdr:nvSpPr>
        <xdr:spPr>
          <a:xfrm>
            <a:off x="3014383" y="2084294"/>
            <a:ext cx="526676" cy="537883"/>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60670</xdr:colOff>
      <xdr:row>0</xdr:row>
      <xdr:rowOff>103739</xdr:rowOff>
    </xdr:from>
    <xdr:to>
      <xdr:col>4</xdr:col>
      <xdr:colOff>178339</xdr:colOff>
      <xdr:row>2</xdr:row>
      <xdr:rowOff>85860</xdr:rowOff>
    </xdr:to>
    <xdr:pic>
      <xdr:nvPicPr>
        <xdr:cNvPr id="5" name="Picture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11"/>
        <a:stretch>
          <a:fillRect/>
        </a:stretch>
      </xdr:blipFill>
      <xdr:spPr>
        <a:xfrm>
          <a:off x="60670" y="103739"/>
          <a:ext cx="1390844" cy="381113"/>
        </a:xfrm>
        <a:prstGeom prst="rect">
          <a:avLst/>
        </a:prstGeom>
      </xdr:spPr>
    </xdr:pic>
    <xdr:clientData/>
  </xdr:twoCellAnchor>
  <xdr:twoCellAnchor editAs="oneCell">
    <xdr:from>
      <xdr:col>35</xdr:col>
      <xdr:colOff>235573</xdr:colOff>
      <xdr:row>29</xdr:row>
      <xdr:rowOff>78719</xdr:rowOff>
    </xdr:from>
    <xdr:to>
      <xdr:col>41</xdr:col>
      <xdr:colOff>228879</xdr:colOff>
      <xdr:row>32</xdr:row>
      <xdr:rowOff>92881</xdr:rowOff>
    </xdr:to>
    <xdr:pic>
      <xdr:nvPicPr>
        <xdr:cNvPr id="6" name="Picture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348073" y="6492219"/>
          <a:ext cx="1898306" cy="458662"/>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7" name="Arrow: Chevron 6">
          <a:hlinkClick xmlns:r="http://schemas.openxmlformats.org/officeDocument/2006/relationships" r:id="rId13" tooltip="Terms &amp; Conditions"/>
          <a:extLst>
            <a:ext uri="{FF2B5EF4-FFF2-40B4-BE49-F238E27FC236}">
              <a16:creationId xmlns:a16="http://schemas.microsoft.com/office/drawing/2014/main" id="{00000000-0008-0000-2D00-000007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8" name="Arrow: Chevron 7">
          <a:hlinkClick xmlns:r="http://schemas.openxmlformats.org/officeDocument/2006/relationships" r:id="rId14" tooltip="Project Information"/>
          <a:extLst>
            <a:ext uri="{FF2B5EF4-FFF2-40B4-BE49-F238E27FC236}">
              <a16:creationId xmlns:a16="http://schemas.microsoft.com/office/drawing/2014/main" id="{00000000-0008-0000-2D00-000008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9" name="Arrow: Chevron 39">
          <a:hlinkClick xmlns:r="http://schemas.openxmlformats.org/officeDocument/2006/relationships" r:id="rId15" tooltip="Customer Information"/>
          <a:extLst>
            <a:ext uri="{FF2B5EF4-FFF2-40B4-BE49-F238E27FC236}">
              <a16:creationId xmlns:a16="http://schemas.microsoft.com/office/drawing/2014/main" id="{00000000-0008-0000-2D00-000009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10" name="Arrow: Chevron 40">
          <a:hlinkClick xmlns:r="http://schemas.openxmlformats.org/officeDocument/2006/relationships" r:id="rId16" tooltip="Equipment Input"/>
          <a:extLst>
            <a:ext uri="{FF2B5EF4-FFF2-40B4-BE49-F238E27FC236}">
              <a16:creationId xmlns:a16="http://schemas.microsoft.com/office/drawing/2014/main" id="{00000000-0008-0000-2D00-00000A000000}"/>
            </a:ext>
          </a:extLst>
        </xdr:cNvPr>
        <xdr:cNvSpPr/>
      </xdr:nvSpPr>
      <xdr:spPr>
        <a:xfrm>
          <a:off x="6188077" y="859240"/>
          <a:ext cx="2153708"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11" name="Arrow: Chevron 10">
          <a:hlinkClick xmlns:r="http://schemas.openxmlformats.org/officeDocument/2006/relationships" r:id="rId17" tooltip="Payment"/>
          <a:extLst>
            <a:ext uri="{FF2B5EF4-FFF2-40B4-BE49-F238E27FC236}">
              <a16:creationId xmlns:a16="http://schemas.microsoft.com/office/drawing/2014/main" id="{00000000-0008-0000-2D00-00000B000000}"/>
            </a:ext>
          </a:extLst>
        </xdr:cNvPr>
        <xdr:cNvSpPr/>
      </xdr:nvSpPr>
      <xdr:spPr>
        <a:xfrm>
          <a:off x="10259482" y="874353"/>
          <a:ext cx="2313432"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12" name="Arrow: Chevron 11">
          <a:hlinkClick xmlns:r="http://schemas.openxmlformats.org/officeDocument/2006/relationships" r:id="rId18" tooltip="Project Review"/>
          <a:extLst>
            <a:ext uri="{FF2B5EF4-FFF2-40B4-BE49-F238E27FC236}">
              <a16:creationId xmlns:a16="http://schemas.microsoft.com/office/drawing/2014/main" id="{00000000-0008-0000-2D00-00000C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17" name="Arrow: Chevron 43">
          <a:hlinkClick xmlns:r="http://schemas.openxmlformats.org/officeDocument/2006/relationships" r:id="rId19" tooltip="Trade Ally / Contractor Information"/>
          <a:extLst>
            <a:ext uri="{FF2B5EF4-FFF2-40B4-BE49-F238E27FC236}">
              <a16:creationId xmlns:a16="http://schemas.microsoft.com/office/drawing/2014/main" id="{00000000-0008-0000-2D00-000011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27" name="Arrow: Chevron 26">
          <a:hlinkClick xmlns:r="http://schemas.openxmlformats.org/officeDocument/2006/relationships" r:id="rId20" tooltip="On-Bill Repayment"/>
          <a:extLst>
            <a:ext uri="{FF2B5EF4-FFF2-40B4-BE49-F238E27FC236}">
              <a16:creationId xmlns:a16="http://schemas.microsoft.com/office/drawing/2014/main" id="{00000000-0008-0000-2D00-00001B000000}"/>
            </a:ext>
          </a:extLst>
        </xdr:cNvPr>
        <xdr:cNvSpPr/>
      </xdr:nvSpPr>
      <xdr:spPr>
        <a:xfrm>
          <a:off x="12363450" y="874354"/>
          <a:ext cx="2304288" cy="63836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28" name="Arrow: Chevron 27">
          <a:hlinkClick xmlns:r="http://schemas.openxmlformats.org/officeDocument/2006/relationships" r:id="rId21" tooltip="Payment"/>
          <a:extLst>
            <a:ext uri="{FF2B5EF4-FFF2-40B4-BE49-F238E27FC236}">
              <a16:creationId xmlns:a16="http://schemas.microsoft.com/office/drawing/2014/main" id="{00000000-0008-0000-2D00-00001C000000}"/>
            </a:ext>
          </a:extLst>
        </xdr:cNvPr>
        <xdr:cNvSpPr/>
      </xdr:nvSpPr>
      <xdr:spPr>
        <a:xfrm>
          <a:off x="8154458" y="869949"/>
          <a:ext cx="2303907" cy="63201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cap="none" baseline="0">
              <a:solidFill>
                <a:schemeClr val="bg1"/>
              </a:solidFill>
              <a:latin typeface="Arial" panose="020B0604020202020204" pitchFamily="34" charset="0"/>
              <a:ea typeface="+mn-ea"/>
              <a:cs typeface="Arial" panose="020B0604020202020204" pitchFamily="34" charset="0"/>
            </a:rPr>
            <a:t>Union Information</a:t>
          </a:r>
          <a:r>
            <a:rPr lang="en-US" sz="1100" b="0" i="0" u="none" strike="noStrike" cap="none" baseline="0">
              <a:solidFill>
                <a:srgbClr val="142C41"/>
              </a:solidFill>
              <a:latin typeface="Arial" panose="020B0604020202020204" pitchFamily="34" charset="0"/>
              <a:ea typeface="+mn-ea"/>
              <a:cs typeface="Arial" panose="020B0604020202020204" pitchFamily="34" charset="0"/>
            </a:rPr>
            <a:t>on</a:t>
          </a:r>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29" name="Rectangle 28">
          <a:hlinkClick xmlns:r="http://schemas.openxmlformats.org/officeDocument/2006/relationships" r:id="rId22" tooltip="Contact"/>
          <a:extLst>
            <a:ext uri="{FF2B5EF4-FFF2-40B4-BE49-F238E27FC236}">
              <a16:creationId xmlns:a16="http://schemas.microsoft.com/office/drawing/2014/main" id="{00000000-0008-0000-2D00-00001D000000}"/>
            </a:ext>
          </a:extLst>
        </xdr:cNvPr>
        <xdr:cNvSpPr/>
      </xdr:nvSpPr>
      <xdr:spPr>
        <a:xfrm>
          <a:off x="1727610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30" name="Rectangle 29">
          <a:hlinkClick xmlns:r="http://schemas.openxmlformats.org/officeDocument/2006/relationships" r:id="rId22" tooltip="Contact"/>
          <a:extLst>
            <a:ext uri="{FF2B5EF4-FFF2-40B4-BE49-F238E27FC236}">
              <a16:creationId xmlns:a16="http://schemas.microsoft.com/office/drawing/2014/main" id="{00000000-0008-0000-2D00-00001E000000}"/>
            </a:ext>
          </a:extLst>
        </xdr:cNvPr>
        <xdr:cNvSpPr/>
      </xdr:nvSpPr>
      <xdr:spPr>
        <a:xfrm>
          <a:off x="1727610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31" name="Rectangle 30">
          <a:extLst>
            <a:ext uri="{FF2B5EF4-FFF2-40B4-BE49-F238E27FC236}">
              <a16:creationId xmlns:a16="http://schemas.microsoft.com/office/drawing/2014/main" id="{00000000-0008-0000-2D00-00001F000000}"/>
            </a:ext>
          </a:extLst>
        </xdr:cNvPr>
        <xdr:cNvSpPr/>
      </xdr:nvSpPr>
      <xdr:spPr>
        <a:xfrm>
          <a:off x="153821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291353</xdr:colOff>
      <xdr:row>0</xdr:row>
      <xdr:rowOff>0</xdr:rowOff>
    </xdr:from>
    <xdr:to>
      <xdr:col>57</xdr:col>
      <xdr:colOff>280147</xdr:colOff>
      <xdr:row>2</xdr:row>
      <xdr:rowOff>190500</xdr:rowOff>
    </xdr:to>
    <xdr:sp macro="" textlink="">
      <xdr:nvSpPr>
        <xdr:cNvPr id="36" name="Rectangle 35">
          <a:extLst>
            <a:ext uri="{FF2B5EF4-FFF2-40B4-BE49-F238E27FC236}">
              <a16:creationId xmlns:a16="http://schemas.microsoft.com/office/drawing/2014/main" id="{00000000-0008-0000-2D00-000024000000}"/>
            </a:ext>
          </a:extLst>
        </xdr:cNvPr>
        <xdr:cNvSpPr/>
      </xdr:nvSpPr>
      <xdr:spPr>
        <a:xfrm>
          <a:off x="16325103"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37" name="Rectangle 36">
          <a:hlinkClick xmlns:r="http://schemas.openxmlformats.org/officeDocument/2006/relationships" r:id="rId22" tooltip="Contact"/>
          <a:extLst>
            <a:ext uri="{FF2B5EF4-FFF2-40B4-BE49-F238E27FC236}">
              <a16:creationId xmlns:a16="http://schemas.microsoft.com/office/drawing/2014/main" id="{00000000-0008-0000-2D00-000025000000}"/>
            </a:ext>
          </a:extLst>
        </xdr:cNvPr>
        <xdr:cNvSpPr/>
      </xdr:nvSpPr>
      <xdr:spPr>
        <a:xfrm>
          <a:off x="1790475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38" name="Rectangle 37">
          <a:hlinkClick xmlns:r="http://schemas.openxmlformats.org/officeDocument/2006/relationships" r:id="rId23" tooltip=" "/>
          <a:extLst>
            <a:ext uri="{FF2B5EF4-FFF2-40B4-BE49-F238E27FC236}">
              <a16:creationId xmlns:a16="http://schemas.microsoft.com/office/drawing/2014/main" id="{00000000-0008-0000-2D00-000026000000}"/>
            </a:ext>
          </a:extLst>
        </xdr:cNvPr>
        <xdr:cNvSpPr/>
      </xdr:nvSpPr>
      <xdr:spPr>
        <a:xfrm>
          <a:off x="147557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39" name="Straight Connector 38">
          <a:extLst>
            <a:ext uri="{FF2B5EF4-FFF2-40B4-BE49-F238E27FC236}">
              <a16:creationId xmlns:a16="http://schemas.microsoft.com/office/drawing/2014/main" id="{00000000-0008-0000-2D00-000027000000}"/>
            </a:ext>
          </a:extLst>
        </xdr:cNvPr>
        <xdr:cNvCxnSpPr/>
      </xdr:nvCxnSpPr>
      <xdr:spPr>
        <a:xfrm>
          <a:off x="1791652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40" name="Rectangle 39">
          <a:hlinkClick xmlns:r="http://schemas.openxmlformats.org/officeDocument/2006/relationships" r:id="rId22" tooltip="Contact"/>
          <a:extLst>
            <a:ext uri="{FF2B5EF4-FFF2-40B4-BE49-F238E27FC236}">
              <a16:creationId xmlns:a16="http://schemas.microsoft.com/office/drawing/2014/main" id="{00000000-0008-0000-2D00-000028000000}"/>
            </a:ext>
          </a:extLst>
        </xdr:cNvPr>
        <xdr:cNvSpPr/>
      </xdr:nvSpPr>
      <xdr:spPr>
        <a:xfrm>
          <a:off x="1790475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41" name="Rectangle 40">
          <a:extLst>
            <a:ext uri="{FF2B5EF4-FFF2-40B4-BE49-F238E27FC236}">
              <a16:creationId xmlns:a16="http://schemas.microsoft.com/office/drawing/2014/main" id="{00000000-0008-0000-2D00-000029000000}"/>
            </a:ext>
          </a:extLst>
        </xdr:cNvPr>
        <xdr:cNvSpPr/>
      </xdr:nvSpPr>
      <xdr:spPr>
        <a:xfrm>
          <a:off x="1601077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42" name="Straight Connector 41">
          <a:extLst>
            <a:ext uri="{FF2B5EF4-FFF2-40B4-BE49-F238E27FC236}">
              <a16:creationId xmlns:a16="http://schemas.microsoft.com/office/drawing/2014/main" id="{00000000-0008-0000-2D00-00002A000000}"/>
            </a:ext>
          </a:extLst>
        </xdr:cNvPr>
        <xdr:cNvCxnSpPr/>
      </xdr:nvCxnSpPr>
      <xdr:spPr>
        <a:xfrm>
          <a:off x="1603918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43" name="Rectangle 42">
          <a:hlinkClick xmlns:r="http://schemas.openxmlformats.org/officeDocument/2006/relationships" r:id="rId24" tooltip="Incentive Rates &amp; Requirements"/>
          <a:extLst>
            <a:ext uri="{FF2B5EF4-FFF2-40B4-BE49-F238E27FC236}">
              <a16:creationId xmlns:a16="http://schemas.microsoft.com/office/drawing/2014/main" id="{00000000-0008-0000-2D00-00002B000000}"/>
            </a:ext>
          </a:extLst>
        </xdr:cNvPr>
        <xdr:cNvSpPr/>
      </xdr:nvSpPr>
      <xdr:spPr>
        <a:xfrm>
          <a:off x="1605662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44" name="Rectangle 43">
          <a:hlinkClick xmlns:r="http://schemas.openxmlformats.org/officeDocument/2006/relationships" r:id="rId25" tooltip=" "/>
          <a:extLst>
            <a:ext uri="{FF2B5EF4-FFF2-40B4-BE49-F238E27FC236}">
              <a16:creationId xmlns:a16="http://schemas.microsoft.com/office/drawing/2014/main" id="{00000000-0008-0000-2D00-00002C000000}"/>
            </a:ext>
          </a:extLst>
        </xdr:cNvPr>
        <xdr:cNvSpPr/>
      </xdr:nvSpPr>
      <xdr:spPr>
        <a:xfrm>
          <a:off x="1351410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293594</xdr:colOff>
      <xdr:row>0</xdr:row>
      <xdr:rowOff>6723</xdr:rowOff>
    </xdr:from>
    <xdr:to>
      <xdr:col>43</xdr:col>
      <xdr:colOff>2241</xdr:colOff>
      <xdr:row>3</xdr:row>
      <xdr:rowOff>6723</xdr:rowOff>
    </xdr:to>
    <xdr:sp macro="" textlink="">
      <xdr:nvSpPr>
        <xdr:cNvPr id="45" name="Rectangle 44">
          <a:hlinkClick xmlns:r="http://schemas.openxmlformats.org/officeDocument/2006/relationships" r:id="rId26" tooltip=" "/>
          <a:extLst>
            <a:ext uri="{FF2B5EF4-FFF2-40B4-BE49-F238E27FC236}">
              <a16:creationId xmlns:a16="http://schemas.microsoft.com/office/drawing/2014/main" id="{00000000-0008-0000-2D00-00002D000000}"/>
            </a:ext>
          </a:extLst>
        </xdr:cNvPr>
        <xdr:cNvSpPr/>
      </xdr:nvSpPr>
      <xdr:spPr>
        <a:xfrm>
          <a:off x="122411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22411</xdr:colOff>
      <xdr:row>14</xdr:row>
      <xdr:rowOff>100854</xdr:rowOff>
    </xdr:from>
    <xdr:to>
      <xdr:col>19</xdr:col>
      <xdr:colOff>280148</xdr:colOff>
      <xdr:row>15</xdr:row>
      <xdr:rowOff>156883</xdr:rowOff>
    </xdr:to>
    <xdr:sp macro="" textlink="">
      <xdr:nvSpPr>
        <xdr:cNvPr id="3" name="Rectangle 17">
          <a:hlinkClick xmlns:r="http://schemas.openxmlformats.org/officeDocument/2006/relationships" r:id="rId1" tooltip="Terms &amp; Conditions"/>
          <a:extLst>
            <a:ext uri="{FF2B5EF4-FFF2-40B4-BE49-F238E27FC236}">
              <a16:creationId xmlns:a16="http://schemas.microsoft.com/office/drawing/2014/main" id="{00000000-0008-0000-2E00-000003000000}"/>
            </a:ext>
          </a:extLst>
        </xdr:cNvPr>
        <xdr:cNvSpPr/>
      </xdr:nvSpPr>
      <xdr:spPr>
        <a:xfrm>
          <a:off x="3350558" y="2924736"/>
          <a:ext cx="2678208" cy="257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8</xdr:row>
      <xdr:rowOff>191957</xdr:rowOff>
    </xdr:from>
    <xdr:to>
      <xdr:col>2</xdr:col>
      <xdr:colOff>203947</xdr:colOff>
      <xdr:row>11</xdr:row>
      <xdr:rowOff>0</xdr:rowOff>
    </xdr:to>
    <xdr:sp macro="" textlink="">
      <xdr:nvSpPr>
        <xdr:cNvPr id="25" name="Arrow: Left 2">
          <a:hlinkClick xmlns:r="http://schemas.openxmlformats.org/officeDocument/2006/relationships" r:id="rId2" tooltip="Back: On-Bill Payment"/>
          <a:extLst>
            <a:ext uri="{FF2B5EF4-FFF2-40B4-BE49-F238E27FC236}">
              <a16:creationId xmlns:a16="http://schemas.microsoft.com/office/drawing/2014/main" id="{00000000-0008-0000-2E00-000019000000}"/>
            </a:ext>
          </a:extLst>
        </xdr:cNvPr>
        <xdr:cNvSpPr/>
      </xdr:nvSpPr>
      <xdr:spPr>
        <a:xfrm>
          <a:off x="304800" y="1792157"/>
          <a:ext cx="508747"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173378</xdr:colOff>
      <xdr:row>8</xdr:row>
      <xdr:rowOff>191957</xdr:rowOff>
    </xdr:from>
    <xdr:to>
      <xdr:col>56</xdr:col>
      <xdr:colOff>76200</xdr:colOff>
      <xdr:row>11</xdr:row>
      <xdr:rowOff>0</xdr:rowOff>
    </xdr:to>
    <xdr:sp macro="" textlink="">
      <xdr:nvSpPr>
        <xdr:cNvPr id="65" name="Arrow: Right 64">
          <a:hlinkClick xmlns:r="http://schemas.openxmlformats.org/officeDocument/2006/relationships" r:id="rId3" tooltip="Forward: Project Review"/>
          <a:extLst>
            <a:ext uri="{FF2B5EF4-FFF2-40B4-BE49-F238E27FC236}">
              <a16:creationId xmlns:a16="http://schemas.microsoft.com/office/drawing/2014/main" id="{00000000-0008-0000-2E00-000041000000}"/>
            </a:ext>
          </a:extLst>
        </xdr:cNvPr>
        <xdr:cNvSpPr/>
      </xdr:nvSpPr>
      <xdr:spPr>
        <a:xfrm>
          <a:off x="16632578" y="1792157"/>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13" name="Rectangle 12">
          <a:extLst>
            <a:ext uri="{FF2B5EF4-FFF2-40B4-BE49-F238E27FC236}">
              <a16:creationId xmlns:a16="http://schemas.microsoft.com/office/drawing/2014/main" id="{00000000-0008-0000-2E00-00000D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4" name="Rectangle 13">
          <a:hlinkClick xmlns:r="http://schemas.openxmlformats.org/officeDocument/2006/relationships" r:id="rId4" tooltip="Welcome"/>
          <a:extLst>
            <a:ext uri="{FF2B5EF4-FFF2-40B4-BE49-F238E27FC236}">
              <a16:creationId xmlns:a16="http://schemas.microsoft.com/office/drawing/2014/main" id="{00000000-0008-0000-2E00-00000E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5" name="Rectangle 14">
          <a:hlinkClick xmlns:r="http://schemas.openxmlformats.org/officeDocument/2006/relationships" r:id="rId5" tooltip="Instructions"/>
          <a:extLst>
            <a:ext uri="{FF2B5EF4-FFF2-40B4-BE49-F238E27FC236}">
              <a16:creationId xmlns:a16="http://schemas.microsoft.com/office/drawing/2014/main" id="{00000000-0008-0000-2E00-00000F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2" name="Straight Connector 21">
          <a:extLst>
            <a:ext uri="{FF2B5EF4-FFF2-40B4-BE49-F238E27FC236}">
              <a16:creationId xmlns:a16="http://schemas.microsoft.com/office/drawing/2014/main" id="{00000000-0008-0000-2E00-000016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292431</xdr:colOff>
      <xdr:row>2</xdr:row>
      <xdr:rowOff>54347</xdr:rowOff>
    </xdr:to>
    <xdr:pic>
      <xdr:nvPicPr>
        <xdr:cNvPr id="23" name="Picture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26" name="Straight Connector 25">
          <a:extLst>
            <a:ext uri="{FF2B5EF4-FFF2-40B4-BE49-F238E27FC236}">
              <a16:creationId xmlns:a16="http://schemas.microsoft.com/office/drawing/2014/main" id="{00000000-0008-0000-2E00-00001A000000}"/>
            </a:ext>
          </a:extLst>
        </xdr:cNvPr>
        <xdr:cNvCxnSpPr/>
      </xdr:nvCxnSpPr>
      <xdr:spPr>
        <a:xfrm>
          <a:off x="2737057" y="100293"/>
          <a:ext cx="11767"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60670</xdr:colOff>
      <xdr:row>0</xdr:row>
      <xdr:rowOff>114322</xdr:rowOff>
    </xdr:from>
    <xdr:to>
      <xdr:col>4</xdr:col>
      <xdr:colOff>178339</xdr:colOff>
      <xdr:row>2</xdr:row>
      <xdr:rowOff>93268</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7"/>
        <a:stretch>
          <a:fillRect/>
        </a:stretch>
      </xdr:blipFill>
      <xdr:spPr>
        <a:xfrm>
          <a:off x="60670" y="114322"/>
          <a:ext cx="1390844" cy="381113"/>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4" name="Arrow: Chevron 3">
          <a:hlinkClick xmlns:r="http://schemas.openxmlformats.org/officeDocument/2006/relationships" r:id="rId8" tooltip="Terms &amp; Conditions"/>
          <a:extLst>
            <a:ext uri="{FF2B5EF4-FFF2-40B4-BE49-F238E27FC236}">
              <a16:creationId xmlns:a16="http://schemas.microsoft.com/office/drawing/2014/main" id="{00000000-0008-0000-2E00-000004000000}"/>
            </a:ext>
          </a:extLst>
        </xdr:cNvPr>
        <xdr:cNvSpPr/>
      </xdr:nvSpPr>
      <xdr:spPr>
        <a:xfrm>
          <a:off x="14484350" y="865046"/>
          <a:ext cx="2011680" cy="650628"/>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5" name="Arrow: Chevron 4">
          <a:hlinkClick xmlns:r="http://schemas.openxmlformats.org/officeDocument/2006/relationships" r:id="rId9" tooltip="Project Information"/>
          <a:extLst>
            <a:ext uri="{FF2B5EF4-FFF2-40B4-BE49-F238E27FC236}">
              <a16:creationId xmlns:a16="http://schemas.microsoft.com/office/drawing/2014/main" id="{00000000-0008-0000-2E00-000005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6" name="Arrow: Chevron 39">
          <a:hlinkClick xmlns:r="http://schemas.openxmlformats.org/officeDocument/2006/relationships" r:id="rId10" tooltip="Customer Information"/>
          <a:extLst>
            <a:ext uri="{FF2B5EF4-FFF2-40B4-BE49-F238E27FC236}">
              <a16:creationId xmlns:a16="http://schemas.microsoft.com/office/drawing/2014/main" id="{00000000-0008-0000-2E00-000006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7" name="Arrow: Chevron 40">
          <a:hlinkClick xmlns:r="http://schemas.openxmlformats.org/officeDocument/2006/relationships" r:id="rId11" tooltip="Equipment Input"/>
          <a:extLst>
            <a:ext uri="{FF2B5EF4-FFF2-40B4-BE49-F238E27FC236}">
              <a16:creationId xmlns:a16="http://schemas.microsoft.com/office/drawing/2014/main" id="{00000000-0008-0000-2E00-000007000000}"/>
            </a:ext>
          </a:extLst>
        </xdr:cNvPr>
        <xdr:cNvSpPr/>
      </xdr:nvSpPr>
      <xdr:spPr>
        <a:xfrm>
          <a:off x="6188077" y="859240"/>
          <a:ext cx="2153708"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8" name="Arrow: Chevron 7">
          <a:hlinkClick xmlns:r="http://schemas.openxmlformats.org/officeDocument/2006/relationships" r:id="rId12" tooltip="Payment"/>
          <a:extLst>
            <a:ext uri="{FF2B5EF4-FFF2-40B4-BE49-F238E27FC236}">
              <a16:creationId xmlns:a16="http://schemas.microsoft.com/office/drawing/2014/main" id="{00000000-0008-0000-2E00-000008000000}"/>
            </a:ext>
          </a:extLst>
        </xdr:cNvPr>
        <xdr:cNvSpPr/>
      </xdr:nvSpPr>
      <xdr:spPr>
        <a:xfrm>
          <a:off x="10259482" y="874353"/>
          <a:ext cx="2313432"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9" name="Arrow: Chevron 8">
          <a:hlinkClick xmlns:r="http://schemas.openxmlformats.org/officeDocument/2006/relationships" r:id="rId13" tooltip="Project Review"/>
          <a:extLst>
            <a:ext uri="{FF2B5EF4-FFF2-40B4-BE49-F238E27FC236}">
              <a16:creationId xmlns:a16="http://schemas.microsoft.com/office/drawing/2014/main" id="{00000000-0008-0000-2E00-000009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10" name="Arrow: Chevron 43">
          <a:hlinkClick xmlns:r="http://schemas.openxmlformats.org/officeDocument/2006/relationships" r:id="rId14" tooltip="Trade Ally / Contractor Information"/>
          <a:extLst>
            <a:ext uri="{FF2B5EF4-FFF2-40B4-BE49-F238E27FC236}">
              <a16:creationId xmlns:a16="http://schemas.microsoft.com/office/drawing/2014/main" id="{00000000-0008-0000-2E00-00000A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1" name="Arrow: Chevron 10">
          <a:hlinkClick xmlns:r="http://schemas.openxmlformats.org/officeDocument/2006/relationships" r:id="rId2" tooltip="On-Bill Repayment"/>
          <a:extLst>
            <a:ext uri="{FF2B5EF4-FFF2-40B4-BE49-F238E27FC236}">
              <a16:creationId xmlns:a16="http://schemas.microsoft.com/office/drawing/2014/main" id="{00000000-0008-0000-2E00-00000B000000}"/>
            </a:ext>
          </a:extLst>
        </xdr:cNvPr>
        <xdr:cNvSpPr/>
      </xdr:nvSpPr>
      <xdr:spPr>
        <a:xfrm>
          <a:off x="12363450" y="874354"/>
          <a:ext cx="2304288"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On-Bill Repayment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12" name="Arrow: Chevron 11">
          <a:hlinkClick xmlns:r="http://schemas.openxmlformats.org/officeDocument/2006/relationships" r:id="rId15" tooltip="Payment"/>
          <a:extLst>
            <a:ext uri="{FF2B5EF4-FFF2-40B4-BE49-F238E27FC236}">
              <a16:creationId xmlns:a16="http://schemas.microsoft.com/office/drawing/2014/main" id="{00000000-0008-0000-2E00-00000C000000}"/>
            </a:ext>
          </a:extLst>
        </xdr:cNvPr>
        <xdr:cNvSpPr/>
      </xdr:nvSpPr>
      <xdr:spPr>
        <a:xfrm>
          <a:off x="8154458" y="869949"/>
          <a:ext cx="2303907" cy="63201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cap="none" baseline="0">
              <a:solidFill>
                <a:schemeClr val="bg1"/>
              </a:solidFill>
              <a:latin typeface="Arial" panose="020B0604020202020204" pitchFamily="34" charset="0"/>
              <a:ea typeface="+mn-ea"/>
              <a:cs typeface="Arial" panose="020B0604020202020204" pitchFamily="34" charset="0"/>
            </a:rPr>
            <a:t>Union Information</a:t>
          </a:r>
          <a:r>
            <a:rPr lang="en-US" sz="1100" b="0" i="0" u="none" strike="noStrike" cap="none" baseline="0">
              <a:solidFill>
                <a:srgbClr val="142C41"/>
              </a:solidFill>
              <a:latin typeface="Arial" panose="020B0604020202020204" pitchFamily="34" charset="0"/>
              <a:ea typeface="+mn-ea"/>
              <a:cs typeface="Arial" panose="020B0604020202020204" pitchFamily="34" charset="0"/>
            </a:rPr>
            <a:t>on</a:t>
          </a:r>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17" name="Rectangle 16">
          <a:hlinkClick xmlns:r="http://schemas.openxmlformats.org/officeDocument/2006/relationships" r:id="rId16" tooltip="Contact"/>
          <a:extLst>
            <a:ext uri="{FF2B5EF4-FFF2-40B4-BE49-F238E27FC236}">
              <a16:creationId xmlns:a16="http://schemas.microsoft.com/office/drawing/2014/main" id="{00000000-0008-0000-2E00-000011000000}"/>
            </a:ext>
          </a:extLst>
        </xdr:cNvPr>
        <xdr:cNvSpPr/>
      </xdr:nvSpPr>
      <xdr:spPr>
        <a:xfrm>
          <a:off x="1727610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30" name="Rectangle 29">
          <a:hlinkClick xmlns:r="http://schemas.openxmlformats.org/officeDocument/2006/relationships" r:id="rId16" tooltip="Contact"/>
          <a:extLst>
            <a:ext uri="{FF2B5EF4-FFF2-40B4-BE49-F238E27FC236}">
              <a16:creationId xmlns:a16="http://schemas.microsoft.com/office/drawing/2014/main" id="{00000000-0008-0000-2E00-00001E000000}"/>
            </a:ext>
          </a:extLst>
        </xdr:cNvPr>
        <xdr:cNvSpPr/>
      </xdr:nvSpPr>
      <xdr:spPr>
        <a:xfrm>
          <a:off x="1727610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31" name="Rectangle 30">
          <a:extLst>
            <a:ext uri="{FF2B5EF4-FFF2-40B4-BE49-F238E27FC236}">
              <a16:creationId xmlns:a16="http://schemas.microsoft.com/office/drawing/2014/main" id="{00000000-0008-0000-2E00-00001F000000}"/>
            </a:ext>
          </a:extLst>
        </xdr:cNvPr>
        <xdr:cNvSpPr/>
      </xdr:nvSpPr>
      <xdr:spPr>
        <a:xfrm>
          <a:off x="153821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291353</xdr:colOff>
      <xdr:row>0</xdr:row>
      <xdr:rowOff>0</xdr:rowOff>
    </xdr:from>
    <xdr:to>
      <xdr:col>57</xdr:col>
      <xdr:colOff>280147</xdr:colOff>
      <xdr:row>2</xdr:row>
      <xdr:rowOff>190500</xdr:rowOff>
    </xdr:to>
    <xdr:sp macro="" textlink="">
      <xdr:nvSpPr>
        <xdr:cNvPr id="32" name="Rectangle 31">
          <a:extLst>
            <a:ext uri="{FF2B5EF4-FFF2-40B4-BE49-F238E27FC236}">
              <a16:creationId xmlns:a16="http://schemas.microsoft.com/office/drawing/2014/main" id="{00000000-0008-0000-2E00-000020000000}"/>
            </a:ext>
          </a:extLst>
        </xdr:cNvPr>
        <xdr:cNvSpPr/>
      </xdr:nvSpPr>
      <xdr:spPr>
        <a:xfrm>
          <a:off x="16325103"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33" name="Rectangle 32">
          <a:hlinkClick xmlns:r="http://schemas.openxmlformats.org/officeDocument/2006/relationships" r:id="rId16" tooltip="Contact"/>
          <a:extLst>
            <a:ext uri="{FF2B5EF4-FFF2-40B4-BE49-F238E27FC236}">
              <a16:creationId xmlns:a16="http://schemas.microsoft.com/office/drawing/2014/main" id="{00000000-0008-0000-2E00-000021000000}"/>
            </a:ext>
          </a:extLst>
        </xdr:cNvPr>
        <xdr:cNvSpPr/>
      </xdr:nvSpPr>
      <xdr:spPr>
        <a:xfrm>
          <a:off x="1790475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34" name="Rectangle 33">
          <a:hlinkClick xmlns:r="http://schemas.openxmlformats.org/officeDocument/2006/relationships" r:id="rId17" tooltip=" "/>
          <a:extLst>
            <a:ext uri="{FF2B5EF4-FFF2-40B4-BE49-F238E27FC236}">
              <a16:creationId xmlns:a16="http://schemas.microsoft.com/office/drawing/2014/main" id="{00000000-0008-0000-2E00-000022000000}"/>
            </a:ext>
          </a:extLst>
        </xdr:cNvPr>
        <xdr:cNvSpPr/>
      </xdr:nvSpPr>
      <xdr:spPr>
        <a:xfrm>
          <a:off x="147557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35" name="Straight Connector 34">
          <a:extLst>
            <a:ext uri="{FF2B5EF4-FFF2-40B4-BE49-F238E27FC236}">
              <a16:creationId xmlns:a16="http://schemas.microsoft.com/office/drawing/2014/main" id="{00000000-0008-0000-2E00-000023000000}"/>
            </a:ext>
          </a:extLst>
        </xdr:cNvPr>
        <xdr:cNvCxnSpPr/>
      </xdr:nvCxnSpPr>
      <xdr:spPr>
        <a:xfrm>
          <a:off x="1791652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36" name="Rectangle 35">
          <a:hlinkClick xmlns:r="http://schemas.openxmlformats.org/officeDocument/2006/relationships" r:id="rId16" tooltip="Contact"/>
          <a:extLst>
            <a:ext uri="{FF2B5EF4-FFF2-40B4-BE49-F238E27FC236}">
              <a16:creationId xmlns:a16="http://schemas.microsoft.com/office/drawing/2014/main" id="{00000000-0008-0000-2E00-000024000000}"/>
            </a:ext>
          </a:extLst>
        </xdr:cNvPr>
        <xdr:cNvSpPr/>
      </xdr:nvSpPr>
      <xdr:spPr>
        <a:xfrm>
          <a:off x="1790475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37" name="Rectangle 36">
          <a:extLst>
            <a:ext uri="{FF2B5EF4-FFF2-40B4-BE49-F238E27FC236}">
              <a16:creationId xmlns:a16="http://schemas.microsoft.com/office/drawing/2014/main" id="{00000000-0008-0000-2E00-000025000000}"/>
            </a:ext>
          </a:extLst>
        </xdr:cNvPr>
        <xdr:cNvSpPr/>
      </xdr:nvSpPr>
      <xdr:spPr>
        <a:xfrm>
          <a:off x="1601077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38" name="Straight Connector 37">
          <a:extLst>
            <a:ext uri="{FF2B5EF4-FFF2-40B4-BE49-F238E27FC236}">
              <a16:creationId xmlns:a16="http://schemas.microsoft.com/office/drawing/2014/main" id="{00000000-0008-0000-2E00-000026000000}"/>
            </a:ext>
          </a:extLst>
        </xdr:cNvPr>
        <xdr:cNvCxnSpPr/>
      </xdr:nvCxnSpPr>
      <xdr:spPr>
        <a:xfrm>
          <a:off x="1603918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39" name="Rectangle 38">
          <a:hlinkClick xmlns:r="http://schemas.openxmlformats.org/officeDocument/2006/relationships" r:id="rId18" tooltip="Incentive Rates &amp; Requirements"/>
          <a:extLst>
            <a:ext uri="{FF2B5EF4-FFF2-40B4-BE49-F238E27FC236}">
              <a16:creationId xmlns:a16="http://schemas.microsoft.com/office/drawing/2014/main" id="{00000000-0008-0000-2E00-000027000000}"/>
            </a:ext>
          </a:extLst>
        </xdr:cNvPr>
        <xdr:cNvSpPr/>
      </xdr:nvSpPr>
      <xdr:spPr>
        <a:xfrm>
          <a:off x="1605662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40" name="Rectangle 39">
          <a:hlinkClick xmlns:r="http://schemas.openxmlformats.org/officeDocument/2006/relationships" r:id="rId19" tooltip=" "/>
          <a:extLst>
            <a:ext uri="{FF2B5EF4-FFF2-40B4-BE49-F238E27FC236}">
              <a16:creationId xmlns:a16="http://schemas.microsoft.com/office/drawing/2014/main" id="{00000000-0008-0000-2E00-000028000000}"/>
            </a:ext>
          </a:extLst>
        </xdr:cNvPr>
        <xdr:cNvSpPr/>
      </xdr:nvSpPr>
      <xdr:spPr>
        <a:xfrm>
          <a:off x="1351410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293594</xdr:colOff>
      <xdr:row>0</xdr:row>
      <xdr:rowOff>6723</xdr:rowOff>
    </xdr:from>
    <xdr:to>
      <xdr:col>43</xdr:col>
      <xdr:colOff>2241</xdr:colOff>
      <xdr:row>3</xdr:row>
      <xdr:rowOff>6723</xdr:rowOff>
    </xdr:to>
    <xdr:sp macro="" textlink="">
      <xdr:nvSpPr>
        <xdr:cNvPr id="41" name="Rectangle 40">
          <a:hlinkClick xmlns:r="http://schemas.openxmlformats.org/officeDocument/2006/relationships" r:id="rId20" tooltip=" "/>
          <a:extLst>
            <a:ext uri="{FF2B5EF4-FFF2-40B4-BE49-F238E27FC236}">
              <a16:creationId xmlns:a16="http://schemas.microsoft.com/office/drawing/2014/main" id="{00000000-0008-0000-2E00-000029000000}"/>
            </a:ext>
          </a:extLst>
        </xdr:cNvPr>
        <xdr:cNvSpPr/>
      </xdr:nvSpPr>
      <xdr:spPr>
        <a:xfrm>
          <a:off x="122411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8</xdr:row>
      <xdr:rowOff>191957</xdr:rowOff>
    </xdr:from>
    <xdr:to>
      <xdr:col>2</xdr:col>
      <xdr:colOff>201706</xdr:colOff>
      <xdr:row>11</xdr:row>
      <xdr:rowOff>0</xdr:rowOff>
    </xdr:to>
    <xdr:sp macro="" textlink="">
      <xdr:nvSpPr>
        <xdr:cNvPr id="167" name="Arrow: Left 15">
          <a:hlinkClick xmlns:r="http://schemas.openxmlformats.org/officeDocument/2006/relationships" r:id="rId1" tooltip="Back: Terms &amp; Condtions"/>
          <a:extLst>
            <a:ext uri="{FF2B5EF4-FFF2-40B4-BE49-F238E27FC236}">
              <a16:creationId xmlns:a16="http://schemas.microsoft.com/office/drawing/2014/main" id="{00000000-0008-0000-2F00-0000A7000000}"/>
            </a:ext>
          </a:extLst>
        </xdr:cNvPr>
        <xdr:cNvSpPr/>
      </xdr:nvSpPr>
      <xdr:spPr>
        <a:xfrm>
          <a:off x="304800" y="1792157"/>
          <a:ext cx="506506" cy="408118"/>
        </a:xfrm>
        <a:prstGeom prst="leftArrow">
          <a:avLst/>
        </a:prstGeom>
        <a:solidFill>
          <a:srgbClr val="0079C1"/>
        </a:solidFill>
        <a:ln>
          <a:solidFill>
            <a:srgbClr val="007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235323</xdr:colOff>
      <xdr:row>73</xdr:row>
      <xdr:rowOff>0</xdr:rowOff>
    </xdr:from>
    <xdr:to>
      <xdr:col>29</xdr:col>
      <xdr:colOff>302558</xdr:colOff>
      <xdr:row>74</xdr:row>
      <xdr:rowOff>0</xdr:rowOff>
    </xdr:to>
    <xdr:sp macro="" textlink="">
      <xdr:nvSpPr>
        <xdr:cNvPr id="35" name="Rectangle 4">
          <a:hlinkClick xmlns:r="http://schemas.openxmlformats.org/officeDocument/2006/relationships" r:id="rId2" tooltip="Update: Terms and Condtions"/>
          <a:extLst>
            <a:ext uri="{FF2B5EF4-FFF2-40B4-BE49-F238E27FC236}">
              <a16:creationId xmlns:a16="http://schemas.microsoft.com/office/drawing/2014/main" id="{00000000-0008-0000-2F00-000023000000}"/>
            </a:ext>
          </a:extLst>
        </xdr:cNvPr>
        <xdr:cNvSpPr/>
      </xdr:nvSpPr>
      <xdr:spPr>
        <a:xfrm>
          <a:off x="7138147" y="2420471"/>
          <a:ext cx="694764" cy="2017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235323</xdr:colOff>
      <xdr:row>41</xdr:row>
      <xdr:rowOff>188258</xdr:rowOff>
    </xdr:from>
    <xdr:to>
      <xdr:col>19</xdr:col>
      <xdr:colOff>302558</xdr:colOff>
      <xdr:row>42</xdr:row>
      <xdr:rowOff>188258</xdr:rowOff>
    </xdr:to>
    <xdr:sp macro="" textlink="">
      <xdr:nvSpPr>
        <xdr:cNvPr id="29" name="Rectangle 58">
          <a:hlinkClick xmlns:r="http://schemas.openxmlformats.org/officeDocument/2006/relationships" r:id="rId3" tooltip="Update: Building Information"/>
          <a:extLst>
            <a:ext uri="{FF2B5EF4-FFF2-40B4-BE49-F238E27FC236}">
              <a16:creationId xmlns:a16="http://schemas.microsoft.com/office/drawing/2014/main" id="{00000000-0008-0000-2F00-00001D000000}"/>
            </a:ext>
          </a:extLst>
        </xdr:cNvPr>
        <xdr:cNvSpPr/>
      </xdr:nvSpPr>
      <xdr:spPr>
        <a:xfrm>
          <a:off x="7138147" y="4424082"/>
          <a:ext cx="694764" cy="2017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8</xdr:row>
      <xdr:rowOff>191957</xdr:rowOff>
    </xdr:from>
    <xdr:to>
      <xdr:col>2</xdr:col>
      <xdr:colOff>201706</xdr:colOff>
      <xdr:row>11</xdr:row>
      <xdr:rowOff>0</xdr:rowOff>
    </xdr:to>
    <xdr:sp macro="" textlink="">
      <xdr:nvSpPr>
        <xdr:cNvPr id="16" name="Arrow: Left 15">
          <a:hlinkClick xmlns:r="http://schemas.openxmlformats.org/officeDocument/2006/relationships" r:id="rId2" tooltip="Back: Terms &amp; Conditions"/>
          <a:extLst>
            <a:ext uri="{FF2B5EF4-FFF2-40B4-BE49-F238E27FC236}">
              <a16:creationId xmlns:a16="http://schemas.microsoft.com/office/drawing/2014/main" id="{00000000-0008-0000-2F00-000010000000}"/>
            </a:ext>
          </a:extLst>
        </xdr:cNvPr>
        <xdr:cNvSpPr/>
      </xdr:nvSpPr>
      <xdr:spPr>
        <a:xfrm>
          <a:off x="304800" y="1792157"/>
          <a:ext cx="506506"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50132</xdr:colOff>
      <xdr:row>16</xdr:row>
      <xdr:rowOff>0</xdr:rowOff>
    </xdr:from>
    <xdr:to>
      <xdr:col>29</xdr:col>
      <xdr:colOff>302558</xdr:colOff>
      <xdr:row>16</xdr:row>
      <xdr:rowOff>200526</xdr:rowOff>
    </xdr:to>
    <xdr:sp macro="" textlink="">
      <xdr:nvSpPr>
        <xdr:cNvPr id="5" name="Rectangle 4">
          <a:hlinkClick xmlns:r="http://schemas.openxmlformats.org/officeDocument/2006/relationships" r:id="rId4" tooltip="Update: Project Information"/>
          <a:extLst>
            <a:ext uri="{FF2B5EF4-FFF2-40B4-BE49-F238E27FC236}">
              <a16:creationId xmlns:a16="http://schemas.microsoft.com/office/drawing/2014/main" id="{00000000-0008-0000-2F00-000005000000}"/>
            </a:ext>
          </a:extLst>
        </xdr:cNvPr>
        <xdr:cNvSpPr/>
      </xdr:nvSpPr>
      <xdr:spPr>
        <a:xfrm>
          <a:off x="8306803" y="2606842"/>
          <a:ext cx="864031" cy="2005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168088</xdr:colOff>
      <xdr:row>8</xdr:row>
      <xdr:rowOff>156884</xdr:rowOff>
    </xdr:from>
    <xdr:to>
      <xdr:col>57</xdr:col>
      <xdr:colOff>25890</xdr:colOff>
      <xdr:row>12</xdr:row>
      <xdr:rowOff>17572</xdr:rowOff>
    </xdr:to>
    <xdr:grpSp>
      <xdr:nvGrpSpPr>
        <xdr:cNvPr id="10" name="Group 9">
          <a:extLst>
            <a:ext uri="{FF2B5EF4-FFF2-40B4-BE49-F238E27FC236}">
              <a16:creationId xmlns:a16="http://schemas.microsoft.com/office/drawing/2014/main" id="{00000000-0008-0000-2F00-00000A000000}"/>
            </a:ext>
          </a:extLst>
        </xdr:cNvPr>
        <xdr:cNvGrpSpPr/>
      </xdr:nvGrpSpPr>
      <xdr:grpSpPr>
        <a:xfrm>
          <a:off x="15513921" y="1765551"/>
          <a:ext cx="2006219" cy="665021"/>
          <a:chOff x="11900647" y="1692086"/>
          <a:chExt cx="1841242" cy="667512"/>
        </a:xfrm>
        <a:solidFill>
          <a:sysClr val="window" lastClr="FFFFFF"/>
        </a:solidFill>
      </xdr:grpSpPr>
      <xdr:sp macro="" textlink="">
        <xdr:nvSpPr>
          <xdr:cNvPr id="61" name="Rectangle: Rounded Corners 60">
            <a:hlinkClick xmlns:r="http://schemas.openxmlformats.org/officeDocument/2006/relationships" r:id="rId5" tooltip="Submission Instructions"/>
            <a:extLst>
              <a:ext uri="{FF2B5EF4-FFF2-40B4-BE49-F238E27FC236}">
                <a16:creationId xmlns:a16="http://schemas.microsoft.com/office/drawing/2014/main" id="{00000000-0008-0000-2F00-00003D000000}"/>
              </a:ext>
            </a:extLst>
          </xdr:cNvPr>
          <xdr:cNvSpPr/>
        </xdr:nvSpPr>
        <xdr:spPr>
          <a:xfrm>
            <a:off x="11900647" y="1692086"/>
            <a:ext cx="1841242" cy="667512"/>
          </a:xfrm>
          <a:prstGeom prst="roundRect">
            <a:avLst>
              <a:gd name="adj" fmla="val 48870"/>
            </a:avLst>
          </a:prstGeom>
          <a:solidFill>
            <a:srgbClr val="F0532A"/>
          </a:solidFill>
          <a:ln w="28575">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Instructions</a:t>
            </a:r>
          </a:p>
        </xdr:txBody>
      </xdr:sp>
      <xdr:sp macro="" textlink="">
        <xdr:nvSpPr>
          <xdr:cNvPr id="63" name="Arrow: Right 62">
            <a:hlinkClick xmlns:r="http://schemas.openxmlformats.org/officeDocument/2006/relationships" r:id="rId5" tooltip="Submission Instructions"/>
            <a:extLst>
              <a:ext uri="{FF2B5EF4-FFF2-40B4-BE49-F238E27FC236}">
                <a16:creationId xmlns:a16="http://schemas.microsoft.com/office/drawing/2014/main" id="{00000000-0008-0000-2F00-00003F000000}"/>
              </a:ext>
            </a:extLst>
          </xdr:cNvPr>
          <xdr:cNvSpPr/>
        </xdr:nvSpPr>
        <xdr:spPr>
          <a:xfrm>
            <a:off x="13144501" y="1822972"/>
            <a:ext cx="535221" cy="396484"/>
          </a:xfrm>
          <a:prstGeom prst="rightArrow">
            <a:avLst/>
          </a:prstGeom>
          <a:grp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38</xdr:col>
      <xdr:colOff>98174</xdr:colOff>
      <xdr:row>13</xdr:row>
      <xdr:rowOff>4013</xdr:rowOff>
    </xdr:from>
    <xdr:to>
      <xdr:col>39</xdr:col>
      <xdr:colOff>128251</xdr:colOff>
      <xdr:row>14</xdr:row>
      <xdr:rowOff>77653</xdr:rowOff>
    </xdr:to>
    <xdr:grpSp>
      <xdr:nvGrpSpPr>
        <xdr:cNvPr id="69" name="Group 68">
          <a:extLst>
            <a:ext uri="{FF2B5EF4-FFF2-40B4-BE49-F238E27FC236}">
              <a16:creationId xmlns:a16="http://schemas.microsoft.com/office/drawing/2014/main" id="{00000000-0008-0000-2F00-000045000000}"/>
            </a:ext>
          </a:extLst>
        </xdr:cNvPr>
        <xdr:cNvGrpSpPr/>
      </xdr:nvGrpSpPr>
      <xdr:grpSpPr>
        <a:xfrm>
          <a:off x="11761007" y="2618096"/>
          <a:ext cx="336994" cy="274724"/>
          <a:chOff x="10450606" y="2628902"/>
          <a:chExt cx="342899" cy="275662"/>
        </a:xfrm>
      </xdr:grpSpPr>
      <xdr:pic>
        <xdr:nvPicPr>
          <xdr:cNvPr id="64" name="Graphic 63" descr="Play">
            <a:hlinkClick xmlns:r="http://schemas.openxmlformats.org/officeDocument/2006/relationships" r:id="rId6" tooltip="View Incentive Report"/>
            <a:extLst>
              <a:ext uri="{FF2B5EF4-FFF2-40B4-BE49-F238E27FC236}">
                <a16:creationId xmlns:a16="http://schemas.microsoft.com/office/drawing/2014/main" id="{00000000-0008-0000-2F00-000040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 uri="{96DAC541-7B7A-43D3-8B79-37D633B846F1}">
                <asvg:svgBlip xmlns:asvg="http://schemas.microsoft.com/office/drawing/2016/SVG/main" r:embed="rId8"/>
              </a:ext>
            </a:extLst>
          </a:blip>
          <a:stretch>
            <a:fillRect/>
          </a:stretch>
        </xdr:blipFill>
        <xdr:spPr>
          <a:xfrm>
            <a:off x="10450606" y="2628902"/>
            <a:ext cx="179293" cy="268938"/>
          </a:xfrm>
          <a:prstGeom prst="rect">
            <a:avLst/>
          </a:prstGeom>
        </xdr:spPr>
      </xdr:pic>
      <xdr:pic>
        <xdr:nvPicPr>
          <xdr:cNvPr id="68" name="Graphic 67" descr="Play">
            <a:hlinkClick xmlns:r="http://schemas.openxmlformats.org/officeDocument/2006/relationships" r:id="rId6" tooltip="View Incentive Report"/>
            <a:extLst>
              <a:ext uri="{FF2B5EF4-FFF2-40B4-BE49-F238E27FC236}">
                <a16:creationId xmlns:a16="http://schemas.microsoft.com/office/drawing/2014/main" id="{00000000-0008-0000-2F00-00004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 uri="{96DAC541-7B7A-43D3-8B79-37D633B846F1}">
                <asvg:svgBlip xmlns:asvg="http://schemas.microsoft.com/office/drawing/2016/SVG/main" r:embed="rId8"/>
              </a:ext>
            </a:extLst>
          </a:blip>
          <a:stretch>
            <a:fillRect/>
          </a:stretch>
        </xdr:blipFill>
        <xdr:spPr>
          <a:xfrm>
            <a:off x="10614212" y="2635626"/>
            <a:ext cx="179293" cy="268938"/>
          </a:xfrm>
          <a:prstGeom prst="rect">
            <a:avLst/>
          </a:prstGeom>
        </xdr:spPr>
      </xdr:pic>
    </xdr:grpSp>
    <xdr:clientData/>
  </xdr:twoCellAnchor>
  <xdr:twoCellAnchor>
    <xdr:from>
      <xdr:col>0</xdr:col>
      <xdr:colOff>0</xdr:colOff>
      <xdr:row>0</xdr:row>
      <xdr:rowOff>0</xdr:rowOff>
    </xdr:from>
    <xdr:to>
      <xdr:col>4</xdr:col>
      <xdr:colOff>251013</xdr:colOff>
      <xdr:row>2</xdr:row>
      <xdr:rowOff>161363</xdr:rowOff>
    </xdr:to>
    <xdr:sp macro="" textlink="">
      <xdr:nvSpPr>
        <xdr:cNvPr id="39" name="Rectangle 38">
          <a:extLst>
            <a:ext uri="{FF2B5EF4-FFF2-40B4-BE49-F238E27FC236}">
              <a16:creationId xmlns:a16="http://schemas.microsoft.com/office/drawing/2014/main" id="{00000000-0008-0000-2F00-000027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56" name="Rectangle 55">
          <a:hlinkClick xmlns:r="http://schemas.openxmlformats.org/officeDocument/2006/relationships" r:id="rId9" tooltip="Welcome"/>
          <a:extLst>
            <a:ext uri="{FF2B5EF4-FFF2-40B4-BE49-F238E27FC236}">
              <a16:creationId xmlns:a16="http://schemas.microsoft.com/office/drawing/2014/main" id="{00000000-0008-0000-2F00-000038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57" name="Rectangle 56">
          <a:hlinkClick xmlns:r="http://schemas.openxmlformats.org/officeDocument/2006/relationships" r:id="rId10" tooltip="Instructions"/>
          <a:extLst>
            <a:ext uri="{FF2B5EF4-FFF2-40B4-BE49-F238E27FC236}">
              <a16:creationId xmlns:a16="http://schemas.microsoft.com/office/drawing/2014/main" id="{00000000-0008-0000-2F00-000039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62" name="Rectangle 61">
          <a:hlinkClick xmlns:r="http://schemas.openxmlformats.org/officeDocument/2006/relationships" r:id="rId11" tooltip="Contact"/>
          <a:extLst>
            <a:ext uri="{FF2B5EF4-FFF2-40B4-BE49-F238E27FC236}">
              <a16:creationId xmlns:a16="http://schemas.microsoft.com/office/drawing/2014/main" id="{00000000-0008-0000-2F00-00003E000000}"/>
            </a:ext>
          </a:extLst>
        </xdr:cNvPr>
        <xdr:cNvSpPr/>
      </xdr:nvSpPr>
      <xdr:spPr>
        <a:xfrm>
          <a:off x="16761759" y="0"/>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72" name="Straight Connector 71">
          <a:extLst>
            <a:ext uri="{FF2B5EF4-FFF2-40B4-BE49-F238E27FC236}">
              <a16:creationId xmlns:a16="http://schemas.microsoft.com/office/drawing/2014/main" id="{00000000-0008-0000-2F00-000048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292431</xdr:colOff>
      <xdr:row>2</xdr:row>
      <xdr:rowOff>54347</xdr:rowOff>
    </xdr:to>
    <xdr:pic>
      <xdr:nvPicPr>
        <xdr:cNvPr id="73" name="Picture 72">
          <a:extLst>
            <a:ext uri="{FF2B5EF4-FFF2-40B4-BE49-F238E27FC236}">
              <a16:creationId xmlns:a16="http://schemas.microsoft.com/office/drawing/2014/main" id="{00000000-0008-0000-2F00-00004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75" name="Straight Connector 74">
          <a:extLst>
            <a:ext uri="{FF2B5EF4-FFF2-40B4-BE49-F238E27FC236}">
              <a16:creationId xmlns:a16="http://schemas.microsoft.com/office/drawing/2014/main" id="{00000000-0008-0000-2F00-00004B000000}"/>
            </a:ext>
          </a:extLst>
        </xdr:cNvPr>
        <xdr:cNvCxnSpPr/>
      </xdr:nvCxnSpPr>
      <xdr:spPr>
        <a:xfrm>
          <a:off x="2737057" y="100293"/>
          <a:ext cx="11767"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50130</xdr:colOff>
      <xdr:row>33</xdr:row>
      <xdr:rowOff>4146</xdr:rowOff>
    </xdr:from>
    <xdr:to>
      <xdr:col>30</xdr:col>
      <xdr:colOff>1468</xdr:colOff>
      <xdr:row>34</xdr:row>
      <xdr:rowOff>4145</xdr:rowOff>
    </xdr:to>
    <xdr:sp macro="" textlink="">
      <xdr:nvSpPr>
        <xdr:cNvPr id="60" name="Rectangle 59">
          <a:hlinkClick xmlns:r="http://schemas.openxmlformats.org/officeDocument/2006/relationships" r:id="rId13" tooltip="Update: Customer Information"/>
          <a:extLst>
            <a:ext uri="{FF2B5EF4-FFF2-40B4-BE49-F238E27FC236}">
              <a16:creationId xmlns:a16="http://schemas.microsoft.com/office/drawing/2014/main" id="{00000000-0008-0000-2F00-00003C000000}"/>
            </a:ext>
          </a:extLst>
        </xdr:cNvPr>
        <xdr:cNvSpPr/>
      </xdr:nvSpPr>
      <xdr:spPr>
        <a:xfrm>
          <a:off x="8306801" y="6019935"/>
          <a:ext cx="868746" cy="2005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24655</xdr:colOff>
      <xdr:row>16</xdr:row>
      <xdr:rowOff>12888</xdr:rowOff>
    </xdr:from>
    <xdr:to>
      <xdr:col>36</xdr:col>
      <xdr:colOff>282389</xdr:colOff>
      <xdr:row>17</xdr:row>
      <xdr:rowOff>12889</xdr:rowOff>
    </xdr:to>
    <xdr:sp macro="" textlink="">
      <xdr:nvSpPr>
        <xdr:cNvPr id="59" name="Rectangle 83">
          <a:hlinkClick xmlns:r="http://schemas.openxmlformats.org/officeDocument/2006/relationships" r:id="rId14" tooltip="View: Custom Water Heating / Cooking"/>
          <a:extLst>
            <a:ext uri="{FF2B5EF4-FFF2-40B4-BE49-F238E27FC236}">
              <a16:creationId xmlns:a16="http://schemas.microsoft.com/office/drawing/2014/main" id="{00000000-0008-0000-2F00-00003B000000}"/>
            </a:ext>
          </a:extLst>
        </xdr:cNvPr>
        <xdr:cNvSpPr/>
      </xdr:nvSpPr>
      <xdr:spPr>
        <a:xfrm>
          <a:off x="9504537" y="5828151"/>
          <a:ext cx="1786747" cy="2005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24655</xdr:colOff>
      <xdr:row>16</xdr:row>
      <xdr:rowOff>12888</xdr:rowOff>
    </xdr:from>
    <xdr:to>
      <xdr:col>36</xdr:col>
      <xdr:colOff>282389</xdr:colOff>
      <xdr:row>17</xdr:row>
      <xdr:rowOff>12889</xdr:rowOff>
    </xdr:to>
    <xdr:sp macro="" textlink="">
      <xdr:nvSpPr>
        <xdr:cNvPr id="77" name="Rectangle 84">
          <a:hlinkClick xmlns:r="http://schemas.openxmlformats.org/officeDocument/2006/relationships" r:id="rId14" tooltip="View: Custom Water Heating / Cooking"/>
          <a:extLst>
            <a:ext uri="{FF2B5EF4-FFF2-40B4-BE49-F238E27FC236}">
              <a16:creationId xmlns:a16="http://schemas.microsoft.com/office/drawing/2014/main" id="{00000000-0008-0000-2F00-00004D000000}"/>
            </a:ext>
          </a:extLst>
        </xdr:cNvPr>
        <xdr:cNvSpPr/>
      </xdr:nvSpPr>
      <xdr:spPr>
        <a:xfrm>
          <a:off x="9504537" y="5828151"/>
          <a:ext cx="1786747" cy="2005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24655</xdr:colOff>
      <xdr:row>16</xdr:row>
      <xdr:rowOff>19612</xdr:rowOff>
    </xdr:from>
    <xdr:to>
      <xdr:col>36</xdr:col>
      <xdr:colOff>282389</xdr:colOff>
      <xdr:row>17</xdr:row>
      <xdr:rowOff>19612</xdr:rowOff>
    </xdr:to>
    <xdr:sp macro="" textlink="">
      <xdr:nvSpPr>
        <xdr:cNvPr id="78" name="Rectangle 77">
          <a:hlinkClick xmlns:r="http://schemas.openxmlformats.org/officeDocument/2006/relationships" r:id="rId15" tooltip="View: Custom Refrigeration"/>
          <a:extLst>
            <a:ext uri="{FF2B5EF4-FFF2-40B4-BE49-F238E27FC236}">
              <a16:creationId xmlns:a16="http://schemas.microsoft.com/office/drawing/2014/main" id="{00000000-0008-0000-2F00-00004E000000}"/>
            </a:ext>
          </a:extLst>
        </xdr:cNvPr>
        <xdr:cNvSpPr/>
      </xdr:nvSpPr>
      <xdr:spPr>
        <a:xfrm>
          <a:off x="9504537" y="5834875"/>
          <a:ext cx="1786747" cy="2005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3010</xdr:colOff>
      <xdr:row>17</xdr:row>
      <xdr:rowOff>13972</xdr:rowOff>
    </xdr:from>
    <xdr:to>
      <xdr:col>37</xdr:col>
      <xdr:colOff>238125</xdr:colOff>
      <xdr:row>18</xdr:row>
      <xdr:rowOff>300</xdr:rowOff>
    </xdr:to>
    <xdr:sp macro="" textlink="">
      <xdr:nvSpPr>
        <xdr:cNvPr id="79" name="Rectangle 78">
          <a:hlinkClick xmlns:r="http://schemas.openxmlformats.org/officeDocument/2006/relationships" r:id="rId16" tooltip="View: Custom Lighting &amp; Lighting Controls"/>
          <a:extLst>
            <a:ext uri="{FF2B5EF4-FFF2-40B4-BE49-F238E27FC236}">
              <a16:creationId xmlns:a16="http://schemas.microsoft.com/office/drawing/2014/main" id="{00000000-0008-0000-2F00-00004F000000}"/>
            </a:ext>
          </a:extLst>
        </xdr:cNvPr>
        <xdr:cNvSpPr/>
      </xdr:nvSpPr>
      <xdr:spPr>
        <a:xfrm>
          <a:off x="9398124" y="5590427"/>
          <a:ext cx="2053524" cy="185487"/>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47126</xdr:colOff>
      <xdr:row>42</xdr:row>
      <xdr:rowOff>1140</xdr:rowOff>
    </xdr:from>
    <xdr:to>
      <xdr:col>29</xdr:col>
      <xdr:colOff>304267</xdr:colOff>
      <xdr:row>43</xdr:row>
      <xdr:rowOff>1139</xdr:rowOff>
    </xdr:to>
    <xdr:sp macro="" textlink="">
      <xdr:nvSpPr>
        <xdr:cNvPr id="84" name="Rectangle 83">
          <a:hlinkClick xmlns:r="http://schemas.openxmlformats.org/officeDocument/2006/relationships" r:id="rId17" tooltip="Update: Trade Ally / Contractor Information"/>
          <a:extLst>
            <a:ext uri="{FF2B5EF4-FFF2-40B4-BE49-F238E27FC236}">
              <a16:creationId xmlns:a16="http://schemas.microsoft.com/office/drawing/2014/main" id="{00000000-0008-0000-2F00-000054000000}"/>
            </a:ext>
          </a:extLst>
        </xdr:cNvPr>
        <xdr:cNvSpPr/>
      </xdr:nvSpPr>
      <xdr:spPr>
        <a:xfrm>
          <a:off x="8303797" y="7821666"/>
          <a:ext cx="868746" cy="2005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49140</xdr:colOff>
      <xdr:row>47</xdr:row>
      <xdr:rowOff>3144</xdr:rowOff>
    </xdr:from>
    <xdr:to>
      <xdr:col>30</xdr:col>
      <xdr:colOff>478</xdr:colOff>
      <xdr:row>48</xdr:row>
      <xdr:rowOff>3144</xdr:rowOff>
    </xdr:to>
    <xdr:sp macro="" textlink="">
      <xdr:nvSpPr>
        <xdr:cNvPr id="85" name="Rectangle 84">
          <a:hlinkClick xmlns:r="http://schemas.openxmlformats.org/officeDocument/2006/relationships" r:id="rId18" tooltip="Update: Payment Information"/>
          <a:extLst>
            <a:ext uri="{FF2B5EF4-FFF2-40B4-BE49-F238E27FC236}">
              <a16:creationId xmlns:a16="http://schemas.microsoft.com/office/drawing/2014/main" id="{00000000-0008-0000-2F00-000055000000}"/>
            </a:ext>
          </a:extLst>
        </xdr:cNvPr>
        <xdr:cNvSpPr/>
      </xdr:nvSpPr>
      <xdr:spPr>
        <a:xfrm>
          <a:off x="8305811" y="8826302"/>
          <a:ext cx="868746" cy="2005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51153</xdr:colOff>
      <xdr:row>56</xdr:row>
      <xdr:rowOff>5147</xdr:rowOff>
    </xdr:from>
    <xdr:to>
      <xdr:col>30</xdr:col>
      <xdr:colOff>2491</xdr:colOff>
      <xdr:row>57</xdr:row>
      <xdr:rowOff>5147</xdr:rowOff>
    </xdr:to>
    <xdr:sp macro="" textlink="">
      <xdr:nvSpPr>
        <xdr:cNvPr id="86" name="Rectangle 85">
          <a:hlinkClick xmlns:r="http://schemas.openxmlformats.org/officeDocument/2006/relationships" r:id="rId19" tooltip="Update: On-Bill Repayment Information"/>
          <a:extLst>
            <a:ext uri="{FF2B5EF4-FFF2-40B4-BE49-F238E27FC236}">
              <a16:creationId xmlns:a16="http://schemas.microsoft.com/office/drawing/2014/main" id="{00000000-0008-0000-2F00-000056000000}"/>
            </a:ext>
          </a:extLst>
        </xdr:cNvPr>
        <xdr:cNvSpPr/>
      </xdr:nvSpPr>
      <xdr:spPr>
        <a:xfrm>
          <a:off x="8307824" y="10633042"/>
          <a:ext cx="868746" cy="2005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48142</xdr:colOff>
      <xdr:row>73</xdr:row>
      <xdr:rowOff>7166</xdr:rowOff>
    </xdr:from>
    <xdr:to>
      <xdr:col>29</xdr:col>
      <xdr:colOff>305283</xdr:colOff>
      <xdr:row>74</xdr:row>
      <xdr:rowOff>7165</xdr:rowOff>
    </xdr:to>
    <xdr:sp macro="" textlink="">
      <xdr:nvSpPr>
        <xdr:cNvPr id="87" name="Rectangle 86">
          <a:hlinkClick xmlns:r="http://schemas.openxmlformats.org/officeDocument/2006/relationships" r:id="rId20" tooltip="Update: Terms &amp; Conditions"/>
          <a:extLst>
            <a:ext uri="{FF2B5EF4-FFF2-40B4-BE49-F238E27FC236}">
              <a16:creationId xmlns:a16="http://schemas.microsoft.com/office/drawing/2014/main" id="{00000000-0008-0000-2F00-000057000000}"/>
            </a:ext>
          </a:extLst>
        </xdr:cNvPr>
        <xdr:cNvSpPr/>
      </xdr:nvSpPr>
      <xdr:spPr>
        <a:xfrm>
          <a:off x="8304813" y="13642955"/>
          <a:ext cx="868746" cy="2005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50150</xdr:colOff>
      <xdr:row>91</xdr:row>
      <xdr:rowOff>4159</xdr:rowOff>
    </xdr:from>
    <xdr:to>
      <xdr:col>30</xdr:col>
      <xdr:colOff>1488</xdr:colOff>
      <xdr:row>92</xdr:row>
      <xdr:rowOff>4159</xdr:rowOff>
    </xdr:to>
    <xdr:sp macro="" textlink="">
      <xdr:nvSpPr>
        <xdr:cNvPr id="88" name="Rectangle 87">
          <a:hlinkClick xmlns:r="http://schemas.openxmlformats.org/officeDocument/2006/relationships" r:id="rId21" tooltip="Update: OBR Agreement"/>
          <a:extLst>
            <a:ext uri="{FF2B5EF4-FFF2-40B4-BE49-F238E27FC236}">
              <a16:creationId xmlns:a16="http://schemas.microsoft.com/office/drawing/2014/main" id="{00000000-0008-0000-2F00-000058000000}"/>
            </a:ext>
          </a:extLst>
        </xdr:cNvPr>
        <xdr:cNvSpPr/>
      </xdr:nvSpPr>
      <xdr:spPr>
        <a:xfrm>
          <a:off x="8306821" y="13238896"/>
          <a:ext cx="868746" cy="2005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2465</xdr:colOff>
      <xdr:row>18</xdr:row>
      <xdr:rowOff>9642</xdr:rowOff>
    </xdr:from>
    <xdr:to>
      <xdr:col>37</xdr:col>
      <xdr:colOff>246784</xdr:colOff>
      <xdr:row>18</xdr:row>
      <xdr:rowOff>195129</xdr:rowOff>
    </xdr:to>
    <xdr:sp macro="" textlink="">
      <xdr:nvSpPr>
        <xdr:cNvPr id="89" name="Rectangle 88">
          <a:hlinkClick xmlns:r="http://schemas.openxmlformats.org/officeDocument/2006/relationships" r:id="rId22" tooltip="View: Custom HVAC"/>
          <a:extLst>
            <a:ext uri="{FF2B5EF4-FFF2-40B4-BE49-F238E27FC236}">
              <a16:creationId xmlns:a16="http://schemas.microsoft.com/office/drawing/2014/main" id="{00000000-0008-0000-2F00-000059000000}"/>
            </a:ext>
          </a:extLst>
        </xdr:cNvPr>
        <xdr:cNvSpPr/>
      </xdr:nvSpPr>
      <xdr:spPr>
        <a:xfrm>
          <a:off x="9397579" y="5785256"/>
          <a:ext cx="2062728" cy="185487"/>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3325</xdr:colOff>
      <xdr:row>19</xdr:row>
      <xdr:rowOff>10512</xdr:rowOff>
    </xdr:from>
    <xdr:to>
      <xdr:col>37</xdr:col>
      <xdr:colOff>281419</xdr:colOff>
      <xdr:row>19</xdr:row>
      <xdr:rowOff>195999</xdr:rowOff>
    </xdr:to>
    <xdr:sp macro="" textlink="">
      <xdr:nvSpPr>
        <xdr:cNvPr id="90" name="Rectangle 89">
          <a:hlinkClick xmlns:r="http://schemas.openxmlformats.org/officeDocument/2006/relationships" r:id="rId23" tooltip="View: Custom Heating"/>
          <a:extLst>
            <a:ext uri="{FF2B5EF4-FFF2-40B4-BE49-F238E27FC236}">
              <a16:creationId xmlns:a16="http://schemas.microsoft.com/office/drawing/2014/main" id="{00000000-0008-0000-2F00-00005A000000}"/>
            </a:ext>
          </a:extLst>
        </xdr:cNvPr>
        <xdr:cNvSpPr/>
      </xdr:nvSpPr>
      <xdr:spPr>
        <a:xfrm>
          <a:off x="9398439" y="5985285"/>
          <a:ext cx="2096503" cy="185487"/>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4186</xdr:colOff>
      <xdr:row>20</xdr:row>
      <xdr:rowOff>11380</xdr:rowOff>
    </xdr:from>
    <xdr:to>
      <xdr:col>38</xdr:col>
      <xdr:colOff>8659</xdr:colOff>
      <xdr:row>20</xdr:row>
      <xdr:rowOff>196867</xdr:rowOff>
    </xdr:to>
    <xdr:sp macro="" textlink="">
      <xdr:nvSpPr>
        <xdr:cNvPr id="91" name="Rectangle 90">
          <a:hlinkClick xmlns:r="http://schemas.openxmlformats.org/officeDocument/2006/relationships" r:id="rId24" tooltip="View: Custom Water Heating &amp; Boilers"/>
          <a:extLst>
            <a:ext uri="{FF2B5EF4-FFF2-40B4-BE49-F238E27FC236}">
              <a16:creationId xmlns:a16="http://schemas.microsoft.com/office/drawing/2014/main" id="{00000000-0008-0000-2F00-00005B000000}"/>
            </a:ext>
          </a:extLst>
        </xdr:cNvPr>
        <xdr:cNvSpPr/>
      </xdr:nvSpPr>
      <xdr:spPr>
        <a:xfrm>
          <a:off x="9399300" y="6185312"/>
          <a:ext cx="2125950" cy="185487"/>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5044</xdr:colOff>
      <xdr:row>21</xdr:row>
      <xdr:rowOff>7919</xdr:rowOff>
    </xdr:from>
    <xdr:to>
      <xdr:col>37</xdr:col>
      <xdr:colOff>294409</xdr:colOff>
      <xdr:row>21</xdr:row>
      <xdr:rowOff>193406</xdr:rowOff>
    </xdr:to>
    <xdr:sp macro="" textlink="">
      <xdr:nvSpPr>
        <xdr:cNvPr id="92" name="Rectangle 91">
          <a:hlinkClick xmlns:r="http://schemas.openxmlformats.org/officeDocument/2006/relationships" r:id="rId25" tooltip="View: Custom Refrigeration"/>
          <a:extLst>
            <a:ext uri="{FF2B5EF4-FFF2-40B4-BE49-F238E27FC236}">
              <a16:creationId xmlns:a16="http://schemas.microsoft.com/office/drawing/2014/main" id="{00000000-0008-0000-2F00-00005C000000}"/>
            </a:ext>
          </a:extLst>
        </xdr:cNvPr>
        <xdr:cNvSpPr/>
      </xdr:nvSpPr>
      <xdr:spPr>
        <a:xfrm>
          <a:off x="9400158" y="6381010"/>
          <a:ext cx="2107774" cy="185487"/>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5901</xdr:colOff>
      <xdr:row>22</xdr:row>
      <xdr:rowOff>8790</xdr:rowOff>
    </xdr:from>
    <xdr:to>
      <xdr:col>37</xdr:col>
      <xdr:colOff>264102</xdr:colOff>
      <xdr:row>22</xdr:row>
      <xdr:rowOff>194277</xdr:rowOff>
    </xdr:to>
    <xdr:sp macro="" textlink="">
      <xdr:nvSpPr>
        <xdr:cNvPr id="93" name="Rectangle 92">
          <a:hlinkClick xmlns:r="http://schemas.openxmlformats.org/officeDocument/2006/relationships" r:id="rId26" tooltip="View: Custom Food Service"/>
          <a:extLst>
            <a:ext uri="{FF2B5EF4-FFF2-40B4-BE49-F238E27FC236}">
              <a16:creationId xmlns:a16="http://schemas.microsoft.com/office/drawing/2014/main" id="{00000000-0008-0000-2F00-00005D000000}"/>
            </a:ext>
          </a:extLst>
        </xdr:cNvPr>
        <xdr:cNvSpPr/>
      </xdr:nvSpPr>
      <xdr:spPr>
        <a:xfrm>
          <a:off x="9401015" y="6581040"/>
          <a:ext cx="2076610" cy="185487"/>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2426</xdr:colOff>
      <xdr:row>23</xdr:row>
      <xdr:rowOff>9657</xdr:rowOff>
    </xdr:from>
    <xdr:to>
      <xdr:col>37</xdr:col>
      <xdr:colOff>260627</xdr:colOff>
      <xdr:row>23</xdr:row>
      <xdr:rowOff>195144</xdr:rowOff>
    </xdr:to>
    <xdr:sp macro="" textlink="">
      <xdr:nvSpPr>
        <xdr:cNvPr id="94" name="Rectangle 93">
          <a:hlinkClick xmlns:r="http://schemas.openxmlformats.org/officeDocument/2006/relationships" r:id="rId27" tooltip="View: Custom Agriculture"/>
          <a:extLst>
            <a:ext uri="{FF2B5EF4-FFF2-40B4-BE49-F238E27FC236}">
              <a16:creationId xmlns:a16="http://schemas.microsoft.com/office/drawing/2014/main" id="{00000000-0008-0000-2F00-00005E000000}"/>
            </a:ext>
          </a:extLst>
        </xdr:cNvPr>
        <xdr:cNvSpPr/>
      </xdr:nvSpPr>
      <xdr:spPr>
        <a:xfrm>
          <a:off x="9397540" y="6781066"/>
          <a:ext cx="2076610" cy="185487"/>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3287</xdr:colOff>
      <xdr:row>24</xdr:row>
      <xdr:rowOff>10521</xdr:rowOff>
    </xdr:from>
    <xdr:to>
      <xdr:col>37</xdr:col>
      <xdr:colOff>261488</xdr:colOff>
      <xdr:row>24</xdr:row>
      <xdr:rowOff>196008</xdr:rowOff>
    </xdr:to>
    <xdr:sp macro="" textlink="">
      <xdr:nvSpPr>
        <xdr:cNvPr id="95" name="Rectangle 94">
          <a:hlinkClick xmlns:r="http://schemas.openxmlformats.org/officeDocument/2006/relationships" r:id="rId28" tooltip="View: Custom Plug Load"/>
          <a:extLst>
            <a:ext uri="{FF2B5EF4-FFF2-40B4-BE49-F238E27FC236}">
              <a16:creationId xmlns:a16="http://schemas.microsoft.com/office/drawing/2014/main" id="{00000000-0008-0000-2F00-00005F000000}"/>
            </a:ext>
          </a:extLst>
        </xdr:cNvPr>
        <xdr:cNvSpPr/>
      </xdr:nvSpPr>
      <xdr:spPr>
        <a:xfrm>
          <a:off x="9398401" y="6981089"/>
          <a:ext cx="2076610" cy="185487"/>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4139</xdr:colOff>
      <xdr:row>25</xdr:row>
      <xdr:rowOff>11392</xdr:rowOff>
    </xdr:from>
    <xdr:to>
      <xdr:col>37</xdr:col>
      <xdr:colOff>262340</xdr:colOff>
      <xdr:row>25</xdr:row>
      <xdr:rowOff>196879</xdr:rowOff>
    </xdr:to>
    <xdr:sp macro="" textlink="">
      <xdr:nvSpPr>
        <xdr:cNvPr id="96" name="Rectangle 95">
          <a:hlinkClick xmlns:r="http://schemas.openxmlformats.org/officeDocument/2006/relationships" r:id="rId29" tooltip="View: Custom Residential Appliances"/>
          <a:extLst>
            <a:ext uri="{FF2B5EF4-FFF2-40B4-BE49-F238E27FC236}">
              <a16:creationId xmlns:a16="http://schemas.microsoft.com/office/drawing/2014/main" id="{00000000-0008-0000-2F00-000060000000}"/>
            </a:ext>
          </a:extLst>
        </xdr:cNvPr>
        <xdr:cNvSpPr/>
      </xdr:nvSpPr>
      <xdr:spPr>
        <a:xfrm>
          <a:off x="9399253" y="7181119"/>
          <a:ext cx="2076610" cy="185487"/>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4994</xdr:colOff>
      <xdr:row>26</xdr:row>
      <xdr:rowOff>7930</xdr:rowOff>
    </xdr:from>
    <xdr:to>
      <xdr:col>37</xdr:col>
      <xdr:colOff>263195</xdr:colOff>
      <xdr:row>26</xdr:row>
      <xdr:rowOff>193417</xdr:rowOff>
    </xdr:to>
    <xdr:sp macro="" textlink="">
      <xdr:nvSpPr>
        <xdr:cNvPr id="97" name="Rectangle 96">
          <a:hlinkClick xmlns:r="http://schemas.openxmlformats.org/officeDocument/2006/relationships" r:id="rId30" tooltip="View: Custom Miscellaneous"/>
          <a:extLst>
            <a:ext uri="{FF2B5EF4-FFF2-40B4-BE49-F238E27FC236}">
              <a16:creationId xmlns:a16="http://schemas.microsoft.com/office/drawing/2014/main" id="{00000000-0008-0000-2F00-000061000000}"/>
            </a:ext>
          </a:extLst>
        </xdr:cNvPr>
        <xdr:cNvSpPr/>
      </xdr:nvSpPr>
      <xdr:spPr>
        <a:xfrm>
          <a:off x="9400108" y="7376816"/>
          <a:ext cx="2076610" cy="185487"/>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50132</xdr:colOff>
      <xdr:row>13</xdr:row>
      <xdr:rowOff>0</xdr:rowOff>
    </xdr:from>
    <xdr:to>
      <xdr:col>29</xdr:col>
      <xdr:colOff>302558</xdr:colOff>
      <xdr:row>13</xdr:row>
      <xdr:rowOff>200526</xdr:rowOff>
    </xdr:to>
    <xdr:sp macro="" textlink="">
      <xdr:nvSpPr>
        <xdr:cNvPr id="80" name="Rectangle 79">
          <a:hlinkClick xmlns:r="http://schemas.openxmlformats.org/officeDocument/2006/relationships" r:id="rId31" tooltip="Update: Instructions"/>
          <a:extLst>
            <a:ext uri="{FF2B5EF4-FFF2-40B4-BE49-F238E27FC236}">
              <a16:creationId xmlns:a16="http://schemas.microsoft.com/office/drawing/2014/main" id="{00000000-0008-0000-2F00-000050000000}"/>
            </a:ext>
          </a:extLst>
        </xdr:cNvPr>
        <xdr:cNvSpPr/>
      </xdr:nvSpPr>
      <xdr:spPr>
        <a:xfrm>
          <a:off x="8219220" y="3025588"/>
          <a:ext cx="857544" cy="2005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60671</xdr:colOff>
      <xdr:row>0</xdr:row>
      <xdr:rowOff>114322</xdr:rowOff>
    </xdr:from>
    <xdr:to>
      <xdr:col>4</xdr:col>
      <xdr:colOff>178340</xdr:colOff>
      <xdr:row>2</xdr:row>
      <xdr:rowOff>93268</xdr:rowOff>
    </xdr:to>
    <xdr:pic>
      <xdr:nvPicPr>
        <xdr:cNvPr id="6" name="Picture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2"/>
        <a:stretch>
          <a:fillRect/>
        </a:stretch>
      </xdr:blipFill>
      <xdr:spPr>
        <a:xfrm>
          <a:off x="60671" y="114322"/>
          <a:ext cx="1390844" cy="381113"/>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7" name="Arrow: Chevron 6">
          <a:hlinkClick xmlns:r="http://schemas.openxmlformats.org/officeDocument/2006/relationships" r:id="rId33" tooltip="Terms &amp; Conditions"/>
          <a:extLst>
            <a:ext uri="{FF2B5EF4-FFF2-40B4-BE49-F238E27FC236}">
              <a16:creationId xmlns:a16="http://schemas.microsoft.com/office/drawing/2014/main" id="{00000000-0008-0000-2F00-000007000000}"/>
            </a:ext>
          </a:extLst>
        </xdr:cNvPr>
        <xdr:cNvSpPr/>
      </xdr:nvSpPr>
      <xdr:spPr>
        <a:xfrm>
          <a:off x="14484350" y="865046"/>
          <a:ext cx="2011680"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8" name="Arrow: Chevron 7">
          <a:hlinkClick xmlns:r="http://schemas.openxmlformats.org/officeDocument/2006/relationships" r:id="rId34" tooltip="Project Information"/>
          <a:extLst>
            <a:ext uri="{FF2B5EF4-FFF2-40B4-BE49-F238E27FC236}">
              <a16:creationId xmlns:a16="http://schemas.microsoft.com/office/drawing/2014/main" id="{00000000-0008-0000-2F00-000008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9" name="Arrow: Chevron 39">
          <a:hlinkClick xmlns:r="http://schemas.openxmlformats.org/officeDocument/2006/relationships" r:id="rId35" tooltip="Customer Information"/>
          <a:extLst>
            <a:ext uri="{FF2B5EF4-FFF2-40B4-BE49-F238E27FC236}">
              <a16:creationId xmlns:a16="http://schemas.microsoft.com/office/drawing/2014/main" id="{00000000-0008-0000-2F00-000009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11" name="Arrow: Chevron 40">
          <a:hlinkClick xmlns:r="http://schemas.openxmlformats.org/officeDocument/2006/relationships" r:id="rId36" tooltip="Equipment Input"/>
          <a:extLst>
            <a:ext uri="{FF2B5EF4-FFF2-40B4-BE49-F238E27FC236}">
              <a16:creationId xmlns:a16="http://schemas.microsoft.com/office/drawing/2014/main" id="{00000000-0008-0000-2F00-00000B000000}"/>
            </a:ext>
          </a:extLst>
        </xdr:cNvPr>
        <xdr:cNvSpPr/>
      </xdr:nvSpPr>
      <xdr:spPr>
        <a:xfrm>
          <a:off x="6188077" y="859240"/>
          <a:ext cx="2153708"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12" name="Arrow: Chevron 11">
          <a:hlinkClick xmlns:r="http://schemas.openxmlformats.org/officeDocument/2006/relationships" r:id="rId1" tooltip="Payment"/>
          <a:extLst>
            <a:ext uri="{FF2B5EF4-FFF2-40B4-BE49-F238E27FC236}">
              <a16:creationId xmlns:a16="http://schemas.microsoft.com/office/drawing/2014/main" id="{00000000-0008-0000-2F00-00000C000000}"/>
            </a:ext>
          </a:extLst>
        </xdr:cNvPr>
        <xdr:cNvSpPr/>
      </xdr:nvSpPr>
      <xdr:spPr>
        <a:xfrm>
          <a:off x="10259482" y="874353"/>
          <a:ext cx="2313432"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13" name="Arrow: Chevron 12">
          <a:hlinkClick xmlns:r="http://schemas.openxmlformats.org/officeDocument/2006/relationships" r:id="rId37" tooltip="Project Review"/>
          <a:extLst>
            <a:ext uri="{FF2B5EF4-FFF2-40B4-BE49-F238E27FC236}">
              <a16:creationId xmlns:a16="http://schemas.microsoft.com/office/drawing/2014/main" id="{00000000-0008-0000-2F00-00000D000000}"/>
            </a:ext>
          </a:extLst>
        </xdr:cNvPr>
        <xdr:cNvSpPr/>
      </xdr:nvSpPr>
      <xdr:spPr>
        <a:xfrm>
          <a:off x="16284979" y="864307"/>
          <a:ext cx="2001340" cy="652107"/>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14" name="Arrow: Chevron 43">
          <a:hlinkClick xmlns:r="http://schemas.openxmlformats.org/officeDocument/2006/relationships" r:id="rId38" tooltip="Trade Ally / Contractor Information"/>
          <a:extLst>
            <a:ext uri="{FF2B5EF4-FFF2-40B4-BE49-F238E27FC236}">
              <a16:creationId xmlns:a16="http://schemas.microsoft.com/office/drawing/2014/main" id="{00000000-0008-0000-2F00-00000E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5" name="Arrow: Chevron 14">
          <a:hlinkClick xmlns:r="http://schemas.openxmlformats.org/officeDocument/2006/relationships" r:id="rId39" tooltip="On-Bill Repayment"/>
          <a:extLst>
            <a:ext uri="{FF2B5EF4-FFF2-40B4-BE49-F238E27FC236}">
              <a16:creationId xmlns:a16="http://schemas.microsoft.com/office/drawing/2014/main" id="{00000000-0008-0000-2F00-00000F000000}"/>
            </a:ext>
          </a:extLst>
        </xdr:cNvPr>
        <xdr:cNvSpPr/>
      </xdr:nvSpPr>
      <xdr:spPr>
        <a:xfrm>
          <a:off x="12363450" y="874354"/>
          <a:ext cx="2304288"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On-Bill Repayment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17" name="Arrow: Chevron 16">
          <a:hlinkClick xmlns:r="http://schemas.openxmlformats.org/officeDocument/2006/relationships" r:id="rId40" tooltip="Payment"/>
          <a:extLst>
            <a:ext uri="{FF2B5EF4-FFF2-40B4-BE49-F238E27FC236}">
              <a16:creationId xmlns:a16="http://schemas.microsoft.com/office/drawing/2014/main" id="{00000000-0008-0000-2F00-000011000000}"/>
            </a:ext>
          </a:extLst>
        </xdr:cNvPr>
        <xdr:cNvSpPr/>
      </xdr:nvSpPr>
      <xdr:spPr>
        <a:xfrm>
          <a:off x="8154458" y="869949"/>
          <a:ext cx="2303907" cy="63201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cap="none" baseline="0">
              <a:solidFill>
                <a:schemeClr val="bg1"/>
              </a:solidFill>
              <a:latin typeface="Arial" panose="020B0604020202020204" pitchFamily="34" charset="0"/>
              <a:ea typeface="+mn-ea"/>
              <a:cs typeface="Arial" panose="020B0604020202020204" pitchFamily="34" charset="0"/>
            </a:rPr>
            <a:t>Union Information</a:t>
          </a:r>
          <a:r>
            <a:rPr lang="en-US" sz="1100" b="0" i="0" u="none" strike="noStrike" cap="none" baseline="0">
              <a:solidFill>
                <a:srgbClr val="142C41"/>
              </a:solidFill>
              <a:latin typeface="Arial" panose="020B0604020202020204" pitchFamily="34" charset="0"/>
              <a:ea typeface="+mn-ea"/>
              <a:cs typeface="Arial" panose="020B0604020202020204" pitchFamily="34" charset="0"/>
            </a:rPr>
            <a:t>on</a:t>
          </a:r>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18" name="Rectangle 17">
          <a:hlinkClick xmlns:r="http://schemas.openxmlformats.org/officeDocument/2006/relationships" r:id="rId11" tooltip="Contact"/>
          <a:extLst>
            <a:ext uri="{FF2B5EF4-FFF2-40B4-BE49-F238E27FC236}">
              <a16:creationId xmlns:a16="http://schemas.microsoft.com/office/drawing/2014/main" id="{00000000-0008-0000-2F00-000012000000}"/>
            </a:ext>
          </a:extLst>
        </xdr:cNvPr>
        <xdr:cNvSpPr/>
      </xdr:nvSpPr>
      <xdr:spPr>
        <a:xfrm>
          <a:off x="1727610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19" name="Rectangle 18">
          <a:extLst>
            <a:ext uri="{FF2B5EF4-FFF2-40B4-BE49-F238E27FC236}">
              <a16:creationId xmlns:a16="http://schemas.microsoft.com/office/drawing/2014/main" id="{00000000-0008-0000-2F00-000013000000}"/>
            </a:ext>
          </a:extLst>
        </xdr:cNvPr>
        <xdr:cNvSpPr/>
      </xdr:nvSpPr>
      <xdr:spPr>
        <a:xfrm>
          <a:off x="153821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291353</xdr:colOff>
      <xdr:row>0</xdr:row>
      <xdr:rowOff>0</xdr:rowOff>
    </xdr:from>
    <xdr:to>
      <xdr:col>57</xdr:col>
      <xdr:colOff>280147</xdr:colOff>
      <xdr:row>2</xdr:row>
      <xdr:rowOff>190500</xdr:rowOff>
    </xdr:to>
    <xdr:sp macro="" textlink="">
      <xdr:nvSpPr>
        <xdr:cNvPr id="20" name="Rectangle 19">
          <a:extLst>
            <a:ext uri="{FF2B5EF4-FFF2-40B4-BE49-F238E27FC236}">
              <a16:creationId xmlns:a16="http://schemas.microsoft.com/office/drawing/2014/main" id="{00000000-0008-0000-2F00-000014000000}"/>
            </a:ext>
          </a:extLst>
        </xdr:cNvPr>
        <xdr:cNvSpPr/>
      </xdr:nvSpPr>
      <xdr:spPr>
        <a:xfrm>
          <a:off x="16325103"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21" name="Rectangle 20">
          <a:hlinkClick xmlns:r="http://schemas.openxmlformats.org/officeDocument/2006/relationships" r:id="rId11" tooltip="Contact"/>
          <a:extLst>
            <a:ext uri="{FF2B5EF4-FFF2-40B4-BE49-F238E27FC236}">
              <a16:creationId xmlns:a16="http://schemas.microsoft.com/office/drawing/2014/main" id="{00000000-0008-0000-2F00-000015000000}"/>
            </a:ext>
          </a:extLst>
        </xdr:cNvPr>
        <xdr:cNvSpPr/>
      </xdr:nvSpPr>
      <xdr:spPr>
        <a:xfrm>
          <a:off x="1790475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22" name="Rectangle 21">
          <a:hlinkClick xmlns:r="http://schemas.openxmlformats.org/officeDocument/2006/relationships" r:id="rId41" tooltip=" "/>
          <a:extLst>
            <a:ext uri="{FF2B5EF4-FFF2-40B4-BE49-F238E27FC236}">
              <a16:creationId xmlns:a16="http://schemas.microsoft.com/office/drawing/2014/main" id="{00000000-0008-0000-2F00-000016000000}"/>
            </a:ext>
          </a:extLst>
        </xdr:cNvPr>
        <xdr:cNvSpPr/>
      </xdr:nvSpPr>
      <xdr:spPr>
        <a:xfrm>
          <a:off x="147557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23" name="Straight Connector 22">
          <a:extLst>
            <a:ext uri="{FF2B5EF4-FFF2-40B4-BE49-F238E27FC236}">
              <a16:creationId xmlns:a16="http://schemas.microsoft.com/office/drawing/2014/main" id="{00000000-0008-0000-2F00-000017000000}"/>
            </a:ext>
          </a:extLst>
        </xdr:cNvPr>
        <xdr:cNvCxnSpPr/>
      </xdr:nvCxnSpPr>
      <xdr:spPr>
        <a:xfrm>
          <a:off x="1791652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24" name="Rectangle 23">
          <a:hlinkClick xmlns:r="http://schemas.openxmlformats.org/officeDocument/2006/relationships" r:id="rId11" tooltip="Contact"/>
          <a:extLst>
            <a:ext uri="{FF2B5EF4-FFF2-40B4-BE49-F238E27FC236}">
              <a16:creationId xmlns:a16="http://schemas.microsoft.com/office/drawing/2014/main" id="{00000000-0008-0000-2F00-000018000000}"/>
            </a:ext>
          </a:extLst>
        </xdr:cNvPr>
        <xdr:cNvSpPr/>
      </xdr:nvSpPr>
      <xdr:spPr>
        <a:xfrm>
          <a:off x="1790475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25" name="Rectangle 24">
          <a:extLst>
            <a:ext uri="{FF2B5EF4-FFF2-40B4-BE49-F238E27FC236}">
              <a16:creationId xmlns:a16="http://schemas.microsoft.com/office/drawing/2014/main" id="{00000000-0008-0000-2F00-000019000000}"/>
            </a:ext>
          </a:extLst>
        </xdr:cNvPr>
        <xdr:cNvSpPr/>
      </xdr:nvSpPr>
      <xdr:spPr>
        <a:xfrm>
          <a:off x="1601077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26" name="Straight Connector 25">
          <a:extLst>
            <a:ext uri="{FF2B5EF4-FFF2-40B4-BE49-F238E27FC236}">
              <a16:creationId xmlns:a16="http://schemas.microsoft.com/office/drawing/2014/main" id="{00000000-0008-0000-2F00-00001A000000}"/>
            </a:ext>
          </a:extLst>
        </xdr:cNvPr>
        <xdr:cNvCxnSpPr/>
      </xdr:nvCxnSpPr>
      <xdr:spPr>
        <a:xfrm>
          <a:off x="1603918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27" name="Rectangle 26">
          <a:hlinkClick xmlns:r="http://schemas.openxmlformats.org/officeDocument/2006/relationships" r:id="rId42" tooltip="Incentive Rates &amp; Requirements"/>
          <a:extLst>
            <a:ext uri="{FF2B5EF4-FFF2-40B4-BE49-F238E27FC236}">
              <a16:creationId xmlns:a16="http://schemas.microsoft.com/office/drawing/2014/main" id="{00000000-0008-0000-2F00-00001B000000}"/>
            </a:ext>
          </a:extLst>
        </xdr:cNvPr>
        <xdr:cNvSpPr/>
      </xdr:nvSpPr>
      <xdr:spPr>
        <a:xfrm>
          <a:off x="1605662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28" name="Rectangle 27">
          <a:hlinkClick xmlns:r="http://schemas.openxmlformats.org/officeDocument/2006/relationships" r:id="rId43" tooltip=" "/>
          <a:extLst>
            <a:ext uri="{FF2B5EF4-FFF2-40B4-BE49-F238E27FC236}">
              <a16:creationId xmlns:a16="http://schemas.microsoft.com/office/drawing/2014/main" id="{00000000-0008-0000-2F00-00001C000000}"/>
            </a:ext>
          </a:extLst>
        </xdr:cNvPr>
        <xdr:cNvSpPr/>
      </xdr:nvSpPr>
      <xdr:spPr>
        <a:xfrm>
          <a:off x="1351410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293594</xdr:colOff>
      <xdr:row>0</xdr:row>
      <xdr:rowOff>6723</xdr:rowOff>
    </xdr:from>
    <xdr:to>
      <xdr:col>43</xdr:col>
      <xdr:colOff>2241</xdr:colOff>
      <xdr:row>3</xdr:row>
      <xdr:rowOff>6723</xdr:rowOff>
    </xdr:to>
    <xdr:sp macro="" textlink="">
      <xdr:nvSpPr>
        <xdr:cNvPr id="30" name="Rectangle 29">
          <a:hlinkClick xmlns:r="http://schemas.openxmlformats.org/officeDocument/2006/relationships" r:id="rId44" tooltip=" "/>
          <a:extLst>
            <a:ext uri="{FF2B5EF4-FFF2-40B4-BE49-F238E27FC236}">
              <a16:creationId xmlns:a16="http://schemas.microsoft.com/office/drawing/2014/main" id="{00000000-0008-0000-2F00-00001E000000}"/>
            </a:ext>
          </a:extLst>
        </xdr:cNvPr>
        <xdr:cNvSpPr/>
      </xdr:nvSpPr>
      <xdr:spPr>
        <a:xfrm>
          <a:off x="122411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235323</xdr:colOff>
      <xdr:row>75</xdr:row>
      <xdr:rowOff>0</xdr:rowOff>
    </xdr:from>
    <xdr:to>
      <xdr:col>29</xdr:col>
      <xdr:colOff>302558</xdr:colOff>
      <xdr:row>76</xdr:row>
      <xdr:rowOff>0</xdr:rowOff>
    </xdr:to>
    <xdr:sp macro="" textlink="">
      <xdr:nvSpPr>
        <xdr:cNvPr id="3" name="Rectangle 4">
          <a:hlinkClick xmlns:r="http://schemas.openxmlformats.org/officeDocument/2006/relationships" r:id="rId2" tooltip="Update: Terms and Condtions"/>
          <a:extLst>
            <a:ext uri="{FF2B5EF4-FFF2-40B4-BE49-F238E27FC236}">
              <a16:creationId xmlns:a16="http://schemas.microsoft.com/office/drawing/2014/main" id="{740FC8D8-B364-4339-9E43-71922C530C3A}"/>
            </a:ext>
          </a:extLst>
        </xdr:cNvPr>
        <xdr:cNvSpPr/>
      </xdr:nvSpPr>
      <xdr:spPr>
        <a:xfrm>
          <a:off x="8810998" y="14679083"/>
          <a:ext cx="699060" cy="201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48142</xdr:colOff>
      <xdr:row>75</xdr:row>
      <xdr:rowOff>7166</xdr:rowOff>
    </xdr:from>
    <xdr:to>
      <xdr:col>29</xdr:col>
      <xdr:colOff>305283</xdr:colOff>
      <xdr:row>76</xdr:row>
      <xdr:rowOff>7165</xdr:rowOff>
    </xdr:to>
    <xdr:sp macro="" textlink="">
      <xdr:nvSpPr>
        <xdr:cNvPr id="4" name="Rectangle 3">
          <a:hlinkClick xmlns:r="http://schemas.openxmlformats.org/officeDocument/2006/relationships" r:id="rId40" tooltip="Update: Terms &amp; Conditions"/>
          <a:extLst>
            <a:ext uri="{FF2B5EF4-FFF2-40B4-BE49-F238E27FC236}">
              <a16:creationId xmlns:a16="http://schemas.microsoft.com/office/drawing/2014/main" id="{A31EA4D5-AD20-41E5-A606-D70FEFE03ABB}"/>
            </a:ext>
          </a:extLst>
        </xdr:cNvPr>
        <xdr:cNvSpPr/>
      </xdr:nvSpPr>
      <xdr:spPr>
        <a:xfrm>
          <a:off x="8617467" y="14689424"/>
          <a:ext cx="895316" cy="2010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8</xdr:row>
      <xdr:rowOff>191957</xdr:rowOff>
    </xdr:from>
    <xdr:to>
      <xdr:col>2</xdr:col>
      <xdr:colOff>206064</xdr:colOff>
      <xdr:row>11</xdr:row>
      <xdr:rowOff>0</xdr:rowOff>
    </xdr:to>
    <xdr:sp macro="" textlink="">
      <xdr:nvSpPr>
        <xdr:cNvPr id="32" name="Arrow: Left 31">
          <a:hlinkClick xmlns:r="http://schemas.openxmlformats.org/officeDocument/2006/relationships" r:id="rId1" tooltip="Back: Project Review"/>
          <a:extLst>
            <a:ext uri="{FF2B5EF4-FFF2-40B4-BE49-F238E27FC236}">
              <a16:creationId xmlns:a16="http://schemas.microsoft.com/office/drawing/2014/main" id="{00000000-0008-0000-3000-000020000000}"/>
            </a:ext>
          </a:extLst>
        </xdr:cNvPr>
        <xdr:cNvSpPr/>
      </xdr:nvSpPr>
      <xdr:spPr>
        <a:xfrm>
          <a:off x="304800" y="1792157"/>
          <a:ext cx="510864"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21" name="Rectangle 20">
          <a:extLst>
            <a:ext uri="{FF2B5EF4-FFF2-40B4-BE49-F238E27FC236}">
              <a16:creationId xmlns:a16="http://schemas.microsoft.com/office/drawing/2014/main" id="{00000000-0008-0000-3000-000015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22" name="Rectangle 21">
          <a:hlinkClick xmlns:r="http://schemas.openxmlformats.org/officeDocument/2006/relationships" r:id="rId2" tooltip="Welcome"/>
          <a:extLst>
            <a:ext uri="{FF2B5EF4-FFF2-40B4-BE49-F238E27FC236}">
              <a16:creationId xmlns:a16="http://schemas.microsoft.com/office/drawing/2014/main" id="{00000000-0008-0000-3000-000016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23" name="Rectangle 22">
          <a:hlinkClick xmlns:r="http://schemas.openxmlformats.org/officeDocument/2006/relationships" r:id="rId3" tooltip="Instructions"/>
          <a:extLst>
            <a:ext uri="{FF2B5EF4-FFF2-40B4-BE49-F238E27FC236}">
              <a16:creationId xmlns:a16="http://schemas.microsoft.com/office/drawing/2014/main" id="{00000000-0008-0000-3000-000017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24" name="Rectangle 23">
          <a:hlinkClick xmlns:r="http://schemas.openxmlformats.org/officeDocument/2006/relationships" r:id="rId4" tooltip="Contact"/>
          <a:extLst>
            <a:ext uri="{FF2B5EF4-FFF2-40B4-BE49-F238E27FC236}">
              <a16:creationId xmlns:a16="http://schemas.microsoft.com/office/drawing/2014/main" id="{00000000-0008-0000-3000-000018000000}"/>
            </a:ext>
          </a:extLst>
        </xdr:cNvPr>
        <xdr:cNvSpPr/>
      </xdr:nvSpPr>
      <xdr:spPr>
        <a:xfrm>
          <a:off x="16761759" y="0"/>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29" name="Rectangle 28">
          <a:extLst>
            <a:ext uri="{FF2B5EF4-FFF2-40B4-BE49-F238E27FC236}">
              <a16:creationId xmlns:a16="http://schemas.microsoft.com/office/drawing/2014/main" id="{00000000-0008-0000-3000-00001D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30" name="Straight Connector 29">
          <a:extLst>
            <a:ext uri="{FF2B5EF4-FFF2-40B4-BE49-F238E27FC236}">
              <a16:creationId xmlns:a16="http://schemas.microsoft.com/office/drawing/2014/main" id="{00000000-0008-0000-3000-00001E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292431</xdr:colOff>
      <xdr:row>2</xdr:row>
      <xdr:rowOff>60062</xdr:rowOff>
    </xdr:to>
    <xdr:pic>
      <xdr:nvPicPr>
        <xdr:cNvPr id="31" name="Picture 30">
          <a:extLst>
            <a:ext uri="{FF2B5EF4-FFF2-40B4-BE49-F238E27FC236}">
              <a16:creationId xmlns:a16="http://schemas.microsoft.com/office/drawing/2014/main" id="{00000000-0008-0000-30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34" name="Straight Connector 33">
          <a:extLst>
            <a:ext uri="{FF2B5EF4-FFF2-40B4-BE49-F238E27FC236}">
              <a16:creationId xmlns:a16="http://schemas.microsoft.com/office/drawing/2014/main" id="{00000000-0008-0000-3000-000022000000}"/>
            </a:ext>
          </a:extLst>
        </xdr:cNvPr>
        <xdr:cNvCxnSpPr/>
      </xdr:nvCxnSpPr>
      <xdr:spPr>
        <a:xfrm>
          <a:off x="2737057" y="100293"/>
          <a:ext cx="11767"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39504</xdr:colOff>
      <xdr:row>0</xdr:row>
      <xdr:rowOff>129139</xdr:rowOff>
    </xdr:from>
    <xdr:to>
      <xdr:col>4</xdr:col>
      <xdr:colOff>163523</xdr:colOff>
      <xdr:row>2</xdr:row>
      <xdr:rowOff>107027</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6"/>
        <a:stretch>
          <a:fillRect/>
        </a:stretch>
      </xdr:blipFill>
      <xdr:spPr>
        <a:xfrm>
          <a:off x="39504" y="129139"/>
          <a:ext cx="1390844" cy="381113"/>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4" name="Arrow: Chevron 3">
          <a:hlinkClick xmlns:r="http://schemas.openxmlformats.org/officeDocument/2006/relationships" r:id="rId7" tooltip="Terms &amp; Conditions"/>
          <a:extLst>
            <a:ext uri="{FF2B5EF4-FFF2-40B4-BE49-F238E27FC236}">
              <a16:creationId xmlns:a16="http://schemas.microsoft.com/office/drawing/2014/main" id="{00000000-0008-0000-3000-000004000000}"/>
            </a:ext>
          </a:extLst>
        </xdr:cNvPr>
        <xdr:cNvSpPr/>
      </xdr:nvSpPr>
      <xdr:spPr>
        <a:xfrm>
          <a:off x="14484350" y="865046"/>
          <a:ext cx="2011680"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5" name="Arrow: Chevron 4">
          <a:hlinkClick xmlns:r="http://schemas.openxmlformats.org/officeDocument/2006/relationships" r:id="rId8" tooltip="Project Information"/>
          <a:extLst>
            <a:ext uri="{FF2B5EF4-FFF2-40B4-BE49-F238E27FC236}">
              <a16:creationId xmlns:a16="http://schemas.microsoft.com/office/drawing/2014/main" id="{00000000-0008-0000-3000-000005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6" name="Arrow: Chevron 39">
          <a:hlinkClick xmlns:r="http://schemas.openxmlformats.org/officeDocument/2006/relationships" r:id="rId9" tooltip="Customer Information"/>
          <a:extLst>
            <a:ext uri="{FF2B5EF4-FFF2-40B4-BE49-F238E27FC236}">
              <a16:creationId xmlns:a16="http://schemas.microsoft.com/office/drawing/2014/main" id="{00000000-0008-0000-3000-000006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7" name="Arrow: Chevron 40">
          <a:hlinkClick xmlns:r="http://schemas.openxmlformats.org/officeDocument/2006/relationships" r:id="rId10" tooltip="Equipment Input"/>
          <a:extLst>
            <a:ext uri="{FF2B5EF4-FFF2-40B4-BE49-F238E27FC236}">
              <a16:creationId xmlns:a16="http://schemas.microsoft.com/office/drawing/2014/main" id="{00000000-0008-0000-3000-000007000000}"/>
            </a:ext>
          </a:extLst>
        </xdr:cNvPr>
        <xdr:cNvSpPr/>
      </xdr:nvSpPr>
      <xdr:spPr>
        <a:xfrm>
          <a:off x="6188077" y="859240"/>
          <a:ext cx="2153708"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8" name="Arrow: Chevron 7">
          <a:hlinkClick xmlns:r="http://schemas.openxmlformats.org/officeDocument/2006/relationships" r:id="rId11" tooltip="Payment"/>
          <a:extLst>
            <a:ext uri="{FF2B5EF4-FFF2-40B4-BE49-F238E27FC236}">
              <a16:creationId xmlns:a16="http://schemas.microsoft.com/office/drawing/2014/main" id="{00000000-0008-0000-3000-000008000000}"/>
            </a:ext>
          </a:extLst>
        </xdr:cNvPr>
        <xdr:cNvSpPr/>
      </xdr:nvSpPr>
      <xdr:spPr>
        <a:xfrm>
          <a:off x="10259482" y="874353"/>
          <a:ext cx="2313432"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9" name="Arrow: Chevron 8">
          <a:hlinkClick xmlns:r="http://schemas.openxmlformats.org/officeDocument/2006/relationships" r:id="rId12" tooltip="Project Review"/>
          <a:extLst>
            <a:ext uri="{FF2B5EF4-FFF2-40B4-BE49-F238E27FC236}">
              <a16:creationId xmlns:a16="http://schemas.microsoft.com/office/drawing/2014/main" id="{00000000-0008-0000-3000-000009000000}"/>
            </a:ext>
          </a:extLst>
        </xdr:cNvPr>
        <xdr:cNvSpPr/>
      </xdr:nvSpPr>
      <xdr:spPr>
        <a:xfrm>
          <a:off x="16284979" y="864307"/>
          <a:ext cx="2001340" cy="652107"/>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10" name="Arrow: Chevron 43">
          <a:hlinkClick xmlns:r="http://schemas.openxmlformats.org/officeDocument/2006/relationships" r:id="rId13" tooltip="Trade Ally / Contractor Information"/>
          <a:extLst>
            <a:ext uri="{FF2B5EF4-FFF2-40B4-BE49-F238E27FC236}">
              <a16:creationId xmlns:a16="http://schemas.microsoft.com/office/drawing/2014/main" id="{00000000-0008-0000-3000-00000A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1" name="Arrow: Chevron 10">
          <a:hlinkClick xmlns:r="http://schemas.openxmlformats.org/officeDocument/2006/relationships" r:id="rId14" tooltip="On-Bill Repayment"/>
          <a:extLst>
            <a:ext uri="{FF2B5EF4-FFF2-40B4-BE49-F238E27FC236}">
              <a16:creationId xmlns:a16="http://schemas.microsoft.com/office/drawing/2014/main" id="{00000000-0008-0000-3000-00000B000000}"/>
            </a:ext>
          </a:extLst>
        </xdr:cNvPr>
        <xdr:cNvSpPr/>
      </xdr:nvSpPr>
      <xdr:spPr>
        <a:xfrm>
          <a:off x="12363450" y="874354"/>
          <a:ext cx="2304288"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On-Bill Repayment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12" name="Arrow: Chevron 11">
          <a:hlinkClick xmlns:r="http://schemas.openxmlformats.org/officeDocument/2006/relationships" r:id="rId15" tooltip="Payment"/>
          <a:extLst>
            <a:ext uri="{FF2B5EF4-FFF2-40B4-BE49-F238E27FC236}">
              <a16:creationId xmlns:a16="http://schemas.microsoft.com/office/drawing/2014/main" id="{00000000-0008-0000-3000-00000C000000}"/>
            </a:ext>
          </a:extLst>
        </xdr:cNvPr>
        <xdr:cNvSpPr/>
      </xdr:nvSpPr>
      <xdr:spPr>
        <a:xfrm>
          <a:off x="8154458" y="869949"/>
          <a:ext cx="2303907" cy="63201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cap="none" baseline="0">
              <a:solidFill>
                <a:schemeClr val="bg1"/>
              </a:solidFill>
              <a:latin typeface="Arial" panose="020B0604020202020204" pitchFamily="34" charset="0"/>
              <a:ea typeface="+mn-ea"/>
              <a:cs typeface="Arial" panose="020B0604020202020204" pitchFamily="34" charset="0"/>
            </a:rPr>
            <a:t>Union Information</a:t>
          </a:r>
          <a:r>
            <a:rPr lang="en-US" sz="1100" b="0" i="0" u="none" strike="noStrike" cap="none" baseline="0">
              <a:solidFill>
                <a:srgbClr val="142C41"/>
              </a:solidFill>
              <a:latin typeface="Arial" panose="020B0604020202020204" pitchFamily="34" charset="0"/>
              <a:ea typeface="+mn-ea"/>
              <a:cs typeface="Arial" panose="020B0604020202020204" pitchFamily="34" charset="0"/>
            </a:rPr>
            <a:t>on</a:t>
          </a:r>
        </a:p>
      </xdr:txBody>
    </xdr:sp>
    <xdr:clientData/>
  </xdr:twoCellAnchor>
  <xdr:twoCellAnchor>
    <xdr:from>
      <xdr:col>51</xdr:col>
      <xdr:colOff>291353</xdr:colOff>
      <xdr:row>0</xdr:row>
      <xdr:rowOff>0</xdr:rowOff>
    </xdr:from>
    <xdr:to>
      <xdr:col>57</xdr:col>
      <xdr:colOff>280147</xdr:colOff>
      <xdr:row>2</xdr:row>
      <xdr:rowOff>190500</xdr:rowOff>
    </xdr:to>
    <xdr:sp macro="" textlink="">
      <xdr:nvSpPr>
        <xdr:cNvPr id="46" name="Rectangle 45">
          <a:extLst>
            <a:ext uri="{FF2B5EF4-FFF2-40B4-BE49-F238E27FC236}">
              <a16:creationId xmlns:a16="http://schemas.microsoft.com/office/drawing/2014/main" id="{00000000-0008-0000-3000-00002E000000}"/>
            </a:ext>
          </a:extLst>
        </xdr:cNvPr>
        <xdr:cNvSpPr/>
      </xdr:nvSpPr>
      <xdr:spPr>
        <a:xfrm>
          <a:off x="16687053" y="0"/>
          <a:ext cx="18683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47" name="Rectangle 46">
          <a:hlinkClick xmlns:r="http://schemas.openxmlformats.org/officeDocument/2006/relationships" r:id="rId4" tooltip="Contact"/>
          <a:extLst>
            <a:ext uri="{FF2B5EF4-FFF2-40B4-BE49-F238E27FC236}">
              <a16:creationId xmlns:a16="http://schemas.microsoft.com/office/drawing/2014/main" id="{00000000-0008-0000-3000-00002F000000}"/>
            </a:ext>
          </a:extLst>
        </xdr:cNvPr>
        <xdr:cNvSpPr/>
      </xdr:nvSpPr>
      <xdr:spPr>
        <a:xfrm>
          <a:off x="18266709" y="0"/>
          <a:ext cx="1269066"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48" name="Rectangle 47">
          <a:hlinkClick xmlns:r="http://schemas.openxmlformats.org/officeDocument/2006/relationships" r:id="rId16" tooltip=" "/>
          <a:extLst>
            <a:ext uri="{FF2B5EF4-FFF2-40B4-BE49-F238E27FC236}">
              <a16:creationId xmlns:a16="http://schemas.microsoft.com/office/drawing/2014/main" id="{00000000-0008-0000-3000-000030000000}"/>
            </a:ext>
          </a:extLst>
        </xdr:cNvPr>
        <xdr:cNvSpPr/>
      </xdr:nvSpPr>
      <xdr:spPr>
        <a:xfrm>
          <a:off x="15117669" y="9898"/>
          <a:ext cx="127709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49" name="Straight Connector 48">
          <a:extLst>
            <a:ext uri="{FF2B5EF4-FFF2-40B4-BE49-F238E27FC236}">
              <a16:creationId xmlns:a16="http://schemas.microsoft.com/office/drawing/2014/main" id="{00000000-0008-0000-3000-000031000000}"/>
            </a:ext>
          </a:extLst>
        </xdr:cNvPr>
        <xdr:cNvCxnSpPr/>
      </xdr:nvCxnSpPr>
      <xdr:spPr>
        <a:xfrm>
          <a:off x="18278475" y="103468"/>
          <a:ext cx="6350" cy="4127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50" name="Rectangle 49">
          <a:hlinkClick xmlns:r="http://schemas.openxmlformats.org/officeDocument/2006/relationships" r:id="rId4" tooltip="Contact"/>
          <a:extLst>
            <a:ext uri="{FF2B5EF4-FFF2-40B4-BE49-F238E27FC236}">
              <a16:creationId xmlns:a16="http://schemas.microsoft.com/office/drawing/2014/main" id="{00000000-0008-0000-3000-000032000000}"/>
            </a:ext>
          </a:extLst>
        </xdr:cNvPr>
        <xdr:cNvSpPr/>
      </xdr:nvSpPr>
      <xdr:spPr>
        <a:xfrm>
          <a:off x="18266709" y="8031"/>
          <a:ext cx="1269066"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51" name="Rectangle 50">
          <a:extLst>
            <a:ext uri="{FF2B5EF4-FFF2-40B4-BE49-F238E27FC236}">
              <a16:creationId xmlns:a16="http://schemas.microsoft.com/office/drawing/2014/main" id="{00000000-0008-0000-3000-000033000000}"/>
            </a:ext>
          </a:extLst>
        </xdr:cNvPr>
        <xdr:cNvSpPr/>
      </xdr:nvSpPr>
      <xdr:spPr>
        <a:xfrm>
          <a:off x="16372728" y="0"/>
          <a:ext cx="18683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52" name="Straight Connector 51">
          <a:extLst>
            <a:ext uri="{FF2B5EF4-FFF2-40B4-BE49-F238E27FC236}">
              <a16:creationId xmlns:a16="http://schemas.microsoft.com/office/drawing/2014/main" id="{00000000-0008-0000-3000-000034000000}"/>
            </a:ext>
          </a:extLst>
        </xdr:cNvPr>
        <xdr:cNvCxnSpPr/>
      </xdr:nvCxnSpPr>
      <xdr:spPr>
        <a:xfrm>
          <a:off x="16401137" y="103468"/>
          <a:ext cx="12700" cy="4127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53" name="Rectangle 52">
          <a:hlinkClick xmlns:r="http://schemas.openxmlformats.org/officeDocument/2006/relationships" r:id="rId17" tooltip="Incentive Rates &amp; Requirements"/>
          <a:extLst>
            <a:ext uri="{FF2B5EF4-FFF2-40B4-BE49-F238E27FC236}">
              <a16:creationId xmlns:a16="http://schemas.microsoft.com/office/drawing/2014/main" id="{00000000-0008-0000-3000-000035000000}"/>
            </a:ext>
          </a:extLst>
        </xdr:cNvPr>
        <xdr:cNvSpPr/>
      </xdr:nvSpPr>
      <xdr:spPr>
        <a:xfrm>
          <a:off x="16418573" y="0"/>
          <a:ext cx="1859902" cy="5735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54" name="Rectangle 53">
          <a:hlinkClick xmlns:r="http://schemas.openxmlformats.org/officeDocument/2006/relationships" r:id="rId18" tooltip=" "/>
          <a:extLst>
            <a:ext uri="{FF2B5EF4-FFF2-40B4-BE49-F238E27FC236}">
              <a16:creationId xmlns:a16="http://schemas.microsoft.com/office/drawing/2014/main" id="{00000000-0008-0000-3000-000036000000}"/>
            </a:ext>
          </a:extLst>
        </xdr:cNvPr>
        <xdr:cNvSpPr/>
      </xdr:nvSpPr>
      <xdr:spPr>
        <a:xfrm>
          <a:off x="13876057" y="0"/>
          <a:ext cx="127709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293594</xdr:colOff>
      <xdr:row>0</xdr:row>
      <xdr:rowOff>6723</xdr:rowOff>
    </xdr:from>
    <xdr:to>
      <xdr:col>43</xdr:col>
      <xdr:colOff>2241</xdr:colOff>
      <xdr:row>3</xdr:row>
      <xdr:rowOff>6723</xdr:rowOff>
    </xdr:to>
    <xdr:sp macro="" textlink="">
      <xdr:nvSpPr>
        <xdr:cNvPr id="55" name="Rectangle 54">
          <a:hlinkClick xmlns:r="http://schemas.openxmlformats.org/officeDocument/2006/relationships" r:id="rId19" tooltip=" "/>
          <a:extLst>
            <a:ext uri="{FF2B5EF4-FFF2-40B4-BE49-F238E27FC236}">
              <a16:creationId xmlns:a16="http://schemas.microsoft.com/office/drawing/2014/main" id="{00000000-0008-0000-3000-000037000000}"/>
            </a:ext>
          </a:extLst>
        </xdr:cNvPr>
        <xdr:cNvSpPr/>
      </xdr:nvSpPr>
      <xdr:spPr>
        <a:xfrm>
          <a:off x="12603069" y="9898"/>
          <a:ext cx="127709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15</xdr:col>
      <xdr:colOff>17076</xdr:colOff>
      <xdr:row>18</xdr:row>
      <xdr:rowOff>187188</xdr:rowOff>
    </xdr:from>
    <xdr:to>
      <xdr:col>34</xdr:col>
      <xdr:colOff>5366</xdr:colOff>
      <xdr:row>19</xdr:row>
      <xdr:rowOff>14094</xdr:rowOff>
    </xdr:to>
    <xdr:sp macro="" textlink="">
      <xdr:nvSpPr>
        <xdr:cNvPr id="57" name="Rectangle 56">
          <a:extLst>
            <a:ext uri="{FF2B5EF4-FFF2-40B4-BE49-F238E27FC236}">
              <a16:creationId xmlns:a16="http://schemas.microsoft.com/office/drawing/2014/main" id="{00000000-0008-0000-3100-000039000000}"/>
            </a:ext>
          </a:extLst>
        </xdr:cNvPr>
        <xdr:cNvSpPr/>
      </xdr:nvSpPr>
      <xdr:spPr>
        <a:xfrm flipV="1">
          <a:off x="3647782" y="3862717"/>
          <a:ext cx="5736908" cy="28612"/>
        </a:xfrm>
        <a:prstGeom prst="rect">
          <a:avLst/>
        </a:prstGeom>
        <a:solidFill>
          <a:srgbClr val="61616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9</xdr:row>
      <xdr:rowOff>50763</xdr:rowOff>
    </xdr:from>
    <xdr:to>
      <xdr:col>2</xdr:col>
      <xdr:colOff>201706</xdr:colOff>
      <xdr:row>11</xdr:row>
      <xdr:rowOff>0</xdr:rowOff>
    </xdr:to>
    <xdr:sp macro="" textlink="">
      <xdr:nvSpPr>
        <xdr:cNvPr id="32" name="Arrow: Left 31">
          <a:hlinkClick xmlns:r="http://schemas.openxmlformats.org/officeDocument/2006/relationships" r:id="rId1" tooltip="Back: Project Review"/>
          <a:extLst>
            <a:ext uri="{FF2B5EF4-FFF2-40B4-BE49-F238E27FC236}">
              <a16:creationId xmlns:a16="http://schemas.microsoft.com/office/drawing/2014/main" id="{00000000-0008-0000-3100-000020000000}"/>
            </a:ext>
          </a:extLst>
        </xdr:cNvPr>
        <xdr:cNvSpPr/>
      </xdr:nvSpPr>
      <xdr:spPr>
        <a:xfrm>
          <a:off x="304800" y="1831938"/>
          <a:ext cx="506506" cy="425487"/>
        </a:xfrm>
        <a:prstGeom prst="leftArrow">
          <a:avLst/>
        </a:prstGeom>
        <a:solidFill>
          <a:srgbClr val="0079C1"/>
        </a:solidFill>
        <a:ln>
          <a:solidFill>
            <a:srgbClr val="007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100852</xdr:colOff>
      <xdr:row>10</xdr:row>
      <xdr:rowOff>100855</xdr:rowOff>
    </xdr:from>
    <xdr:to>
      <xdr:col>15</xdr:col>
      <xdr:colOff>257734</xdr:colOff>
      <xdr:row>12</xdr:row>
      <xdr:rowOff>112060</xdr:rowOff>
    </xdr:to>
    <xdr:grpSp>
      <xdr:nvGrpSpPr>
        <xdr:cNvPr id="8" name="Group 7">
          <a:extLst>
            <a:ext uri="{FF2B5EF4-FFF2-40B4-BE49-F238E27FC236}">
              <a16:creationId xmlns:a16="http://schemas.microsoft.com/office/drawing/2014/main" id="{00000000-0008-0000-3100-000008000000}"/>
            </a:ext>
          </a:extLst>
        </xdr:cNvPr>
        <xdr:cNvGrpSpPr/>
      </xdr:nvGrpSpPr>
      <xdr:grpSpPr>
        <a:xfrm>
          <a:off x="4397685" y="2132855"/>
          <a:ext cx="463799" cy="455705"/>
          <a:chOff x="3014383" y="2084294"/>
          <a:chExt cx="526676" cy="537883"/>
        </a:xfrm>
      </xdr:grpSpPr>
      <xdr:pic>
        <xdr:nvPicPr>
          <xdr:cNvPr id="5" name="Graphic 4" descr="Exclamation mark">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3087221" y="2162735"/>
            <a:ext cx="381000" cy="381000"/>
          </a:xfrm>
          <a:prstGeom prst="rect">
            <a:avLst/>
          </a:prstGeom>
        </xdr:spPr>
      </xdr:pic>
      <xdr:sp macro="" textlink="">
        <xdr:nvSpPr>
          <xdr:cNvPr id="7" name="Oval 6">
            <a:extLst>
              <a:ext uri="{FF2B5EF4-FFF2-40B4-BE49-F238E27FC236}">
                <a16:creationId xmlns:a16="http://schemas.microsoft.com/office/drawing/2014/main" id="{00000000-0008-0000-3100-000007000000}"/>
              </a:ext>
            </a:extLst>
          </xdr:cNvPr>
          <xdr:cNvSpPr/>
        </xdr:nvSpPr>
        <xdr:spPr>
          <a:xfrm>
            <a:off x="3014383" y="2084294"/>
            <a:ext cx="526676" cy="537883"/>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oneCellAnchor>
    <xdr:from>
      <xdr:col>26</xdr:col>
      <xdr:colOff>290433</xdr:colOff>
      <xdr:row>49</xdr:row>
      <xdr:rowOff>122463</xdr:rowOff>
    </xdr:from>
    <xdr:ext cx="4384401" cy="1448169"/>
    <xdr:pic>
      <xdr:nvPicPr>
        <xdr:cNvPr id="93" name="Picture 50">
          <a:extLst>
            <a:ext uri="{FF2B5EF4-FFF2-40B4-BE49-F238E27FC236}">
              <a16:creationId xmlns:a16="http://schemas.microsoft.com/office/drawing/2014/main" id="{00000000-0008-0000-3100-00005D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1577" b="24371"/>
        <a:stretch/>
      </xdr:blipFill>
      <xdr:spPr>
        <a:xfrm>
          <a:off x="7175647" y="10423070"/>
          <a:ext cx="4384401" cy="1448169"/>
        </a:xfrm>
        <a:prstGeom prst="rect">
          <a:avLst/>
        </a:prstGeom>
      </xdr:spPr>
    </xdr:pic>
    <xdr:clientData/>
  </xdr:oneCellAnchor>
  <xdr:oneCellAnchor>
    <xdr:from>
      <xdr:col>38</xdr:col>
      <xdr:colOff>95037</xdr:colOff>
      <xdr:row>75</xdr:row>
      <xdr:rowOff>56030</xdr:rowOff>
    </xdr:from>
    <xdr:ext cx="976744" cy="288489"/>
    <xdr:pic>
      <xdr:nvPicPr>
        <xdr:cNvPr id="92" name="Picture 55">
          <a:extLst>
            <a:ext uri="{FF2B5EF4-FFF2-40B4-BE49-F238E27FC236}">
              <a16:creationId xmlns:a16="http://schemas.microsoft.com/office/drawing/2014/main" id="{00000000-0008-0000-3100-00005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153437" y="15153155"/>
          <a:ext cx="971202" cy="284505"/>
        </a:xfrm>
        <a:prstGeom prst="rect">
          <a:avLst/>
        </a:prstGeom>
      </xdr:spPr>
    </xdr:pic>
    <xdr:clientData/>
  </xdr:oneCellAnchor>
  <xdr:oneCellAnchor>
    <xdr:from>
      <xdr:col>15</xdr:col>
      <xdr:colOff>214098</xdr:colOff>
      <xdr:row>61</xdr:row>
      <xdr:rowOff>2806</xdr:rowOff>
    </xdr:from>
    <xdr:ext cx="891207" cy="793009"/>
    <xdr:pic>
      <xdr:nvPicPr>
        <xdr:cNvPr id="110" name="Picture 57">
          <a:extLst>
            <a:ext uri="{FF2B5EF4-FFF2-40B4-BE49-F238E27FC236}">
              <a16:creationId xmlns:a16="http://schemas.microsoft.com/office/drawing/2014/main" id="{00000000-0008-0000-3100-00006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844804" y="12587012"/>
          <a:ext cx="891207" cy="793009"/>
        </a:xfrm>
        <a:prstGeom prst="rect">
          <a:avLst/>
        </a:prstGeom>
      </xdr:spPr>
    </xdr:pic>
    <xdr:clientData/>
  </xdr:oneCellAnchor>
  <xdr:oneCellAnchor>
    <xdr:from>
      <xdr:col>24</xdr:col>
      <xdr:colOff>216961</xdr:colOff>
      <xdr:row>60</xdr:row>
      <xdr:rowOff>85262</xdr:rowOff>
    </xdr:from>
    <xdr:ext cx="907096" cy="862336"/>
    <xdr:pic>
      <xdr:nvPicPr>
        <xdr:cNvPr id="109" name="Picture 58">
          <a:extLst>
            <a:ext uri="{FF2B5EF4-FFF2-40B4-BE49-F238E27FC236}">
              <a16:creationId xmlns:a16="http://schemas.microsoft.com/office/drawing/2014/main" id="{00000000-0008-0000-3100-00006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570696" y="12467762"/>
          <a:ext cx="907096" cy="862336"/>
        </a:xfrm>
        <a:prstGeom prst="rect">
          <a:avLst/>
        </a:prstGeom>
      </xdr:spPr>
    </xdr:pic>
    <xdr:clientData/>
  </xdr:oneCellAnchor>
  <xdr:oneCellAnchor>
    <xdr:from>
      <xdr:col>33</xdr:col>
      <xdr:colOff>74587</xdr:colOff>
      <xdr:row>60</xdr:row>
      <xdr:rowOff>177762</xdr:rowOff>
    </xdr:from>
    <xdr:ext cx="893078" cy="844010"/>
    <xdr:pic>
      <xdr:nvPicPr>
        <xdr:cNvPr id="89" name="Picture 59">
          <a:extLst>
            <a:ext uri="{FF2B5EF4-FFF2-40B4-BE49-F238E27FC236}">
              <a16:creationId xmlns:a16="http://schemas.microsoft.com/office/drawing/2014/main" id="{00000000-0008-0000-3100-00005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9151352" y="12560262"/>
          <a:ext cx="865572" cy="819561"/>
        </a:xfrm>
        <a:prstGeom prst="rect">
          <a:avLst/>
        </a:prstGeom>
      </xdr:spPr>
    </xdr:pic>
    <xdr:clientData/>
  </xdr:oneCellAnchor>
  <xdr:twoCellAnchor editAs="oneCell">
    <xdr:from>
      <xdr:col>26</xdr:col>
      <xdr:colOff>184620</xdr:colOff>
      <xdr:row>31</xdr:row>
      <xdr:rowOff>164355</xdr:rowOff>
    </xdr:from>
    <xdr:to>
      <xdr:col>31</xdr:col>
      <xdr:colOff>260138</xdr:colOff>
      <xdr:row>39</xdr:row>
      <xdr:rowOff>46498</xdr:rowOff>
    </xdr:to>
    <xdr:pic>
      <xdr:nvPicPr>
        <xdr:cNvPr id="94" name="Picture 51">
          <a:extLst>
            <a:ext uri="{FF2B5EF4-FFF2-40B4-BE49-F238E27FC236}">
              <a16:creationId xmlns:a16="http://schemas.microsoft.com/office/drawing/2014/main" id="{00000000-0008-0000-3100-00005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7304558" y="6486574"/>
          <a:ext cx="1623331" cy="1501393"/>
        </a:xfrm>
        <a:prstGeom prst="rect">
          <a:avLst/>
        </a:prstGeom>
      </xdr:spPr>
    </xdr:pic>
    <xdr:clientData/>
  </xdr:twoCellAnchor>
  <xdr:twoCellAnchor>
    <xdr:from>
      <xdr:col>0</xdr:col>
      <xdr:colOff>0</xdr:colOff>
      <xdr:row>0</xdr:row>
      <xdr:rowOff>0</xdr:rowOff>
    </xdr:from>
    <xdr:to>
      <xdr:col>4</xdr:col>
      <xdr:colOff>251013</xdr:colOff>
      <xdr:row>2</xdr:row>
      <xdr:rowOff>161363</xdr:rowOff>
    </xdr:to>
    <xdr:sp macro="" textlink="">
      <xdr:nvSpPr>
        <xdr:cNvPr id="25" name="Rectangle 24">
          <a:extLst>
            <a:ext uri="{FF2B5EF4-FFF2-40B4-BE49-F238E27FC236}">
              <a16:creationId xmlns:a16="http://schemas.microsoft.com/office/drawing/2014/main" id="{00000000-0008-0000-3100-000019000000}"/>
            </a:ext>
          </a:extLst>
        </xdr:cNvPr>
        <xdr:cNvSpPr/>
      </xdr:nvSpPr>
      <xdr:spPr>
        <a:xfrm>
          <a:off x="0" y="0"/>
          <a:ext cx="1470213" cy="56141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26" name="Rectangle 25">
          <a:hlinkClick xmlns:r="http://schemas.openxmlformats.org/officeDocument/2006/relationships" r:id="rId10" tooltip="Welcome"/>
          <a:extLst>
            <a:ext uri="{FF2B5EF4-FFF2-40B4-BE49-F238E27FC236}">
              <a16:creationId xmlns:a16="http://schemas.microsoft.com/office/drawing/2014/main" id="{00000000-0008-0000-3100-00001A000000}"/>
            </a:ext>
          </a:extLst>
        </xdr:cNvPr>
        <xdr:cNvSpPr/>
      </xdr:nvSpPr>
      <xdr:spPr>
        <a:xfrm>
          <a:off x="1510552" y="11208"/>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27" name="Rectangle 26">
          <a:hlinkClick xmlns:r="http://schemas.openxmlformats.org/officeDocument/2006/relationships" r:id="rId11" tooltip="Instructions"/>
          <a:extLst>
            <a:ext uri="{FF2B5EF4-FFF2-40B4-BE49-F238E27FC236}">
              <a16:creationId xmlns:a16="http://schemas.microsoft.com/office/drawing/2014/main" id="{00000000-0008-0000-3100-00001B000000}"/>
            </a:ext>
          </a:extLst>
        </xdr:cNvPr>
        <xdr:cNvSpPr/>
      </xdr:nvSpPr>
      <xdr:spPr>
        <a:xfrm>
          <a:off x="2746214" y="6725"/>
          <a:ext cx="1152525"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28" name="Rectangle 27">
          <a:hlinkClick xmlns:r="http://schemas.openxmlformats.org/officeDocument/2006/relationships" r:id="rId12" tooltip="Contact"/>
          <a:extLst>
            <a:ext uri="{FF2B5EF4-FFF2-40B4-BE49-F238E27FC236}">
              <a16:creationId xmlns:a16="http://schemas.microsoft.com/office/drawing/2014/main" id="{00000000-0008-0000-3100-00001C000000}"/>
            </a:ext>
          </a:extLst>
        </xdr:cNvPr>
        <xdr:cNvSpPr/>
      </xdr:nvSpPr>
      <xdr:spPr>
        <a:xfrm>
          <a:off x="16761759" y="0"/>
          <a:ext cx="122144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44</xdr:col>
      <xdr:colOff>293594</xdr:colOff>
      <xdr:row>0</xdr:row>
      <xdr:rowOff>6723</xdr:rowOff>
    </xdr:from>
    <xdr:to>
      <xdr:col>49</xdr:col>
      <xdr:colOff>2241</xdr:colOff>
      <xdr:row>3</xdr:row>
      <xdr:rowOff>6723</xdr:rowOff>
    </xdr:to>
    <xdr:sp macro="" textlink="">
      <xdr:nvSpPr>
        <xdr:cNvPr id="30" name="Rectangle 29">
          <a:hlinkClick xmlns:r="http://schemas.openxmlformats.org/officeDocument/2006/relationships" r:id="rId13" tooltip=" "/>
          <a:extLst>
            <a:ext uri="{FF2B5EF4-FFF2-40B4-BE49-F238E27FC236}">
              <a16:creationId xmlns:a16="http://schemas.microsoft.com/office/drawing/2014/main" id="{00000000-0008-0000-3100-00001E000000}"/>
            </a:ext>
          </a:extLst>
        </xdr:cNvPr>
        <xdr:cNvSpPr/>
      </xdr:nvSpPr>
      <xdr:spPr>
        <a:xfrm>
          <a:off x="137047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0</xdr:colOff>
      <xdr:row>0</xdr:row>
      <xdr:rowOff>100293</xdr:rowOff>
    </xdr:from>
    <xdr:to>
      <xdr:col>55</xdr:col>
      <xdr:colOff>9525</xdr:colOff>
      <xdr:row>2</xdr:row>
      <xdr:rowOff>128868</xdr:rowOff>
    </xdr:to>
    <xdr:cxnSp macro="">
      <xdr:nvCxnSpPr>
        <xdr:cNvPr id="31" name="Straight Connector 30">
          <a:extLst>
            <a:ext uri="{FF2B5EF4-FFF2-40B4-BE49-F238E27FC236}">
              <a16:creationId xmlns:a16="http://schemas.microsoft.com/office/drawing/2014/main" id="{00000000-0008-0000-3100-00001F000000}"/>
            </a:ext>
          </a:extLst>
        </xdr:cNvPr>
        <xdr:cNvCxnSpPr/>
      </xdr:nvCxnSpPr>
      <xdr:spPr>
        <a:xfrm>
          <a:off x="16764000"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302559</xdr:colOff>
      <xdr:row>0</xdr:row>
      <xdr:rowOff>11206</xdr:rowOff>
    </xdr:from>
    <xdr:to>
      <xdr:col>59</xdr:col>
      <xdr:colOff>0</xdr:colOff>
      <xdr:row>3</xdr:row>
      <xdr:rowOff>11206</xdr:rowOff>
    </xdr:to>
    <xdr:sp macro="" textlink="">
      <xdr:nvSpPr>
        <xdr:cNvPr id="33" name="Rectangle 32">
          <a:hlinkClick xmlns:r="http://schemas.openxmlformats.org/officeDocument/2006/relationships" r:id="rId12" tooltip="Contact"/>
          <a:extLst>
            <a:ext uri="{FF2B5EF4-FFF2-40B4-BE49-F238E27FC236}">
              <a16:creationId xmlns:a16="http://schemas.microsoft.com/office/drawing/2014/main" id="{00000000-0008-0000-3100-000021000000}"/>
            </a:ext>
          </a:extLst>
        </xdr:cNvPr>
        <xdr:cNvSpPr/>
      </xdr:nvSpPr>
      <xdr:spPr>
        <a:xfrm>
          <a:off x="16761759" y="11206"/>
          <a:ext cx="122144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34" name="Rectangle 33">
          <a:extLst>
            <a:ext uri="{FF2B5EF4-FFF2-40B4-BE49-F238E27FC236}">
              <a16:creationId xmlns:a16="http://schemas.microsoft.com/office/drawing/2014/main" id="{00000000-0008-0000-3100-000022000000}"/>
            </a:ext>
          </a:extLst>
        </xdr:cNvPr>
        <xdr:cNvSpPr/>
      </xdr:nvSpPr>
      <xdr:spPr>
        <a:xfrm>
          <a:off x="14921753" y="0"/>
          <a:ext cx="18175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36" name="Straight Connector 35">
          <a:extLst>
            <a:ext uri="{FF2B5EF4-FFF2-40B4-BE49-F238E27FC236}">
              <a16:creationId xmlns:a16="http://schemas.microsoft.com/office/drawing/2014/main" id="{00000000-0008-0000-3100-000024000000}"/>
            </a:ext>
          </a:extLst>
        </xdr:cNvPr>
        <xdr:cNvCxnSpPr/>
      </xdr:nvCxnSpPr>
      <xdr:spPr>
        <a:xfrm>
          <a:off x="1506631"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285446</xdr:colOff>
      <xdr:row>2</xdr:row>
      <xdr:rowOff>58157</xdr:rowOff>
    </xdr:to>
    <xdr:pic>
      <xdr:nvPicPr>
        <xdr:cNvPr id="37" name="Picture 36">
          <a:extLst>
            <a:ext uri="{FF2B5EF4-FFF2-40B4-BE49-F238E27FC236}">
              <a16:creationId xmlns:a16="http://schemas.microsoft.com/office/drawing/2014/main" id="{00000000-0008-0000-3100-00002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49</xdr:col>
      <xdr:colOff>11787</xdr:colOff>
      <xdr:row>0</xdr:row>
      <xdr:rowOff>100293</xdr:rowOff>
    </xdr:from>
    <xdr:to>
      <xdr:col>49</xdr:col>
      <xdr:colOff>21312</xdr:colOff>
      <xdr:row>2</xdr:row>
      <xdr:rowOff>128868</xdr:rowOff>
    </xdr:to>
    <xdr:cxnSp macro="">
      <xdr:nvCxnSpPr>
        <xdr:cNvPr id="38" name="Straight Connector 37">
          <a:extLst>
            <a:ext uri="{FF2B5EF4-FFF2-40B4-BE49-F238E27FC236}">
              <a16:creationId xmlns:a16="http://schemas.microsoft.com/office/drawing/2014/main" id="{00000000-0008-0000-3100-000026000000}"/>
            </a:ext>
          </a:extLst>
        </xdr:cNvPr>
        <xdr:cNvCxnSpPr/>
      </xdr:nvCxnSpPr>
      <xdr:spPr>
        <a:xfrm>
          <a:off x="14946987"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298657</xdr:colOff>
      <xdr:row>0</xdr:row>
      <xdr:rowOff>100293</xdr:rowOff>
    </xdr:from>
    <xdr:to>
      <xdr:col>9</xdr:col>
      <xdr:colOff>5624</xdr:colOff>
      <xdr:row>2</xdr:row>
      <xdr:rowOff>128868</xdr:rowOff>
    </xdr:to>
    <xdr:cxnSp macro="">
      <xdr:nvCxnSpPr>
        <xdr:cNvPr id="39" name="Straight Connector 38">
          <a:extLst>
            <a:ext uri="{FF2B5EF4-FFF2-40B4-BE49-F238E27FC236}">
              <a16:creationId xmlns:a16="http://schemas.microsoft.com/office/drawing/2014/main" id="{00000000-0008-0000-3100-000027000000}"/>
            </a:ext>
          </a:extLst>
        </xdr:cNvPr>
        <xdr:cNvCxnSpPr/>
      </xdr:nvCxnSpPr>
      <xdr:spPr>
        <a:xfrm>
          <a:off x="2737057" y="100293"/>
          <a:ext cx="11767"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22873</xdr:colOff>
      <xdr:row>0</xdr:row>
      <xdr:rowOff>0</xdr:rowOff>
    </xdr:from>
    <xdr:to>
      <xdr:col>55</xdr:col>
      <xdr:colOff>0</xdr:colOff>
      <xdr:row>2</xdr:row>
      <xdr:rowOff>186186</xdr:rowOff>
    </xdr:to>
    <xdr:sp macro="" textlink="">
      <xdr:nvSpPr>
        <xdr:cNvPr id="40" name="Rectangle 39">
          <a:hlinkClick xmlns:r="http://schemas.openxmlformats.org/officeDocument/2006/relationships" r:id="rId15" tooltip="Incentive Rates &amp; Requirements"/>
          <a:extLst>
            <a:ext uri="{FF2B5EF4-FFF2-40B4-BE49-F238E27FC236}">
              <a16:creationId xmlns:a16="http://schemas.microsoft.com/office/drawing/2014/main" id="{00000000-0008-0000-3100-000028000000}"/>
            </a:ext>
          </a:extLst>
        </xdr:cNvPr>
        <xdr:cNvSpPr/>
      </xdr:nvSpPr>
      <xdr:spPr>
        <a:xfrm>
          <a:off x="14958073" y="0"/>
          <a:ext cx="1805927"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35</xdr:col>
      <xdr:colOff>2</xdr:colOff>
      <xdr:row>15</xdr:row>
      <xdr:rowOff>179294</xdr:rowOff>
    </xdr:from>
    <xdr:to>
      <xdr:col>40</xdr:col>
      <xdr:colOff>288956</xdr:colOff>
      <xdr:row>18</xdr:row>
      <xdr:rowOff>21104</xdr:rowOff>
    </xdr:to>
    <xdr:pic>
      <xdr:nvPicPr>
        <xdr:cNvPr id="13" name="Picture 40">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81884" y="3249706"/>
          <a:ext cx="1801748" cy="446927"/>
        </a:xfrm>
        <a:prstGeom prst="rect">
          <a:avLst/>
        </a:prstGeom>
      </xdr:spPr>
    </xdr:pic>
    <xdr:clientData/>
  </xdr:twoCellAnchor>
  <xdr:twoCellAnchor>
    <xdr:from>
      <xdr:col>40</xdr:col>
      <xdr:colOff>309282</xdr:colOff>
      <xdr:row>0</xdr:row>
      <xdr:rowOff>0</xdr:rowOff>
    </xdr:from>
    <xdr:to>
      <xdr:col>45</xdr:col>
      <xdr:colOff>17930</xdr:colOff>
      <xdr:row>3</xdr:row>
      <xdr:rowOff>0</xdr:rowOff>
    </xdr:to>
    <xdr:sp macro="" textlink="">
      <xdr:nvSpPr>
        <xdr:cNvPr id="41" name="Rectangle 40">
          <a:hlinkClick xmlns:r="http://schemas.openxmlformats.org/officeDocument/2006/relationships" r:id="rId17" tooltip=" "/>
          <a:extLst>
            <a:ext uri="{FF2B5EF4-FFF2-40B4-BE49-F238E27FC236}">
              <a16:creationId xmlns:a16="http://schemas.microsoft.com/office/drawing/2014/main" id="{00000000-0008-0000-3100-000029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22412</xdr:colOff>
      <xdr:row>69</xdr:row>
      <xdr:rowOff>190499</xdr:rowOff>
    </xdr:from>
    <xdr:to>
      <xdr:col>37</xdr:col>
      <xdr:colOff>257736</xdr:colOff>
      <xdr:row>71</xdr:row>
      <xdr:rowOff>0</xdr:rowOff>
    </xdr:to>
    <xdr:sp macro="" textlink="">
      <xdr:nvSpPr>
        <xdr:cNvPr id="42" name="Rectangle 41">
          <a:hlinkClick xmlns:r="http://schemas.openxmlformats.org/officeDocument/2006/relationships" r:id="rId18" tooltip="Learn More Online"/>
          <a:extLst>
            <a:ext uri="{FF2B5EF4-FFF2-40B4-BE49-F238E27FC236}">
              <a16:creationId xmlns:a16="http://schemas.microsoft.com/office/drawing/2014/main" id="{00000000-0008-0000-3100-00002A000000}"/>
            </a:ext>
          </a:extLst>
        </xdr:cNvPr>
        <xdr:cNvSpPr/>
      </xdr:nvSpPr>
      <xdr:spPr>
        <a:xfrm>
          <a:off x="8796618" y="14186646"/>
          <a:ext cx="1748118" cy="212913"/>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298075</xdr:colOff>
      <xdr:row>72</xdr:row>
      <xdr:rowOff>6725</xdr:rowOff>
    </xdr:from>
    <xdr:to>
      <xdr:col>41</xdr:col>
      <xdr:colOff>224118</xdr:colOff>
      <xdr:row>73</xdr:row>
      <xdr:rowOff>11205</xdr:rowOff>
    </xdr:to>
    <xdr:sp macro="" textlink="">
      <xdr:nvSpPr>
        <xdr:cNvPr id="43" name="Rectangle 42">
          <a:hlinkClick xmlns:r="http://schemas.openxmlformats.org/officeDocument/2006/relationships" r:id="rId19" tooltip="Draft an Email"/>
          <a:extLst>
            <a:ext uri="{FF2B5EF4-FFF2-40B4-BE49-F238E27FC236}">
              <a16:creationId xmlns:a16="http://schemas.microsoft.com/office/drawing/2014/main" id="{00000000-0008-0000-3100-00002B000000}"/>
            </a:ext>
          </a:extLst>
        </xdr:cNvPr>
        <xdr:cNvSpPr/>
      </xdr:nvSpPr>
      <xdr:spPr>
        <a:xfrm>
          <a:off x="8769722" y="14607990"/>
          <a:ext cx="2951631" cy="206186"/>
        </a:xfrm>
        <a:prstGeom prst="rect">
          <a:avLst/>
        </a:prstGeom>
        <a:solidFill>
          <a:schemeClr val="accent1">
            <a:alpha val="0"/>
          </a:schemeClr>
        </a:solidFill>
        <a:ln>
          <a:solidFill>
            <a:schemeClr val="accent1">
              <a:shade val="50000"/>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151019</xdr:colOff>
      <xdr:row>4</xdr:row>
      <xdr:rowOff>78704</xdr:rowOff>
    </xdr:from>
    <xdr:to>
      <xdr:col>45</xdr:col>
      <xdr:colOff>281054</xdr:colOff>
      <xdr:row>7</xdr:row>
      <xdr:rowOff>129257</xdr:rowOff>
    </xdr:to>
    <xdr:sp macro="" textlink="M2S1">
      <xdr:nvSpPr>
        <xdr:cNvPr id="44" name="Arrow: Chevron 43">
          <a:hlinkClick xmlns:r="http://schemas.openxmlformats.org/officeDocument/2006/relationships" r:id="rId20" tooltip="Terms &amp; Conditions"/>
          <a:extLst>
            <a:ext uri="{FF2B5EF4-FFF2-40B4-BE49-F238E27FC236}">
              <a16:creationId xmlns:a16="http://schemas.microsoft.com/office/drawing/2014/main" id="{00000000-0008-0000-3100-00002C000000}"/>
            </a:ext>
          </a:extLst>
        </xdr:cNvPr>
        <xdr:cNvSpPr/>
      </xdr:nvSpPr>
      <xdr:spPr>
        <a:xfrm>
          <a:off x="12038219" y="878804"/>
          <a:ext cx="1958835" cy="650628"/>
        </a:xfrm>
        <a:prstGeom prst="chevron">
          <a:avLst/>
        </a:prstGeom>
        <a:solidFill>
          <a:srgbClr val="5C8728"/>
        </a:solidFill>
        <a:ln>
          <a:solidFill>
            <a:srgbClr val="5C872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5</xdr:col>
      <xdr:colOff>78440</xdr:colOff>
      <xdr:row>4</xdr:row>
      <xdr:rowOff>81662</xdr:rowOff>
    </xdr:from>
    <xdr:to>
      <xdr:col>11</xdr:col>
      <xdr:colOff>214751</xdr:colOff>
      <xdr:row>7</xdr:row>
      <xdr:rowOff>126300</xdr:rowOff>
    </xdr:to>
    <xdr:sp macro="" textlink="M2S2">
      <xdr:nvSpPr>
        <xdr:cNvPr id="45" name="Arrow: Chevron 44">
          <a:hlinkClick xmlns:r="http://schemas.openxmlformats.org/officeDocument/2006/relationships" r:id="rId21" tooltip="Project Information"/>
          <a:extLst>
            <a:ext uri="{FF2B5EF4-FFF2-40B4-BE49-F238E27FC236}">
              <a16:creationId xmlns:a16="http://schemas.microsoft.com/office/drawing/2014/main" id="{00000000-0008-0000-3100-00002D000000}"/>
            </a:ext>
          </a:extLst>
        </xdr:cNvPr>
        <xdr:cNvSpPr/>
      </xdr:nvSpPr>
      <xdr:spPr>
        <a:xfrm>
          <a:off x="1602440" y="881762"/>
          <a:ext cx="1965111" cy="644713"/>
        </a:xfrm>
        <a:prstGeom prst="chevron">
          <a:avLst/>
        </a:prstGeom>
        <a:solidFill>
          <a:srgbClr val="5C8728"/>
        </a:solidFill>
        <a:ln>
          <a:solidFill>
            <a:srgbClr val="5C872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10</xdr:col>
      <xdr:colOff>311142</xdr:colOff>
      <xdr:row>4</xdr:row>
      <xdr:rowOff>78704</xdr:rowOff>
    </xdr:from>
    <xdr:to>
      <xdr:col>17</xdr:col>
      <xdr:colOff>127412</xdr:colOff>
      <xdr:row>7</xdr:row>
      <xdr:rowOff>129257</xdr:rowOff>
    </xdr:to>
    <xdr:sp macro="" textlink="M2S3">
      <xdr:nvSpPr>
        <xdr:cNvPr id="46" name="Arrow: Chevron 39">
          <a:hlinkClick xmlns:r="http://schemas.openxmlformats.org/officeDocument/2006/relationships" r:id="rId22" tooltip="Customer Information"/>
          <a:extLst>
            <a:ext uri="{FF2B5EF4-FFF2-40B4-BE49-F238E27FC236}">
              <a16:creationId xmlns:a16="http://schemas.microsoft.com/office/drawing/2014/main" id="{00000000-0008-0000-3100-00002E000000}"/>
            </a:ext>
          </a:extLst>
        </xdr:cNvPr>
        <xdr:cNvSpPr/>
      </xdr:nvSpPr>
      <xdr:spPr>
        <a:xfrm>
          <a:off x="3349617" y="878804"/>
          <a:ext cx="1959395" cy="650628"/>
        </a:xfrm>
        <a:prstGeom prst="chevron">
          <a:avLst/>
        </a:prstGeom>
        <a:solidFill>
          <a:srgbClr val="5C8728"/>
        </a:solidFill>
        <a:ln>
          <a:solidFill>
            <a:srgbClr val="5C872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22</xdr:col>
      <xdr:colOff>134898</xdr:colOff>
      <xdr:row>4</xdr:row>
      <xdr:rowOff>78704</xdr:rowOff>
    </xdr:from>
    <xdr:to>
      <xdr:col>28</xdr:col>
      <xdr:colOff>260748</xdr:colOff>
      <xdr:row>7</xdr:row>
      <xdr:rowOff>129257</xdr:rowOff>
    </xdr:to>
    <xdr:sp macro="" textlink="MAIN3">
      <xdr:nvSpPr>
        <xdr:cNvPr id="47" name="Arrow: Chevron 40">
          <a:hlinkClick xmlns:r="http://schemas.openxmlformats.org/officeDocument/2006/relationships" r:id="rId23" tooltip="Equipment Input"/>
          <a:extLst>
            <a:ext uri="{FF2B5EF4-FFF2-40B4-BE49-F238E27FC236}">
              <a16:creationId xmlns:a16="http://schemas.microsoft.com/office/drawing/2014/main" id="{00000000-0008-0000-3100-00002F000000}"/>
            </a:ext>
          </a:extLst>
        </xdr:cNvPr>
        <xdr:cNvSpPr/>
      </xdr:nvSpPr>
      <xdr:spPr>
        <a:xfrm>
          <a:off x="6840498" y="878804"/>
          <a:ext cx="1954650" cy="650628"/>
        </a:xfrm>
        <a:prstGeom prst="chevron">
          <a:avLst/>
        </a:prstGeom>
        <a:solidFill>
          <a:srgbClr val="5C8728"/>
        </a:solidFill>
        <a:ln>
          <a:solidFill>
            <a:srgbClr val="5C872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43751</xdr:colOff>
      <xdr:row>4</xdr:row>
      <xdr:rowOff>81662</xdr:rowOff>
    </xdr:from>
    <xdr:to>
      <xdr:col>34</xdr:col>
      <xdr:colOff>157049</xdr:colOff>
      <xdr:row>7</xdr:row>
      <xdr:rowOff>126300</xdr:rowOff>
    </xdr:to>
    <xdr:sp macro="" textlink="M5S1a">
      <xdr:nvSpPr>
        <xdr:cNvPr id="48" name="Arrow: Chevron 47">
          <a:hlinkClick xmlns:r="http://schemas.openxmlformats.org/officeDocument/2006/relationships" r:id="rId24" tooltip="Payment"/>
          <a:extLst>
            <a:ext uri="{FF2B5EF4-FFF2-40B4-BE49-F238E27FC236}">
              <a16:creationId xmlns:a16="http://schemas.microsoft.com/office/drawing/2014/main" id="{00000000-0008-0000-3100-000030000000}"/>
            </a:ext>
          </a:extLst>
        </xdr:cNvPr>
        <xdr:cNvSpPr/>
      </xdr:nvSpPr>
      <xdr:spPr>
        <a:xfrm>
          <a:off x="8578151" y="881762"/>
          <a:ext cx="1942098" cy="644713"/>
        </a:xfrm>
        <a:prstGeom prst="chevron">
          <a:avLst/>
        </a:prstGeom>
        <a:solidFill>
          <a:srgbClr val="5C8728"/>
        </a:solidFill>
        <a:ln>
          <a:solidFill>
            <a:srgbClr val="5C872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Payment</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45</xdr:col>
      <xdr:colOff>63904</xdr:colOff>
      <xdr:row>4</xdr:row>
      <xdr:rowOff>77965</xdr:rowOff>
    </xdr:from>
    <xdr:to>
      <xdr:col>51</xdr:col>
      <xdr:colOff>179294</xdr:colOff>
      <xdr:row>7</xdr:row>
      <xdr:rowOff>129997</xdr:rowOff>
    </xdr:to>
    <xdr:sp macro="" textlink="M5S2">
      <xdr:nvSpPr>
        <xdr:cNvPr id="49" name="Arrow: Chevron 48">
          <a:hlinkClick xmlns:r="http://schemas.openxmlformats.org/officeDocument/2006/relationships" r:id="rId25" tooltip="Project Review"/>
          <a:extLst>
            <a:ext uri="{FF2B5EF4-FFF2-40B4-BE49-F238E27FC236}">
              <a16:creationId xmlns:a16="http://schemas.microsoft.com/office/drawing/2014/main" id="{00000000-0008-0000-3100-000031000000}"/>
            </a:ext>
          </a:extLst>
        </xdr:cNvPr>
        <xdr:cNvSpPr/>
      </xdr:nvSpPr>
      <xdr:spPr>
        <a:xfrm>
          <a:off x="13779904" y="878065"/>
          <a:ext cx="1944190" cy="652107"/>
        </a:xfrm>
        <a:prstGeom prst="chevron">
          <a:avLst/>
        </a:prstGeom>
        <a:solidFill>
          <a:srgbClr val="FFFFFF"/>
        </a:solidFill>
        <a:ln>
          <a:solidFill>
            <a:srgbClr val="5C872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1" i="0" u="none" strike="noStrike" cap="none" baseline="0">
              <a:solidFill>
                <a:srgbClr val="5C8728"/>
              </a:solidFill>
              <a:latin typeface="Arial" panose="020B0604020202020204" pitchFamily="34" charset="0"/>
              <a:ea typeface="+mn-ea"/>
              <a:cs typeface="Arial" panose="020B0604020202020204" pitchFamily="34" charset="0"/>
            </a:rPr>
            <a:pPr marL="0" indent="0" algn="ctr"/>
            <a:t>Project Review</a:t>
          </a:fld>
          <a:endParaRPr lang="en-US" sz="1100" b="1" i="0" u="none" strike="noStrike" cap="none" baseline="0">
            <a:solidFill>
              <a:srgbClr val="5C8728"/>
            </a:solidFill>
            <a:latin typeface="Arial" panose="020B0604020202020204" pitchFamily="34" charset="0"/>
            <a:ea typeface="+mn-ea"/>
            <a:cs typeface="Arial" panose="020B0604020202020204" pitchFamily="34" charset="0"/>
          </a:endParaRPr>
        </a:p>
      </xdr:txBody>
    </xdr:sp>
    <xdr:clientData/>
  </xdr:twoCellAnchor>
  <xdr:twoCellAnchor>
    <xdr:from>
      <xdr:col>16</xdr:col>
      <xdr:colOff>224028</xdr:colOff>
      <xdr:row>4</xdr:row>
      <xdr:rowOff>78704</xdr:rowOff>
    </xdr:from>
    <xdr:to>
      <xdr:col>23</xdr:col>
      <xdr:colOff>38206</xdr:colOff>
      <xdr:row>7</xdr:row>
      <xdr:rowOff>129257</xdr:rowOff>
    </xdr:to>
    <xdr:sp macro="" textlink="M2S4">
      <xdr:nvSpPr>
        <xdr:cNvPr id="50" name="Arrow: Chevron 43">
          <a:hlinkClick xmlns:r="http://schemas.openxmlformats.org/officeDocument/2006/relationships" r:id="rId26" tooltip="Trade Ally / Contractor Information"/>
          <a:extLst>
            <a:ext uri="{FF2B5EF4-FFF2-40B4-BE49-F238E27FC236}">
              <a16:creationId xmlns:a16="http://schemas.microsoft.com/office/drawing/2014/main" id="{00000000-0008-0000-3100-000032000000}"/>
            </a:ext>
          </a:extLst>
        </xdr:cNvPr>
        <xdr:cNvSpPr/>
      </xdr:nvSpPr>
      <xdr:spPr>
        <a:xfrm>
          <a:off x="5100828" y="878804"/>
          <a:ext cx="1947778" cy="650628"/>
        </a:xfrm>
        <a:prstGeom prst="chevron">
          <a:avLst/>
        </a:prstGeom>
        <a:solidFill>
          <a:srgbClr val="5C8728"/>
        </a:solidFill>
        <a:ln>
          <a:solidFill>
            <a:srgbClr val="5C872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33</xdr:col>
      <xdr:colOff>254268</xdr:colOff>
      <xdr:row>4</xdr:row>
      <xdr:rowOff>81662</xdr:rowOff>
    </xdr:from>
    <xdr:to>
      <xdr:col>40</xdr:col>
      <xdr:colOff>53801</xdr:colOff>
      <xdr:row>7</xdr:row>
      <xdr:rowOff>126300</xdr:rowOff>
    </xdr:to>
    <xdr:sp macro="" textlink="M5S1b">
      <xdr:nvSpPr>
        <xdr:cNvPr id="51" name="Arrow: Chevron 50">
          <a:hlinkClick xmlns:r="http://schemas.openxmlformats.org/officeDocument/2006/relationships" r:id="rId27" tooltip="On-Bill Repayment"/>
          <a:extLst>
            <a:ext uri="{FF2B5EF4-FFF2-40B4-BE49-F238E27FC236}">
              <a16:creationId xmlns:a16="http://schemas.microsoft.com/office/drawing/2014/main" id="{00000000-0008-0000-3100-000033000000}"/>
            </a:ext>
          </a:extLst>
        </xdr:cNvPr>
        <xdr:cNvSpPr/>
      </xdr:nvSpPr>
      <xdr:spPr>
        <a:xfrm>
          <a:off x="10312668" y="881762"/>
          <a:ext cx="1933133" cy="644713"/>
        </a:xfrm>
        <a:prstGeom prst="chevron">
          <a:avLst/>
        </a:prstGeom>
        <a:solidFill>
          <a:srgbClr val="5C8728"/>
        </a:solidFill>
        <a:ln>
          <a:solidFill>
            <a:srgbClr val="5C872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On-Bill Repayment</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50</xdr:col>
      <xdr:colOff>168088</xdr:colOff>
      <xdr:row>8</xdr:row>
      <xdr:rowOff>156884</xdr:rowOff>
    </xdr:from>
    <xdr:to>
      <xdr:col>57</xdr:col>
      <xdr:colOff>25890</xdr:colOff>
      <xdr:row>12</xdr:row>
      <xdr:rowOff>17572</xdr:rowOff>
    </xdr:to>
    <xdr:grpSp>
      <xdr:nvGrpSpPr>
        <xdr:cNvPr id="52" name="Group 51">
          <a:extLst>
            <a:ext uri="{FF2B5EF4-FFF2-40B4-BE49-F238E27FC236}">
              <a16:creationId xmlns:a16="http://schemas.microsoft.com/office/drawing/2014/main" id="{00000000-0008-0000-3100-000034000000}"/>
            </a:ext>
          </a:extLst>
        </xdr:cNvPr>
        <xdr:cNvGrpSpPr/>
      </xdr:nvGrpSpPr>
      <xdr:grpSpPr>
        <a:xfrm>
          <a:off x="15513921" y="1765551"/>
          <a:ext cx="2006219" cy="728521"/>
          <a:chOff x="11900647" y="1692086"/>
          <a:chExt cx="1841242" cy="667512"/>
        </a:xfrm>
        <a:solidFill>
          <a:sysClr val="window" lastClr="FFFFFF"/>
        </a:solidFill>
      </xdr:grpSpPr>
      <xdr:sp macro="" textlink="">
        <xdr:nvSpPr>
          <xdr:cNvPr id="56" name="Rectangle: Rounded Corners 55">
            <a:hlinkClick xmlns:r="http://schemas.openxmlformats.org/officeDocument/2006/relationships" r:id="rId28" tooltip="Submission Instructions"/>
            <a:extLst>
              <a:ext uri="{FF2B5EF4-FFF2-40B4-BE49-F238E27FC236}">
                <a16:creationId xmlns:a16="http://schemas.microsoft.com/office/drawing/2014/main" id="{00000000-0008-0000-3100-000038000000}"/>
              </a:ext>
            </a:extLst>
          </xdr:cNvPr>
          <xdr:cNvSpPr/>
        </xdr:nvSpPr>
        <xdr:spPr>
          <a:xfrm>
            <a:off x="11900647" y="1692086"/>
            <a:ext cx="1841242" cy="667512"/>
          </a:xfrm>
          <a:prstGeom prst="roundRect">
            <a:avLst>
              <a:gd name="adj" fmla="val 48870"/>
            </a:avLst>
          </a:prstGeom>
          <a:solidFill>
            <a:srgbClr val="0079C1"/>
          </a:solidFill>
          <a:ln w="28575">
            <a:solidFill>
              <a:srgbClr val="007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Instructions</a:t>
            </a:r>
          </a:p>
        </xdr:txBody>
      </xdr:sp>
      <xdr:sp macro="" textlink="">
        <xdr:nvSpPr>
          <xdr:cNvPr id="58" name="Arrow: Right 57">
            <a:hlinkClick xmlns:r="http://schemas.openxmlformats.org/officeDocument/2006/relationships" r:id="rId28" tooltip="Submission Instructions"/>
            <a:extLst>
              <a:ext uri="{FF2B5EF4-FFF2-40B4-BE49-F238E27FC236}">
                <a16:creationId xmlns:a16="http://schemas.microsoft.com/office/drawing/2014/main" id="{00000000-0008-0000-3100-00003A000000}"/>
              </a:ext>
            </a:extLst>
          </xdr:cNvPr>
          <xdr:cNvSpPr/>
        </xdr:nvSpPr>
        <xdr:spPr>
          <a:xfrm>
            <a:off x="13144501" y="1822972"/>
            <a:ext cx="535221" cy="396484"/>
          </a:xfrm>
          <a:prstGeom prst="rightArrow">
            <a:avLst/>
          </a:prstGeom>
          <a:grpFill/>
          <a:ln>
            <a:solidFill>
              <a:srgbClr val="007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36</xdr:col>
      <xdr:colOff>293594</xdr:colOff>
      <xdr:row>0</xdr:row>
      <xdr:rowOff>6723</xdr:rowOff>
    </xdr:from>
    <xdr:to>
      <xdr:col>41</xdr:col>
      <xdr:colOff>2241</xdr:colOff>
      <xdr:row>3</xdr:row>
      <xdr:rowOff>6723</xdr:rowOff>
    </xdr:to>
    <xdr:sp macro="" textlink="">
      <xdr:nvSpPr>
        <xdr:cNvPr id="53" name="Rectangle 52">
          <a:hlinkClick xmlns:r="http://schemas.openxmlformats.org/officeDocument/2006/relationships" r:id="rId29" tooltip=" "/>
          <a:extLst>
            <a:ext uri="{FF2B5EF4-FFF2-40B4-BE49-F238E27FC236}">
              <a16:creationId xmlns:a16="http://schemas.microsoft.com/office/drawing/2014/main" id="{00000000-0008-0000-3100-000035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67</xdr:col>
      <xdr:colOff>29134</xdr:colOff>
      <xdr:row>63</xdr:row>
      <xdr:rowOff>197224</xdr:rowOff>
    </xdr:from>
    <xdr:to>
      <xdr:col>69</xdr:col>
      <xdr:colOff>0</xdr:colOff>
      <xdr:row>64</xdr:row>
      <xdr:rowOff>156883</xdr:rowOff>
    </xdr:to>
    <xdr:sp macro="" textlink="">
      <xdr:nvSpPr>
        <xdr:cNvPr id="4" name="Rectangle 3">
          <a:hlinkClick xmlns:r="http://schemas.openxmlformats.org/officeDocument/2006/relationships" r:id="rId1" tooltip="Payment"/>
          <a:extLst>
            <a:ext uri="{FF2B5EF4-FFF2-40B4-BE49-F238E27FC236}">
              <a16:creationId xmlns:a16="http://schemas.microsoft.com/office/drawing/2014/main" id="{00000000-0008-0000-3300-000004000000}"/>
            </a:ext>
          </a:extLst>
        </xdr:cNvPr>
        <xdr:cNvSpPr/>
      </xdr:nvSpPr>
      <xdr:spPr>
        <a:xfrm>
          <a:off x="9782734" y="9398374"/>
          <a:ext cx="580466" cy="1596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33618</xdr:colOff>
      <xdr:row>10</xdr:row>
      <xdr:rowOff>11206</xdr:rowOff>
    </xdr:from>
    <xdr:to>
      <xdr:col>39</xdr:col>
      <xdr:colOff>33617</xdr:colOff>
      <xdr:row>11</xdr:row>
      <xdr:rowOff>0</xdr:rowOff>
    </xdr:to>
    <xdr:sp macro="" textlink="">
      <xdr:nvSpPr>
        <xdr:cNvPr id="5" name="Rectangle 4">
          <a:hlinkClick xmlns:r="http://schemas.openxmlformats.org/officeDocument/2006/relationships" r:id="rId2" tooltip="Equipment Input"/>
          <a:extLst>
            <a:ext uri="{FF2B5EF4-FFF2-40B4-BE49-F238E27FC236}">
              <a16:creationId xmlns:a16="http://schemas.microsoft.com/office/drawing/2014/main" id="{00000000-0008-0000-3300-000005000000}"/>
            </a:ext>
          </a:extLst>
        </xdr:cNvPr>
        <xdr:cNvSpPr/>
      </xdr:nvSpPr>
      <xdr:spPr>
        <a:xfrm>
          <a:off x="10701618" y="2011456"/>
          <a:ext cx="1219199" cy="1888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6" name="Rectangle 5">
          <a:extLst>
            <a:ext uri="{FF2B5EF4-FFF2-40B4-BE49-F238E27FC236}">
              <a16:creationId xmlns:a16="http://schemas.microsoft.com/office/drawing/2014/main" id="{00000000-0008-0000-3300-000006000000}"/>
            </a:ext>
          </a:extLst>
        </xdr:cNvPr>
        <xdr:cNvSpPr/>
      </xdr:nvSpPr>
      <xdr:spPr>
        <a:xfrm>
          <a:off x="0" y="0"/>
          <a:ext cx="1470213" cy="56141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7" name="Rectangle 6">
          <a:hlinkClick xmlns:r="http://schemas.openxmlformats.org/officeDocument/2006/relationships" r:id="rId3" tooltip="Welcome"/>
          <a:extLst>
            <a:ext uri="{FF2B5EF4-FFF2-40B4-BE49-F238E27FC236}">
              <a16:creationId xmlns:a16="http://schemas.microsoft.com/office/drawing/2014/main" id="{00000000-0008-0000-3300-000007000000}"/>
            </a:ext>
          </a:extLst>
        </xdr:cNvPr>
        <xdr:cNvSpPr/>
      </xdr:nvSpPr>
      <xdr:spPr>
        <a:xfrm>
          <a:off x="1510552" y="11208"/>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8" name="Rectangle 7">
          <a:hlinkClick xmlns:r="http://schemas.openxmlformats.org/officeDocument/2006/relationships" r:id="rId4" tooltip="Instructions"/>
          <a:extLst>
            <a:ext uri="{FF2B5EF4-FFF2-40B4-BE49-F238E27FC236}">
              <a16:creationId xmlns:a16="http://schemas.microsoft.com/office/drawing/2014/main" id="{00000000-0008-0000-3300-000008000000}"/>
            </a:ext>
          </a:extLst>
        </xdr:cNvPr>
        <xdr:cNvSpPr/>
      </xdr:nvSpPr>
      <xdr:spPr>
        <a:xfrm>
          <a:off x="2746214" y="6725"/>
          <a:ext cx="1152525"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15" name="Straight Connector 14">
          <a:extLst>
            <a:ext uri="{FF2B5EF4-FFF2-40B4-BE49-F238E27FC236}">
              <a16:creationId xmlns:a16="http://schemas.microsoft.com/office/drawing/2014/main" id="{00000000-0008-0000-3300-00000F000000}"/>
            </a:ext>
          </a:extLst>
        </xdr:cNvPr>
        <xdr:cNvCxnSpPr/>
      </xdr:nvCxnSpPr>
      <xdr:spPr>
        <a:xfrm>
          <a:off x="1506631"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295606</xdr:colOff>
      <xdr:row>2</xdr:row>
      <xdr:rowOff>54347</xdr:rowOff>
    </xdr:to>
    <xdr:pic>
      <xdr:nvPicPr>
        <xdr:cNvPr id="16" name="Picture 15">
          <a:extLst>
            <a:ext uri="{FF2B5EF4-FFF2-40B4-BE49-F238E27FC236}">
              <a16:creationId xmlns:a16="http://schemas.microsoft.com/office/drawing/2014/main" id="{00000000-0008-0000-33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18" name="Straight Connector 17">
          <a:extLst>
            <a:ext uri="{FF2B5EF4-FFF2-40B4-BE49-F238E27FC236}">
              <a16:creationId xmlns:a16="http://schemas.microsoft.com/office/drawing/2014/main" id="{00000000-0008-0000-3300-000012000000}"/>
            </a:ext>
          </a:extLst>
        </xdr:cNvPr>
        <xdr:cNvCxnSpPr/>
      </xdr:nvCxnSpPr>
      <xdr:spPr>
        <a:xfrm>
          <a:off x="2737057" y="100293"/>
          <a:ext cx="11767"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66675</xdr:colOff>
          <xdr:row>45</xdr:row>
          <xdr:rowOff>161925</xdr:rowOff>
        </xdr:from>
        <xdr:to>
          <xdr:col>17</xdr:col>
          <xdr:colOff>295275</xdr:colOff>
          <xdr:row>46</xdr:row>
          <xdr:rowOff>190500</xdr:rowOff>
        </xdr:to>
        <xdr:sp macro="" textlink="">
          <xdr:nvSpPr>
            <xdr:cNvPr id="542735" name="Check Box 15" hidden="1">
              <a:extLst>
                <a:ext uri="{63B3BB69-23CF-44E3-9099-C40C66FF867C}">
                  <a14:compatExt spid="_x0000_s542735"/>
                </a:ext>
                <a:ext uri="{FF2B5EF4-FFF2-40B4-BE49-F238E27FC236}">
                  <a16:creationId xmlns:a16="http://schemas.microsoft.com/office/drawing/2014/main" id="{00000000-0008-0000-1C00-00000F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45</xdr:row>
          <xdr:rowOff>152400</xdr:rowOff>
        </xdr:from>
        <xdr:to>
          <xdr:col>21</xdr:col>
          <xdr:colOff>28575</xdr:colOff>
          <xdr:row>46</xdr:row>
          <xdr:rowOff>180975</xdr:rowOff>
        </xdr:to>
        <xdr:sp macro="" textlink="">
          <xdr:nvSpPr>
            <xdr:cNvPr id="542736" name="Check Box 16" hidden="1">
              <a:extLst>
                <a:ext uri="{63B3BB69-23CF-44E3-9099-C40C66FF867C}">
                  <a14:compatExt spid="_x0000_s542736"/>
                </a:ext>
                <a:ext uri="{FF2B5EF4-FFF2-40B4-BE49-F238E27FC236}">
                  <a16:creationId xmlns:a16="http://schemas.microsoft.com/office/drawing/2014/main" id="{00000000-0008-0000-1C00-000010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41</xdr:row>
          <xdr:rowOff>190500</xdr:rowOff>
        </xdr:from>
        <xdr:to>
          <xdr:col>17</xdr:col>
          <xdr:colOff>295275</xdr:colOff>
          <xdr:row>43</xdr:row>
          <xdr:rowOff>0</xdr:rowOff>
        </xdr:to>
        <xdr:sp macro="" textlink="">
          <xdr:nvSpPr>
            <xdr:cNvPr id="542744" name="Check Box 24" hidden="1">
              <a:extLst>
                <a:ext uri="{63B3BB69-23CF-44E3-9099-C40C66FF867C}">
                  <a14:compatExt spid="_x0000_s542744"/>
                </a:ext>
                <a:ext uri="{FF2B5EF4-FFF2-40B4-BE49-F238E27FC236}">
                  <a16:creationId xmlns:a16="http://schemas.microsoft.com/office/drawing/2014/main" id="{00000000-0008-0000-1C00-000018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41</xdr:row>
          <xdr:rowOff>190500</xdr:rowOff>
        </xdr:from>
        <xdr:to>
          <xdr:col>21</xdr:col>
          <xdr:colOff>9525</xdr:colOff>
          <xdr:row>43</xdr:row>
          <xdr:rowOff>0</xdr:rowOff>
        </xdr:to>
        <xdr:sp macro="" textlink="">
          <xdr:nvSpPr>
            <xdr:cNvPr id="542745" name="Check Box 25" hidden="1">
              <a:extLst>
                <a:ext uri="{63B3BB69-23CF-44E3-9099-C40C66FF867C}">
                  <a14:compatExt spid="_x0000_s542745"/>
                </a:ext>
                <a:ext uri="{FF2B5EF4-FFF2-40B4-BE49-F238E27FC236}">
                  <a16:creationId xmlns:a16="http://schemas.microsoft.com/office/drawing/2014/main" id="{00000000-0008-0000-1C00-000019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48</xdr:row>
          <xdr:rowOff>161925</xdr:rowOff>
        </xdr:from>
        <xdr:to>
          <xdr:col>18</xdr:col>
          <xdr:colOff>0</xdr:colOff>
          <xdr:row>49</xdr:row>
          <xdr:rowOff>190500</xdr:rowOff>
        </xdr:to>
        <xdr:sp macro="" textlink="">
          <xdr:nvSpPr>
            <xdr:cNvPr id="542746" name="Check Box 26" hidden="1">
              <a:extLst>
                <a:ext uri="{63B3BB69-23CF-44E3-9099-C40C66FF867C}">
                  <a14:compatExt spid="_x0000_s542746"/>
                </a:ext>
                <a:ext uri="{FF2B5EF4-FFF2-40B4-BE49-F238E27FC236}">
                  <a16:creationId xmlns:a16="http://schemas.microsoft.com/office/drawing/2014/main" id="{00000000-0008-0000-1C00-00001A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48</xdr:row>
          <xdr:rowOff>190500</xdr:rowOff>
        </xdr:from>
        <xdr:to>
          <xdr:col>21</xdr:col>
          <xdr:colOff>28575</xdr:colOff>
          <xdr:row>50</xdr:row>
          <xdr:rowOff>0</xdr:rowOff>
        </xdr:to>
        <xdr:sp macro="" textlink="">
          <xdr:nvSpPr>
            <xdr:cNvPr id="542747" name="Check Box 27" hidden="1">
              <a:extLst>
                <a:ext uri="{63B3BB69-23CF-44E3-9099-C40C66FF867C}">
                  <a14:compatExt spid="_x0000_s542747"/>
                </a:ext>
                <a:ext uri="{FF2B5EF4-FFF2-40B4-BE49-F238E27FC236}">
                  <a16:creationId xmlns:a16="http://schemas.microsoft.com/office/drawing/2014/main" id="{00000000-0008-0000-1C00-00001B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52</xdr:row>
          <xdr:rowOff>190500</xdr:rowOff>
        </xdr:from>
        <xdr:to>
          <xdr:col>17</xdr:col>
          <xdr:colOff>295275</xdr:colOff>
          <xdr:row>54</xdr:row>
          <xdr:rowOff>0</xdr:rowOff>
        </xdr:to>
        <xdr:sp macro="" textlink="">
          <xdr:nvSpPr>
            <xdr:cNvPr id="542748" name="Check Box 28" hidden="1">
              <a:extLst>
                <a:ext uri="{63B3BB69-23CF-44E3-9099-C40C66FF867C}">
                  <a14:compatExt spid="_x0000_s542748"/>
                </a:ext>
                <a:ext uri="{FF2B5EF4-FFF2-40B4-BE49-F238E27FC236}">
                  <a16:creationId xmlns:a16="http://schemas.microsoft.com/office/drawing/2014/main" id="{00000000-0008-0000-1C00-00001C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52</xdr:row>
          <xdr:rowOff>190500</xdr:rowOff>
        </xdr:from>
        <xdr:to>
          <xdr:col>21</xdr:col>
          <xdr:colOff>28575</xdr:colOff>
          <xdr:row>54</xdr:row>
          <xdr:rowOff>0</xdr:rowOff>
        </xdr:to>
        <xdr:sp macro="" textlink="">
          <xdr:nvSpPr>
            <xdr:cNvPr id="542749" name="Check Box 29" hidden="1">
              <a:extLst>
                <a:ext uri="{63B3BB69-23CF-44E3-9099-C40C66FF867C}">
                  <a14:compatExt spid="_x0000_s542749"/>
                </a:ext>
                <a:ext uri="{FF2B5EF4-FFF2-40B4-BE49-F238E27FC236}">
                  <a16:creationId xmlns:a16="http://schemas.microsoft.com/office/drawing/2014/main" id="{00000000-0008-0000-1C00-00001D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51</xdr:row>
          <xdr:rowOff>152400</xdr:rowOff>
        </xdr:from>
        <xdr:to>
          <xdr:col>17</xdr:col>
          <xdr:colOff>276225</xdr:colOff>
          <xdr:row>52</xdr:row>
          <xdr:rowOff>180975</xdr:rowOff>
        </xdr:to>
        <xdr:sp macro="" textlink="">
          <xdr:nvSpPr>
            <xdr:cNvPr id="542751" name="Check Box 31" hidden="1">
              <a:extLst>
                <a:ext uri="{63B3BB69-23CF-44E3-9099-C40C66FF867C}">
                  <a14:compatExt spid="_x0000_s542751"/>
                </a:ext>
                <a:ext uri="{FF2B5EF4-FFF2-40B4-BE49-F238E27FC236}">
                  <a16:creationId xmlns:a16="http://schemas.microsoft.com/office/drawing/2014/main" id="{00000000-0008-0000-1C00-00001F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51</xdr:row>
          <xdr:rowOff>161925</xdr:rowOff>
        </xdr:from>
        <xdr:to>
          <xdr:col>21</xdr:col>
          <xdr:colOff>9525</xdr:colOff>
          <xdr:row>52</xdr:row>
          <xdr:rowOff>190500</xdr:rowOff>
        </xdr:to>
        <xdr:sp macro="" textlink="">
          <xdr:nvSpPr>
            <xdr:cNvPr id="542752" name="Check Box 32" hidden="1">
              <a:extLst>
                <a:ext uri="{63B3BB69-23CF-44E3-9099-C40C66FF867C}">
                  <a14:compatExt spid="_x0000_s542752"/>
                </a:ext>
                <a:ext uri="{FF2B5EF4-FFF2-40B4-BE49-F238E27FC236}">
                  <a16:creationId xmlns:a16="http://schemas.microsoft.com/office/drawing/2014/main" id="{00000000-0008-0000-1C00-000020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52</xdr:row>
          <xdr:rowOff>190500</xdr:rowOff>
        </xdr:from>
        <xdr:to>
          <xdr:col>25</xdr:col>
          <xdr:colOff>295275</xdr:colOff>
          <xdr:row>54</xdr:row>
          <xdr:rowOff>0</xdr:rowOff>
        </xdr:to>
        <xdr:sp macro="" textlink="">
          <xdr:nvSpPr>
            <xdr:cNvPr id="542753" name="Check Box 33" hidden="1">
              <a:extLst>
                <a:ext uri="{63B3BB69-23CF-44E3-9099-C40C66FF867C}">
                  <a14:compatExt spid="_x0000_s542753"/>
                </a:ext>
                <a:ext uri="{FF2B5EF4-FFF2-40B4-BE49-F238E27FC236}">
                  <a16:creationId xmlns:a16="http://schemas.microsoft.com/office/drawing/2014/main" id="{00000000-0008-0000-1C00-000021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51</xdr:row>
          <xdr:rowOff>142875</xdr:rowOff>
        </xdr:from>
        <xdr:to>
          <xdr:col>26</xdr:col>
          <xdr:colOff>9525</xdr:colOff>
          <xdr:row>52</xdr:row>
          <xdr:rowOff>161925</xdr:rowOff>
        </xdr:to>
        <xdr:sp macro="" textlink="">
          <xdr:nvSpPr>
            <xdr:cNvPr id="542754" name="Check Box 34" hidden="1">
              <a:extLst>
                <a:ext uri="{63B3BB69-23CF-44E3-9099-C40C66FF867C}">
                  <a14:compatExt spid="_x0000_s542754"/>
                </a:ext>
                <a:ext uri="{FF2B5EF4-FFF2-40B4-BE49-F238E27FC236}">
                  <a16:creationId xmlns:a16="http://schemas.microsoft.com/office/drawing/2014/main" id="{00000000-0008-0000-1C00-000022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51</xdr:row>
          <xdr:rowOff>190500</xdr:rowOff>
        </xdr:from>
        <xdr:to>
          <xdr:col>29</xdr:col>
          <xdr:colOff>295275</xdr:colOff>
          <xdr:row>53</xdr:row>
          <xdr:rowOff>0</xdr:rowOff>
        </xdr:to>
        <xdr:sp macro="" textlink="">
          <xdr:nvSpPr>
            <xdr:cNvPr id="542755" name="Check Box 35" hidden="1">
              <a:extLst>
                <a:ext uri="{63B3BB69-23CF-44E3-9099-C40C66FF867C}">
                  <a14:compatExt spid="_x0000_s542755"/>
                </a:ext>
                <a:ext uri="{FF2B5EF4-FFF2-40B4-BE49-F238E27FC236}">
                  <a16:creationId xmlns:a16="http://schemas.microsoft.com/office/drawing/2014/main" id="{00000000-0008-0000-1C00-000023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93008</xdr:rowOff>
    </xdr:from>
    <xdr:to>
      <xdr:col>4</xdr:col>
      <xdr:colOff>219477</xdr:colOff>
      <xdr:row>2</xdr:row>
      <xdr:rowOff>88775</xdr:rowOff>
    </xdr:to>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6"/>
        <a:stretch>
          <a:fillRect/>
        </a:stretch>
      </xdr:blipFill>
      <xdr:spPr>
        <a:xfrm>
          <a:off x="0" y="93008"/>
          <a:ext cx="1483127" cy="402167"/>
        </a:xfrm>
        <a:prstGeom prst="rect">
          <a:avLst/>
        </a:prstGeom>
      </xdr:spPr>
    </xdr:pic>
    <xdr:clientData/>
  </xdr:twoCellAnchor>
  <xdr:twoCellAnchor editAs="oneCell">
    <xdr:from>
      <xdr:col>35</xdr:col>
      <xdr:colOff>252506</xdr:colOff>
      <xdr:row>14</xdr:row>
      <xdr:rowOff>105708</xdr:rowOff>
    </xdr:from>
    <xdr:to>
      <xdr:col>41</xdr:col>
      <xdr:colOff>245812</xdr:colOff>
      <xdr:row>16</xdr:row>
      <xdr:rowOff>163791</xdr:rowOff>
    </xdr:to>
    <xdr:pic>
      <xdr:nvPicPr>
        <xdr:cNvPr id="3" name="Picture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365006" y="2950508"/>
          <a:ext cx="1898306" cy="458133"/>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20" name="Arrow: Chevron 19">
          <a:hlinkClick xmlns:r="http://schemas.openxmlformats.org/officeDocument/2006/relationships" r:id="rId8" tooltip="Terms &amp; Conditions"/>
          <a:extLst>
            <a:ext uri="{FF2B5EF4-FFF2-40B4-BE49-F238E27FC236}">
              <a16:creationId xmlns:a16="http://schemas.microsoft.com/office/drawing/2014/main" id="{00000000-0008-0000-3300-000014000000}"/>
            </a:ext>
          </a:extLst>
        </xdr:cNvPr>
        <xdr:cNvSpPr/>
      </xdr:nvSpPr>
      <xdr:spPr>
        <a:xfrm>
          <a:off x="14484350" y="865046"/>
          <a:ext cx="2011680"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29" name="Arrow: Chevron 28">
          <a:hlinkClick xmlns:r="http://schemas.openxmlformats.org/officeDocument/2006/relationships" r:id="rId9" tooltip="Project Information"/>
          <a:extLst>
            <a:ext uri="{FF2B5EF4-FFF2-40B4-BE49-F238E27FC236}">
              <a16:creationId xmlns:a16="http://schemas.microsoft.com/office/drawing/2014/main" id="{00000000-0008-0000-3300-00001D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30" name="Arrow: Chevron 39">
          <a:hlinkClick xmlns:r="http://schemas.openxmlformats.org/officeDocument/2006/relationships" r:id="rId10" tooltip="Customer Information"/>
          <a:extLst>
            <a:ext uri="{FF2B5EF4-FFF2-40B4-BE49-F238E27FC236}">
              <a16:creationId xmlns:a16="http://schemas.microsoft.com/office/drawing/2014/main" id="{00000000-0008-0000-3300-00001E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31" name="Arrow: Chevron 40">
          <a:hlinkClick xmlns:r="http://schemas.openxmlformats.org/officeDocument/2006/relationships" r:id="rId11" tooltip="Equipment Input"/>
          <a:extLst>
            <a:ext uri="{FF2B5EF4-FFF2-40B4-BE49-F238E27FC236}">
              <a16:creationId xmlns:a16="http://schemas.microsoft.com/office/drawing/2014/main" id="{00000000-0008-0000-3300-00001F000000}"/>
            </a:ext>
          </a:extLst>
        </xdr:cNvPr>
        <xdr:cNvSpPr/>
      </xdr:nvSpPr>
      <xdr:spPr>
        <a:xfrm>
          <a:off x="6188077" y="859240"/>
          <a:ext cx="2153708"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32" name="Arrow: Chevron 31">
          <a:hlinkClick xmlns:r="http://schemas.openxmlformats.org/officeDocument/2006/relationships" r:id="rId12" tooltip="Payment"/>
          <a:extLst>
            <a:ext uri="{FF2B5EF4-FFF2-40B4-BE49-F238E27FC236}">
              <a16:creationId xmlns:a16="http://schemas.microsoft.com/office/drawing/2014/main" id="{00000000-0008-0000-3300-000020000000}"/>
            </a:ext>
          </a:extLst>
        </xdr:cNvPr>
        <xdr:cNvSpPr/>
      </xdr:nvSpPr>
      <xdr:spPr>
        <a:xfrm>
          <a:off x="10259482" y="874353"/>
          <a:ext cx="2313432"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33" name="Arrow: Chevron 32">
          <a:hlinkClick xmlns:r="http://schemas.openxmlformats.org/officeDocument/2006/relationships" r:id="rId13" tooltip="Project Review"/>
          <a:extLst>
            <a:ext uri="{FF2B5EF4-FFF2-40B4-BE49-F238E27FC236}">
              <a16:creationId xmlns:a16="http://schemas.microsoft.com/office/drawing/2014/main" id="{00000000-0008-0000-3300-000021000000}"/>
            </a:ext>
          </a:extLst>
        </xdr:cNvPr>
        <xdr:cNvSpPr/>
      </xdr:nvSpPr>
      <xdr:spPr>
        <a:xfrm>
          <a:off x="16284979" y="864307"/>
          <a:ext cx="2001340" cy="652107"/>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34" name="Arrow: Chevron 43">
          <a:hlinkClick xmlns:r="http://schemas.openxmlformats.org/officeDocument/2006/relationships" r:id="rId14" tooltip="Trade Ally / Contractor Information"/>
          <a:extLst>
            <a:ext uri="{FF2B5EF4-FFF2-40B4-BE49-F238E27FC236}">
              <a16:creationId xmlns:a16="http://schemas.microsoft.com/office/drawing/2014/main" id="{00000000-0008-0000-3300-000022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35" name="Arrow: Chevron 34">
          <a:hlinkClick xmlns:r="http://schemas.openxmlformats.org/officeDocument/2006/relationships" r:id="rId15" tooltip="On-Bill Repayment"/>
          <a:extLst>
            <a:ext uri="{FF2B5EF4-FFF2-40B4-BE49-F238E27FC236}">
              <a16:creationId xmlns:a16="http://schemas.microsoft.com/office/drawing/2014/main" id="{00000000-0008-0000-3300-000023000000}"/>
            </a:ext>
          </a:extLst>
        </xdr:cNvPr>
        <xdr:cNvSpPr/>
      </xdr:nvSpPr>
      <xdr:spPr>
        <a:xfrm>
          <a:off x="12363450" y="874354"/>
          <a:ext cx="2304288"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On-Bill Repayment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36" name="Arrow: Chevron 35">
          <a:hlinkClick xmlns:r="http://schemas.openxmlformats.org/officeDocument/2006/relationships" r:id="rId16" tooltip="Payment"/>
          <a:extLst>
            <a:ext uri="{FF2B5EF4-FFF2-40B4-BE49-F238E27FC236}">
              <a16:creationId xmlns:a16="http://schemas.microsoft.com/office/drawing/2014/main" id="{00000000-0008-0000-3300-000024000000}"/>
            </a:ext>
          </a:extLst>
        </xdr:cNvPr>
        <xdr:cNvSpPr/>
      </xdr:nvSpPr>
      <xdr:spPr>
        <a:xfrm>
          <a:off x="8154458" y="869949"/>
          <a:ext cx="2303907" cy="63201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cap="none" baseline="0">
              <a:solidFill>
                <a:schemeClr val="bg1"/>
              </a:solidFill>
              <a:latin typeface="Arial" panose="020B0604020202020204" pitchFamily="34" charset="0"/>
              <a:ea typeface="+mn-ea"/>
              <a:cs typeface="Arial" panose="020B0604020202020204" pitchFamily="34" charset="0"/>
            </a:rPr>
            <a:t>Union Information</a:t>
          </a:r>
          <a:r>
            <a:rPr lang="en-US" sz="1100" b="0" i="0" u="none" strike="noStrike" cap="none" baseline="0">
              <a:solidFill>
                <a:srgbClr val="142C41"/>
              </a:solidFill>
              <a:latin typeface="Arial" panose="020B0604020202020204" pitchFamily="34" charset="0"/>
              <a:ea typeface="+mn-ea"/>
              <a:cs typeface="Arial" panose="020B0604020202020204" pitchFamily="34" charset="0"/>
            </a:rPr>
            <a:t>on</a:t>
          </a:r>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37" name="Rectangle 36">
          <a:hlinkClick xmlns:r="http://schemas.openxmlformats.org/officeDocument/2006/relationships" r:id="rId17" tooltip="Contact"/>
          <a:extLst>
            <a:ext uri="{FF2B5EF4-FFF2-40B4-BE49-F238E27FC236}">
              <a16:creationId xmlns:a16="http://schemas.microsoft.com/office/drawing/2014/main" id="{00000000-0008-0000-3300-000025000000}"/>
            </a:ext>
          </a:extLst>
        </xdr:cNvPr>
        <xdr:cNvSpPr/>
      </xdr:nvSpPr>
      <xdr:spPr>
        <a:xfrm>
          <a:off x="1790475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38" name="Rectangle 37">
          <a:hlinkClick xmlns:r="http://schemas.openxmlformats.org/officeDocument/2006/relationships" r:id="rId18" tooltip=" "/>
          <a:extLst>
            <a:ext uri="{FF2B5EF4-FFF2-40B4-BE49-F238E27FC236}">
              <a16:creationId xmlns:a16="http://schemas.microsoft.com/office/drawing/2014/main" id="{00000000-0008-0000-3300-000026000000}"/>
            </a:ext>
          </a:extLst>
        </xdr:cNvPr>
        <xdr:cNvSpPr/>
      </xdr:nvSpPr>
      <xdr:spPr>
        <a:xfrm>
          <a:off x="147557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39" name="Straight Connector 38">
          <a:extLst>
            <a:ext uri="{FF2B5EF4-FFF2-40B4-BE49-F238E27FC236}">
              <a16:creationId xmlns:a16="http://schemas.microsoft.com/office/drawing/2014/main" id="{00000000-0008-0000-3300-000027000000}"/>
            </a:ext>
          </a:extLst>
        </xdr:cNvPr>
        <xdr:cNvCxnSpPr/>
      </xdr:nvCxnSpPr>
      <xdr:spPr>
        <a:xfrm>
          <a:off x="1791652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40" name="Rectangle 39">
          <a:hlinkClick xmlns:r="http://schemas.openxmlformats.org/officeDocument/2006/relationships" r:id="rId17" tooltip="Contact"/>
          <a:extLst>
            <a:ext uri="{FF2B5EF4-FFF2-40B4-BE49-F238E27FC236}">
              <a16:creationId xmlns:a16="http://schemas.microsoft.com/office/drawing/2014/main" id="{00000000-0008-0000-3300-000028000000}"/>
            </a:ext>
          </a:extLst>
        </xdr:cNvPr>
        <xdr:cNvSpPr/>
      </xdr:nvSpPr>
      <xdr:spPr>
        <a:xfrm>
          <a:off x="1790475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41" name="Rectangle 40">
          <a:extLst>
            <a:ext uri="{FF2B5EF4-FFF2-40B4-BE49-F238E27FC236}">
              <a16:creationId xmlns:a16="http://schemas.microsoft.com/office/drawing/2014/main" id="{00000000-0008-0000-3300-000029000000}"/>
            </a:ext>
          </a:extLst>
        </xdr:cNvPr>
        <xdr:cNvSpPr/>
      </xdr:nvSpPr>
      <xdr:spPr>
        <a:xfrm>
          <a:off x="1601077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42" name="Straight Connector 41">
          <a:extLst>
            <a:ext uri="{FF2B5EF4-FFF2-40B4-BE49-F238E27FC236}">
              <a16:creationId xmlns:a16="http://schemas.microsoft.com/office/drawing/2014/main" id="{00000000-0008-0000-3300-00002A000000}"/>
            </a:ext>
          </a:extLst>
        </xdr:cNvPr>
        <xdr:cNvCxnSpPr/>
      </xdr:nvCxnSpPr>
      <xdr:spPr>
        <a:xfrm>
          <a:off x="1603918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43" name="Rectangle 42">
          <a:hlinkClick xmlns:r="http://schemas.openxmlformats.org/officeDocument/2006/relationships" r:id="rId19" tooltip="Incentive Rates &amp; Requirements"/>
          <a:extLst>
            <a:ext uri="{FF2B5EF4-FFF2-40B4-BE49-F238E27FC236}">
              <a16:creationId xmlns:a16="http://schemas.microsoft.com/office/drawing/2014/main" id="{00000000-0008-0000-3300-00002B000000}"/>
            </a:ext>
          </a:extLst>
        </xdr:cNvPr>
        <xdr:cNvSpPr/>
      </xdr:nvSpPr>
      <xdr:spPr>
        <a:xfrm>
          <a:off x="1605662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44" name="Rectangle 43">
          <a:hlinkClick xmlns:r="http://schemas.openxmlformats.org/officeDocument/2006/relationships" r:id="rId20" tooltip=" "/>
          <a:extLst>
            <a:ext uri="{FF2B5EF4-FFF2-40B4-BE49-F238E27FC236}">
              <a16:creationId xmlns:a16="http://schemas.microsoft.com/office/drawing/2014/main" id="{00000000-0008-0000-3300-00002C000000}"/>
            </a:ext>
          </a:extLst>
        </xdr:cNvPr>
        <xdr:cNvSpPr/>
      </xdr:nvSpPr>
      <xdr:spPr>
        <a:xfrm>
          <a:off x="1351410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293594</xdr:colOff>
      <xdr:row>0</xdr:row>
      <xdr:rowOff>6723</xdr:rowOff>
    </xdr:from>
    <xdr:to>
      <xdr:col>43</xdr:col>
      <xdr:colOff>2241</xdr:colOff>
      <xdr:row>3</xdr:row>
      <xdr:rowOff>6723</xdr:rowOff>
    </xdr:to>
    <xdr:sp macro="" textlink="">
      <xdr:nvSpPr>
        <xdr:cNvPr id="45" name="Rectangle 44">
          <a:hlinkClick xmlns:r="http://schemas.openxmlformats.org/officeDocument/2006/relationships" r:id="rId21" tooltip=" "/>
          <a:extLst>
            <a:ext uri="{FF2B5EF4-FFF2-40B4-BE49-F238E27FC236}">
              <a16:creationId xmlns:a16="http://schemas.microsoft.com/office/drawing/2014/main" id="{00000000-0008-0000-3300-00002D000000}"/>
            </a:ext>
          </a:extLst>
        </xdr:cNvPr>
        <xdr:cNvSpPr/>
      </xdr:nvSpPr>
      <xdr:spPr>
        <a:xfrm>
          <a:off x="122411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35</xdr:col>
      <xdr:colOff>252506</xdr:colOff>
      <xdr:row>86</xdr:row>
      <xdr:rowOff>105708</xdr:rowOff>
    </xdr:from>
    <xdr:ext cx="1895131" cy="460249"/>
    <xdr:pic>
      <xdr:nvPicPr>
        <xdr:cNvPr id="9" name="Picture 8">
          <a:extLst>
            <a:ext uri="{FF2B5EF4-FFF2-40B4-BE49-F238E27FC236}">
              <a16:creationId xmlns:a16="http://schemas.microsoft.com/office/drawing/2014/main" id="{AFC9080F-EDA8-4CF4-870C-4A1D12EBEE1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368181" y="2917700"/>
          <a:ext cx="1895131" cy="46024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21</xdr:col>
          <xdr:colOff>28575</xdr:colOff>
          <xdr:row>116</xdr:row>
          <xdr:rowOff>180975</xdr:rowOff>
        </xdr:from>
        <xdr:to>
          <xdr:col>21</xdr:col>
          <xdr:colOff>257175</xdr:colOff>
          <xdr:row>118</xdr:row>
          <xdr:rowOff>9525</xdr:rowOff>
        </xdr:to>
        <xdr:sp macro="" textlink="">
          <xdr:nvSpPr>
            <xdr:cNvPr id="542768" name="Check Box 48" hidden="1">
              <a:extLst>
                <a:ext uri="{63B3BB69-23CF-44E3-9099-C40C66FF867C}">
                  <a14:compatExt spid="_x0000_s542768"/>
                </a:ext>
                <a:ext uri="{FF2B5EF4-FFF2-40B4-BE49-F238E27FC236}">
                  <a16:creationId xmlns:a16="http://schemas.microsoft.com/office/drawing/2014/main" id="{00000000-0008-0000-1C00-000030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115</xdr:row>
          <xdr:rowOff>180975</xdr:rowOff>
        </xdr:from>
        <xdr:to>
          <xdr:col>21</xdr:col>
          <xdr:colOff>276225</xdr:colOff>
          <xdr:row>116</xdr:row>
          <xdr:rowOff>200025</xdr:rowOff>
        </xdr:to>
        <xdr:sp macro="" textlink="">
          <xdr:nvSpPr>
            <xdr:cNvPr id="542769" name="Check Box 49" hidden="1">
              <a:extLst>
                <a:ext uri="{63B3BB69-23CF-44E3-9099-C40C66FF867C}">
                  <a14:compatExt spid="_x0000_s542769"/>
                </a:ext>
                <a:ext uri="{FF2B5EF4-FFF2-40B4-BE49-F238E27FC236}">
                  <a16:creationId xmlns:a16="http://schemas.microsoft.com/office/drawing/2014/main" id="{00000000-0008-0000-1C00-000031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118</xdr:row>
          <xdr:rowOff>0</xdr:rowOff>
        </xdr:from>
        <xdr:to>
          <xdr:col>21</xdr:col>
          <xdr:colOff>257175</xdr:colOff>
          <xdr:row>119</xdr:row>
          <xdr:rowOff>9525</xdr:rowOff>
        </xdr:to>
        <xdr:sp macro="" textlink="">
          <xdr:nvSpPr>
            <xdr:cNvPr id="542770" name="Check Box 50" hidden="1">
              <a:extLst>
                <a:ext uri="{63B3BB69-23CF-44E3-9099-C40C66FF867C}">
                  <a14:compatExt spid="_x0000_s542770"/>
                </a:ext>
                <a:ext uri="{FF2B5EF4-FFF2-40B4-BE49-F238E27FC236}">
                  <a16:creationId xmlns:a16="http://schemas.microsoft.com/office/drawing/2014/main" id="{00000000-0008-0000-1C00-000032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121</xdr:row>
          <xdr:rowOff>180975</xdr:rowOff>
        </xdr:from>
        <xdr:to>
          <xdr:col>21</xdr:col>
          <xdr:colOff>257175</xdr:colOff>
          <xdr:row>123</xdr:row>
          <xdr:rowOff>9525</xdr:rowOff>
        </xdr:to>
        <xdr:sp macro="" textlink="">
          <xdr:nvSpPr>
            <xdr:cNvPr id="542771" name="Check Box 51" hidden="1">
              <a:extLst>
                <a:ext uri="{63B3BB69-23CF-44E3-9099-C40C66FF867C}">
                  <a14:compatExt spid="_x0000_s542771"/>
                </a:ext>
                <a:ext uri="{FF2B5EF4-FFF2-40B4-BE49-F238E27FC236}">
                  <a16:creationId xmlns:a16="http://schemas.microsoft.com/office/drawing/2014/main" id="{00000000-0008-0000-1C00-000033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120</xdr:row>
          <xdr:rowOff>180975</xdr:rowOff>
        </xdr:from>
        <xdr:to>
          <xdr:col>21</xdr:col>
          <xdr:colOff>276225</xdr:colOff>
          <xdr:row>122</xdr:row>
          <xdr:rowOff>0</xdr:rowOff>
        </xdr:to>
        <xdr:sp macro="" textlink="">
          <xdr:nvSpPr>
            <xdr:cNvPr id="542772" name="Check Box 52" hidden="1">
              <a:extLst>
                <a:ext uri="{63B3BB69-23CF-44E3-9099-C40C66FF867C}">
                  <a14:compatExt spid="_x0000_s542772"/>
                </a:ext>
                <a:ext uri="{FF2B5EF4-FFF2-40B4-BE49-F238E27FC236}">
                  <a16:creationId xmlns:a16="http://schemas.microsoft.com/office/drawing/2014/main" id="{00000000-0008-0000-1C00-000034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122</xdr:row>
          <xdr:rowOff>180975</xdr:rowOff>
        </xdr:from>
        <xdr:to>
          <xdr:col>21</xdr:col>
          <xdr:colOff>276225</xdr:colOff>
          <xdr:row>123</xdr:row>
          <xdr:rowOff>190500</xdr:rowOff>
        </xdr:to>
        <xdr:sp macro="" textlink="">
          <xdr:nvSpPr>
            <xdr:cNvPr id="542773" name="Check Box 53" hidden="1">
              <a:extLst>
                <a:ext uri="{63B3BB69-23CF-44E3-9099-C40C66FF867C}">
                  <a14:compatExt spid="_x0000_s542773"/>
                </a:ext>
                <a:ext uri="{FF2B5EF4-FFF2-40B4-BE49-F238E27FC236}">
                  <a16:creationId xmlns:a16="http://schemas.microsoft.com/office/drawing/2014/main" id="{00000000-0008-0000-1C00-000035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126</xdr:row>
          <xdr:rowOff>180975</xdr:rowOff>
        </xdr:from>
        <xdr:to>
          <xdr:col>21</xdr:col>
          <xdr:colOff>257175</xdr:colOff>
          <xdr:row>128</xdr:row>
          <xdr:rowOff>9525</xdr:rowOff>
        </xdr:to>
        <xdr:sp macro="" textlink="">
          <xdr:nvSpPr>
            <xdr:cNvPr id="542774" name="Check Box 54" hidden="1">
              <a:extLst>
                <a:ext uri="{63B3BB69-23CF-44E3-9099-C40C66FF867C}">
                  <a14:compatExt spid="_x0000_s542774"/>
                </a:ext>
                <a:ext uri="{FF2B5EF4-FFF2-40B4-BE49-F238E27FC236}">
                  <a16:creationId xmlns:a16="http://schemas.microsoft.com/office/drawing/2014/main" id="{00000000-0008-0000-1C00-000036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125</xdr:row>
          <xdr:rowOff>180975</xdr:rowOff>
        </xdr:from>
        <xdr:to>
          <xdr:col>21</xdr:col>
          <xdr:colOff>276225</xdr:colOff>
          <xdr:row>127</xdr:row>
          <xdr:rowOff>0</xdr:rowOff>
        </xdr:to>
        <xdr:sp macro="" textlink="">
          <xdr:nvSpPr>
            <xdr:cNvPr id="542775" name="Check Box 55" hidden="1">
              <a:extLst>
                <a:ext uri="{63B3BB69-23CF-44E3-9099-C40C66FF867C}">
                  <a14:compatExt spid="_x0000_s542775"/>
                </a:ext>
                <a:ext uri="{FF2B5EF4-FFF2-40B4-BE49-F238E27FC236}">
                  <a16:creationId xmlns:a16="http://schemas.microsoft.com/office/drawing/2014/main" id="{00000000-0008-0000-1C00-000037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127</xdr:row>
          <xdr:rowOff>180975</xdr:rowOff>
        </xdr:from>
        <xdr:to>
          <xdr:col>21</xdr:col>
          <xdr:colOff>276225</xdr:colOff>
          <xdr:row>128</xdr:row>
          <xdr:rowOff>190500</xdr:rowOff>
        </xdr:to>
        <xdr:sp macro="" textlink="">
          <xdr:nvSpPr>
            <xdr:cNvPr id="542776" name="Check Box 56" hidden="1">
              <a:extLst>
                <a:ext uri="{63B3BB69-23CF-44E3-9099-C40C66FF867C}">
                  <a14:compatExt spid="_x0000_s542776"/>
                </a:ext>
                <a:ext uri="{FF2B5EF4-FFF2-40B4-BE49-F238E27FC236}">
                  <a16:creationId xmlns:a16="http://schemas.microsoft.com/office/drawing/2014/main" id="{00000000-0008-0000-1C00-000038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129</xdr:row>
          <xdr:rowOff>0</xdr:rowOff>
        </xdr:from>
        <xdr:to>
          <xdr:col>21</xdr:col>
          <xdr:colOff>257175</xdr:colOff>
          <xdr:row>130</xdr:row>
          <xdr:rowOff>19050</xdr:rowOff>
        </xdr:to>
        <xdr:sp macro="" textlink="">
          <xdr:nvSpPr>
            <xdr:cNvPr id="542777" name="Check Box 57" hidden="1">
              <a:extLst>
                <a:ext uri="{63B3BB69-23CF-44E3-9099-C40C66FF867C}">
                  <a14:compatExt spid="_x0000_s542777"/>
                </a:ext>
                <a:ext uri="{FF2B5EF4-FFF2-40B4-BE49-F238E27FC236}">
                  <a16:creationId xmlns:a16="http://schemas.microsoft.com/office/drawing/2014/main" id="{00000000-0008-0000-1C00-000039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115</xdr:row>
          <xdr:rowOff>180975</xdr:rowOff>
        </xdr:from>
        <xdr:to>
          <xdr:col>28</xdr:col>
          <xdr:colOff>257175</xdr:colOff>
          <xdr:row>117</xdr:row>
          <xdr:rowOff>9525</xdr:rowOff>
        </xdr:to>
        <xdr:sp macro="" textlink="">
          <xdr:nvSpPr>
            <xdr:cNvPr id="542778" name="Check Box 58" hidden="1">
              <a:extLst>
                <a:ext uri="{63B3BB69-23CF-44E3-9099-C40C66FF867C}">
                  <a14:compatExt spid="_x0000_s542778"/>
                </a:ext>
                <a:ext uri="{FF2B5EF4-FFF2-40B4-BE49-F238E27FC236}">
                  <a16:creationId xmlns:a16="http://schemas.microsoft.com/office/drawing/2014/main" id="{00000000-0008-0000-1C00-00003A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116</xdr:row>
          <xdr:rowOff>180975</xdr:rowOff>
        </xdr:from>
        <xdr:to>
          <xdr:col>28</xdr:col>
          <xdr:colOff>276225</xdr:colOff>
          <xdr:row>117</xdr:row>
          <xdr:rowOff>190500</xdr:rowOff>
        </xdr:to>
        <xdr:sp macro="" textlink="">
          <xdr:nvSpPr>
            <xdr:cNvPr id="542779" name="Check Box 59" hidden="1">
              <a:extLst>
                <a:ext uri="{63B3BB69-23CF-44E3-9099-C40C66FF867C}">
                  <a14:compatExt spid="_x0000_s542779"/>
                </a:ext>
                <a:ext uri="{FF2B5EF4-FFF2-40B4-BE49-F238E27FC236}">
                  <a16:creationId xmlns:a16="http://schemas.microsoft.com/office/drawing/2014/main" id="{00000000-0008-0000-1C00-00003B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120</xdr:row>
          <xdr:rowOff>180975</xdr:rowOff>
        </xdr:from>
        <xdr:to>
          <xdr:col>28</xdr:col>
          <xdr:colOff>276225</xdr:colOff>
          <xdr:row>122</xdr:row>
          <xdr:rowOff>0</xdr:rowOff>
        </xdr:to>
        <xdr:sp macro="" textlink="">
          <xdr:nvSpPr>
            <xdr:cNvPr id="542780" name="Check Box 60" hidden="1">
              <a:extLst>
                <a:ext uri="{63B3BB69-23CF-44E3-9099-C40C66FF867C}">
                  <a14:compatExt spid="_x0000_s542780"/>
                </a:ext>
                <a:ext uri="{FF2B5EF4-FFF2-40B4-BE49-F238E27FC236}">
                  <a16:creationId xmlns:a16="http://schemas.microsoft.com/office/drawing/2014/main" id="{00000000-0008-0000-1C00-00003C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121</xdr:row>
          <xdr:rowOff>180975</xdr:rowOff>
        </xdr:from>
        <xdr:to>
          <xdr:col>28</xdr:col>
          <xdr:colOff>257175</xdr:colOff>
          <xdr:row>123</xdr:row>
          <xdr:rowOff>9525</xdr:rowOff>
        </xdr:to>
        <xdr:sp macro="" textlink="">
          <xdr:nvSpPr>
            <xdr:cNvPr id="542781" name="Check Box 61" hidden="1">
              <a:extLst>
                <a:ext uri="{63B3BB69-23CF-44E3-9099-C40C66FF867C}">
                  <a14:compatExt spid="_x0000_s542781"/>
                </a:ext>
                <a:ext uri="{FF2B5EF4-FFF2-40B4-BE49-F238E27FC236}">
                  <a16:creationId xmlns:a16="http://schemas.microsoft.com/office/drawing/2014/main" id="{00000000-0008-0000-1C00-00003D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122</xdr:row>
          <xdr:rowOff>180975</xdr:rowOff>
        </xdr:from>
        <xdr:to>
          <xdr:col>28</xdr:col>
          <xdr:colOff>276225</xdr:colOff>
          <xdr:row>123</xdr:row>
          <xdr:rowOff>190500</xdr:rowOff>
        </xdr:to>
        <xdr:sp macro="" textlink="">
          <xdr:nvSpPr>
            <xdr:cNvPr id="542782" name="Check Box 62" hidden="1">
              <a:extLst>
                <a:ext uri="{63B3BB69-23CF-44E3-9099-C40C66FF867C}">
                  <a14:compatExt spid="_x0000_s542782"/>
                </a:ext>
                <a:ext uri="{FF2B5EF4-FFF2-40B4-BE49-F238E27FC236}">
                  <a16:creationId xmlns:a16="http://schemas.microsoft.com/office/drawing/2014/main" id="{00000000-0008-0000-1C00-00003E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125</xdr:row>
          <xdr:rowOff>180975</xdr:rowOff>
        </xdr:from>
        <xdr:to>
          <xdr:col>28</xdr:col>
          <xdr:colOff>276225</xdr:colOff>
          <xdr:row>127</xdr:row>
          <xdr:rowOff>0</xdr:rowOff>
        </xdr:to>
        <xdr:sp macro="" textlink="">
          <xdr:nvSpPr>
            <xdr:cNvPr id="542783" name="Check Box 63" hidden="1">
              <a:extLst>
                <a:ext uri="{63B3BB69-23CF-44E3-9099-C40C66FF867C}">
                  <a14:compatExt spid="_x0000_s542783"/>
                </a:ext>
                <a:ext uri="{FF2B5EF4-FFF2-40B4-BE49-F238E27FC236}">
                  <a16:creationId xmlns:a16="http://schemas.microsoft.com/office/drawing/2014/main" id="{00000000-0008-0000-1C00-00003F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126</xdr:row>
          <xdr:rowOff>180975</xdr:rowOff>
        </xdr:from>
        <xdr:to>
          <xdr:col>28</xdr:col>
          <xdr:colOff>276225</xdr:colOff>
          <xdr:row>128</xdr:row>
          <xdr:rowOff>0</xdr:rowOff>
        </xdr:to>
        <xdr:sp macro="" textlink="">
          <xdr:nvSpPr>
            <xdr:cNvPr id="542784" name="Check Box 64" hidden="1">
              <a:extLst>
                <a:ext uri="{63B3BB69-23CF-44E3-9099-C40C66FF867C}">
                  <a14:compatExt spid="_x0000_s542784"/>
                </a:ext>
                <a:ext uri="{FF2B5EF4-FFF2-40B4-BE49-F238E27FC236}">
                  <a16:creationId xmlns:a16="http://schemas.microsoft.com/office/drawing/2014/main" id="{00000000-0008-0000-1C00-000040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127</xdr:row>
          <xdr:rowOff>180975</xdr:rowOff>
        </xdr:from>
        <xdr:to>
          <xdr:col>28</xdr:col>
          <xdr:colOff>276225</xdr:colOff>
          <xdr:row>129</xdr:row>
          <xdr:rowOff>0</xdr:rowOff>
        </xdr:to>
        <xdr:sp macro="" textlink="">
          <xdr:nvSpPr>
            <xdr:cNvPr id="542785" name="Check Box 65" hidden="1">
              <a:extLst>
                <a:ext uri="{63B3BB69-23CF-44E3-9099-C40C66FF867C}">
                  <a14:compatExt spid="_x0000_s542785"/>
                </a:ext>
                <a:ext uri="{FF2B5EF4-FFF2-40B4-BE49-F238E27FC236}">
                  <a16:creationId xmlns:a16="http://schemas.microsoft.com/office/drawing/2014/main" id="{00000000-0008-0000-1C00-000041480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28575</xdr:colOff>
          <xdr:row>51</xdr:row>
          <xdr:rowOff>104775</xdr:rowOff>
        </xdr:from>
        <xdr:to>
          <xdr:col>16</xdr:col>
          <xdr:colOff>257175</xdr:colOff>
          <xdr:row>52</xdr:row>
          <xdr:rowOff>114300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1D00-000001E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53</xdr:row>
          <xdr:rowOff>28575</xdr:rowOff>
        </xdr:from>
        <xdr:to>
          <xdr:col>16</xdr:col>
          <xdr:colOff>257175</xdr:colOff>
          <xdr:row>54</xdr:row>
          <xdr:rowOff>38100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1D00-000002E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32</xdr:col>
      <xdr:colOff>29134</xdr:colOff>
      <xdr:row>46</xdr:row>
      <xdr:rowOff>197224</xdr:rowOff>
    </xdr:from>
    <xdr:to>
      <xdr:col>34</xdr:col>
      <xdr:colOff>0</xdr:colOff>
      <xdr:row>47</xdr:row>
      <xdr:rowOff>156883</xdr:rowOff>
    </xdr:to>
    <xdr:sp macro="" textlink="">
      <xdr:nvSpPr>
        <xdr:cNvPr id="20" name="Rectangle 19">
          <a:hlinkClick xmlns:r="http://schemas.openxmlformats.org/officeDocument/2006/relationships" r:id="rId1" tooltip="Payment"/>
          <a:extLst>
            <a:ext uri="{FF2B5EF4-FFF2-40B4-BE49-F238E27FC236}">
              <a16:creationId xmlns:a16="http://schemas.microsoft.com/office/drawing/2014/main" id="{00000000-0008-0000-3400-000014000000}"/>
            </a:ext>
          </a:extLst>
        </xdr:cNvPr>
        <xdr:cNvSpPr/>
      </xdr:nvSpPr>
      <xdr:spPr>
        <a:xfrm>
          <a:off x="8187016" y="8265459"/>
          <a:ext cx="598396"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33618</xdr:colOff>
      <xdr:row>10</xdr:row>
      <xdr:rowOff>11206</xdr:rowOff>
    </xdr:from>
    <xdr:to>
      <xdr:col>39</xdr:col>
      <xdr:colOff>33617</xdr:colOff>
      <xdr:row>11</xdr:row>
      <xdr:rowOff>0</xdr:rowOff>
    </xdr:to>
    <xdr:sp macro="" textlink="">
      <xdr:nvSpPr>
        <xdr:cNvPr id="26" name="Rectangle 25">
          <a:hlinkClick xmlns:r="http://schemas.openxmlformats.org/officeDocument/2006/relationships" r:id="rId2" tooltip="Equipment Input"/>
          <a:extLst>
            <a:ext uri="{FF2B5EF4-FFF2-40B4-BE49-F238E27FC236}">
              <a16:creationId xmlns:a16="http://schemas.microsoft.com/office/drawing/2014/main" id="{00000000-0008-0000-3400-00001A000000}"/>
            </a:ext>
          </a:extLst>
        </xdr:cNvPr>
        <xdr:cNvSpPr/>
      </xdr:nvSpPr>
      <xdr:spPr>
        <a:xfrm>
          <a:off x="10623177" y="2028265"/>
          <a:ext cx="1210234"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15" name="Rectangle 14">
          <a:extLst>
            <a:ext uri="{FF2B5EF4-FFF2-40B4-BE49-F238E27FC236}">
              <a16:creationId xmlns:a16="http://schemas.microsoft.com/office/drawing/2014/main" id="{00000000-0008-0000-3400-00000F000000}"/>
            </a:ext>
          </a:extLst>
        </xdr:cNvPr>
        <xdr:cNvSpPr/>
      </xdr:nvSpPr>
      <xdr:spPr>
        <a:xfrm>
          <a:off x="0" y="0"/>
          <a:ext cx="1470213" cy="56141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6" name="Rectangle 15">
          <a:hlinkClick xmlns:r="http://schemas.openxmlformats.org/officeDocument/2006/relationships" r:id="rId3" tooltip="Welcome"/>
          <a:extLst>
            <a:ext uri="{FF2B5EF4-FFF2-40B4-BE49-F238E27FC236}">
              <a16:creationId xmlns:a16="http://schemas.microsoft.com/office/drawing/2014/main" id="{00000000-0008-0000-3400-000010000000}"/>
            </a:ext>
          </a:extLst>
        </xdr:cNvPr>
        <xdr:cNvSpPr/>
      </xdr:nvSpPr>
      <xdr:spPr>
        <a:xfrm>
          <a:off x="1510552" y="11208"/>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7" name="Rectangle 16">
          <a:hlinkClick xmlns:r="http://schemas.openxmlformats.org/officeDocument/2006/relationships" r:id="rId4" tooltip="Instructions"/>
          <a:extLst>
            <a:ext uri="{FF2B5EF4-FFF2-40B4-BE49-F238E27FC236}">
              <a16:creationId xmlns:a16="http://schemas.microsoft.com/office/drawing/2014/main" id="{00000000-0008-0000-3400-000011000000}"/>
            </a:ext>
          </a:extLst>
        </xdr:cNvPr>
        <xdr:cNvSpPr/>
      </xdr:nvSpPr>
      <xdr:spPr>
        <a:xfrm>
          <a:off x="2746214" y="6725"/>
          <a:ext cx="1152525"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18" name="Rectangle 17">
          <a:hlinkClick xmlns:r="http://schemas.openxmlformats.org/officeDocument/2006/relationships" r:id="rId5" tooltip="Contact"/>
          <a:extLst>
            <a:ext uri="{FF2B5EF4-FFF2-40B4-BE49-F238E27FC236}">
              <a16:creationId xmlns:a16="http://schemas.microsoft.com/office/drawing/2014/main" id="{00000000-0008-0000-3400-000012000000}"/>
            </a:ext>
          </a:extLst>
        </xdr:cNvPr>
        <xdr:cNvSpPr/>
      </xdr:nvSpPr>
      <xdr:spPr>
        <a:xfrm>
          <a:off x="16761759" y="0"/>
          <a:ext cx="122144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24" name="Rectangle 23">
          <a:extLst>
            <a:ext uri="{FF2B5EF4-FFF2-40B4-BE49-F238E27FC236}">
              <a16:creationId xmlns:a16="http://schemas.microsoft.com/office/drawing/2014/main" id="{00000000-0008-0000-3400-000018000000}"/>
            </a:ext>
          </a:extLst>
        </xdr:cNvPr>
        <xdr:cNvSpPr/>
      </xdr:nvSpPr>
      <xdr:spPr>
        <a:xfrm>
          <a:off x="14921753" y="0"/>
          <a:ext cx="18175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5" name="Straight Connector 24">
          <a:extLst>
            <a:ext uri="{FF2B5EF4-FFF2-40B4-BE49-F238E27FC236}">
              <a16:creationId xmlns:a16="http://schemas.microsoft.com/office/drawing/2014/main" id="{00000000-0008-0000-3400-000019000000}"/>
            </a:ext>
          </a:extLst>
        </xdr:cNvPr>
        <xdr:cNvCxnSpPr/>
      </xdr:nvCxnSpPr>
      <xdr:spPr>
        <a:xfrm>
          <a:off x="1506631"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292431</xdr:colOff>
      <xdr:row>2</xdr:row>
      <xdr:rowOff>54347</xdr:rowOff>
    </xdr:to>
    <xdr:pic>
      <xdr:nvPicPr>
        <xdr:cNvPr id="27" name="Picture 26">
          <a:extLst>
            <a:ext uri="{FF2B5EF4-FFF2-40B4-BE49-F238E27FC236}">
              <a16:creationId xmlns:a16="http://schemas.microsoft.com/office/drawing/2014/main" id="{00000000-0008-0000-34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29" name="Straight Connector 28">
          <a:extLst>
            <a:ext uri="{FF2B5EF4-FFF2-40B4-BE49-F238E27FC236}">
              <a16:creationId xmlns:a16="http://schemas.microsoft.com/office/drawing/2014/main" id="{00000000-0008-0000-3400-00001D000000}"/>
            </a:ext>
          </a:extLst>
        </xdr:cNvPr>
        <xdr:cNvCxnSpPr/>
      </xdr:nvCxnSpPr>
      <xdr:spPr>
        <a:xfrm>
          <a:off x="2737057" y="100293"/>
          <a:ext cx="11767"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233456</xdr:colOff>
      <xdr:row>14</xdr:row>
      <xdr:rowOff>85911</xdr:rowOff>
    </xdr:from>
    <xdr:to>
      <xdr:col>41</xdr:col>
      <xdr:colOff>226762</xdr:colOff>
      <xdr:row>16</xdr:row>
      <xdr:rowOff>142935</xdr:rowOff>
    </xdr:to>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345956" y="2975161"/>
          <a:ext cx="1898306" cy="466599"/>
        </a:xfrm>
        <a:prstGeom prst="rect">
          <a:avLst/>
        </a:prstGeom>
      </xdr:spPr>
    </xdr:pic>
    <xdr:clientData/>
  </xdr:twoCellAnchor>
  <xdr:twoCellAnchor editAs="oneCell">
    <xdr:from>
      <xdr:col>0</xdr:col>
      <xdr:colOff>75789</xdr:colOff>
      <xdr:row>0</xdr:row>
      <xdr:rowOff>112810</xdr:rowOff>
    </xdr:from>
    <xdr:to>
      <xdr:col>4</xdr:col>
      <xdr:colOff>199808</xdr:colOff>
      <xdr:row>2</xdr:row>
      <xdr:rowOff>94780</xdr:rowOff>
    </xdr:to>
    <xdr:pic>
      <xdr:nvPicPr>
        <xdr:cNvPr id="3" name="Picture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8"/>
        <a:stretch>
          <a:fillRect/>
        </a:stretch>
      </xdr:blipFill>
      <xdr:spPr>
        <a:xfrm>
          <a:off x="75789" y="112810"/>
          <a:ext cx="1390844" cy="381113"/>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4" name="Arrow: Chevron 3">
          <a:hlinkClick xmlns:r="http://schemas.openxmlformats.org/officeDocument/2006/relationships" r:id="rId9" tooltip="Terms &amp; Conditions"/>
          <a:extLst>
            <a:ext uri="{FF2B5EF4-FFF2-40B4-BE49-F238E27FC236}">
              <a16:creationId xmlns:a16="http://schemas.microsoft.com/office/drawing/2014/main" id="{00000000-0008-0000-3400-000004000000}"/>
            </a:ext>
          </a:extLst>
        </xdr:cNvPr>
        <xdr:cNvSpPr/>
      </xdr:nvSpPr>
      <xdr:spPr>
        <a:xfrm>
          <a:off x="14484350" y="865046"/>
          <a:ext cx="2011680"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5" name="Arrow: Chevron 4">
          <a:hlinkClick xmlns:r="http://schemas.openxmlformats.org/officeDocument/2006/relationships" r:id="rId10" tooltip="Project Information"/>
          <a:extLst>
            <a:ext uri="{FF2B5EF4-FFF2-40B4-BE49-F238E27FC236}">
              <a16:creationId xmlns:a16="http://schemas.microsoft.com/office/drawing/2014/main" id="{00000000-0008-0000-3400-000005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6" name="Arrow: Chevron 39">
          <a:hlinkClick xmlns:r="http://schemas.openxmlformats.org/officeDocument/2006/relationships" r:id="rId11" tooltip="Customer Information"/>
          <a:extLst>
            <a:ext uri="{FF2B5EF4-FFF2-40B4-BE49-F238E27FC236}">
              <a16:creationId xmlns:a16="http://schemas.microsoft.com/office/drawing/2014/main" id="{00000000-0008-0000-3400-000006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7" name="Arrow: Chevron 40">
          <a:hlinkClick xmlns:r="http://schemas.openxmlformats.org/officeDocument/2006/relationships" r:id="rId12" tooltip="Equipment Input"/>
          <a:extLst>
            <a:ext uri="{FF2B5EF4-FFF2-40B4-BE49-F238E27FC236}">
              <a16:creationId xmlns:a16="http://schemas.microsoft.com/office/drawing/2014/main" id="{00000000-0008-0000-3400-000007000000}"/>
            </a:ext>
          </a:extLst>
        </xdr:cNvPr>
        <xdr:cNvSpPr/>
      </xdr:nvSpPr>
      <xdr:spPr>
        <a:xfrm>
          <a:off x="6188077" y="859240"/>
          <a:ext cx="2153708"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8" name="Arrow: Chevron 7">
          <a:hlinkClick xmlns:r="http://schemas.openxmlformats.org/officeDocument/2006/relationships" r:id="rId13" tooltip="Payment"/>
          <a:extLst>
            <a:ext uri="{FF2B5EF4-FFF2-40B4-BE49-F238E27FC236}">
              <a16:creationId xmlns:a16="http://schemas.microsoft.com/office/drawing/2014/main" id="{00000000-0008-0000-3400-000008000000}"/>
            </a:ext>
          </a:extLst>
        </xdr:cNvPr>
        <xdr:cNvSpPr/>
      </xdr:nvSpPr>
      <xdr:spPr>
        <a:xfrm>
          <a:off x="10259482" y="874353"/>
          <a:ext cx="2313432"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9" name="Arrow: Chevron 8">
          <a:hlinkClick xmlns:r="http://schemas.openxmlformats.org/officeDocument/2006/relationships" r:id="rId14" tooltip="Project Review"/>
          <a:extLst>
            <a:ext uri="{FF2B5EF4-FFF2-40B4-BE49-F238E27FC236}">
              <a16:creationId xmlns:a16="http://schemas.microsoft.com/office/drawing/2014/main" id="{00000000-0008-0000-3400-000009000000}"/>
            </a:ext>
          </a:extLst>
        </xdr:cNvPr>
        <xdr:cNvSpPr/>
      </xdr:nvSpPr>
      <xdr:spPr>
        <a:xfrm>
          <a:off x="16284979" y="864307"/>
          <a:ext cx="2001340" cy="652107"/>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10" name="Arrow: Chevron 43">
          <a:hlinkClick xmlns:r="http://schemas.openxmlformats.org/officeDocument/2006/relationships" r:id="rId15" tooltip="Trade Ally / Contractor Information"/>
          <a:extLst>
            <a:ext uri="{FF2B5EF4-FFF2-40B4-BE49-F238E27FC236}">
              <a16:creationId xmlns:a16="http://schemas.microsoft.com/office/drawing/2014/main" id="{00000000-0008-0000-3400-00000A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1" name="Arrow: Chevron 10">
          <a:hlinkClick xmlns:r="http://schemas.openxmlformats.org/officeDocument/2006/relationships" r:id="rId16" tooltip="On-Bill Repayment"/>
          <a:extLst>
            <a:ext uri="{FF2B5EF4-FFF2-40B4-BE49-F238E27FC236}">
              <a16:creationId xmlns:a16="http://schemas.microsoft.com/office/drawing/2014/main" id="{00000000-0008-0000-3400-00000B000000}"/>
            </a:ext>
          </a:extLst>
        </xdr:cNvPr>
        <xdr:cNvSpPr/>
      </xdr:nvSpPr>
      <xdr:spPr>
        <a:xfrm>
          <a:off x="12363450" y="874354"/>
          <a:ext cx="2304288"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On-Bill Repayment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12" name="Arrow: Chevron 11">
          <a:hlinkClick xmlns:r="http://schemas.openxmlformats.org/officeDocument/2006/relationships" r:id="rId17" tooltip="Payment"/>
          <a:extLst>
            <a:ext uri="{FF2B5EF4-FFF2-40B4-BE49-F238E27FC236}">
              <a16:creationId xmlns:a16="http://schemas.microsoft.com/office/drawing/2014/main" id="{00000000-0008-0000-3400-00000C000000}"/>
            </a:ext>
          </a:extLst>
        </xdr:cNvPr>
        <xdr:cNvSpPr/>
      </xdr:nvSpPr>
      <xdr:spPr>
        <a:xfrm>
          <a:off x="8154458" y="869949"/>
          <a:ext cx="2303907" cy="63201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cap="none" baseline="0">
              <a:solidFill>
                <a:schemeClr val="bg1"/>
              </a:solidFill>
              <a:latin typeface="Arial" panose="020B0604020202020204" pitchFamily="34" charset="0"/>
              <a:ea typeface="+mn-ea"/>
              <a:cs typeface="Arial" panose="020B0604020202020204" pitchFamily="34" charset="0"/>
            </a:rPr>
            <a:t>Union Information</a:t>
          </a:r>
          <a:r>
            <a:rPr lang="en-US" sz="1100" b="0" i="0" u="none" strike="noStrike" cap="none" baseline="0">
              <a:solidFill>
                <a:srgbClr val="142C41"/>
              </a:solidFill>
              <a:latin typeface="Arial" panose="020B0604020202020204" pitchFamily="34" charset="0"/>
              <a:ea typeface="+mn-ea"/>
              <a:cs typeface="Arial" panose="020B0604020202020204" pitchFamily="34" charset="0"/>
            </a:rPr>
            <a:t>on</a:t>
          </a:r>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47" name="Rectangle 46">
          <a:hlinkClick xmlns:r="http://schemas.openxmlformats.org/officeDocument/2006/relationships" r:id="rId5" tooltip="Contact"/>
          <a:extLst>
            <a:ext uri="{FF2B5EF4-FFF2-40B4-BE49-F238E27FC236}">
              <a16:creationId xmlns:a16="http://schemas.microsoft.com/office/drawing/2014/main" id="{00000000-0008-0000-3400-00002F000000}"/>
            </a:ext>
          </a:extLst>
        </xdr:cNvPr>
        <xdr:cNvSpPr/>
      </xdr:nvSpPr>
      <xdr:spPr>
        <a:xfrm>
          <a:off x="1790475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48" name="Rectangle 47">
          <a:hlinkClick xmlns:r="http://schemas.openxmlformats.org/officeDocument/2006/relationships" r:id="rId18" tooltip=" "/>
          <a:extLst>
            <a:ext uri="{FF2B5EF4-FFF2-40B4-BE49-F238E27FC236}">
              <a16:creationId xmlns:a16="http://schemas.microsoft.com/office/drawing/2014/main" id="{00000000-0008-0000-3400-000030000000}"/>
            </a:ext>
          </a:extLst>
        </xdr:cNvPr>
        <xdr:cNvSpPr/>
      </xdr:nvSpPr>
      <xdr:spPr>
        <a:xfrm>
          <a:off x="147557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49" name="Straight Connector 48">
          <a:extLst>
            <a:ext uri="{FF2B5EF4-FFF2-40B4-BE49-F238E27FC236}">
              <a16:creationId xmlns:a16="http://schemas.microsoft.com/office/drawing/2014/main" id="{00000000-0008-0000-3400-000031000000}"/>
            </a:ext>
          </a:extLst>
        </xdr:cNvPr>
        <xdr:cNvCxnSpPr/>
      </xdr:nvCxnSpPr>
      <xdr:spPr>
        <a:xfrm>
          <a:off x="1791652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50" name="Rectangle 49">
          <a:hlinkClick xmlns:r="http://schemas.openxmlformats.org/officeDocument/2006/relationships" r:id="rId5" tooltip="Contact"/>
          <a:extLst>
            <a:ext uri="{FF2B5EF4-FFF2-40B4-BE49-F238E27FC236}">
              <a16:creationId xmlns:a16="http://schemas.microsoft.com/office/drawing/2014/main" id="{00000000-0008-0000-3400-000032000000}"/>
            </a:ext>
          </a:extLst>
        </xdr:cNvPr>
        <xdr:cNvSpPr/>
      </xdr:nvSpPr>
      <xdr:spPr>
        <a:xfrm>
          <a:off x="1790475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51" name="Rectangle 50">
          <a:extLst>
            <a:ext uri="{FF2B5EF4-FFF2-40B4-BE49-F238E27FC236}">
              <a16:creationId xmlns:a16="http://schemas.microsoft.com/office/drawing/2014/main" id="{00000000-0008-0000-3400-000033000000}"/>
            </a:ext>
          </a:extLst>
        </xdr:cNvPr>
        <xdr:cNvSpPr/>
      </xdr:nvSpPr>
      <xdr:spPr>
        <a:xfrm>
          <a:off x="1601077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52" name="Straight Connector 51">
          <a:extLst>
            <a:ext uri="{FF2B5EF4-FFF2-40B4-BE49-F238E27FC236}">
              <a16:creationId xmlns:a16="http://schemas.microsoft.com/office/drawing/2014/main" id="{00000000-0008-0000-3400-000034000000}"/>
            </a:ext>
          </a:extLst>
        </xdr:cNvPr>
        <xdr:cNvCxnSpPr/>
      </xdr:nvCxnSpPr>
      <xdr:spPr>
        <a:xfrm>
          <a:off x="1603918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53" name="Rectangle 52">
          <a:hlinkClick xmlns:r="http://schemas.openxmlformats.org/officeDocument/2006/relationships" r:id="rId19" tooltip="Incentive Rates &amp; Requirements"/>
          <a:extLst>
            <a:ext uri="{FF2B5EF4-FFF2-40B4-BE49-F238E27FC236}">
              <a16:creationId xmlns:a16="http://schemas.microsoft.com/office/drawing/2014/main" id="{00000000-0008-0000-3400-000035000000}"/>
            </a:ext>
          </a:extLst>
        </xdr:cNvPr>
        <xdr:cNvSpPr/>
      </xdr:nvSpPr>
      <xdr:spPr>
        <a:xfrm>
          <a:off x="1605662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54" name="Rectangle 53">
          <a:hlinkClick xmlns:r="http://schemas.openxmlformats.org/officeDocument/2006/relationships" r:id="rId20" tooltip=" "/>
          <a:extLst>
            <a:ext uri="{FF2B5EF4-FFF2-40B4-BE49-F238E27FC236}">
              <a16:creationId xmlns:a16="http://schemas.microsoft.com/office/drawing/2014/main" id="{00000000-0008-0000-3400-000036000000}"/>
            </a:ext>
          </a:extLst>
        </xdr:cNvPr>
        <xdr:cNvSpPr/>
      </xdr:nvSpPr>
      <xdr:spPr>
        <a:xfrm>
          <a:off x="1351410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293594</xdr:colOff>
      <xdr:row>0</xdr:row>
      <xdr:rowOff>6723</xdr:rowOff>
    </xdr:from>
    <xdr:to>
      <xdr:col>43</xdr:col>
      <xdr:colOff>2241</xdr:colOff>
      <xdr:row>3</xdr:row>
      <xdr:rowOff>6723</xdr:rowOff>
    </xdr:to>
    <xdr:sp macro="" textlink="">
      <xdr:nvSpPr>
        <xdr:cNvPr id="55" name="Rectangle 54">
          <a:hlinkClick xmlns:r="http://schemas.openxmlformats.org/officeDocument/2006/relationships" r:id="rId21" tooltip=" "/>
          <a:extLst>
            <a:ext uri="{FF2B5EF4-FFF2-40B4-BE49-F238E27FC236}">
              <a16:creationId xmlns:a16="http://schemas.microsoft.com/office/drawing/2014/main" id="{00000000-0008-0000-3400-000037000000}"/>
            </a:ext>
          </a:extLst>
        </xdr:cNvPr>
        <xdr:cNvSpPr/>
      </xdr:nvSpPr>
      <xdr:spPr>
        <a:xfrm>
          <a:off x="122411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35</xdr:col>
      <xdr:colOff>33618</xdr:colOff>
      <xdr:row>10</xdr:row>
      <xdr:rowOff>11206</xdr:rowOff>
    </xdr:from>
    <xdr:to>
      <xdr:col>39</xdr:col>
      <xdr:colOff>33617</xdr:colOff>
      <xdr:row>11</xdr:row>
      <xdr:rowOff>0</xdr:rowOff>
    </xdr:to>
    <xdr:sp macro="" textlink="">
      <xdr:nvSpPr>
        <xdr:cNvPr id="30" name="Rectangle 29">
          <a:hlinkClick xmlns:r="http://schemas.openxmlformats.org/officeDocument/2006/relationships" r:id="rId1" tooltip="Equipment Input"/>
          <a:extLst>
            <a:ext uri="{FF2B5EF4-FFF2-40B4-BE49-F238E27FC236}">
              <a16:creationId xmlns:a16="http://schemas.microsoft.com/office/drawing/2014/main" id="{00000000-0008-0000-3500-00001E000000}"/>
            </a:ext>
          </a:extLst>
        </xdr:cNvPr>
        <xdr:cNvSpPr/>
      </xdr:nvSpPr>
      <xdr:spPr>
        <a:xfrm>
          <a:off x="10701618" y="2011456"/>
          <a:ext cx="1219199" cy="1888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4" name="Rectangle 13">
          <a:hlinkClick xmlns:r="http://schemas.openxmlformats.org/officeDocument/2006/relationships" r:id="rId2" tooltip="Welcome"/>
          <a:extLst>
            <a:ext uri="{FF2B5EF4-FFF2-40B4-BE49-F238E27FC236}">
              <a16:creationId xmlns:a16="http://schemas.microsoft.com/office/drawing/2014/main" id="{00000000-0008-0000-3500-00000E000000}"/>
            </a:ext>
          </a:extLst>
        </xdr:cNvPr>
        <xdr:cNvSpPr/>
      </xdr:nvSpPr>
      <xdr:spPr>
        <a:xfrm>
          <a:off x="1510552" y="11208"/>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5" name="Rectangle 14">
          <a:hlinkClick xmlns:r="http://schemas.openxmlformats.org/officeDocument/2006/relationships" r:id="rId3" tooltip="Instructions"/>
          <a:extLst>
            <a:ext uri="{FF2B5EF4-FFF2-40B4-BE49-F238E27FC236}">
              <a16:creationId xmlns:a16="http://schemas.microsoft.com/office/drawing/2014/main" id="{00000000-0008-0000-3500-00000F000000}"/>
            </a:ext>
          </a:extLst>
        </xdr:cNvPr>
        <xdr:cNvSpPr/>
      </xdr:nvSpPr>
      <xdr:spPr>
        <a:xfrm>
          <a:off x="2746214" y="6725"/>
          <a:ext cx="1152525"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16" name="Rectangle 15">
          <a:hlinkClick xmlns:r="http://schemas.openxmlformats.org/officeDocument/2006/relationships" r:id="rId4" tooltip="Contact"/>
          <a:extLst>
            <a:ext uri="{FF2B5EF4-FFF2-40B4-BE49-F238E27FC236}">
              <a16:creationId xmlns:a16="http://schemas.microsoft.com/office/drawing/2014/main" id="{00000000-0008-0000-3500-000010000000}"/>
            </a:ext>
          </a:extLst>
        </xdr:cNvPr>
        <xdr:cNvSpPr/>
      </xdr:nvSpPr>
      <xdr:spPr>
        <a:xfrm>
          <a:off x="16761759" y="0"/>
          <a:ext cx="122144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21" name="Rectangle 20">
          <a:extLst>
            <a:ext uri="{FF2B5EF4-FFF2-40B4-BE49-F238E27FC236}">
              <a16:creationId xmlns:a16="http://schemas.microsoft.com/office/drawing/2014/main" id="{00000000-0008-0000-3500-000015000000}"/>
            </a:ext>
          </a:extLst>
        </xdr:cNvPr>
        <xdr:cNvSpPr/>
      </xdr:nvSpPr>
      <xdr:spPr>
        <a:xfrm>
          <a:off x="14921753" y="0"/>
          <a:ext cx="18175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2" name="Straight Connector 21">
          <a:extLst>
            <a:ext uri="{FF2B5EF4-FFF2-40B4-BE49-F238E27FC236}">
              <a16:creationId xmlns:a16="http://schemas.microsoft.com/office/drawing/2014/main" id="{00000000-0008-0000-3500-000016000000}"/>
            </a:ext>
          </a:extLst>
        </xdr:cNvPr>
        <xdr:cNvCxnSpPr/>
      </xdr:nvCxnSpPr>
      <xdr:spPr>
        <a:xfrm>
          <a:off x="1506631"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298657</xdr:colOff>
      <xdr:row>0</xdr:row>
      <xdr:rowOff>100293</xdr:rowOff>
    </xdr:from>
    <xdr:to>
      <xdr:col>9</xdr:col>
      <xdr:colOff>5624</xdr:colOff>
      <xdr:row>2</xdr:row>
      <xdr:rowOff>128868</xdr:rowOff>
    </xdr:to>
    <xdr:cxnSp macro="">
      <xdr:nvCxnSpPr>
        <xdr:cNvPr id="25" name="Straight Connector 24">
          <a:extLst>
            <a:ext uri="{FF2B5EF4-FFF2-40B4-BE49-F238E27FC236}">
              <a16:creationId xmlns:a16="http://schemas.microsoft.com/office/drawing/2014/main" id="{00000000-0008-0000-3500-000019000000}"/>
            </a:ext>
          </a:extLst>
        </xdr:cNvPr>
        <xdr:cNvCxnSpPr/>
      </xdr:nvCxnSpPr>
      <xdr:spPr>
        <a:xfrm>
          <a:off x="2737057" y="100293"/>
          <a:ext cx="11767"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38100</xdr:colOff>
      <xdr:row>0</xdr:row>
      <xdr:rowOff>114300</xdr:rowOff>
    </xdr:from>
    <xdr:to>
      <xdr:col>4</xdr:col>
      <xdr:colOff>168469</xdr:colOff>
      <xdr:row>2</xdr:row>
      <xdr:rowOff>92188</xdr:rowOff>
    </xdr:to>
    <xdr:pic>
      <xdr:nvPicPr>
        <xdr:cNvPr id="3" name="Picture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5"/>
        <a:stretch>
          <a:fillRect/>
        </a:stretch>
      </xdr:blipFill>
      <xdr:spPr>
        <a:xfrm>
          <a:off x="38100" y="114300"/>
          <a:ext cx="1390844" cy="381113"/>
        </a:xfrm>
        <a:prstGeom prst="rect">
          <a:avLst/>
        </a:prstGeom>
      </xdr:spPr>
    </xdr:pic>
    <xdr:clientData/>
  </xdr:twoCellAnchor>
  <xdr:twoCellAnchor editAs="oneCell">
    <xdr:from>
      <xdr:col>35</xdr:col>
      <xdr:colOff>241300</xdr:colOff>
      <xdr:row>14</xdr:row>
      <xdr:rowOff>52792</xdr:rowOff>
    </xdr:from>
    <xdr:to>
      <xdr:col>41</xdr:col>
      <xdr:colOff>248576</xdr:colOff>
      <xdr:row>16</xdr:row>
      <xdr:rowOff>112991</xdr:rowOff>
    </xdr:to>
    <xdr:pic>
      <xdr:nvPicPr>
        <xdr:cNvPr id="8" name="Picture 7">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353800" y="2897592"/>
          <a:ext cx="1898306" cy="466599"/>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2" name="Arrow: Chevron 1">
          <a:hlinkClick xmlns:r="http://schemas.openxmlformats.org/officeDocument/2006/relationships" r:id="rId7" tooltip="Terms &amp; Conditions"/>
          <a:extLst>
            <a:ext uri="{FF2B5EF4-FFF2-40B4-BE49-F238E27FC236}">
              <a16:creationId xmlns:a16="http://schemas.microsoft.com/office/drawing/2014/main" id="{00000000-0008-0000-3500-000002000000}"/>
            </a:ext>
          </a:extLst>
        </xdr:cNvPr>
        <xdr:cNvSpPr/>
      </xdr:nvSpPr>
      <xdr:spPr>
        <a:xfrm>
          <a:off x="14484350" y="865046"/>
          <a:ext cx="2011680"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4" name="Arrow: Chevron 3">
          <a:hlinkClick xmlns:r="http://schemas.openxmlformats.org/officeDocument/2006/relationships" r:id="rId8" tooltip="Project Information"/>
          <a:extLst>
            <a:ext uri="{FF2B5EF4-FFF2-40B4-BE49-F238E27FC236}">
              <a16:creationId xmlns:a16="http://schemas.microsoft.com/office/drawing/2014/main" id="{00000000-0008-0000-3500-000004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5" name="Arrow: Chevron 39">
          <a:hlinkClick xmlns:r="http://schemas.openxmlformats.org/officeDocument/2006/relationships" r:id="rId9" tooltip="Customer Information"/>
          <a:extLst>
            <a:ext uri="{FF2B5EF4-FFF2-40B4-BE49-F238E27FC236}">
              <a16:creationId xmlns:a16="http://schemas.microsoft.com/office/drawing/2014/main" id="{00000000-0008-0000-3500-000005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6" name="Arrow: Chevron 40">
          <a:hlinkClick xmlns:r="http://schemas.openxmlformats.org/officeDocument/2006/relationships" r:id="rId10" tooltip="Equipment Input"/>
          <a:extLst>
            <a:ext uri="{FF2B5EF4-FFF2-40B4-BE49-F238E27FC236}">
              <a16:creationId xmlns:a16="http://schemas.microsoft.com/office/drawing/2014/main" id="{00000000-0008-0000-3500-000006000000}"/>
            </a:ext>
          </a:extLst>
        </xdr:cNvPr>
        <xdr:cNvSpPr/>
      </xdr:nvSpPr>
      <xdr:spPr>
        <a:xfrm>
          <a:off x="6188077" y="859240"/>
          <a:ext cx="2153708"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7" name="Arrow: Chevron 6">
          <a:hlinkClick xmlns:r="http://schemas.openxmlformats.org/officeDocument/2006/relationships" r:id="rId11" tooltip="Payment"/>
          <a:extLst>
            <a:ext uri="{FF2B5EF4-FFF2-40B4-BE49-F238E27FC236}">
              <a16:creationId xmlns:a16="http://schemas.microsoft.com/office/drawing/2014/main" id="{00000000-0008-0000-3500-000007000000}"/>
            </a:ext>
          </a:extLst>
        </xdr:cNvPr>
        <xdr:cNvSpPr/>
      </xdr:nvSpPr>
      <xdr:spPr>
        <a:xfrm>
          <a:off x="10259482" y="874353"/>
          <a:ext cx="2313432"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9" name="Arrow: Chevron 8">
          <a:hlinkClick xmlns:r="http://schemas.openxmlformats.org/officeDocument/2006/relationships" r:id="rId12" tooltip="Project Review"/>
          <a:extLst>
            <a:ext uri="{FF2B5EF4-FFF2-40B4-BE49-F238E27FC236}">
              <a16:creationId xmlns:a16="http://schemas.microsoft.com/office/drawing/2014/main" id="{00000000-0008-0000-3500-000009000000}"/>
            </a:ext>
          </a:extLst>
        </xdr:cNvPr>
        <xdr:cNvSpPr/>
      </xdr:nvSpPr>
      <xdr:spPr>
        <a:xfrm>
          <a:off x="16284979" y="864307"/>
          <a:ext cx="2001340" cy="652107"/>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10" name="Arrow: Chevron 43">
          <a:hlinkClick xmlns:r="http://schemas.openxmlformats.org/officeDocument/2006/relationships" r:id="rId13" tooltip="Trade Ally / Contractor Information"/>
          <a:extLst>
            <a:ext uri="{FF2B5EF4-FFF2-40B4-BE49-F238E27FC236}">
              <a16:creationId xmlns:a16="http://schemas.microsoft.com/office/drawing/2014/main" id="{00000000-0008-0000-3500-00000A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1" name="Arrow: Chevron 10">
          <a:hlinkClick xmlns:r="http://schemas.openxmlformats.org/officeDocument/2006/relationships" r:id="rId14" tooltip="On-Bill Repayment"/>
          <a:extLst>
            <a:ext uri="{FF2B5EF4-FFF2-40B4-BE49-F238E27FC236}">
              <a16:creationId xmlns:a16="http://schemas.microsoft.com/office/drawing/2014/main" id="{00000000-0008-0000-3500-00000B000000}"/>
            </a:ext>
          </a:extLst>
        </xdr:cNvPr>
        <xdr:cNvSpPr/>
      </xdr:nvSpPr>
      <xdr:spPr>
        <a:xfrm>
          <a:off x="12363450" y="874354"/>
          <a:ext cx="2304288"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On-Bill Repayment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12" name="Arrow: Chevron 11">
          <a:hlinkClick xmlns:r="http://schemas.openxmlformats.org/officeDocument/2006/relationships" r:id="rId15" tooltip="Payment"/>
          <a:extLst>
            <a:ext uri="{FF2B5EF4-FFF2-40B4-BE49-F238E27FC236}">
              <a16:creationId xmlns:a16="http://schemas.microsoft.com/office/drawing/2014/main" id="{00000000-0008-0000-3500-00000C000000}"/>
            </a:ext>
          </a:extLst>
        </xdr:cNvPr>
        <xdr:cNvSpPr/>
      </xdr:nvSpPr>
      <xdr:spPr>
        <a:xfrm>
          <a:off x="8154458" y="869949"/>
          <a:ext cx="2303907" cy="63201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cap="none" baseline="0">
              <a:solidFill>
                <a:schemeClr val="bg1"/>
              </a:solidFill>
              <a:latin typeface="Arial" panose="020B0604020202020204" pitchFamily="34" charset="0"/>
              <a:ea typeface="+mn-ea"/>
              <a:cs typeface="Arial" panose="020B0604020202020204" pitchFamily="34" charset="0"/>
            </a:rPr>
            <a:t>Union Information</a:t>
          </a:r>
          <a:r>
            <a:rPr lang="en-US" sz="1100" b="0" i="0" u="none" strike="noStrike" cap="none" baseline="0">
              <a:solidFill>
                <a:srgbClr val="142C41"/>
              </a:solidFill>
              <a:latin typeface="Arial" panose="020B0604020202020204" pitchFamily="34" charset="0"/>
              <a:ea typeface="+mn-ea"/>
              <a:cs typeface="Arial" panose="020B0604020202020204" pitchFamily="34" charset="0"/>
            </a:rPr>
            <a:t>on</a:t>
          </a:r>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13" name="Rectangle 12">
          <a:hlinkClick xmlns:r="http://schemas.openxmlformats.org/officeDocument/2006/relationships" r:id="rId4" tooltip="Contact"/>
          <a:extLst>
            <a:ext uri="{FF2B5EF4-FFF2-40B4-BE49-F238E27FC236}">
              <a16:creationId xmlns:a16="http://schemas.microsoft.com/office/drawing/2014/main" id="{00000000-0008-0000-3500-00000D000000}"/>
            </a:ext>
          </a:extLst>
        </xdr:cNvPr>
        <xdr:cNvSpPr/>
      </xdr:nvSpPr>
      <xdr:spPr>
        <a:xfrm>
          <a:off x="1790475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17" name="Rectangle 16">
          <a:hlinkClick xmlns:r="http://schemas.openxmlformats.org/officeDocument/2006/relationships" r:id="rId16" tooltip=" "/>
          <a:extLst>
            <a:ext uri="{FF2B5EF4-FFF2-40B4-BE49-F238E27FC236}">
              <a16:creationId xmlns:a16="http://schemas.microsoft.com/office/drawing/2014/main" id="{00000000-0008-0000-3500-000011000000}"/>
            </a:ext>
          </a:extLst>
        </xdr:cNvPr>
        <xdr:cNvSpPr/>
      </xdr:nvSpPr>
      <xdr:spPr>
        <a:xfrm>
          <a:off x="147557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23" name="Straight Connector 22">
          <a:extLst>
            <a:ext uri="{FF2B5EF4-FFF2-40B4-BE49-F238E27FC236}">
              <a16:creationId xmlns:a16="http://schemas.microsoft.com/office/drawing/2014/main" id="{00000000-0008-0000-3500-000017000000}"/>
            </a:ext>
          </a:extLst>
        </xdr:cNvPr>
        <xdr:cNvCxnSpPr/>
      </xdr:nvCxnSpPr>
      <xdr:spPr>
        <a:xfrm>
          <a:off x="1791652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27" name="Rectangle 26">
          <a:hlinkClick xmlns:r="http://schemas.openxmlformats.org/officeDocument/2006/relationships" r:id="rId4" tooltip="Contact"/>
          <a:extLst>
            <a:ext uri="{FF2B5EF4-FFF2-40B4-BE49-F238E27FC236}">
              <a16:creationId xmlns:a16="http://schemas.microsoft.com/office/drawing/2014/main" id="{00000000-0008-0000-3500-00001B000000}"/>
            </a:ext>
          </a:extLst>
        </xdr:cNvPr>
        <xdr:cNvSpPr/>
      </xdr:nvSpPr>
      <xdr:spPr>
        <a:xfrm>
          <a:off x="1790475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29" name="Rectangle 28">
          <a:extLst>
            <a:ext uri="{FF2B5EF4-FFF2-40B4-BE49-F238E27FC236}">
              <a16:creationId xmlns:a16="http://schemas.microsoft.com/office/drawing/2014/main" id="{00000000-0008-0000-3500-00001D000000}"/>
            </a:ext>
          </a:extLst>
        </xdr:cNvPr>
        <xdr:cNvSpPr/>
      </xdr:nvSpPr>
      <xdr:spPr>
        <a:xfrm>
          <a:off x="1601077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40" name="Straight Connector 39">
          <a:extLst>
            <a:ext uri="{FF2B5EF4-FFF2-40B4-BE49-F238E27FC236}">
              <a16:creationId xmlns:a16="http://schemas.microsoft.com/office/drawing/2014/main" id="{00000000-0008-0000-3500-000028000000}"/>
            </a:ext>
          </a:extLst>
        </xdr:cNvPr>
        <xdr:cNvCxnSpPr/>
      </xdr:nvCxnSpPr>
      <xdr:spPr>
        <a:xfrm>
          <a:off x="1603918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41" name="Rectangle 40">
          <a:hlinkClick xmlns:r="http://schemas.openxmlformats.org/officeDocument/2006/relationships" r:id="rId17" tooltip="Incentive Rates &amp; Requirements"/>
          <a:extLst>
            <a:ext uri="{FF2B5EF4-FFF2-40B4-BE49-F238E27FC236}">
              <a16:creationId xmlns:a16="http://schemas.microsoft.com/office/drawing/2014/main" id="{00000000-0008-0000-3500-000029000000}"/>
            </a:ext>
          </a:extLst>
        </xdr:cNvPr>
        <xdr:cNvSpPr/>
      </xdr:nvSpPr>
      <xdr:spPr>
        <a:xfrm>
          <a:off x="1605662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42" name="Rectangle 41">
          <a:hlinkClick xmlns:r="http://schemas.openxmlformats.org/officeDocument/2006/relationships" r:id="rId18" tooltip=" "/>
          <a:extLst>
            <a:ext uri="{FF2B5EF4-FFF2-40B4-BE49-F238E27FC236}">
              <a16:creationId xmlns:a16="http://schemas.microsoft.com/office/drawing/2014/main" id="{00000000-0008-0000-3500-00002A000000}"/>
            </a:ext>
          </a:extLst>
        </xdr:cNvPr>
        <xdr:cNvSpPr/>
      </xdr:nvSpPr>
      <xdr:spPr>
        <a:xfrm>
          <a:off x="1351410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293594</xdr:colOff>
      <xdr:row>0</xdr:row>
      <xdr:rowOff>6723</xdr:rowOff>
    </xdr:from>
    <xdr:to>
      <xdr:col>43</xdr:col>
      <xdr:colOff>2241</xdr:colOff>
      <xdr:row>3</xdr:row>
      <xdr:rowOff>6723</xdr:rowOff>
    </xdr:to>
    <xdr:sp macro="" textlink="">
      <xdr:nvSpPr>
        <xdr:cNvPr id="43" name="Rectangle 42">
          <a:hlinkClick xmlns:r="http://schemas.openxmlformats.org/officeDocument/2006/relationships" r:id="rId19" tooltip=" "/>
          <a:extLst>
            <a:ext uri="{FF2B5EF4-FFF2-40B4-BE49-F238E27FC236}">
              <a16:creationId xmlns:a16="http://schemas.microsoft.com/office/drawing/2014/main" id="{00000000-0008-0000-3500-00002B000000}"/>
            </a:ext>
          </a:extLst>
        </xdr:cNvPr>
        <xdr:cNvSpPr/>
      </xdr:nvSpPr>
      <xdr:spPr>
        <a:xfrm>
          <a:off x="122411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291352</xdr:colOff>
      <xdr:row>0</xdr:row>
      <xdr:rowOff>11208</xdr:rowOff>
    </xdr:from>
    <xdr:to>
      <xdr:col>9</xdr:col>
      <xdr:colOff>0</xdr:colOff>
      <xdr:row>3</xdr:row>
      <xdr:rowOff>11208</xdr:rowOff>
    </xdr:to>
    <xdr:sp macro="" textlink="">
      <xdr:nvSpPr>
        <xdr:cNvPr id="11" name="Rectangle 10">
          <a:hlinkClick xmlns:r="http://schemas.openxmlformats.org/officeDocument/2006/relationships" r:id="rId1" tooltip="Welcome"/>
          <a:extLst>
            <a:ext uri="{FF2B5EF4-FFF2-40B4-BE49-F238E27FC236}">
              <a16:creationId xmlns:a16="http://schemas.microsoft.com/office/drawing/2014/main" id="{00000000-0008-0000-3600-00000B000000}"/>
            </a:ext>
          </a:extLst>
        </xdr:cNvPr>
        <xdr:cNvSpPr/>
      </xdr:nvSpPr>
      <xdr:spPr>
        <a:xfrm>
          <a:off x="1510552" y="11208"/>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2" name="Rectangle 11">
          <a:hlinkClick xmlns:r="http://schemas.openxmlformats.org/officeDocument/2006/relationships" r:id="rId2" tooltip="Instructions"/>
          <a:extLst>
            <a:ext uri="{FF2B5EF4-FFF2-40B4-BE49-F238E27FC236}">
              <a16:creationId xmlns:a16="http://schemas.microsoft.com/office/drawing/2014/main" id="{00000000-0008-0000-3600-00000C000000}"/>
            </a:ext>
          </a:extLst>
        </xdr:cNvPr>
        <xdr:cNvSpPr/>
      </xdr:nvSpPr>
      <xdr:spPr>
        <a:xfrm>
          <a:off x="2746214" y="6725"/>
          <a:ext cx="1152525"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19" name="Straight Connector 18">
          <a:extLst>
            <a:ext uri="{FF2B5EF4-FFF2-40B4-BE49-F238E27FC236}">
              <a16:creationId xmlns:a16="http://schemas.microsoft.com/office/drawing/2014/main" id="{00000000-0008-0000-3600-000013000000}"/>
            </a:ext>
          </a:extLst>
        </xdr:cNvPr>
        <xdr:cNvCxnSpPr/>
      </xdr:nvCxnSpPr>
      <xdr:spPr>
        <a:xfrm>
          <a:off x="1506631"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298657</xdr:colOff>
      <xdr:row>0</xdr:row>
      <xdr:rowOff>100293</xdr:rowOff>
    </xdr:from>
    <xdr:to>
      <xdr:col>9</xdr:col>
      <xdr:colOff>5624</xdr:colOff>
      <xdr:row>2</xdr:row>
      <xdr:rowOff>128868</xdr:rowOff>
    </xdr:to>
    <xdr:cxnSp macro="">
      <xdr:nvCxnSpPr>
        <xdr:cNvPr id="22" name="Straight Connector 21">
          <a:extLst>
            <a:ext uri="{FF2B5EF4-FFF2-40B4-BE49-F238E27FC236}">
              <a16:creationId xmlns:a16="http://schemas.microsoft.com/office/drawing/2014/main" id="{00000000-0008-0000-3600-000016000000}"/>
            </a:ext>
          </a:extLst>
        </xdr:cNvPr>
        <xdr:cNvCxnSpPr/>
      </xdr:nvCxnSpPr>
      <xdr:spPr>
        <a:xfrm>
          <a:off x="2737057" y="100293"/>
          <a:ext cx="11767"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26804</xdr:colOff>
      <xdr:row>0</xdr:row>
      <xdr:rowOff>116439</xdr:rowOff>
    </xdr:from>
    <xdr:to>
      <xdr:col>4</xdr:col>
      <xdr:colOff>141298</xdr:colOff>
      <xdr:row>2</xdr:row>
      <xdr:rowOff>84802</xdr:rowOff>
    </xdr:to>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3"/>
        <a:stretch>
          <a:fillRect/>
        </a:stretch>
      </xdr:blipFill>
      <xdr:spPr>
        <a:xfrm>
          <a:off x="26804" y="116439"/>
          <a:ext cx="1390844" cy="381113"/>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3" name="Arrow: Chevron 2">
          <a:hlinkClick xmlns:r="http://schemas.openxmlformats.org/officeDocument/2006/relationships" r:id="rId4" tooltip="Terms &amp; Conditions"/>
          <a:extLst>
            <a:ext uri="{FF2B5EF4-FFF2-40B4-BE49-F238E27FC236}">
              <a16:creationId xmlns:a16="http://schemas.microsoft.com/office/drawing/2014/main" id="{00000000-0008-0000-3600-000003000000}"/>
            </a:ext>
          </a:extLst>
        </xdr:cNvPr>
        <xdr:cNvSpPr/>
      </xdr:nvSpPr>
      <xdr:spPr>
        <a:xfrm>
          <a:off x="14531975" y="855521"/>
          <a:ext cx="2011680"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Terms &amp; Conditions</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4" name="Arrow: Chevron 3">
          <a:hlinkClick xmlns:r="http://schemas.openxmlformats.org/officeDocument/2006/relationships" r:id="rId5" tooltip="Project Information"/>
          <a:extLst>
            <a:ext uri="{FF2B5EF4-FFF2-40B4-BE49-F238E27FC236}">
              <a16:creationId xmlns:a16="http://schemas.microsoft.com/office/drawing/2014/main" id="{00000000-0008-0000-3600-000004000000}"/>
            </a:ext>
          </a:extLst>
        </xdr:cNvPr>
        <xdr:cNvSpPr/>
      </xdr:nvSpPr>
      <xdr:spPr>
        <a:xfrm>
          <a:off x="742103" y="854245"/>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5" name="Arrow: Chevron 39">
          <a:hlinkClick xmlns:r="http://schemas.openxmlformats.org/officeDocument/2006/relationships" r:id="rId6" tooltip="Customer Information"/>
          <a:extLst>
            <a:ext uri="{FF2B5EF4-FFF2-40B4-BE49-F238E27FC236}">
              <a16:creationId xmlns:a16="http://schemas.microsoft.com/office/drawing/2014/main" id="{00000000-0008-0000-3600-000005000000}"/>
            </a:ext>
          </a:extLst>
        </xdr:cNvPr>
        <xdr:cNvSpPr/>
      </xdr:nvSpPr>
      <xdr:spPr>
        <a:xfrm>
          <a:off x="2535765" y="846540"/>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6" name="Arrow: Chevron 40">
          <a:hlinkClick xmlns:r="http://schemas.openxmlformats.org/officeDocument/2006/relationships" r:id="rId7" tooltip="Equipment Input"/>
          <a:extLst>
            <a:ext uri="{FF2B5EF4-FFF2-40B4-BE49-F238E27FC236}">
              <a16:creationId xmlns:a16="http://schemas.microsoft.com/office/drawing/2014/main" id="{00000000-0008-0000-3600-000006000000}"/>
            </a:ext>
          </a:extLst>
        </xdr:cNvPr>
        <xdr:cNvSpPr/>
      </xdr:nvSpPr>
      <xdr:spPr>
        <a:xfrm>
          <a:off x="6188077" y="849715"/>
          <a:ext cx="2201333"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7" name="Arrow: Chevron 6">
          <a:hlinkClick xmlns:r="http://schemas.openxmlformats.org/officeDocument/2006/relationships" r:id="rId8" tooltip="Payment"/>
          <a:extLst>
            <a:ext uri="{FF2B5EF4-FFF2-40B4-BE49-F238E27FC236}">
              <a16:creationId xmlns:a16="http://schemas.microsoft.com/office/drawing/2014/main" id="{00000000-0008-0000-3600-000007000000}"/>
            </a:ext>
          </a:extLst>
        </xdr:cNvPr>
        <xdr:cNvSpPr/>
      </xdr:nvSpPr>
      <xdr:spPr>
        <a:xfrm>
          <a:off x="10357907" y="878586"/>
          <a:ext cx="2342007" cy="64153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8" name="Arrow: Chevron 7">
          <a:hlinkClick xmlns:r="http://schemas.openxmlformats.org/officeDocument/2006/relationships" r:id="rId9" tooltip="Project Review"/>
          <a:extLst>
            <a:ext uri="{FF2B5EF4-FFF2-40B4-BE49-F238E27FC236}">
              <a16:creationId xmlns:a16="http://schemas.microsoft.com/office/drawing/2014/main" id="{00000000-0008-0000-3600-000008000000}"/>
            </a:ext>
          </a:extLst>
        </xdr:cNvPr>
        <xdr:cNvSpPr/>
      </xdr:nvSpPr>
      <xdr:spPr>
        <a:xfrm>
          <a:off x="16332604" y="854782"/>
          <a:ext cx="2001340" cy="652107"/>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9" name="Arrow: Chevron 43">
          <a:hlinkClick xmlns:r="http://schemas.openxmlformats.org/officeDocument/2006/relationships" r:id="rId10" tooltip="Trade Ally / Contractor Information"/>
          <a:extLst>
            <a:ext uri="{FF2B5EF4-FFF2-40B4-BE49-F238E27FC236}">
              <a16:creationId xmlns:a16="http://schemas.microsoft.com/office/drawing/2014/main" id="{00000000-0008-0000-3600-000009000000}"/>
            </a:ext>
          </a:extLst>
        </xdr:cNvPr>
        <xdr:cNvSpPr/>
      </xdr:nvSpPr>
      <xdr:spPr>
        <a:xfrm>
          <a:off x="4325493" y="848112"/>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0" name="Arrow: Chevron 9">
          <a:hlinkClick xmlns:r="http://schemas.openxmlformats.org/officeDocument/2006/relationships" r:id="rId11" tooltip="On-Bill Repayment"/>
          <a:extLst>
            <a:ext uri="{FF2B5EF4-FFF2-40B4-BE49-F238E27FC236}">
              <a16:creationId xmlns:a16="http://schemas.microsoft.com/office/drawing/2014/main" id="{00000000-0008-0000-3600-00000A000000}"/>
            </a:ext>
          </a:extLst>
        </xdr:cNvPr>
        <xdr:cNvSpPr/>
      </xdr:nvSpPr>
      <xdr:spPr>
        <a:xfrm>
          <a:off x="12484100" y="878587"/>
          <a:ext cx="2329688" cy="64153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On-Bill Repayment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14" name="Arrow: Chevron 13">
          <a:hlinkClick xmlns:r="http://schemas.openxmlformats.org/officeDocument/2006/relationships" r:id="rId12" tooltip="Payment"/>
          <a:extLst>
            <a:ext uri="{FF2B5EF4-FFF2-40B4-BE49-F238E27FC236}">
              <a16:creationId xmlns:a16="http://schemas.microsoft.com/office/drawing/2014/main" id="{00000000-0008-0000-3600-00000E000000}"/>
            </a:ext>
          </a:extLst>
        </xdr:cNvPr>
        <xdr:cNvSpPr/>
      </xdr:nvSpPr>
      <xdr:spPr>
        <a:xfrm>
          <a:off x="8202083" y="860424"/>
          <a:ext cx="2303907" cy="63201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cap="none" baseline="0">
              <a:solidFill>
                <a:schemeClr val="bg1"/>
              </a:solidFill>
              <a:latin typeface="Arial" panose="020B0604020202020204" pitchFamily="34" charset="0"/>
              <a:ea typeface="+mn-ea"/>
              <a:cs typeface="Arial" panose="020B0604020202020204" pitchFamily="34" charset="0"/>
            </a:rPr>
            <a:t>Union Information</a:t>
          </a:r>
          <a:r>
            <a:rPr lang="en-US" sz="1100" b="0" i="0" u="none" strike="noStrike" cap="none" baseline="0">
              <a:solidFill>
                <a:srgbClr val="142C41"/>
              </a:solidFill>
              <a:latin typeface="Arial" panose="020B0604020202020204" pitchFamily="34" charset="0"/>
              <a:ea typeface="+mn-ea"/>
              <a:cs typeface="Arial" panose="020B0604020202020204" pitchFamily="34" charset="0"/>
            </a:rPr>
            <a:t>on</a:t>
          </a:r>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43" name="Rectangle 42">
          <a:hlinkClick xmlns:r="http://schemas.openxmlformats.org/officeDocument/2006/relationships" r:id="rId13" tooltip="Contact"/>
          <a:extLst>
            <a:ext uri="{FF2B5EF4-FFF2-40B4-BE49-F238E27FC236}">
              <a16:creationId xmlns:a16="http://schemas.microsoft.com/office/drawing/2014/main" id="{00000000-0008-0000-3600-00002B000000}"/>
            </a:ext>
          </a:extLst>
        </xdr:cNvPr>
        <xdr:cNvSpPr/>
      </xdr:nvSpPr>
      <xdr:spPr>
        <a:xfrm>
          <a:off x="18581034" y="0"/>
          <a:ext cx="9547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44" name="Rectangle 43">
          <a:hlinkClick xmlns:r="http://schemas.openxmlformats.org/officeDocument/2006/relationships" r:id="rId14" tooltip=" "/>
          <a:extLst>
            <a:ext uri="{FF2B5EF4-FFF2-40B4-BE49-F238E27FC236}">
              <a16:creationId xmlns:a16="http://schemas.microsoft.com/office/drawing/2014/main" id="{00000000-0008-0000-3600-00002C000000}"/>
            </a:ext>
          </a:extLst>
        </xdr:cNvPr>
        <xdr:cNvSpPr/>
      </xdr:nvSpPr>
      <xdr:spPr>
        <a:xfrm>
          <a:off x="15431994" y="9898"/>
          <a:ext cx="127709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45" name="Straight Connector 44">
          <a:extLst>
            <a:ext uri="{FF2B5EF4-FFF2-40B4-BE49-F238E27FC236}">
              <a16:creationId xmlns:a16="http://schemas.microsoft.com/office/drawing/2014/main" id="{00000000-0008-0000-3600-00002D000000}"/>
            </a:ext>
          </a:extLst>
        </xdr:cNvPr>
        <xdr:cNvCxnSpPr/>
      </xdr:nvCxnSpPr>
      <xdr:spPr>
        <a:xfrm>
          <a:off x="18592800" y="103468"/>
          <a:ext cx="6350" cy="4127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46" name="Rectangle 45">
          <a:hlinkClick xmlns:r="http://schemas.openxmlformats.org/officeDocument/2006/relationships" r:id="rId13" tooltip="Contact"/>
          <a:extLst>
            <a:ext uri="{FF2B5EF4-FFF2-40B4-BE49-F238E27FC236}">
              <a16:creationId xmlns:a16="http://schemas.microsoft.com/office/drawing/2014/main" id="{00000000-0008-0000-3600-00002E000000}"/>
            </a:ext>
          </a:extLst>
        </xdr:cNvPr>
        <xdr:cNvSpPr/>
      </xdr:nvSpPr>
      <xdr:spPr>
        <a:xfrm>
          <a:off x="18581034" y="8031"/>
          <a:ext cx="9547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47" name="Rectangle 46">
          <a:extLst>
            <a:ext uri="{FF2B5EF4-FFF2-40B4-BE49-F238E27FC236}">
              <a16:creationId xmlns:a16="http://schemas.microsoft.com/office/drawing/2014/main" id="{00000000-0008-0000-3600-00002F000000}"/>
            </a:ext>
          </a:extLst>
        </xdr:cNvPr>
        <xdr:cNvSpPr/>
      </xdr:nvSpPr>
      <xdr:spPr>
        <a:xfrm>
          <a:off x="16687053" y="0"/>
          <a:ext cx="18683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48" name="Straight Connector 47">
          <a:extLst>
            <a:ext uri="{FF2B5EF4-FFF2-40B4-BE49-F238E27FC236}">
              <a16:creationId xmlns:a16="http://schemas.microsoft.com/office/drawing/2014/main" id="{00000000-0008-0000-3600-000030000000}"/>
            </a:ext>
          </a:extLst>
        </xdr:cNvPr>
        <xdr:cNvCxnSpPr/>
      </xdr:nvCxnSpPr>
      <xdr:spPr>
        <a:xfrm>
          <a:off x="16715462" y="103468"/>
          <a:ext cx="12700" cy="4127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49" name="Rectangle 48">
          <a:hlinkClick xmlns:r="http://schemas.openxmlformats.org/officeDocument/2006/relationships" r:id="rId15" tooltip="Incentive Rates &amp; Requirements"/>
          <a:extLst>
            <a:ext uri="{FF2B5EF4-FFF2-40B4-BE49-F238E27FC236}">
              <a16:creationId xmlns:a16="http://schemas.microsoft.com/office/drawing/2014/main" id="{00000000-0008-0000-3600-000031000000}"/>
            </a:ext>
          </a:extLst>
        </xdr:cNvPr>
        <xdr:cNvSpPr/>
      </xdr:nvSpPr>
      <xdr:spPr>
        <a:xfrm>
          <a:off x="16732898" y="0"/>
          <a:ext cx="1859902" cy="5735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50" name="Rectangle 49">
          <a:hlinkClick xmlns:r="http://schemas.openxmlformats.org/officeDocument/2006/relationships" r:id="rId16" tooltip=" "/>
          <a:extLst>
            <a:ext uri="{FF2B5EF4-FFF2-40B4-BE49-F238E27FC236}">
              <a16:creationId xmlns:a16="http://schemas.microsoft.com/office/drawing/2014/main" id="{00000000-0008-0000-3600-000032000000}"/>
            </a:ext>
          </a:extLst>
        </xdr:cNvPr>
        <xdr:cNvSpPr/>
      </xdr:nvSpPr>
      <xdr:spPr>
        <a:xfrm>
          <a:off x="14190382" y="0"/>
          <a:ext cx="127709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293594</xdr:colOff>
      <xdr:row>0</xdr:row>
      <xdr:rowOff>6723</xdr:rowOff>
    </xdr:from>
    <xdr:to>
      <xdr:col>43</xdr:col>
      <xdr:colOff>2241</xdr:colOff>
      <xdr:row>3</xdr:row>
      <xdr:rowOff>6723</xdr:rowOff>
    </xdr:to>
    <xdr:sp macro="" textlink="">
      <xdr:nvSpPr>
        <xdr:cNvPr id="51" name="Rectangle 50">
          <a:hlinkClick xmlns:r="http://schemas.openxmlformats.org/officeDocument/2006/relationships" r:id="rId17" tooltip=" "/>
          <a:extLst>
            <a:ext uri="{FF2B5EF4-FFF2-40B4-BE49-F238E27FC236}">
              <a16:creationId xmlns:a16="http://schemas.microsoft.com/office/drawing/2014/main" id="{00000000-0008-0000-3600-000033000000}"/>
            </a:ext>
          </a:extLst>
        </xdr:cNvPr>
        <xdr:cNvSpPr/>
      </xdr:nvSpPr>
      <xdr:spPr>
        <a:xfrm>
          <a:off x="12917394" y="9898"/>
          <a:ext cx="127709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22412</xdr:colOff>
      <xdr:row>7</xdr:row>
      <xdr:rowOff>190500</xdr:rowOff>
    </xdr:from>
    <xdr:to>
      <xdr:col>42</xdr:col>
      <xdr:colOff>257735</xdr:colOff>
      <xdr:row>9</xdr:row>
      <xdr:rowOff>33618</xdr:rowOff>
    </xdr:to>
    <xdr:sp macro="" textlink="">
      <xdr:nvSpPr>
        <xdr:cNvPr id="2" name="Rectangle 19">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0006853" y="1591235"/>
          <a:ext cx="2958353" cy="246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0"/>
          <a:ext cx="1470213" cy="56141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4" name="Rectangle 3">
          <a:hlinkClick xmlns:r="http://schemas.openxmlformats.org/officeDocument/2006/relationships" r:id="rId2" tooltip="Welcome"/>
          <a:extLst>
            <a:ext uri="{FF2B5EF4-FFF2-40B4-BE49-F238E27FC236}">
              <a16:creationId xmlns:a16="http://schemas.microsoft.com/office/drawing/2014/main" id="{00000000-0008-0000-0800-000004000000}"/>
            </a:ext>
          </a:extLst>
        </xdr:cNvPr>
        <xdr:cNvSpPr/>
      </xdr:nvSpPr>
      <xdr:spPr>
        <a:xfrm>
          <a:off x="1510552" y="11208"/>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5" name="Rectangle 4">
          <a:hlinkClick xmlns:r="http://schemas.openxmlformats.org/officeDocument/2006/relationships" r:id="rId3" tooltip="Instructions"/>
          <a:extLst>
            <a:ext uri="{FF2B5EF4-FFF2-40B4-BE49-F238E27FC236}">
              <a16:creationId xmlns:a16="http://schemas.microsoft.com/office/drawing/2014/main" id="{00000000-0008-0000-0800-000005000000}"/>
            </a:ext>
          </a:extLst>
        </xdr:cNvPr>
        <xdr:cNvSpPr/>
      </xdr:nvSpPr>
      <xdr:spPr>
        <a:xfrm>
          <a:off x="2746214" y="6725"/>
          <a:ext cx="1152525"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6" name="Rectangle 5">
          <a:hlinkClick xmlns:r="http://schemas.openxmlformats.org/officeDocument/2006/relationships" r:id="rId4" tooltip="Contact"/>
          <a:extLst>
            <a:ext uri="{FF2B5EF4-FFF2-40B4-BE49-F238E27FC236}">
              <a16:creationId xmlns:a16="http://schemas.microsoft.com/office/drawing/2014/main" id="{00000000-0008-0000-0800-000006000000}"/>
            </a:ext>
          </a:extLst>
        </xdr:cNvPr>
        <xdr:cNvSpPr/>
      </xdr:nvSpPr>
      <xdr:spPr>
        <a:xfrm>
          <a:off x="16761759" y="0"/>
          <a:ext cx="122144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44</xdr:col>
      <xdr:colOff>293594</xdr:colOff>
      <xdr:row>0</xdr:row>
      <xdr:rowOff>6723</xdr:rowOff>
    </xdr:from>
    <xdr:to>
      <xdr:col>49</xdr:col>
      <xdr:colOff>2241</xdr:colOff>
      <xdr:row>3</xdr:row>
      <xdr:rowOff>6723</xdr:rowOff>
    </xdr:to>
    <xdr:sp macro="" textlink="">
      <xdr:nvSpPr>
        <xdr:cNvPr id="8" name="Rectangle 7">
          <a:hlinkClick xmlns:r="http://schemas.openxmlformats.org/officeDocument/2006/relationships" r:id="rId5" tooltip=" "/>
          <a:extLst>
            <a:ext uri="{FF2B5EF4-FFF2-40B4-BE49-F238E27FC236}">
              <a16:creationId xmlns:a16="http://schemas.microsoft.com/office/drawing/2014/main" id="{00000000-0008-0000-0800-000008000000}"/>
            </a:ext>
          </a:extLst>
        </xdr:cNvPr>
        <xdr:cNvSpPr/>
      </xdr:nvSpPr>
      <xdr:spPr>
        <a:xfrm>
          <a:off x="137047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0</xdr:colOff>
      <xdr:row>0</xdr:row>
      <xdr:rowOff>100293</xdr:rowOff>
    </xdr:from>
    <xdr:to>
      <xdr:col>55</xdr:col>
      <xdr:colOff>9525</xdr:colOff>
      <xdr:row>2</xdr:row>
      <xdr:rowOff>128868</xdr:rowOff>
    </xdr:to>
    <xdr:cxnSp macro="">
      <xdr:nvCxnSpPr>
        <xdr:cNvPr id="9" name="Straight Connector 8">
          <a:extLst>
            <a:ext uri="{FF2B5EF4-FFF2-40B4-BE49-F238E27FC236}">
              <a16:creationId xmlns:a16="http://schemas.microsoft.com/office/drawing/2014/main" id="{00000000-0008-0000-0800-000009000000}"/>
            </a:ext>
          </a:extLst>
        </xdr:cNvPr>
        <xdr:cNvCxnSpPr/>
      </xdr:nvCxnSpPr>
      <xdr:spPr>
        <a:xfrm>
          <a:off x="16764000"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54</xdr:col>
      <xdr:colOff>302559</xdr:colOff>
      <xdr:row>0</xdr:row>
      <xdr:rowOff>11206</xdr:rowOff>
    </xdr:from>
    <xdr:to>
      <xdr:col>59</xdr:col>
      <xdr:colOff>0</xdr:colOff>
      <xdr:row>3</xdr:row>
      <xdr:rowOff>11206</xdr:rowOff>
    </xdr:to>
    <xdr:sp macro="" textlink="">
      <xdr:nvSpPr>
        <xdr:cNvPr id="10" name="Rectangle 9">
          <a:hlinkClick xmlns:r="http://schemas.openxmlformats.org/officeDocument/2006/relationships" r:id="rId4" tooltip="Contact"/>
          <a:extLst>
            <a:ext uri="{FF2B5EF4-FFF2-40B4-BE49-F238E27FC236}">
              <a16:creationId xmlns:a16="http://schemas.microsoft.com/office/drawing/2014/main" id="{00000000-0008-0000-0800-00000A000000}"/>
            </a:ext>
          </a:extLst>
        </xdr:cNvPr>
        <xdr:cNvSpPr/>
      </xdr:nvSpPr>
      <xdr:spPr>
        <a:xfrm>
          <a:off x="16761759" y="11206"/>
          <a:ext cx="122144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14921753" y="0"/>
          <a:ext cx="18175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12" name="Straight Connector 11">
          <a:extLst>
            <a:ext uri="{FF2B5EF4-FFF2-40B4-BE49-F238E27FC236}">
              <a16:creationId xmlns:a16="http://schemas.microsoft.com/office/drawing/2014/main" id="{00000000-0008-0000-0800-00000C000000}"/>
            </a:ext>
          </a:extLst>
        </xdr:cNvPr>
        <xdr:cNvCxnSpPr/>
      </xdr:nvCxnSpPr>
      <xdr:spPr>
        <a:xfrm>
          <a:off x="1506631"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285446</xdr:colOff>
      <xdr:row>2</xdr:row>
      <xdr:rowOff>60062</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49</xdr:col>
      <xdr:colOff>11787</xdr:colOff>
      <xdr:row>0</xdr:row>
      <xdr:rowOff>100293</xdr:rowOff>
    </xdr:from>
    <xdr:to>
      <xdr:col>49</xdr:col>
      <xdr:colOff>21312</xdr:colOff>
      <xdr:row>2</xdr:row>
      <xdr:rowOff>128868</xdr:rowOff>
    </xdr:to>
    <xdr:cxnSp macro="">
      <xdr:nvCxnSpPr>
        <xdr:cNvPr id="14" name="Straight Connector 13">
          <a:extLst>
            <a:ext uri="{FF2B5EF4-FFF2-40B4-BE49-F238E27FC236}">
              <a16:creationId xmlns:a16="http://schemas.microsoft.com/office/drawing/2014/main" id="{00000000-0008-0000-0800-00000E000000}"/>
            </a:ext>
          </a:extLst>
        </xdr:cNvPr>
        <xdr:cNvCxnSpPr/>
      </xdr:nvCxnSpPr>
      <xdr:spPr>
        <a:xfrm>
          <a:off x="14946987" y="100293"/>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298657</xdr:colOff>
      <xdr:row>0</xdr:row>
      <xdr:rowOff>100293</xdr:rowOff>
    </xdr:from>
    <xdr:to>
      <xdr:col>9</xdr:col>
      <xdr:colOff>5624</xdr:colOff>
      <xdr:row>2</xdr:row>
      <xdr:rowOff>128868</xdr:rowOff>
    </xdr:to>
    <xdr:cxnSp macro="">
      <xdr:nvCxnSpPr>
        <xdr:cNvPr id="15" name="Straight Connector 14">
          <a:extLst>
            <a:ext uri="{FF2B5EF4-FFF2-40B4-BE49-F238E27FC236}">
              <a16:creationId xmlns:a16="http://schemas.microsoft.com/office/drawing/2014/main" id="{00000000-0008-0000-0800-00000F000000}"/>
            </a:ext>
          </a:extLst>
        </xdr:cNvPr>
        <xdr:cNvCxnSpPr/>
      </xdr:nvCxnSpPr>
      <xdr:spPr>
        <a:xfrm>
          <a:off x="2737057" y="100293"/>
          <a:ext cx="11767"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22873</xdr:colOff>
      <xdr:row>0</xdr:row>
      <xdr:rowOff>0</xdr:rowOff>
    </xdr:from>
    <xdr:to>
      <xdr:col>55</xdr:col>
      <xdr:colOff>0</xdr:colOff>
      <xdr:row>2</xdr:row>
      <xdr:rowOff>186186</xdr:rowOff>
    </xdr:to>
    <xdr:sp macro="" textlink="">
      <xdr:nvSpPr>
        <xdr:cNvPr id="16" name="Rectangle 15">
          <a:hlinkClick xmlns:r="http://schemas.openxmlformats.org/officeDocument/2006/relationships" r:id="rId7" tooltip="Incentive Rates &amp; Requirements"/>
          <a:extLst>
            <a:ext uri="{FF2B5EF4-FFF2-40B4-BE49-F238E27FC236}">
              <a16:creationId xmlns:a16="http://schemas.microsoft.com/office/drawing/2014/main" id="{00000000-0008-0000-0800-000010000000}"/>
            </a:ext>
          </a:extLst>
        </xdr:cNvPr>
        <xdr:cNvSpPr/>
      </xdr:nvSpPr>
      <xdr:spPr>
        <a:xfrm>
          <a:off x="14958073" y="0"/>
          <a:ext cx="1805927" cy="586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309282</xdr:colOff>
      <xdr:row>0</xdr:row>
      <xdr:rowOff>0</xdr:rowOff>
    </xdr:from>
    <xdr:to>
      <xdr:col>45</xdr:col>
      <xdr:colOff>17930</xdr:colOff>
      <xdr:row>3</xdr:row>
      <xdr:rowOff>0</xdr:rowOff>
    </xdr:to>
    <xdr:sp macro="" textlink="">
      <xdr:nvSpPr>
        <xdr:cNvPr id="17" name="Rectangle 16">
          <a:hlinkClick xmlns:r="http://schemas.openxmlformats.org/officeDocument/2006/relationships" r:id="rId8" tooltip=" "/>
          <a:extLst>
            <a:ext uri="{FF2B5EF4-FFF2-40B4-BE49-F238E27FC236}">
              <a16:creationId xmlns:a16="http://schemas.microsoft.com/office/drawing/2014/main" id="{00000000-0008-0000-0800-000011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18" name="Rectangle 17">
          <a:hlinkClick xmlns:r="http://schemas.openxmlformats.org/officeDocument/2006/relationships" r:id="rId9" tooltip=" "/>
          <a:extLst>
            <a:ext uri="{FF2B5EF4-FFF2-40B4-BE49-F238E27FC236}">
              <a16:creationId xmlns:a16="http://schemas.microsoft.com/office/drawing/2014/main" id="{00000000-0008-0000-0800-000012000000}"/>
            </a:ext>
          </a:extLst>
        </xdr:cNvPr>
        <xdr:cNvSpPr/>
      </xdr:nvSpPr>
      <xdr:spPr>
        <a:xfrm>
          <a:off x="112663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18337</xdr:colOff>
      <xdr:row>0</xdr:row>
      <xdr:rowOff>93155</xdr:rowOff>
    </xdr:from>
    <xdr:to>
      <xdr:col>4</xdr:col>
      <xdr:colOff>231464</xdr:colOff>
      <xdr:row>2</xdr:row>
      <xdr:rowOff>86807</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0"/>
        <a:stretch>
          <a:fillRect/>
        </a:stretch>
      </xdr:blipFill>
      <xdr:spPr>
        <a:xfrm>
          <a:off x="18337" y="93155"/>
          <a:ext cx="1483127" cy="38523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251013</xdr:colOff>
      <xdr:row>2</xdr:row>
      <xdr:rowOff>161363</xdr:rowOff>
    </xdr:to>
    <xdr:sp macro="" textlink="">
      <xdr:nvSpPr>
        <xdr:cNvPr id="2" name="Rectangle 1">
          <a:extLst>
            <a:ext uri="{FF2B5EF4-FFF2-40B4-BE49-F238E27FC236}">
              <a16:creationId xmlns:a16="http://schemas.microsoft.com/office/drawing/2014/main" id="{00000000-0008-0000-3700-000002000000}"/>
            </a:ext>
          </a:extLst>
        </xdr:cNvPr>
        <xdr:cNvSpPr/>
      </xdr:nvSpPr>
      <xdr:spPr>
        <a:xfrm>
          <a:off x="0" y="0"/>
          <a:ext cx="1511488" cy="55506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8</xdr:row>
      <xdr:rowOff>11208</xdr:rowOff>
    </xdr:to>
    <xdr:sp macro="" textlink="">
      <xdr:nvSpPr>
        <xdr:cNvPr id="3" name="Rectangle 2">
          <a:hlinkClick xmlns:r="http://schemas.openxmlformats.org/officeDocument/2006/relationships" r:id="rId1" tooltip="Welcome"/>
          <a:extLst>
            <a:ext uri="{FF2B5EF4-FFF2-40B4-BE49-F238E27FC236}">
              <a16:creationId xmlns:a16="http://schemas.microsoft.com/office/drawing/2014/main" id="{00000000-0008-0000-3700-000003000000}"/>
            </a:ext>
          </a:extLst>
        </xdr:cNvPr>
        <xdr:cNvSpPr/>
      </xdr:nvSpPr>
      <xdr:spPr>
        <a:xfrm>
          <a:off x="1551827" y="8033"/>
          <a:ext cx="127709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4" name="Rectangle 3">
          <a:hlinkClick xmlns:r="http://schemas.openxmlformats.org/officeDocument/2006/relationships" r:id="rId2" tooltip="Instructions"/>
          <a:extLst>
            <a:ext uri="{FF2B5EF4-FFF2-40B4-BE49-F238E27FC236}">
              <a16:creationId xmlns:a16="http://schemas.microsoft.com/office/drawing/2014/main" id="{00000000-0008-0000-3700-000004000000}"/>
            </a:ext>
          </a:extLst>
        </xdr:cNvPr>
        <xdr:cNvSpPr/>
      </xdr:nvSpPr>
      <xdr:spPr>
        <a:xfrm>
          <a:off x="2831939" y="9900"/>
          <a:ext cx="1177925" cy="5735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10" name="Straight Connector 9">
          <a:extLst>
            <a:ext uri="{FF2B5EF4-FFF2-40B4-BE49-F238E27FC236}">
              <a16:creationId xmlns:a16="http://schemas.microsoft.com/office/drawing/2014/main" id="{00000000-0008-0000-3700-00000A000000}"/>
            </a:ext>
          </a:extLst>
        </xdr:cNvPr>
        <xdr:cNvCxnSpPr/>
      </xdr:nvCxnSpPr>
      <xdr:spPr>
        <a:xfrm>
          <a:off x="1544731" y="103468"/>
          <a:ext cx="6350" cy="4127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4</xdr:col>
      <xdr:colOff>693</xdr:colOff>
      <xdr:row>2</xdr:row>
      <xdr:rowOff>60062</xdr:rowOff>
    </xdr:to>
    <xdr:pic>
      <xdr:nvPicPr>
        <xdr:cNvPr id="11" name="Picture 10">
          <a:extLst>
            <a:ext uri="{FF2B5EF4-FFF2-40B4-BE49-F238E27FC236}">
              <a16:creationId xmlns:a16="http://schemas.microsoft.com/office/drawing/2014/main" id="{00000000-0008-0000-3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179" y="164064"/>
          <a:ext cx="1151814" cy="286523"/>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13" name="Straight Connector 12">
          <a:extLst>
            <a:ext uri="{FF2B5EF4-FFF2-40B4-BE49-F238E27FC236}">
              <a16:creationId xmlns:a16="http://schemas.microsoft.com/office/drawing/2014/main" id="{00000000-0008-0000-3700-00000D000000}"/>
            </a:ext>
          </a:extLst>
        </xdr:cNvPr>
        <xdr:cNvCxnSpPr/>
      </xdr:nvCxnSpPr>
      <xdr:spPr>
        <a:xfrm>
          <a:off x="2810082" y="103468"/>
          <a:ext cx="27642" cy="4127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39504</xdr:colOff>
      <xdr:row>0</xdr:row>
      <xdr:rowOff>106914</xdr:rowOff>
    </xdr:from>
    <xdr:to>
      <xdr:col>4</xdr:col>
      <xdr:colOff>250091</xdr:colOff>
      <xdr:row>2</xdr:row>
      <xdr:rowOff>97391</xdr:rowOff>
    </xdr:to>
    <xdr:pic>
      <xdr:nvPicPr>
        <xdr:cNvPr id="26" name="Picture 25">
          <a:extLst>
            <a:ext uri="{FF2B5EF4-FFF2-40B4-BE49-F238E27FC236}">
              <a16:creationId xmlns:a16="http://schemas.microsoft.com/office/drawing/2014/main" id="{00000000-0008-0000-3700-00001A000000}"/>
            </a:ext>
          </a:extLst>
        </xdr:cNvPr>
        <xdr:cNvPicPr>
          <a:picLocks noChangeAspect="1"/>
        </xdr:cNvPicPr>
      </xdr:nvPicPr>
      <xdr:blipFill>
        <a:blip xmlns:r="http://schemas.openxmlformats.org/officeDocument/2006/relationships" r:embed="rId4"/>
        <a:stretch>
          <a:fillRect/>
        </a:stretch>
      </xdr:blipFill>
      <xdr:spPr>
        <a:xfrm>
          <a:off x="39504" y="106914"/>
          <a:ext cx="1480587" cy="382060"/>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27" name="Arrow: Chevron 26">
          <a:hlinkClick xmlns:r="http://schemas.openxmlformats.org/officeDocument/2006/relationships" r:id="rId5" tooltip="Terms &amp; Conditions"/>
          <a:extLst>
            <a:ext uri="{FF2B5EF4-FFF2-40B4-BE49-F238E27FC236}">
              <a16:creationId xmlns:a16="http://schemas.microsoft.com/office/drawing/2014/main" id="{00000000-0008-0000-3700-00001B000000}"/>
            </a:ext>
          </a:extLst>
        </xdr:cNvPr>
        <xdr:cNvSpPr/>
      </xdr:nvSpPr>
      <xdr:spPr>
        <a:xfrm>
          <a:off x="14675908" y="861871"/>
          <a:ext cx="2027555"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28" name="Arrow: Chevron 27">
          <a:hlinkClick xmlns:r="http://schemas.openxmlformats.org/officeDocument/2006/relationships" r:id="rId6" tooltip="Project Information"/>
          <a:extLst>
            <a:ext uri="{FF2B5EF4-FFF2-40B4-BE49-F238E27FC236}">
              <a16:creationId xmlns:a16="http://schemas.microsoft.com/office/drawing/2014/main" id="{00000000-0008-0000-3700-00001C000000}"/>
            </a:ext>
          </a:extLst>
        </xdr:cNvPr>
        <xdr:cNvSpPr/>
      </xdr:nvSpPr>
      <xdr:spPr>
        <a:xfrm>
          <a:off x="748453" y="854245"/>
          <a:ext cx="2033905" cy="64153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29" name="Arrow: Chevron 39">
          <a:hlinkClick xmlns:r="http://schemas.openxmlformats.org/officeDocument/2006/relationships" r:id="rId7" tooltip="Customer Information"/>
          <a:extLst>
            <a:ext uri="{FF2B5EF4-FFF2-40B4-BE49-F238E27FC236}">
              <a16:creationId xmlns:a16="http://schemas.microsoft.com/office/drawing/2014/main" id="{00000000-0008-0000-3700-00001D000000}"/>
            </a:ext>
          </a:extLst>
        </xdr:cNvPr>
        <xdr:cNvSpPr/>
      </xdr:nvSpPr>
      <xdr:spPr>
        <a:xfrm>
          <a:off x="2561165" y="849715"/>
          <a:ext cx="2030730"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30" name="Arrow: Chevron 40">
          <a:hlinkClick xmlns:r="http://schemas.openxmlformats.org/officeDocument/2006/relationships" r:id="rId8" tooltip="Equipment Input"/>
          <a:extLst>
            <a:ext uri="{FF2B5EF4-FFF2-40B4-BE49-F238E27FC236}">
              <a16:creationId xmlns:a16="http://schemas.microsoft.com/office/drawing/2014/main" id="{00000000-0008-0000-3700-00001E000000}"/>
            </a:ext>
          </a:extLst>
        </xdr:cNvPr>
        <xdr:cNvSpPr/>
      </xdr:nvSpPr>
      <xdr:spPr>
        <a:xfrm>
          <a:off x="6251577" y="852890"/>
          <a:ext cx="2215091"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chemeClr val="bg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201082</xdr:colOff>
      <xdr:row>4</xdr:row>
      <xdr:rowOff>74253</xdr:rowOff>
    </xdr:from>
    <xdr:to>
      <xdr:col>39</xdr:col>
      <xdr:colOff>311064</xdr:colOff>
      <xdr:row>7</xdr:row>
      <xdr:rowOff>112541</xdr:rowOff>
    </xdr:to>
    <xdr:sp macro="" textlink="M5S1a">
      <xdr:nvSpPr>
        <xdr:cNvPr id="31" name="Arrow: Chevron 30">
          <a:hlinkClick xmlns:r="http://schemas.openxmlformats.org/officeDocument/2006/relationships" r:id="rId9" tooltip="Payment"/>
          <a:extLst>
            <a:ext uri="{FF2B5EF4-FFF2-40B4-BE49-F238E27FC236}">
              <a16:creationId xmlns:a16="http://schemas.microsoft.com/office/drawing/2014/main" id="{00000000-0008-0000-3700-00001F000000}"/>
            </a:ext>
          </a:extLst>
        </xdr:cNvPr>
        <xdr:cNvSpPr/>
      </xdr:nvSpPr>
      <xdr:spPr>
        <a:xfrm>
          <a:off x="10403415" y="868003"/>
          <a:ext cx="2332482" cy="64153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32" name="Arrow: Chevron 31">
          <a:hlinkClick xmlns:r="http://schemas.openxmlformats.org/officeDocument/2006/relationships" r:id="rId10" tooltip="Project Review"/>
          <a:extLst>
            <a:ext uri="{FF2B5EF4-FFF2-40B4-BE49-F238E27FC236}">
              <a16:creationId xmlns:a16="http://schemas.microsoft.com/office/drawing/2014/main" id="{00000000-0008-0000-3700-000020000000}"/>
            </a:ext>
          </a:extLst>
        </xdr:cNvPr>
        <xdr:cNvSpPr/>
      </xdr:nvSpPr>
      <xdr:spPr>
        <a:xfrm>
          <a:off x="16492412" y="861132"/>
          <a:ext cx="202039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33" name="Arrow: Chevron 43">
          <a:hlinkClick xmlns:r="http://schemas.openxmlformats.org/officeDocument/2006/relationships" r:id="rId11" tooltip="Trade Ally / Contractor Information"/>
          <a:extLst>
            <a:ext uri="{FF2B5EF4-FFF2-40B4-BE49-F238E27FC236}">
              <a16:creationId xmlns:a16="http://schemas.microsoft.com/office/drawing/2014/main" id="{00000000-0008-0000-3700-000021000000}"/>
            </a:ext>
          </a:extLst>
        </xdr:cNvPr>
        <xdr:cNvSpPr/>
      </xdr:nvSpPr>
      <xdr:spPr>
        <a:xfrm>
          <a:off x="4369943" y="851287"/>
          <a:ext cx="2107057"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34" name="Arrow: Chevron 33">
          <a:hlinkClick xmlns:r="http://schemas.openxmlformats.org/officeDocument/2006/relationships" r:id="rId12" tooltip="On-Bill Repayment"/>
          <a:extLst>
            <a:ext uri="{FF2B5EF4-FFF2-40B4-BE49-F238E27FC236}">
              <a16:creationId xmlns:a16="http://schemas.microsoft.com/office/drawing/2014/main" id="{00000000-0008-0000-3700-000022000000}"/>
            </a:ext>
          </a:extLst>
        </xdr:cNvPr>
        <xdr:cNvSpPr/>
      </xdr:nvSpPr>
      <xdr:spPr>
        <a:xfrm>
          <a:off x="12526433" y="868004"/>
          <a:ext cx="2329688" cy="64153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52</xdr:col>
      <xdr:colOff>291353</xdr:colOff>
      <xdr:row>0</xdr:row>
      <xdr:rowOff>0</xdr:rowOff>
    </xdr:from>
    <xdr:to>
      <xdr:col>58</xdr:col>
      <xdr:colOff>280147</xdr:colOff>
      <xdr:row>2</xdr:row>
      <xdr:rowOff>190500</xdr:rowOff>
    </xdr:to>
    <xdr:sp macro="" textlink="">
      <xdr:nvSpPr>
        <xdr:cNvPr id="49" name="Rectangle 48">
          <a:extLst>
            <a:ext uri="{FF2B5EF4-FFF2-40B4-BE49-F238E27FC236}">
              <a16:creationId xmlns:a16="http://schemas.microsoft.com/office/drawing/2014/main" id="{00000000-0008-0000-3700-000031000000}"/>
            </a:ext>
          </a:extLst>
        </xdr:cNvPr>
        <xdr:cNvSpPr/>
      </xdr:nvSpPr>
      <xdr:spPr>
        <a:xfrm>
          <a:off x="166394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54" name="Arrow: Chevron 53">
          <a:hlinkClick xmlns:r="http://schemas.openxmlformats.org/officeDocument/2006/relationships" r:id="rId13" tooltip="Payment"/>
          <a:extLst>
            <a:ext uri="{FF2B5EF4-FFF2-40B4-BE49-F238E27FC236}">
              <a16:creationId xmlns:a16="http://schemas.microsoft.com/office/drawing/2014/main" id="{00000000-0008-0000-3700-000036000000}"/>
            </a:ext>
          </a:extLst>
        </xdr:cNvPr>
        <xdr:cNvSpPr/>
      </xdr:nvSpPr>
      <xdr:spPr>
        <a:xfrm>
          <a:off x="8272991" y="860424"/>
          <a:ext cx="2335657" cy="641538"/>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57</xdr:col>
      <xdr:colOff>302559</xdr:colOff>
      <xdr:row>0</xdr:row>
      <xdr:rowOff>0</xdr:rowOff>
    </xdr:from>
    <xdr:to>
      <xdr:col>62</xdr:col>
      <xdr:colOff>0</xdr:colOff>
      <xdr:row>3</xdr:row>
      <xdr:rowOff>0</xdr:rowOff>
    </xdr:to>
    <xdr:sp macro="" textlink="">
      <xdr:nvSpPr>
        <xdr:cNvPr id="74" name="Rectangle 73">
          <a:hlinkClick xmlns:r="http://schemas.openxmlformats.org/officeDocument/2006/relationships" r:id="rId14" tooltip="Contact"/>
          <a:extLst>
            <a:ext uri="{FF2B5EF4-FFF2-40B4-BE49-F238E27FC236}">
              <a16:creationId xmlns:a16="http://schemas.microsoft.com/office/drawing/2014/main" id="{00000000-0008-0000-3700-00004A000000}"/>
            </a:ext>
          </a:extLst>
        </xdr:cNvPr>
        <xdr:cNvSpPr/>
      </xdr:nvSpPr>
      <xdr:spPr>
        <a:xfrm>
          <a:off x="1790475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47</xdr:col>
      <xdr:colOff>293594</xdr:colOff>
      <xdr:row>0</xdr:row>
      <xdr:rowOff>6723</xdr:rowOff>
    </xdr:from>
    <xdr:to>
      <xdr:col>52</xdr:col>
      <xdr:colOff>2241</xdr:colOff>
      <xdr:row>3</xdr:row>
      <xdr:rowOff>6723</xdr:rowOff>
    </xdr:to>
    <xdr:sp macro="" textlink="">
      <xdr:nvSpPr>
        <xdr:cNvPr id="75" name="Rectangle 74">
          <a:hlinkClick xmlns:r="http://schemas.openxmlformats.org/officeDocument/2006/relationships" r:id="rId15" tooltip=" "/>
          <a:extLst>
            <a:ext uri="{FF2B5EF4-FFF2-40B4-BE49-F238E27FC236}">
              <a16:creationId xmlns:a16="http://schemas.microsoft.com/office/drawing/2014/main" id="{00000000-0008-0000-3700-00004B000000}"/>
            </a:ext>
          </a:extLst>
        </xdr:cNvPr>
        <xdr:cNvSpPr/>
      </xdr:nvSpPr>
      <xdr:spPr>
        <a:xfrm>
          <a:off x="147557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58</xdr:col>
      <xdr:colOff>0</xdr:colOff>
      <xdr:row>0</xdr:row>
      <xdr:rowOff>100293</xdr:rowOff>
    </xdr:from>
    <xdr:to>
      <xdr:col>58</xdr:col>
      <xdr:colOff>9525</xdr:colOff>
      <xdr:row>2</xdr:row>
      <xdr:rowOff>128868</xdr:rowOff>
    </xdr:to>
    <xdr:cxnSp macro="">
      <xdr:nvCxnSpPr>
        <xdr:cNvPr id="76" name="Straight Connector 75">
          <a:extLst>
            <a:ext uri="{FF2B5EF4-FFF2-40B4-BE49-F238E27FC236}">
              <a16:creationId xmlns:a16="http://schemas.microsoft.com/office/drawing/2014/main" id="{00000000-0008-0000-3700-00004C000000}"/>
            </a:ext>
          </a:extLst>
        </xdr:cNvPr>
        <xdr:cNvCxnSpPr/>
      </xdr:nvCxnSpPr>
      <xdr:spPr>
        <a:xfrm>
          <a:off x="1791652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302559</xdr:colOff>
      <xdr:row>0</xdr:row>
      <xdr:rowOff>11206</xdr:rowOff>
    </xdr:from>
    <xdr:to>
      <xdr:col>62</xdr:col>
      <xdr:colOff>0</xdr:colOff>
      <xdr:row>3</xdr:row>
      <xdr:rowOff>11206</xdr:rowOff>
    </xdr:to>
    <xdr:sp macro="" textlink="">
      <xdr:nvSpPr>
        <xdr:cNvPr id="77" name="Rectangle 76">
          <a:hlinkClick xmlns:r="http://schemas.openxmlformats.org/officeDocument/2006/relationships" r:id="rId14" tooltip="Contact"/>
          <a:extLst>
            <a:ext uri="{FF2B5EF4-FFF2-40B4-BE49-F238E27FC236}">
              <a16:creationId xmlns:a16="http://schemas.microsoft.com/office/drawing/2014/main" id="{00000000-0008-0000-3700-00004D000000}"/>
            </a:ext>
          </a:extLst>
        </xdr:cNvPr>
        <xdr:cNvSpPr/>
      </xdr:nvSpPr>
      <xdr:spPr>
        <a:xfrm>
          <a:off x="1790475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291353</xdr:colOff>
      <xdr:row>0</xdr:row>
      <xdr:rowOff>0</xdr:rowOff>
    </xdr:from>
    <xdr:to>
      <xdr:col>57</xdr:col>
      <xdr:colOff>280147</xdr:colOff>
      <xdr:row>2</xdr:row>
      <xdr:rowOff>190500</xdr:rowOff>
    </xdr:to>
    <xdr:sp macro="" textlink="">
      <xdr:nvSpPr>
        <xdr:cNvPr id="78" name="Rectangle 77">
          <a:extLst>
            <a:ext uri="{FF2B5EF4-FFF2-40B4-BE49-F238E27FC236}">
              <a16:creationId xmlns:a16="http://schemas.microsoft.com/office/drawing/2014/main" id="{00000000-0008-0000-3700-00004E000000}"/>
            </a:ext>
          </a:extLst>
        </xdr:cNvPr>
        <xdr:cNvSpPr/>
      </xdr:nvSpPr>
      <xdr:spPr>
        <a:xfrm>
          <a:off x="1601077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52</xdr:col>
      <xdr:colOff>11787</xdr:colOff>
      <xdr:row>0</xdr:row>
      <xdr:rowOff>100293</xdr:rowOff>
    </xdr:from>
    <xdr:to>
      <xdr:col>52</xdr:col>
      <xdr:colOff>21312</xdr:colOff>
      <xdr:row>2</xdr:row>
      <xdr:rowOff>128868</xdr:rowOff>
    </xdr:to>
    <xdr:cxnSp macro="">
      <xdr:nvCxnSpPr>
        <xdr:cNvPr id="79" name="Straight Connector 78">
          <a:extLst>
            <a:ext uri="{FF2B5EF4-FFF2-40B4-BE49-F238E27FC236}">
              <a16:creationId xmlns:a16="http://schemas.microsoft.com/office/drawing/2014/main" id="{00000000-0008-0000-3700-00004F000000}"/>
            </a:ext>
          </a:extLst>
        </xdr:cNvPr>
        <xdr:cNvCxnSpPr/>
      </xdr:nvCxnSpPr>
      <xdr:spPr>
        <a:xfrm>
          <a:off x="1603918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xdr:col>
      <xdr:colOff>22873</xdr:colOff>
      <xdr:row>0</xdr:row>
      <xdr:rowOff>0</xdr:rowOff>
    </xdr:from>
    <xdr:to>
      <xdr:col>58</xdr:col>
      <xdr:colOff>0</xdr:colOff>
      <xdr:row>2</xdr:row>
      <xdr:rowOff>186186</xdr:rowOff>
    </xdr:to>
    <xdr:sp macro="" textlink="">
      <xdr:nvSpPr>
        <xdr:cNvPr id="80" name="Rectangle 79">
          <a:hlinkClick xmlns:r="http://schemas.openxmlformats.org/officeDocument/2006/relationships" r:id="rId16" tooltip="Incentive Rates &amp; Requirements"/>
          <a:extLst>
            <a:ext uri="{FF2B5EF4-FFF2-40B4-BE49-F238E27FC236}">
              <a16:creationId xmlns:a16="http://schemas.microsoft.com/office/drawing/2014/main" id="{00000000-0008-0000-3700-000050000000}"/>
            </a:ext>
          </a:extLst>
        </xdr:cNvPr>
        <xdr:cNvSpPr/>
      </xdr:nvSpPr>
      <xdr:spPr>
        <a:xfrm>
          <a:off x="1605662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309282</xdr:colOff>
      <xdr:row>0</xdr:row>
      <xdr:rowOff>0</xdr:rowOff>
    </xdr:from>
    <xdr:to>
      <xdr:col>48</xdr:col>
      <xdr:colOff>17930</xdr:colOff>
      <xdr:row>3</xdr:row>
      <xdr:rowOff>0</xdr:rowOff>
    </xdr:to>
    <xdr:sp macro="" textlink="">
      <xdr:nvSpPr>
        <xdr:cNvPr id="81" name="Rectangle 80">
          <a:hlinkClick xmlns:r="http://schemas.openxmlformats.org/officeDocument/2006/relationships" r:id="rId17" tooltip=" "/>
          <a:extLst>
            <a:ext uri="{FF2B5EF4-FFF2-40B4-BE49-F238E27FC236}">
              <a16:creationId xmlns:a16="http://schemas.microsoft.com/office/drawing/2014/main" id="{00000000-0008-0000-3700-000051000000}"/>
            </a:ext>
          </a:extLst>
        </xdr:cNvPr>
        <xdr:cNvSpPr/>
      </xdr:nvSpPr>
      <xdr:spPr>
        <a:xfrm>
          <a:off x="1351410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293594</xdr:colOff>
      <xdr:row>0</xdr:row>
      <xdr:rowOff>6723</xdr:rowOff>
    </xdr:from>
    <xdr:to>
      <xdr:col>44</xdr:col>
      <xdr:colOff>2241</xdr:colOff>
      <xdr:row>3</xdr:row>
      <xdr:rowOff>6723</xdr:rowOff>
    </xdr:to>
    <xdr:sp macro="" textlink="">
      <xdr:nvSpPr>
        <xdr:cNvPr id="82" name="Rectangle 81">
          <a:hlinkClick xmlns:r="http://schemas.openxmlformats.org/officeDocument/2006/relationships" r:id="rId18" tooltip=" "/>
          <a:extLst>
            <a:ext uri="{FF2B5EF4-FFF2-40B4-BE49-F238E27FC236}">
              <a16:creationId xmlns:a16="http://schemas.microsoft.com/office/drawing/2014/main" id="{00000000-0008-0000-3700-000052000000}"/>
            </a:ext>
          </a:extLst>
        </xdr:cNvPr>
        <xdr:cNvSpPr/>
      </xdr:nvSpPr>
      <xdr:spPr>
        <a:xfrm>
          <a:off x="122411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24342</xdr:colOff>
      <xdr:row>8</xdr:row>
      <xdr:rowOff>201083</xdr:rowOff>
    </xdr:from>
    <xdr:to>
      <xdr:col>2</xdr:col>
      <xdr:colOff>218764</xdr:colOff>
      <xdr:row>11</xdr:row>
      <xdr:rowOff>12301</xdr:rowOff>
    </xdr:to>
    <xdr:sp macro="" textlink="">
      <xdr:nvSpPr>
        <xdr:cNvPr id="6" name="Arrow: Left 5">
          <a:hlinkClick xmlns:r="http://schemas.openxmlformats.org/officeDocument/2006/relationships" r:id="rId19" tooltip="Back: Equipment Input"/>
          <a:extLst>
            <a:ext uri="{FF2B5EF4-FFF2-40B4-BE49-F238E27FC236}">
              <a16:creationId xmlns:a16="http://schemas.microsoft.com/office/drawing/2014/main" id="{6145D266-CF52-4F73-A712-2ECC76AFFCBF}"/>
            </a:ext>
          </a:extLst>
        </xdr:cNvPr>
        <xdr:cNvSpPr/>
      </xdr:nvSpPr>
      <xdr:spPr>
        <a:xfrm>
          <a:off x="341842" y="1799166"/>
          <a:ext cx="511922" cy="41446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144992</xdr:colOff>
      <xdr:row>9</xdr:row>
      <xdr:rowOff>13759</xdr:rowOff>
    </xdr:from>
    <xdr:to>
      <xdr:col>56</xdr:col>
      <xdr:colOff>54164</xdr:colOff>
      <xdr:row>11</xdr:row>
      <xdr:rowOff>16536</xdr:rowOff>
    </xdr:to>
    <xdr:sp macro="" textlink="">
      <xdr:nvSpPr>
        <xdr:cNvPr id="7" name="Arrow: Right 6">
          <a:hlinkClick xmlns:r="http://schemas.openxmlformats.org/officeDocument/2006/relationships" r:id="rId20" tooltip="Forward: Payment"/>
          <a:extLst>
            <a:ext uri="{FF2B5EF4-FFF2-40B4-BE49-F238E27FC236}">
              <a16:creationId xmlns:a16="http://schemas.microsoft.com/office/drawing/2014/main" id="{D41CD816-2EDA-4E9B-B69C-AE7632A115EB}"/>
            </a:ext>
          </a:extLst>
        </xdr:cNvPr>
        <xdr:cNvSpPr/>
      </xdr:nvSpPr>
      <xdr:spPr>
        <a:xfrm>
          <a:off x="17289992" y="1812926"/>
          <a:ext cx="544172" cy="404943"/>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251013</xdr:colOff>
      <xdr:row>2</xdr:row>
      <xdr:rowOff>161363</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3" name="Rectangle 2">
          <a:hlinkClick xmlns:r="http://schemas.openxmlformats.org/officeDocument/2006/relationships" r:id="rId1" tooltip="Welcome"/>
          <a:extLst>
            <a:ext uri="{FF2B5EF4-FFF2-40B4-BE49-F238E27FC236}">
              <a16:creationId xmlns:a16="http://schemas.microsoft.com/office/drawing/2014/main" id="{00000000-0008-0000-0900-000003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4" name="Rectangle 3">
          <a:hlinkClick xmlns:r="http://schemas.openxmlformats.org/officeDocument/2006/relationships" r:id="rId2" tooltip="Instructions"/>
          <a:extLst>
            <a:ext uri="{FF2B5EF4-FFF2-40B4-BE49-F238E27FC236}">
              <a16:creationId xmlns:a16="http://schemas.microsoft.com/office/drawing/2014/main" id="{00000000-0008-0000-0900-000004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54</xdr:col>
      <xdr:colOff>302559</xdr:colOff>
      <xdr:row>0</xdr:row>
      <xdr:rowOff>0</xdr:rowOff>
    </xdr:from>
    <xdr:to>
      <xdr:col>59</xdr:col>
      <xdr:colOff>0</xdr:colOff>
      <xdr:row>3</xdr:row>
      <xdr:rowOff>0</xdr:rowOff>
    </xdr:to>
    <xdr:sp macro="" textlink="">
      <xdr:nvSpPr>
        <xdr:cNvPr id="5" name="Rectangle 4">
          <a:hlinkClick xmlns:r="http://schemas.openxmlformats.org/officeDocument/2006/relationships" r:id="rId3" tooltip="Contact"/>
          <a:extLst>
            <a:ext uri="{FF2B5EF4-FFF2-40B4-BE49-F238E27FC236}">
              <a16:creationId xmlns:a16="http://schemas.microsoft.com/office/drawing/2014/main" id="{00000000-0008-0000-0900-000005000000}"/>
            </a:ext>
          </a:extLst>
        </xdr:cNvPr>
        <xdr:cNvSpPr/>
      </xdr:nvSpPr>
      <xdr:spPr>
        <a:xfrm>
          <a:off x="16761759" y="0"/>
          <a:ext cx="1221441"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44</xdr:col>
      <xdr:colOff>293594</xdr:colOff>
      <xdr:row>0</xdr:row>
      <xdr:rowOff>6723</xdr:rowOff>
    </xdr:from>
    <xdr:to>
      <xdr:col>49</xdr:col>
      <xdr:colOff>2241</xdr:colOff>
      <xdr:row>3</xdr:row>
      <xdr:rowOff>6723</xdr:rowOff>
    </xdr:to>
    <xdr:sp macro="" textlink="">
      <xdr:nvSpPr>
        <xdr:cNvPr id="7" name="Rectangle 6">
          <a:hlinkClick xmlns:r="http://schemas.openxmlformats.org/officeDocument/2006/relationships" r:id="rId4" tooltip=" "/>
          <a:extLst>
            <a:ext uri="{FF2B5EF4-FFF2-40B4-BE49-F238E27FC236}">
              <a16:creationId xmlns:a16="http://schemas.microsoft.com/office/drawing/2014/main" id="{00000000-0008-0000-0900-000007000000}"/>
            </a:ext>
          </a:extLst>
        </xdr:cNvPr>
        <xdr:cNvSpPr/>
      </xdr:nvSpPr>
      <xdr:spPr>
        <a:xfrm>
          <a:off x="137047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0</xdr:colOff>
      <xdr:row>0</xdr:row>
      <xdr:rowOff>100293</xdr:rowOff>
    </xdr:from>
    <xdr:to>
      <xdr:col>55</xdr:col>
      <xdr:colOff>9525</xdr:colOff>
      <xdr:row>2</xdr:row>
      <xdr:rowOff>128868</xdr:rowOff>
    </xdr:to>
    <xdr:cxnSp macro="">
      <xdr:nvCxnSpPr>
        <xdr:cNvPr id="8" name="Straight Connector 7">
          <a:extLst>
            <a:ext uri="{FF2B5EF4-FFF2-40B4-BE49-F238E27FC236}">
              <a16:creationId xmlns:a16="http://schemas.microsoft.com/office/drawing/2014/main" id="{00000000-0008-0000-0900-000008000000}"/>
            </a:ext>
          </a:extLst>
        </xdr:cNvPr>
        <xdr:cNvCxnSpPr/>
      </xdr:nvCxnSpPr>
      <xdr:spPr>
        <a:xfrm>
          <a:off x="16764000"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0</xdr:colOff>
      <xdr:row>0</xdr:row>
      <xdr:rowOff>11206</xdr:rowOff>
    </xdr:from>
    <xdr:to>
      <xdr:col>59</xdr:col>
      <xdr:colOff>0</xdr:colOff>
      <xdr:row>3</xdr:row>
      <xdr:rowOff>11206</xdr:rowOff>
    </xdr:to>
    <xdr:sp macro="" textlink="">
      <xdr:nvSpPr>
        <xdr:cNvPr id="9" name="Rectangle 8">
          <a:hlinkClick xmlns:r="http://schemas.openxmlformats.org/officeDocument/2006/relationships" r:id="rId3" tooltip="Contact"/>
          <a:extLst>
            <a:ext uri="{FF2B5EF4-FFF2-40B4-BE49-F238E27FC236}">
              <a16:creationId xmlns:a16="http://schemas.microsoft.com/office/drawing/2014/main" id="{00000000-0008-0000-0900-000009000000}"/>
            </a:ext>
          </a:extLst>
        </xdr:cNvPr>
        <xdr:cNvSpPr/>
      </xdr:nvSpPr>
      <xdr:spPr>
        <a:xfrm>
          <a:off x="16640735" y="11206"/>
          <a:ext cx="1210236" cy="5939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10" name="Rectangle 9">
          <a:extLst>
            <a:ext uri="{FF2B5EF4-FFF2-40B4-BE49-F238E27FC236}">
              <a16:creationId xmlns:a16="http://schemas.microsoft.com/office/drawing/2014/main" id="{00000000-0008-0000-0900-00000A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11" name="Straight Connector 10">
          <a:extLst>
            <a:ext uri="{FF2B5EF4-FFF2-40B4-BE49-F238E27FC236}">
              <a16:creationId xmlns:a16="http://schemas.microsoft.com/office/drawing/2014/main" id="{00000000-0008-0000-0900-00000B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4</xdr:col>
      <xdr:colOff>693</xdr:colOff>
      <xdr:row>2</xdr:row>
      <xdr:rowOff>60062</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49</xdr:col>
      <xdr:colOff>11787</xdr:colOff>
      <xdr:row>0</xdr:row>
      <xdr:rowOff>100293</xdr:rowOff>
    </xdr:from>
    <xdr:to>
      <xdr:col>49</xdr:col>
      <xdr:colOff>21312</xdr:colOff>
      <xdr:row>2</xdr:row>
      <xdr:rowOff>128868</xdr:rowOff>
    </xdr:to>
    <xdr:cxnSp macro="">
      <xdr:nvCxnSpPr>
        <xdr:cNvPr id="13" name="Straight Connector 12">
          <a:extLst>
            <a:ext uri="{FF2B5EF4-FFF2-40B4-BE49-F238E27FC236}">
              <a16:creationId xmlns:a16="http://schemas.microsoft.com/office/drawing/2014/main" id="{00000000-0008-0000-0900-00000D000000}"/>
            </a:ext>
          </a:extLst>
        </xdr:cNvPr>
        <xdr:cNvCxnSpPr/>
      </xdr:nvCxnSpPr>
      <xdr:spPr>
        <a:xfrm>
          <a:off x="14946987"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298657</xdr:colOff>
      <xdr:row>0</xdr:row>
      <xdr:rowOff>100293</xdr:rowOff>
    </xdr:from>
    <xdr:to>
      <xdr:col>9</xdr:col>
      <xdr:colOff>5624</xdr:colOff>
      <xdr:row>2</xdr:row>
      <xdr:rowOff>128868</xdr:rowOff>
    </xdr:to>
    <xdr:cxnSp macro="">
      <xdr:nvCxnSpPr>
        <xdr:cNvPr id="14" name="Straight Connector 13">
          <a:extLst>
            <a:ext uri="{FF2B5EF4-FFF2-40B4-BE49-F238E27FC236}">
              <a16:creationId xmlns:a16="http://schemas.microsoft.com/office/drawing/2014/main" id="{00000000-0008-0000-0900-00000E000000}"/>
            </a:ext>
          </a:extLst>
        </xdr:cNvPr>
        <xdr:cNvCxnSpPr/>
      </xdr:nvCxnSpPr>
      <xdr:spPr>
        <a:xfrm>
          <a:off x="2737057" y="100293"/>
          <a:ext cx="11767"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22873</xdr:colOff>
      <xdr:row>0</xdr:row>
      <xdr:rowOff>0</xdr:rowOff>
    </xdr:from>
    <xdr:to>
      <xdr:col>55</xdr:col>
      <xdr:colOff>0</xdr:colOff>
      <xdr:row>2</xdr:row>
      <xdr:rowOff>186186</xdr:rowOff>
    </xdr:to>
    <xdr:sp macro="" textlink="">
      <xdr:nvSpPr>
        <xdr:cNvPr id="15" name="Rectangle 14">
          <a:hlinkClick xmlns:r="http://schemas.openxmlformats.org/officeDocument/2006/relationships" r:id="rId6" tooltip="Incentive Rates &amp; Requirements"/>
          <a:extLst>
            <a:ext uri="{FF2B5EF4-FFF2-40B4-BE49-F238E27FC236}">
              <a16:creationId xmlns:a16="http://schemas.microsoft.com/office/drawing/2014/main" id="{00000000-0008-0000-0900-00000F000000}"/>
            </a:ext>
          </a:extLst>
        </xdr:cNvPr>
        <xdr:cNvSpPr/>
      </xdr:nvSpPr>
      <xdr:spPr>
        <a:xfrm>
          <a:off x="14958073" y="0"/>
          <a:ext cx="1805927"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309282</xdr:colOff>
      <xdr:row>0</xdr:row>
      <xdr:rowOff>0</xdr:rowOff>
    </xdr:from>
    <xdr:to>
      <xdr:col>45</xdr:col>
      <xdr:colOff>17930</xdr:colOff>
      <xdr:row>3</xdr:row>
      <xdr:rowOff>0</xdr:rowOff>
    </xdr:to>
    <xdr:sp macro="" textlink="">
      <xdr:nvSpPr>
        <xdr:cNvPr id="17" name="Rectangle 16">
          <a:hlinkClick xmlns:r="http://schemas.openxmlformats.org/officeDocument/2006/relationships" r:id="rId7" tooltip=" "/>
          <a:extLst>
            <a:ext uri="{FF2B5EF4-FFF2-40B4-BE49-F238E27FC236}">
              <a16:creationId xmlns:a16="http://schemas.microsoft.com/office/drawing/2014/main" id="{00000000-0008-0000-0900-000011000000}"/>
            </a:ext>
          </a:extLst>
        </xdr:cNvPr>
        <xdr:cNvSpPr/>
      </xdr:nvSpPr>
      <xdr:spPr>
        <a:xfrm>
          <a:off x="12501282" y="0"/>
          <a:ext cx="123264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0" name="Rectangle 29">
          <a:hlinkClick xmlns:r="http://schemas.openxmlformats.org/officeDocument/2006/relationships" r:id="rId8" tooltip=" "/>
          <a:extLst>
            <a:ext uri="{FF2B5EF4-FFF2-40B4-BE49-F238E27FC236}">
              <a16:creationId xmlns:a16="http://schemas.microsoft.com/office/drawing/2014/main" id="{00000000-0008-0000-0900-00001E000000}"/>
            </a:ext>
          </a:extLst>
        </xdr:cNvPr>
        <xdr:cNvSpPr/>
      </xdr:nvSpPr>
      <xdr:spPr>
        <a:xfrm>
          <a:off x="11266394" y="6723"/>
          <a:ext cx="123264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39504</xdr:colOff>
      <xdr:row>0</xdr:row>
      <xdr:rowOff>103739</xdr:rowOff>
    </xdr:from>
    <xdr:to>
      <xdr:col>4</xdr:col>
      <xdr:colOff>250091</xdr:colOff>
      <xdr:row>2</xdr:row>
      <xdr:rowOff>97391</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9"/>
        <a:stretch>
          <a:fillRect/>
        </a:stretch>
      </xdr:blipFill>
      <xdr:spPr>
        <a:xfrm>
          <a:off x="39504" y="103739"/>
          <a:ext cx="1483127" cy="3852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54</xdr:col>
      <xdr:colOff>144803</xdr:colOff>
      <xdr:row>9</xdr:row>
      <xdr:rowOff>0</xdr:rowOff>
    </xdr:from>
    <xdr:to>
      <xdr:col>56</xdr:col>
      <xdr:colOff>47625</xdr:colOff>
      <xdr:row>11</xdr:row>
      <xdr:rowOff>8068</xdr:rowOff>
    </xdr:to>
    <xdr:sp macro="" textlink="">
      <xdr:nvSpPr>
        <xdr:cNvPr id="42" name="Arrow: Right 14">
          <a:hlinkClick xmlns:r="http://schemas.openxmlformats.org/officeDocument/2006/relationships" r:id="rId1" tooltip="Forward: Customer Information"/>
          <a:extLst>
            <a:ext uri="{FF2B5EF4-FFF2-40B4-BE49-F238E27FC236}">
              <a16:creationId xmlns:a16="http://schemas.microsoft.com/office/drawing/2014/main" id="{00000000-0008-0000-0A00-00002A000000}"/>
            </a:ext>
          </a:extLst>
        </xdr:cNvPr>
        <xdr:cNvSpPr/>
      </xdr:nvSpPr>
      <xdr:spPr>
        <a:xfrm>
          <a:off x="16604003" y="1800225"/>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9</xdr:row>
      <xdr:rowOff>0</xdr:rowOff>
    </xdr:from>
    <xdr:to>
      <xdr:col>2</xdr:col>
      <xdr:colOff>203947</xdr:colOff>
      <xdr:row>11</xdr:row>
      <xdr:rowOff>8068</xdr:rowOff>
    </xdr:to>
    <xdr:sp macro="" textlink="">
      <xdr:nvSpPr>
        <xdr:cNvPr id="41" name="Arrow: Left 2">
          <a:hlinkClick xmlns:r="http://schemas.openxmlformats.org/officeDocument/2006/relationships" r:id="rId2" tooltip="Back: Instructions"/>
          <a:extLst>
            <a:ext uri="{FF2B5EF4-FFF2-40B4-BE49-F238E27FC236}">
              <a16:creationId xmlns:a16="http://schemas.microsoft.com/office/drawing/2014/main" id="{00000000-0008-0000-0A00-000029000000}"/>
            </a:ext>
          </a:extLst>
        </xdr:cNvPr>
        <xdr:cNvSpPr/>
      </xdr:nvSpPr>
      <xdr:spPr>
        <a:xfrm>
          <a:off x="304800" y="1800225"/>
          <a:ext cx="508747"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12" name="Rectangle 11">
          <a:extLst>
            <a:ext uri="{FF2B5EF4-FFF2-40B4-BE49-F238E27FC236}">
              <a16:creationId xmlns:a16="http://schemas.microsoft.com/office/drawing/2014/main" id="{00000000-0008-0000-0A00-00000C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3" name="Rectangle 12">
          <a:hlinkClick xmlns:r="http://schemas.openxmlformats.org/officeDocument/2006/relationships" r:id="rId3" tooltip="Welcome"/>
          <a:extLst>
            <a:ext uri="{FF2B5EF4-FFF2-40B4-BE49-F238E27FC236}">
              <a16:creationId xmlns:a16="http://schemas.microsoft.com/office/drawing/2014/main" id="{00000000-0008-0000-0A00-00000D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4" name="Rectangle 13">
          <a:hlinkClick xmlns:r="http://schemas.openxmlformats.org/officeDocument/2006/relationships" r:id="rId2" tooltip="Instructions"/>
          <a:extLst>
            <a:ext uri="{FF2B5EF4-FFF2-40B4-BE49-F238E27FC236}">
              <a16:creationId xmlns:a16="http://schemas.microsoft.com/office/drawing/2014/main" id="{00000000-0008-0000-0A00-00000E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1" name="Straight Connector 20">
          <a:extLst>
            <a:ext uri="{FF2B5EF4-FFF2-40B4-BE49-F238E27FC236}">
              <a16:creationId xmlns:a16="http://schemas.microsoft.com/office/drawing/2014/main" id="{00000000-0008-0000-0A00-000015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287986</xdr:colOff>
      <xdr:row>2</xdr:row>
      <xdr:rowOff>63872</xdr:rowOff>
    </xdr:to>
    <xdr:pic>
      <xdr:nvPicPr>
        <xdr:cNvPr id="22" name="Picture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24" name="Straight Connector 23">
          <a:extLst>
            <a:ext uri="{FF2B5EF4-FFF2-40B4-BE49-F238E27FC236}">
              <a16:creationId xmlns:a16="http://schemas.microsoft.com/office/drawing/2014/main" id="{00000000-0008-0000-0A00-000018000000}"/>
            </a:ext>
          </a:extLst>
        </xdr:cNvPr>
        <xdr:cNvCxnSpPr/>
      </xdr:nvCxnSpPr>
      <xdr:spPr>
        <a:xfrm>
          <a:off x="2737057" y="100293"/>
          <a:ext cx="11767"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14104</xdr:colOff>
      <xdr:row>0</xdr:row>
      <xdr:rowOff>103739</xdr:rowOff>
    </xdr:from>
    <xdr:to>
      <xdr:col>4</xdr:col>
      <xdr:colOff>227231</xdr:colOff>
      <xdr:row>2</xdr:row>
      <xdr:rowOff>92099</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5"/>
        <a:stretch>
          <a:fillRect/>
        </a:stretch>
      </xdr:blipFill>
      <xdr:spPr>
        <a:xfrm>
          <a:off x="14104" y="103739"/>
          <a:ext cx="1483127" cy="385235"/>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3" name="Arrow: Chevron 2">
          <a:hlinkClick xmlns:r="http://schemas.openxmlformats.org/officeDocument/2006/relationships" r:id="rId6" tooltip="Terms &amp; Conditions"/>
          <a:extLst>
            <a:ext uri="{FF2B5EF4-FFF2-40B4-BE49-F238E27FC236}">
              <a16:creationId xmlns:a16="http://schemas.microsoft.com/office/drawing/2014/main" id="{00000000-0008-0000-0A00-000003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4" name="Arrow: Chevron 3">
          <a:hlinkClick xmlns:r="http://schemas.openxmlformats.org/officeDocument/2006/relationships" r:id="rId7" tooltip="Project Information"/>
          <a:extLst>
            <a:ext uri="{FF2B5EF4-FFF2-40B4-BE49-F238E27FC236}">
              <a16:creationId xmlns:a16="http://schemas.microsoft.com/office/drawing/2014/main" id="{00000000-0008-0000-0A00-000004000000}"/>
            </a:ext>
          </a:extLst>
        </xdr:cNvPr>
        <xdr:cNvSpPr/>
      </xdr:nvSpPr>
      <xdr:spPr>
        <a:xfrm>
          <a:off x="742103" y="863770"/>
          <a:ext cx="2011680" cy="638363"/>
        </a:xfrm>
        <a:prstGeom prst="chevron">
          <a:avLst/>
        </a:prstGeom>
        <a:solidFill>
          <a:schemeClr val="bg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5" name="Arrow: Chevron 39">
          <a:hlinkClick xmlns:r="http://schemas.openxmlformats.org/officeDocument/2006/relationships" r:id="rId8" tooltip="Customer Information"/>
          <a:extLst>
            <a:ext uri="{FF2B5EF4-FFF2-40B4-BE49-F238E27FC236}">
              <a16:creationId xmlns:a16="http://schemas.microsoft.com/office/drawing/2014/main" id="{00000000-0008-0000-0A00-000005000000}"/>
            </a:ext>
          </a:extLst>
        </xdr:cNvPr>
        <xdr:cNvSpPr/>
      </xdr:nvSpPr>
      <xdr:spPr>
        <a:xfrm>
          <a:off x="2535765" y="856065"/>
          <a:ext cx="2008505"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Customer Information</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6" name="Arrow: Chevron 40">
          <a:hlinkClick xmlns:r="http://schemas.openxmlformats.org/officeDocument/2006/relationships" r:id="rId9" tooltip="Equipment Input"/>
          <a:extLst>
            <a:ext uri="{FF2B5EF4-FFF2-40B4-BE49-F238E27FC236}">
              <a16:creationId xmlns:a16="http://schemas.microsoft.com/office/drawing/2014/main" id="{00000000-0008-0000-0A00-000006000000}"/>
            </a:ext>
          </a:extLst>
        </xdr:cNvPr>
        <xdr:cNvSpPr/>
      </xdr:nvSpPr>
      <xdr:spPr>
        <a:xfrm>
          <a:off x="6188077" y="859240"/>
          <a:ext cx="2153708" cy="64745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7" name="Arrow: Chevron 6">
          <a:hlinkClick xmlns:r="http://schemas.openxmlformats.org/officeDocument/2006/relationships" r:id="rId10" tooltip="Payment"/>
          <a:extLst>
            <a:ext uri="{FF2B5EF4-FFF2-40B4-BE49-F238E27FC236}">
              <a16:creationId xmlns:a16="http://schemas.microsoft.com/office/drawing/2014/main" id="{00000000-0008-0000-0A00-000007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8" name="Arrow: Chevron 7">
          <a:hlinkClick xmlns:r="http://schemas.openxmlformats.org/officeDocument/2006/relationships" r:id="rId11" tooltip="Project Review"/>
          <a:extLst>
            <a:ext uri="{FF2B5EF4-FFF2-40B4-BE49-F238E27FC236}">
              <a16:creationId xmlns:a16="http://schemas.microsoft.com/office/drawing/2014/main" id="{00000000-0008-0000-0A00-000008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239268</xdr:colOff>
      <xdr:row>4</xdr:row>
      <xdr:rowOff>57537</xdr:rowOff>
    </xdr:from>
    <xdr:to>
      <xdr:col>20</xdr:col>
      <xdr:colOff>123825</xdr:colOff>
      <xdr:row>7</xdr:row>
      <xdr:rowOff>104915</xdr:rowOff>
    </xdr:to>
    <xdr:sp macro="" textlink="M2S4">
      <xdr:nvSpPr>
        <xdr:cNvPr id="9" name="Arrow: Chevron 43">
          <a:hlinkClick xmlns:r="http://schemas.openxmlformats.org/officeDocument/2006/relationships" r:id="rId12" tooltip="Trade Ally / Contractor Information"/>
          <a:extLst>
            <a:ext uri="{FF2B5EF4-FFF2-40B4-BE49-F238E27FC236}">
              <a16:creationId xmlns:a16="http://schemas.microsoft.com/office/drawing/2014/main" id="{00000000-0008-0000-0A00-000009000000}"/>
            </a:ext>
          </a:extLst>
        </xdr:cNvPr>
        <xdr:cNvSpPr/>
      </xdr:nvSpPr>
      <xdr:spPr>
        <a:xfrm>
          <a:off x="4322318" y="857637"/>
          <a:ext cx="2084832" cy="64427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Trade Ally / Contractor Information</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0" name="Arrow: Chevron 9">
          <a:hlinkClick xmlns:r="http://schemas.openxmlformats.org/officeDocument/2006/relationships" r:id="rId13" tooltip="On-Bill Repayment"/>
          <a:extLst>
            <a:ext uri="{FF2B5EF4-FFF2-40B4-BE49-F238E27FC236}">
              <a16:creationId xmlns:a16="http://schemas.microsoft.com/office/drawing/2014/main" id="{00000000-0008-0000-0A00-00000A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11" name="Arrow: Chevron 10">
          <a:hlinkClick xmlns:r="http://schemas.openxmlformats.org/officeDocument/2006/relationships" r:id="rId14" tooltip="Payment"/>
          <a:extLst>
            <a:ext uri="{FF2B5EF4-FFF2-40B4-BE49-F238E27FC236}">
              <a16:creationId xmlns:a16="http://schemas.microsoft.com/office/drawing/2014/main" id="{00000000-0008-0000-0A00-00000B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44</xdr:col>
      <xdr:colOff>293594</xdr:colOff>
      <xdr:row>0</xdr:row>
      <xdr:rowOff>6723</xdr:rowOff>
    </xdr:from>
    <xdr:to>
      <xdr:col>49</xdr:col>
      <xdr:colOff>2241</xdr:colOff>
      <xdr:row>3</xdr:row>
      <xdr:rowOff>6723</xdr:rowOff>
    </xdr:to>
    <xdr:sp macro="" textlink="">
      <xdr:nvSpPr>
        <xdr:cNvPr id="16" name="Rectangle 15">
          <a:hlinkClick xmlns:r="http://schemas.openxmlformats.org/officeDocument/2006/relationships" r:id="rId15" tooltip=" "/>
          <a:extLst>
            <a:ext uri="{FF2B5EF4-FFF2-40B4-BE49-F238E27FC236}">
              <a16:creationId xmlns:a16="http://schemas.microsoft.com/office/drawing/2014/main" id="{00000000-0008-0000-0A00-000010000000}"/>
            </a:ext>
          </a:extLst>
        </xdr:cNvPr>
        <xdr:cNvSpPr/>
      </xdr:nvSpPr>
      <xdr:spPr>
        <a:xfrm>
          <a:off x="1412706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28" name="Rectangle 27">
          <a:extLst>
            <a:ext uri="{FF2B5EF4-FFF2-40B4-BE49-F238E27FC236}">
              <a16:creationId xmlns:a16="http://schemas.microsoft.com/office/drawing/2014/main" id="{00000000-0008-0000-0A00-00001C000000}"/>
            </a:ext>
          </a:extLst>
        </xdr:cNvPr>
        <xdr:cNvSpPr/>
      </xdr:nvSpPr>
      <xdr:spPr>
        <a:xfrm>
          <a:off x="153821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29" name="Rectangle 28">
          <a:extLst>
            <a:ext uri="{FF2B5EF4-FFF2-40B4-BE49-F238E27FC236}">
              <a16:creationId xmlns:a16="http://schemas.microsoft.com/office/drawing/2014/main" id="{00000000-0008-0000-0A00-00001D000000}"/>
            </a:ext>
          </a:extLst>
        </xdr:cNvPr>
        <xdr:cNvSpPr/>
      </xdr:nvSpPr>
      <xdr:spPr>
        <a:xfrm>
          <a:off x="153821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30" name="Rectangle 29">
          <a:hlinkClick xmlns:r="http://schemas.openxmlformats.org/officeDocument/2006/relationships" r:id="rId16" tooltip="Contact"/>
          <a:extLst>
            <a:ext uri="{FF2B5EF4-FFF2-40B4-BE49-F238E27FC236}">
              <a16:creationId xmlns:a16="http://schemas.microsoft.com/office/drawing/2014/main" id="{00000000-0008-0000-0A00-00001E000000}"/>
            </a:ext>
          </a:extLst>
        </xdr:cNvPr>
        <xdr:cNvSpPr/>
      </xdr:nvSpPr>
      <xdr:spPr>
        <a:xfrm>
          <a:off x="1790475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31" name="Rectangle 30">
          <a:hlinkClick xmlns:r="http://schemas.openxmlformats.org/officeDocument/2006/relationships" r:id="rId15" tooltip=" "/>
          <a:extLst>
            <a:ext uri="{FF2B5EF4-FFF2-40B4-BE49-F238E27FC236}">
              <a16:creationId xmlns:a16="http://schemas.microsoft.com/office/drawing/2014/main" id="{00000000-0008-0000-0A00-00001F000000}"/>
            </a:ext>
          </a:extLst>
        </xdr:cNvPr>
        <xdr:cNvSpPr/>
      </xdr:nvSpPr>
      <xdr:spPr>
        <a:xfrm>
          <a:off x="147557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32" name="Straight Connector 31">
          <a:extLst>
            <a:ext uri="{FF2B5EF4-FFF2-40B4-BE49-F238E27FC236}">
              <a16:creationId xmlns:a16="http://schemas.microsoft.com/office/drawing/2014/main" id="{00000000-0008-0000-0A00-000020000000}"/>
            </a:ext>
          </a:extLst>
        </xdr:cNvPr>
        <xdr:cNvCxnSpPr/>
      </xdr:nvCxnSpPr>
      <xdr:spPr>
        <a:xfrm>
          <a:off x="1791652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43" name="Rectangle 42">
          <a:hlinkClick xmlns:r="http://schemas.openxmlformats.org/officeDocument/2006/relationships" r:id="rId16" tooltip="Contact"/>
          <a:extLst>
            <a:ext uri="{FF2B5EF4-FFF2-40B4-BE49-F238E27FC236}">
              <a16:creationId xmlns:a16="http://schemas.microsoft.com/office/drawing/2014/main" id="{00000000-0008-0000-0A00-00002B000000}"/>
            </a:ext>
          </a:extLst>
        </xdr:cNvPr>
        <xdr:cNvSpPr/>
      </xdr:nvSpPr>
      <xdr:spPr>
        <a:xfrm>
          <a:off x="1790475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44" name="Rectangle 43">
          <a:extLst>
            <a:ext uri="{FF2B5EF4-FFF2-40B4-BE49-F238E27FC236}">
              <a16:creationId xmlns:a16="http://schemas.microsoft.com/office/drawing/2014/main" id="{00000000-0008-0000-0A00-00002C000000}"/>
            </a:ext>
          </a:extLst>
        </xdr:cNvPr>
        <xdr:cNvSpPr/>
      </xdr:nvSpPr>
      <xdr:spPr>
        <a:xfrm>
          <a:off x="1601077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45" name="Straight Connector 44">
          <a:extLst>
            <a:ext uri="{FF2B5EF4-FFF2-40B4-BE49-F238E27FC236}">
              <a16:creationId xmlns:a16="http://schemas.microsoft.com/office/drawing/2014/main" id="{00000000-0008-0000-0A00-00002D000000}"/>
            </a:ext>
          </a:extLst>
        </xdr:cNvPr>
        <xdr:cNvCxnSpPr/>
      </xdr:nvCxnSpPr>
      <xdr:spPr>
        <a:xfrm>
          <a:off x="1603918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46" name="Rectangle 45">
          <a:hlinkClick xmlns:r="http://schemas.openxmlformats.org/officeDocument/2006/relationships" r:id="rId17" tooltip="Incentive Rates &amp; Requirements"/>
          <a:extLst>
            <a:ext uri="{FF2B5EF4-FFF2-40B4-BE49-F238E27FC236}">
              <a16:creationId xmlns:a16="http://schemas.microsoft.com/office/drawing/2014/main" id="{00000000-0008-0000-0A00-00002E000000}"/>
            </a:ext>
          </a:extLst>
        </xdr:cNvPr>
        <xdr:cNvSpPr/>
      </xdr:nvSpPr>
      <xdr:spPr>
        <a:xfrm>
          <a:off x="1605662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47" name="Rectangle 46">
          <a:hlinkClick xmlns:r="http://schemas.openxmlformats.org/officeDocument/2006/relationships" r:id="rId18" tooltip=" "/>
          <a:extLst>
            <a:ext uri="{FF2B5EF4-FFF2-40B4-BE49-F238E27FC236}">
              <a16:creationId xmlns:a16="http://schemas.microsoft.com/office/drawing/2014/main" id="{00000000-0008-0000-0A00-00002F000000}"/>
            </a:ext>
          </a:extLst>
        </xdr:cNvPr>
        <xdr:cNvSpPr/>
      </xdr:nvSpPr>
      <xdr:spPr>
        <a:xfrm>
          <a:off x="1351410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293594</xdr:colOff>
      <xdr:row>0</xdr:row>
      <xdr:rowOff>6723</xdr:rowOff>
    </xdr:from>
    <xdr:to>
      <xdr:col>43</xdr:col>
      <xdr:colOff>2241</xdr:colOff>
      <xdr:row>3</xdr:row>
      <xdr:rowOff>6723</xdr:rowOff>
    </xdr:to>
    <xdr:sp macro="" textlink="">
      <xdr:nvSpPr>
        <xdr:cNvPr id="48" name="Rectangle 47">
          <a:hlinkClick xmlns:r="http://schemas.openxmlformats.org/officeDocument/2006/relationships" r:id="rId19" tooltip=" "/>
          <a:extLst>
            <a:ext uri="{FF2B5EF4-FFF2-40B4-BE49-F238E27FC236}">
              <a16:creationId xmlns:a16="http://schemas.microsoft.com/office/drawing/2014/main" id="{00000000-0008-0000-0A00-000030000000}"/>
            </a:ext>
          </a:extLst>
        </xdr:cNvPr>
        <xdr:cNvSpPr/>
      </xdr:nvSpPr>
      <xdr:spPr>
        <a:xfrm>
          <a:off x="11926794" y="9898"/>
          <a:ext cx="159142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54</xdr:col>
      <xdr:colOff>180975</xdr:colOff>
      <xdr:row>9</xdr:row>
      <xdr:rowOff>0</xdr:rowOff>
    </xdr:from>
    <xdr:to>
      <xdr:col>56</xdr:col>
      <xdr:colOff>83797</xdr:colOff>
      <xdr:row>11</xdr:row>
      <xdr:rowOff>8068</xdr:rowOff>
    </xdr:to>
    <xdr:sp macro="" textlink="">
      <xdr:nvSpPr>
        <xdr:cNvPr id="11" name="Arrow: Right 14">
          <a:hlinkClick xmlns:r="http://schemas.openxmlformats.org/officeDocument/2006/relationships" r:id="rId1" tooltip="Forward: Trade Ally / Contractor Information"/>
          <a:extLst>
            <a:ext uri="{FF2B5EF4-FFF2-40B4-BE49-F238E27FC236}">
              <a16:creationId xmlns:a16="http://schemas.microsoft.com/office/drawing/2014/main" id="{00000000-0008-0000-0B00-00000B000000}"/>
            </a:ext>
          </a:extLst>
        </xdr:cNvPr>
        <xdr:cNvSpPr/>
      </xdr:nvSpPr>
      <xdr:spPr>
        <a:xfrm>
          <a:off x="16640175" y="1800225"/>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9</xdr:row>
      <xdr:rowOff>0</xdr:rowOff>
    </xdr:from>
    <xdr:to>
      <xdr:col>2</xdr:col>
      <xdr:colOff>203947</xdr:colOff>
      <xdr:row>11</xdr:row>
      <xdr:rowOff>8068</xdr:rowOff>
    </xdr:to>
    <xdr:sp macro="" textlink="">
      <xdr:nvSpPr>
        <xdr:cNvPr id="16" name="Arrow: Left 15">
          <a:hlinkClick xmlns:r="http://schemas.openxmlformats.org/officeDocument/2006/relationships" r:id="rId2" tooltip="Back: Project Information"/>
          <a:extLst>
            <a:ext uri="{FF2B5EF4-FFF2-40B4-BE49-F238E27FC236}">
              <a16:creationId xmlns:a16="http://schemas.microsoft.com/office/drawing/2014/main" id="{00000000-0008-0000-0B00-000010000000}"/>
            </a:ext>
          </a:extLst>
        </xdr:cNvPr>
        <xdr:cNvSpPr/>
      </xdr:nvSpPr>
      <xdr:spPr>
        <a:xfrm>
          <a:off x="304800" y="1800225"/>
          <a:ext cx="508747"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12" name="Rectangle 11">
          <a:extLst>
            <a:ext uri="{FF2B5EF4-FFF2-40B4-BE49-F238E27FC236}">
              <a16:creationId xmlns:a16="http://schemas.microsoft.com/office/drawing/2014/main" id="{00000000-0008-0000-0B00-00000C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3" name="Rectangle 12">
          <a:hlinkClick xmlns:r="http://schemas.openxmlformats.org/officeDocument/2006/relationships" r:id="rId3" tooltip="Welcome"/>
          <a:extLst>
            <a:ext uri="{FF2B5EF4-FFF2-40B4-BE49-F238E27FC236}">
              <a16:creationId xmlns:a16="http://schemas.microsoft.com/office/drawing/2014/main" id="{00000000-0008-0000-0B00-00000D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4" name="Rectangle 13">
          <a:hlinkClick xmlns:r="http://schemas.openxmlformats.org/officeDocument/2006/relationships" r:id="rId4" tooltip="Instructions"/>
          <a:extLst>
            <a:ext uri="{FF2B5EF4-FFF2-40B4-BE49-F238E27FC236}">
              <a16:creationId xmlns:a16="http://schemas.microsoft.com/office/drawing/2014/main" id="{00000000-0008-0000-0B00-00000E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2" name="Straight Connector 21">
          <a:extLst>
            <a:ext uri="{FF2B5EF4-FFF2-40B4-BE49-F238E27FC236}">
              <a16:creationId xmlns:a16="http://schemas.microsoft.com/office/drawing/2014/main" id="{00000000-0008-0000-0B00-000016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292431</xdr:colOff>
      <xdr:row>2</xdr:row>
      <xdr:rowOff>54347</xdr:rowOff>
    </xdr:to>
    <xdr:pic>
      <xdr:nvPicPr>
        <xdr:cNvPr id="23" name="Picture 22">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26" name="Straight Connector 25">
          <a:extLst>
            <a:ext uri="{FF2B5EF4-FFF2-40B4-BE49-F238E27FC236}">
              <a16:creationId xmlns:a16="http://schemas.microsoft.com/office/drawing/2014/main" id="{00000000-0008-0000-0B00-00001A000000}"/>
            </a:ext>
          </a:extLst>
        </xdr:cNvPr>
        <xdr:cNvCxnSpPr/>
      </xdr:nvCxnSpPr>
      <xdr:spPr>
        <a:xfrm>
          <a:off x="2737057" y="100293"/>
          <a:ext cx="11767"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1404</xdr:colOff>
      <xdr:row>0</xdr:row>
      <xdr:rowOff>103739</xdr:rowOff>
    </xdr:from>
    <xdr:to>
      <xdr:col>4</xdr:col>
      <xdr:colOff>217706</xdr:colOff>
      <xdr:row>2</xdr:row>
      <xdr:rowOff>85749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6"/>
        <a:stretch>
          <a:fillRect/>
        </a:stretch>
      </xdr:blipFill>
      <xdr:spPr>
        <a:xfrm>
          <a:off x="1404" y="103739"/>
          <a:ext cx="1483127" cy="385235"/>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3" name="Arrow: Chevron 2">
          <a:hlinkClick xmlns:r="http://schemas.openxmlformats.org/officeDocument/2006/relationships" r:id="rId7" tooltip="Terms &amp; Conditions"/>
          <a:extLst>
            <a:ext uri="{FF2B5EF4-FFF2-40B4-BE49-F238E27FC236}">
              <a16:creationId xmlns:a16="http://schemas.microsoft.com/office/drawing/2014/main" id="{00000000-0008-0000-0B00-000003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4" name="Arrow: Chevron 3">
          <a:hlinkClick xmlns:r="http://schemas.openxmlformats.org/officeDocument/2006/relationships" r:id="rId2" tooltip="Project Information"/>
          <a:extLst>
            <a:ext uri="{FF2B5EF4-FFF2-40B4-BE49-F238E27FC236}">
              <a16:creationId xmlns:a16="http://schemas.microsoft.com/office/drawing/2014/main" id="{00000000-0008-0000-0B00-000004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5" name="Arrow: Chevron 39">
          <a:hlinkClick xmlns:r="http://schemas.openxmlformats.org/officeDocument/2006/relationships" r:id="rId8" tooltip="Customer Information"/>
          <a:extLst>
            <a:ext uri="{FF2B5EF4-FFF2-40B4-BE49-F238E27FC236}">
              <a16:creationId xmlns:a16="http://schemas.microsoft.com/office/drawing/2014/main" id="{00000000-0008-0000-0B00-000005000000}"/>
            </a:ext>
          </a:extLst>
        </xdr:cNvPr>
        <xdr:cNvSpPr/>
      </xdr:nvSpPr>
      <xdr:spPr>
        <a:xfrm>
          <a:off x="2535765" y="856065"/>
          <a:ext cx="2008505" cy="650628"/>
        </a:xfrm>
        <a:prstGeom prst="chevron">
          <a:avLst/>
        </a:prstGeom>
        <a:solidFill>
          <a:schemeClr val="bg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6" name="Arrow: Chevron 40">
          <a:hlinkClick xmlns:r="http://schemas.openxmlformats.org/officeDocument/2006/relationships" r:id="rId9" tooltip="Equipment Input"/>
          <a:extLst>
            <a:ext uri="{FF2B5EF4-FFF2-40B4-BE49-F238E27FC236}">
              <a16:creationId xmlns:a16="http://schemas.microsoft.com/office/drawing/2014/main" id="{00000000-0008-0000-0B00-000006000000}"/>
            </a:ext>
          </a:extLst>
        </xdr:cNvPr>
        <xdr:cNvSpPr/>
      </xdr:nvSpPr>
      <xdr:spPr>
        <a:xfrm>
          <a:off x="6188077" y="859240"/>
          <a:ext cx="2153708" cy="64745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7" name="Arrow: Chevron 6">
          <a:hlinkClick xmlns:r="http://schemas.openxmlformats.org/officeDocument/2006/relationships" r:id="rId10" tooltip="Payment"/>
          <a:extLst>
            <a:ext uri="{FF2B5EF4-FFF2-40B4-BE49-F238E27FC236}">
              <a16:creationId xmlns:a16="http://schemas.microsoft.com/office/drawing/2014/main" id="{00000000-0008-0000-0B00-000007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8" name="Arrow: Chevron 7">
          <a:hlinkClick xmlns:r="http://schemas.openxmlformats.org/officeDocument/2006/relationships" r:id="rId11" tooltip="Project Review"/>
          <a:extLst>
            <a:ext uri="{FF2B5EF4-FFF2-40B4-BE49-F238E27FC236}">
              <a16:creationId xmlns:a16="http://schemas.microsoft.com/office/drawing/2014/main" id="{00000000-0008-0000-0B00-000008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239268</xdr:colOff>
      <xdr:row>4</xdr:row>
      <xdr:rowOff>57537</xdr:rowOff>
    </xdr:from>
    <xdr:to>
      <xdr:col>20</xdr:col>
      <xdr:colOff>123825</xdr:colOff>
      <xdr:row>7</xdr:row>
      <xdr:rowOff>104915</xdr:rowOff>
    </xdr:to>
    <xdr:sp macro="" textlink="M2S4">
      <xdr:nvSpPr>
        <xdr:cNvPr id="9" name="Arrow: Chevron 43">
          <a:hlinkClick xmlns:r="http://schemas.openxmlformats.org/officeDocument/2006/relationships" r:id="rId1" tooltip="Trade Ally / Contractor Information"/>
          <a:extLst>
            <a:ext uri="{FF2B5EF4-FFF2-40B4-BE49-F238E27FC236}">
              <a16:creationId xmlns:a16="http://schemas.microsoft.com/office/drawing/2014/main" id="{00000000-0008-0000-0B00-000009000000}"/>
            </a:ext>
          </a:extLst>
        </xdr:cNvPr>
        <xdr:cNvSpPr/>
      </xdr:nvSpPr>
      <xdr:spPr>
        <a:xfrm>
          <a:off x="4322318" y="857637"/>
          <a:ext cx="2084832" cy="64427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Trade Ally / Contractor Information</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0" name="Arrow: Chevron 9">
          <a:hlinkClick xmlns:r="http://schemas.openxmlformats.org/officeDocument/2006/relationships" r:id="rId12" tooltip="On-Bill Repayment"/>
          <a:extLst>
            <a:ext uri="{FF2B5EF4-FFF2-40B4-BE49-F238E27FC236}">
              <a16:creationId xmlns:a16="http://schemas.microsoft.com/office/drawing/2014/main" id="{00000000-0008-0000-0B00-00000A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17" name="Arrow: Chevron 16">
          <a:hlinkClick xmlns:r="http://schemas.openxmlformats.org/officeDocument/2006/relationships" r:id="rId13" tooltip="Payment"/>
          <a:extLst>
            <a:ext uri="{FF2B5EF4-FFF2-40B4-BE49-F238E27FC236}">
              <a16:creationId xmlns:a16="http://schemas.microsoft.com/office/drawing/2014/main" id="{00000000-0008-0000-0B00-000011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44</xdr:col>
      <xdr:colOff>293594</xdr:colOff>
      <xdr:row>0</xdr:row>
      <xdr:rowOff>6723</xdr:rowOff>
    </xdr:from>
    <xdr:to>
      <xdr:col>49</xdr:col>
      <xdr:colOff>2241</xdr:colOff>
      <xdr:row>3</xdr:row>
      <xdr:rowOff>6723</xdr:rowOff>
    </xdr:to>
    <xdr:sp macro="" textlink="">
      <xdr:nvSpPr>
        <xdr:cNvPr id="37" name="Rectangle 36">
          <a:hlinkClick xmlns:r="http://schemas.openxmlformats.org/officeDocument/2006/relationships" r:id="rId14" tooltip=" "/>
          <a:extLst>
            <a:ext uri="{FF2B5EF4-FFF2-40B4-BE49-F238E27FC236}">
              <a16:creationId xmlns:a16="http://schemas.microsoft.com/office/drawing/2014/main" id="{00000000-0008-0000-0B00-000025000000}"/>
            </a:ext>
          </a:extLst>
        </xdr:cNvPr>
        <xdr:cNvSpPr/>
      </xdr:nvSpPr>
      <xdr:spPr>
        <a:xfrm>
          <a:off x="1412706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38" name="Rectangle 37">
          <a:extLst>
            <a:ext uri="{FF2B5EF4-FFF2-40B4-BE49-F238E27FC236}">
              <a16:creationId xmlns:a16="http://schemas.microsoft.com/office/drawing/2014/main" id="{00000000-0008-0000-0B00-000026000000}"/>
            </a:ext>
          </a:extLst>
        </xdr:cNvPr>
        <xdr:cNvSpPr/>
      </xdr:nvSpPr>
      <xdr:spPr>
        <a:xfrm>
          <a:off x="153821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39" name="Rectangle 38">
          <a:extLst>
            <a:ext uri="{FF2B5EF4-FFF2-40B4-BE49-F238E27FC236}">
              <a16:creationId xmlns:a16="http://schemas.microsoft.com/office/drawing/2014/main" id="{00000000-0008-0000-0B00-000027000000}"/>
            </a:ext>
          </a:extLst>
        </xdr:cNvPr>
        <xdr:cNvSpPr/>
      </xdr:nvSpPr>
      <xdr:spPr>
        <a:xfrm>
          <a:off x="153821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40" name="Rectangle 39">
          <a:hlinkClick xmlns:r="http://schemas.openxmlformats.org/officeDocument/2006/relationships" r:id="rId15" tooltip="Contact"/>
          <a:extLst>
            <a:ext uri="{FF2B5EF4-FFF2-40B4-BE49-F238E27FC236}">
              <a16:creationId xmlns:a16="http://schemas.microsoft.com/office/drawing/2014/main" id="{00000000-0008-0000-0B00-000028000000}"/>
            </a:ext>
          </a:extLst>
        </xdr:cNvPr>
        <xdr:cNvSpPr/>
      </xdr:nvSpPr>
      <xdr:spPr>
        <a:xfrm>
          <a:off x="1790475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41" name="Rectangle 40">
          <a:hlinkClick xmlns:r="http://schemas.openxmlformats.org/officeDocument/2006/relationships" r:id="rId14" tooltip=" "/>
          <a:extLst>
            <a:ext uri="{FF2B5EF4-FFF2-40B4-BE49-F238E27FC236}">
              <a16:creationId xmlns:a16="http://schemas.microsoft.com/office/drawing/2014/main" id="{00000000-0008-0000-0B00-000029000000}"/>
            </a:ext>
          </a:extLst>
        </xdr:cNvPr>
        <xdr:cNvSpPr/>
      </xdr:nvSpPr>
      <xdr:spPr>
        <a:xfrm>
          <a:off x="147557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42" name="Straight Connector 41">
          <a:extLst>
            <a:ext uri="{FF2B5EF4-FFF2-40B4-BE49-F238E27FC236}">
              <a16:creationId xmlns:a16="http://schemas.microsoft.com/office/drawing/2014/main" id="{00000000-0008-0000-0B00-00002A000000}"/>
            </a:ext>
          </a:extLst>
        </xdr:cNvPr>
        <xdr:cNvCxnSpPr/>
      </xdr:nvCxnSpPr>
      <xdr:spPr>
        <a:xfrm>
          <a:off x="1791652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43" name="Rectangle 42">
          <a:hlinkClick xmlns:r="http://schemas.openxmlformats.org/officeDocument/2006/relationships" r:id="rId15" tooltip="Contact"/>
          <a:extLst>
            <a:ext uri="{FF2B5EF4-FFF2-40B4-BE49-F238E27FC236}">
              <a16:creationId xmlns:a16="http://schemas.microsoft.com/office/drawing/2014/main" id="{00000000-0008-0000-0B00-00002B000000}"/>
            </a:ext>
          </a:extLst>
        </xdr:cNvPr>
        <xdr:cNvSpPr/>
      </xdr:nvSpPr>
      <xdr:spPr>
        <a:xfrm>
          <a:off x="1790475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44" name="Rectangle 43">
          <a:extLst>
            <a:ext uri="{FF2B5EF4-FFF2-40B4-BE49-F238E27FC236}">
              <a16:creationId xmlns:a16="http://schemas.microsoft.com/office/drawing/2014/main" id="{00000000-0008-0000-0B00-00002C000000}"/>
            </a:ext>
          </a:extLst>
        </xdr:cNvPr>
        <xdr:cNvSpPr/>
      </xdr:nvSpPr>
      <xdr:spPr>
        <a:xfrm>
          <a:off x="1601077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45" name="Straight Connector 44">
          <a:extLst>
            <a:ext uri="{FF2B5EF4-FFF2-40B4-BE49-F238E27FC236}">
              <a16:creationId xmlns:a16="http://schemas.microsoft.com/office/drawing/2014/main" id="{00000000-0008-0000-0B00-00002D000000}"/>
            </a:ext>
          </a:extLst>
        </xdr:cNvPr>
        <xdr:cNvCxnSpPr/>
      </xdr:nvCxnSpPr>
      <xdr:spPr>
        <a:xfrm>
          <a:off x="1603918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46" name="Rectangle 45">
          <a:hlinkClick xmlns:r="http://schemas.openxmlformats.org/officeDocument/2006/relationships" r:id="rId16" tooltip="Incentive Rates &amp; Requirements"/>
          <a:extLst>
            <a:ext uri="{FF2B5EF4-FFF2-40B4-BE49-F238E27FC236}">
              <a16:creationId xmlns:a16="http://schemas.microsoft.com/office/drawing/2014/main" id="{00000000-0008-0000-0B00-00002E000000}"/>
            </a:ext>
          </a:extLst>
        </xdr:cNvPr>
        <xdr:cNvSpPr/>
      </xdr:nvSpPr>
      <xdr:spPr>
        <a:xfrm>
          <a:off x="1605662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47" name="Rectangle 46">
          <a:hlinkClick xmlns:r="http://schemas.openxmlformats.org/officeDocument/2006/relationships" r:id="rId17" tooltip=" "/>
          <a:extLst>
            <a:ext uri="{FF2B5EF4-FFF2-40B4-BE49-F238E27FC236}">
              <a16:creationId xmlns:a16="http://schemas.microsoft.com/office/drawing/2014/main" id="{00000000-0008-0000-0B00-00002F000000}"/>
            </a:ext>
          </a:extLst>
        </xdr:cNvPr>
        <xdr:cNvSpPr/>
      </xdr:nvSpPr>
      <xdr:spPr>
        <a:xfrm>
          <a:off x="1351410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293594</xdr:colOff>
      <xdr:row>0</xdr:row>
      <xdr:rowOff>6723</xdr:rowOff>
    </xdr:from>
    <xdr:to>
      <xdr:col>43</xdr:col>
      <xdr:colOff>2241</xdr:colOff>
      <xdr:row>3</xdr:row>
      <xdr:rowOff>6723</xdr:rowOff>
    </xdr:to>
    <xdr:sp macro="" textlink="">
      <xdr:nvSpPr>
        <xdr:cNvPr id="48" name="Rectangle 47">
          <a:hlinkClick xmlns:r="http://schemas.openxmlformats.org/officeDocument/2006/relationships" r:id="rId18" tooltip=" "/>
          <a:extLst>
            <a:ext uri="{FF2B5EF4-FFF2-40B4-BE49-F238E27FC236}">
              <a16:creationId xmlns:a16="http://schemas.microsoft.com/office/drawing/2014/main" id="{00000000-0008-0000-0B00-000030000000}"/>
            </a:ext>
          </a:extLst>
        </xdr:cNvPr>
        <xdr:cNvSpPr/>
      </xdr:nvSpPr>
      <xdr:spPr>
        <a:xfrm>
          <a:off x="11926794" y="9898"/>
          <a:ext cx="159142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54</xdr:col>
      <xdr:colOff>171450</xdr:colOff>
      <xdr:row>9</xdr:row>
      <xdr:rowOff>0</xdr:rowOff>
    </xdr:from>
    <xdr:to>
      <xdr:col>56</xdr:col>
      <xdr:colOff>96685</xdr:colOff>
      <xdr:row>10</xdr:row>
      <xdr:rowOff>189043</xdr:rowOff>
    </xdr:to>
    <xdr:sp macro="" textlink="">
      <xdr:nvSpPr>
        <xdr:cNvPr id="2" name="Arrow: Right 14">
          <a:hlinkClick xmlns:r="http://schemas.openxmlformats.org/officeDocument/2006/relationships" r:id="rId1" tooltip="Forward: Equipment Input"/>
          <a:extLst>
            <a:ext uri="{FF2B5EF4-FFF2-40B4-BE49-F238E27FC236}">
              <a16:creationId xmlns:a16="http://schemas.microsoft.com/office/drawing/2014/main" id="{00000000-0008-0000-0C00-000002000000}"/>
            </a:ext>
          </a:extLst>
        </xdr:cNvPr>
        <xdr:cNvSpPr/>
      </xdr:nvSpPr>
      <xdr:spPr>
        <a:xfrm>
          <a:off x="16630650" y="1800225"/>
          <a:ext cx="534835" cy="38906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9</xdr:row>
      <xdr:rowOff>0</xdr:rowOff>
    </xdr:from>
    <xdr:to>
      <xdr:col>2</xdr:col>
      <xdr:colOff>203947</xdr:colOff>
      <xdr:row>10</xdr:row>
      <xdr:rowOff>189043</xdr:rowOff>
    </xdr:to>
    <xdr:sp macro="" textlink="">
      <xdr:nvSpPr>
        <xdr:cNvPr id="16" name="Arrow: Left 15">
          <a:hlinkClick xmlns:r="http://schemas.openxmlformats.org/officeDocument/2006/relationships" r:id="rId2" tooltip="Back: Customer Information"/>
          <a:extLst>
            <a:ext uri="{FF2B5EF4-FFF2-40B4-BE49-F238E27FC236}">
              <a16:creationId xmlns:a16="http://schemas.microsoft.com/office/drawing/2014/main" id="{00000000-0008-0000-0C00-000010000000}"/>
            </a:ext>
          </a:extLst>
        </xdr:cNvPr>
        <xdr:cNvSpPr/>
      </xdr:nvSpPr>
      <xdr:spPr>
        <a:xfrm>
          <a:off x="304800" y="1790700"/>
          <a:ext cx="508747" cy="38906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12" name="Rectangle 11">
          <a:extLst>
            <a:ext uri="{FF2B5EF4-FFF2-40B4-BE49-F238E27FC236}">
              <a16:creationId xmlns:a16="http://schemas.microsoft.com/office/drawing/2014/main" id="{00000000-0008-0000-0C00-00000C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13" name="Rectangle 12">
          <a:hlinkClick xmlns:r="http://schemas.openxmlformats.org/officeDocument/2006/relationships" r:id="rId3" tooltip="Welcome"/>
          <a:extLst>
            <a:ext uri="{FF2B5EF4-FFF2-40B4-BE49-F238E27FC236}">
              <a16:creationId xmlns:a16="http://schemas.microsoft.com/office/drawing/2014/main" id="{00000000-0008-0000-0C00-00000D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14" name="Rectangle 13">
          <a:hlinkClick xmlns:r="http://schemas.openxmlformats.org/officeDocument/2006/relationships" r:id="rId4" tooltip="Instructions"/>
          <a:extLst>
            <a:ext uri="{FF2B5EF4-FFF2-40B4-BE49-F238E27FC236}">
              <a16:creationId xmlns:a16="http://schemas.microsoft.com/office/drawing/2014/main" id="{00000000-0008-0000-0C00-00000E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44</xdr:col>
      <xdr:colOff>293594</xdr:colOff>
      <xdr:row>0</xdr:row>
      <xdr:rowOff>6723</xdr:rowOff>
    </xdr:from>
    <xdr:to>
      <xdr:col>49</xdr:col>
      <xdr:colOff>2241</xdr:colOff>
      <xdr:row>3</xdr:row>
      <xdr:rowOff>6723</xdr:rowOff>
    </xdr:to>
    <xdr:sp macro="" textlink="">
      <xdr:nvSpPr>
        <xdr:cNvPr id="18" name="Rectangle 17">
          <a:hlinkClick xmlns:r="http://schemas.openxmlformats.org/officeDocument/2006/relationships" r:id="rId5" tooltip=" "/>
          <a:extLst>
            <a:ext uri="{FF2B5EF4-FFF2-40B4-BE49-F238E27FC236}">
              <a16:creationId xmlns:a16="http://schemas.microsoft.com/office/drawing/2014/main" id="{00000000-0008-0000-0C00-000012000000}"/>
            </a:ext>
          </a:extLst>
        </xdr:cNvPr>
        <xdr:cNvSpPr/>
      </xdr:nvSpPr>
      <xdr:spPr>
        <a:xfrm>
          <a:off x="13704794" y="6723"/>
          <a:ext cx="1232647"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21" name="Rectangle 20">
          <a:extLst>
            <a:ext uri="{FF2B5EF4-FFF2-40B4-BE49-F238E27FC236}">
              <a16:creationId xmlns:a16="http://schemas.microsoft.com/office/drawing/2014/main" id="{00000000-0008-0000-0C00-000015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22" name="Straight Connector 21">
          <a:extLst>
            <a:ext uri="{FF2B5EF4-FFF2-40B4-BE49-F238E27FC236}">
              <a16:creationId xmlns:a16="http://schemas.microsoft.com/office/drawing/2014/main" id="{00000000-0008-0000-0C00-000016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288621</xdr:colOff>
      <xdr:row>2</xdr:row>
      <xdr:rowOff>54347</xdr:rowOff>
    </xdr:to>
    <xdr:pic>
      <xdr:nvPicPr>
        <xdr:cNvPr id="23" name="Picture 22">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25" name="Straight Connector 24">
          <a:extLst>
            <a:ext uri="{FF2B5EF4-FFF2-40B4-BE49-F238E27FC236}">
              <a16:creationId xmlns:a16="http://schemas.microsoft.com/office/drawing/2014/main" id="{00000000-0008-0000-0C00-000019000000}"/>
            </a:ext>
          </a:extLst>
        </xdr:cNvPr>
        <xdr:cNvCxnSpPr/>
      </xdr:nvCxnSpPr>
      <xdr:spPr>
        <a:xfrm>
          <a:off x="2737057" y="100293"/>
          <a:ext cx="11767"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103739</xdr:rowOff>
    </xdr:from>
    <xdr:to>
      <xdr:col>4</xdr:col>
      <xdr:colOff>216302</xdr:colOff>
      <xdr:row>2</xdr:row>
      <xdr:rowOff>92522</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7"/>
        <a:stretch>
          <a:fillRect/>
        </a:stretch>
      </xdr:blipFill>
      <xdr:spPr>
        <a:xfrm>
          <a:off x="0" y="103739"/>
          <a:ext cx="1483127" cy="385235"/>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4" name="Arrow: Chevron 3">
          <a:hlinkClick xmlns:r="http://schemas.openxmlformats.org/officeDocument/2006/relationships" r:id="rId8" tooltip="Terms &amp; Conditions"/>
          <a:extLst>
            <a:ext uri="{FF2B5EF4-FFF2-40B4-BE49-F238E27FC236}">
              <a16:creationId xmlns:a16="http://schemas.microsoft.com/office/drawing/2014/main" id="{00000000-0008-0000-0C00-000004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5" name="Arrow: Chevron 4">
          <a:hlinkClick xmlns:r="http://schemas.openxmlformats.org/officeDocument/2006/relationships" r:id="rId9" tooltip="Project Information"/>
          <a:extLst>
            <a:ext uri="{FF2B5EF4-FFF2-40B4-BE49-F238E27FC236}">
              <a16:creationId xmlns:a16="http://schemas.microsoft.com/office/drawing/2014/main" id="{00000000-0008-0000-0C00-000005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6" name="Arrow: Chevron 39">
          <a:hlinkClick xmlns:r="http://schemas.openxmlformats.org/officeDocument/2006/relationships" r:id="rId2" tooltip="Customer Information"/>
          <a:extLst>
            <a:ext uri="{FF2B5EF4-FFF2-40B4-BE49-F238E27FC236}">
              <a16:creationId xmlns:a16="http://schemas.microsoft.com/office/drawing/2014/main" id="{00000000-0008-0000-0C00-000006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7" name="Arrow: Chevron 40">
          <a:hlinkClick xmlns:r="http://schemas.openxmlformats.org/officeDocument/2006/relationships" r:id="rId10" tooltip="Equipment Input"/>
          <a:extLst>
            <a:ext uri="{FF2B5EF4-FFF2-40B4-BE49-F238E27FC236}">
              <a16:creationId xmlns:a16="http://schemas.microsoft.com/office/drawing/2014/main" id="{00000000-0008-0000-0C00-000007000000}"/>
            </a:ext>
          </a:extLst>
        </xdr:cNvPr>
        <xdr:cNvSpPr/>
      </xdr:nvSpPr>
      <xdr:spPr>
        <a:xfrm>
          <a:off x="6188077" y="859240"/>
          <a:ext cx="2153708" cy="64745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8" name="Arrow: Chevron 7">
          <a:hlinkClick xmlns:r="http://schemas.openxmlformats.org/officeDocument/2006/relationships" r:id="rId11" tooltip="Payment"/>
          <a:extLst>
            <a:ext uri="{FF2B5EF4-FFF2-40B4-BE49-F238E27FC236}">
              <a16:creationId xmlns:a16="http://schemas.microsoft.com/office/drawing/2014/main" id="{00000000-0008-0000-0C00-000008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9" name="Arrow: Chevron 8">
          <a:hlinkClick xmlns:r="http://schemas.openxmlformats.org/officeDocument/2006/relationships" r:id="rId12" tooltip="Project Review"/>
          <a:extLst>
            <a:ext uri="{FF2B5EF4-FFF2-40B4-BE49-F238E27FC236}">
              <a16:creationId xmlns:a16="http://schemas.microsoft.com/office/drawing/2014/main" id="{00000000-0008-0000-0C00-000009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239268</xdr:colOff>
      <xdr:row>4</xdr:row>
      <xdr:rowOff>57537</xdr:rowOff>
    </xdr:from>
    <xdr:to>
      <xdr:col>20</xdr:col>
      <xdr:colOff>123825</xdr:colOff>
      <xdr:row>7</xdr:row>
      <xdr:rowOff>104915</xdr:rowOff>
    </xdr:to>
    <xdr:sp macro="" textlink="M2S4">
      <xdr:nvSpPr>
        <xdr:cNvPr id="10" name="Arrow: Chevron 43">
          <a:hlinkClick xmlns:r="http://schemas.openxmlformats.org/officeDocument/2006/relationships" r:id="rId13" tooltip="Trade Ally / Contractor Information"/>
          <a:extLst>
            <a:ext uri="{FF2B5EF4-FFF2-40B4-BE49-F238E27FC236}">
              <a16:creationId xmlns:a16="http://schemas.microsoft.com/office/drawing/2014/main" id="{00000000-0008-0000-0C00-00000A000000}"/>
            </a:ext>
          </a:extLst>
        </xdr:cNvPr>
        <xdr:cNvSpPr/>
      </xdr:nvSpPr>
      <xdr:spPr>
        <a:xfrm>
          <a:off x="4366768" y="861870"/>
          <a:ext cx="2107057" cy="650628"/>
        </a:xfrm>
        <a:prstGeom prst="chevron">
          <a:avLst/>
        </a:prstGeom>
        <a:solidFill>
          <a:schemeClr val="bg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11" name="Arrow: Chevron 10">
          <a:hlinkClick xmlns:r="http://schemas.openxmlformats.org/officeDocument/2006/relationships" r:id="rId14" tooltip="On-Bill Repayment"/>
          <a:extLst>
            <a:ext uri="{FF2B5EF4-FFF2-40B4-BE49-F238E27FC236}">
              <a16:creationId xmlns:a16="http://schemas.microsoft.com/office/drawing/2014/main" id="{00000000-0008-0000-0C00-00000B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17" name="Arrow: Chevron 16">
          <a:hlinkClick xmlns:r="http://schemas.openxmlformats.org/officeDocument/2006/relationships" r:id="rId15" tooltip="Payment"/>
          <a:extLst>
            <a:ext uri="{FF2B5EF4-FFF2-40B4-BE49-F238E27FC236}">
              <a16:creationId xmlns:a16="http://schemas.microsoft.com/office/drawing/2014/main" id="{00000000-0008-0000-0C00-000011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30" name="Rectangle 29">
          <a:extLst>
            <a:ext uri="{FF2B5EF4-FFF2-40B4-BE49-F238E27FC236}">
              <a16:creationId xmlns:a16="http://schemas.microsoft.com/office/drawing/2014/main" id="{00000000-0008-0000-0C00-00001E000000}"/>
            </a:ext>
          </a:extLst>
        </xdr:cNvPr>
        <xdr:cNvSpPr/>
      </xdr:nvSpPr>
      <xdr:spPr>
        <a:xfrm>
          <a:off x="153821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31" name="Rectangle 30">
          <a:hlinkClick xmlns:r="http://schemas.openxmlformats.org/officeDocument/2006/relationships" r:id="rId16" tooltip="Contact"/>
          <a:extLst>
            <a:ext uri="{FF2B5EF4-FFF2-40B4-BE49-F238E27FC236}">
              <a16:creationId xmlns:a16="http://schemas.microsoft.com/office/drawing/2014/main" id="{00000000-0008-0000-0C00-00001F000000}"/>
            </a:ext>
          </a:extLst>
        </xdr:cNvPr>
        <xdr:cNvSpPr/>
      </xdr:nvSpPr>
      <xdr:spPr>
        <a:xfrm>
          <a:off x="1790475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32" name="Rectangle 31">
          <a:hlinkClick xmlns:r="http://schemas.openxmlformats.org/officeDocument/2006/relationships" r:id="rId5" tooltip=" "/>
          <a:extLst>
            <a:ext uri="{FF2B5EF4-FFF2-40B4-BE49-F238E27FC236}">
              <a16:creationId xmlns:a16="http://schemas.microsoft.com/office/drawing/2014/main" id="{00000000-0008-0000-0C00-000020000000}"/>
            </a:ext>
          </a:extLst>
        </xdr:cNvPr>
        <xdr:cNvSpPr/>
      </xdr:nvSpPr>
      <xdr:spPr>
        <a:xfrm>
          <a:off x="1475571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34" name="Straight Connector 33">
          <a:extLst>
            <a:ext uri="{FF2B5EF4-FFF2-40B4-BE49-F238E27FC236}">
              <a16:creationId xmlns:a16="http://schemas.microsoft.com/office/drawing/2014/main" id="{00000000-0008-0000-0C00-000022000000}"/>
            </a:ext>
          </a:extLst>
        </xdr:cNvPr>
        <xdr:cNvCxnSpPr/>
      </xdr:nvCxnSpPr>
      <xdr:spPr>
        <a:xfrm>
          <a:off x="1791652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35" name="Rectangle 34">
          <a:hlinkClick xmlns:r="http://schemas.openxmlformats.org/officeDocument/2006/relationships" r:id="rId16" tooltip="Contact"/>
          <a:extLst>
            <a:ext uri="{FF2B5EF4-FFF2-40B4-BE49-F238E27FC236}">
              <a16:creationId xmlns:a16="http://schemas.microsoft.com/office/drawing/2014/main" id="{00000000-0008-0000-0C00-000023000000}"/>
            </a:ext>
          </a:extLst>
        </xdr:cNvPr>
        <xdr:cNvSpPr/>
      </xdr:nvSpPr>
      <xdr:spPr>
        <a:xfrm>
          <a:off x="1790475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42" name="Rectangle 41">
          <a:extLst>
            <a:ext uri="{FF2B5EF4-FFF2-40B4-BE49-F238E27FC236}">
              <a16:creationId xmlns:a16="http://schemas.microsoft.com/office/drawing/2014/main" id="{00000000-0008-0000-0C00-00002A000000}"/>
            </a:ext>
          </a:extLst>
        </xdr:cNvPr>
        <xdr:cNvSpPr/>
      </xdr:nvSpPr>
      <xdr:spPr>
        <a:xfrm>
          <a:off x="1601077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43" name="Straight Connector 42">
          <a:extLst>
            <a:ext uri="{FF2B5EF4-FFF2-40B4-BE49-F238E27FC236}">
              <a16:creationId xmlns:a16="http://schemas.microsoft.com/office/drawing/2014/main" id="{00000000-0008-0000-0C00-00002B000000}"/>
            </a:ext>
          </a:extLst>
        </xdr:cNvPr>
        <xdr:cNvCxnSpPr/>
      </xdr:nvCxnSpPr>
      <xdr:spPr>
        <a:xfrm>
          <a:off x="1603918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44" name="Rectangle 43">
          <a:hlinkClick xmlns:r="http://schemas.openxmlformats.org/officeDocument/2006/relationships" r:id="rId17" tooltip="Incentive Rates &amp; Requirements"/>
          <a:extLst>
            <a:ext uri="{FF2B5EF4-FFF2-40B4-BE49-F238E27FC236}">
              <a16:creationId xmlns:a16="http://schemas.microsoft.com/office/drawing/2014/main" id="{00000000-0008-0000-0C00-00002C000000}"/>
            </a:ext>
          </a:extLst>
        </xdr:cNvPr>
        <xdr:cNvSpPr/>
      </xdr:nvSpPr>
      <xdr:spPr>
        <a:xfrm>
          <a:off x="1605662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45" name="Rectangle 44">
          <a:hlinkClick xmlns:r="http://schemas.openxmlformats.org/officeDocument/2006/relationships" r:id="rId18" tooltip=" "/>
          <a:extLst>
            <a:ext uri="{FF2B5EF4-FFF2-40B4-BE49-F238E27FC236}">
              <a16:creationId xmlns:a16="http://schemas.microsoft.com/office/drawing/2014/main" id="{00000000-0008-0000-0C00-00002D000000}"/>
            </a:ext>
          </a:extLst>
        </xdr:cNvPr>
        <xdr:cNvSpPr/>
      </xdr:nvSpPr>
      <xdr:spPr>
        <a:xfrm>
          <a:off x="1351410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293594</xdr:colOff>
      <xdr:row>0</xdr:row>
      <xdr:rowOff>6723</xdr:rowOff>
    </xdr:from>
    <xdr:to>
      <xdr:col>43</xdr:col>
      <xdr:colOff>2241</xdr:colOff>
      <xdr:row>3</xdr:row>
      <xdr:rowOff>6723</xdr:rowOff>
    </xdr:to>
    <xdr:sp macro="" textlink="">
      <xdr:nvSpPr>
        <xdr:cNvPr id="46" name="Rectangle 45">
          <a:hlinkClick xmlns:r="http://schemas.openxmlformats.org/officeDocument/2006/relationships" r:id="rId19" tooltip=" "/>
          <a:extLst>
            <a:ext uri="{FF2B5EF4-FFF2-40B4-BE49-F238E27FC236}">
              <a16:creationId xmlns:a16="http://schemas.microsoft.com/office/drawing/2014/main" id="{00000000-0008-0000-0C00-00002E000000}"/>
            </a:ext>
          </a:extLst>
        </xdr:cNvPr>
        <xdr:cNvSpPr/>
      </xdr:nvSpPr>
      <xdr:spPr>
        <a:xfrm>
          <a:off x="11926794" y="9898"/>
          <a:ext cx="159142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54</xdr:col>
      <xdr:colOff>182903</xdr:colOff>
      <xdr:row>9</xdr:row>
      <xdr:rowOff>0</xdr:rowOff>
    </xdr:from>
    <xdr:to>
      <xdr:col>56</xdr:col>
      <xdr:colOff>85725</xdr:colOff>
      <xdr:row>11</xdr:row>
      <xdr:rowOff>8068</xdr:rowOff>
    </xdr:to>
    <xdr:sp macro="" textlink="">
      <xdr:nvSpPr>
        <xdr:cNvPr id="2" name="Arrow: Right 37">
          <a:hlinkClick xmlns:r="http://schemas.openxmlformats.org/officeDocument/2006/relationships" r:id="rId1" tooltip="Forward: Lighting &amp; Lighting Controls"/>
          <a:extLst>
            <a:ext uri="{FF2B5EF4-FFF2-40B4-BE49-F238E27FC236}">
              <a16:creationId xmlns:a16="http://schemas.microsoft.com/office/drawing/2014/main" id="{00000000-0008-0000-0D00-000002000000}"/>
            </a:ext>
          </a:extLst>
        </xdr:cNvPr>
        <xdr:cNvSpPr/>
      </xdr:nvSpPr>
      <xdr:spPr>
        <a:xfrm>
          <a:off x="16642103" y="1800225"/>
          <a:ext cx="512422" cy="408118"/>
        </a:xfrm>
        <a:prstGeom prst="righ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9</xdr:row>
      <xdr:rowOff>0</xdr:rowOff>
    </xdr:from>
    <xdr:to>
      <xdr:col>2</xdr:col>
      <xdr:colOff>203947</xdr:colOff>
      <xdr:row>11</xdr:row>
      <xdr:rowOff>8068</xdr:rowOff>
    </xdr:to>
    <xdr:sp macro="" textlink="">
      <xdr:nvSpPr>
        <xdr:cNvPr id="39" name="Arrow: Left 38">
          <a:hlinkClick xmlns:r="http://schemas.openxmlformats.org/officeDocument/2006/relationships" r:id="rId2" tooltip="Back: Trade Ally / Contractor Information"/>
          <a:extLst>
            <a:ext uri="{FF2B5EF4-FFF2-40B4-BE49-F238E27FC236}">
              <a16:creationId xmlns:a16="http://schemas.microsoft.com/office/drawing/2014/main" id="{00000000-0008-0000-0D00-000027000000}"/>
            </a:ext>
          </a:extLst>
        </xdr:cNvPr>
        <xdr:cNvSpPr/>
      </xdr:nvSpPr>
      <xdr:spPr>
        <a:xfrm>
          <a:off x="304800" y="1800225"/>
          <a:ext cx="508747" cy="408118"/>
        </a:xfrm>
        <a:prstGeom prst="leftArrow">
          <a:avLst/>
        </a:prstGeom>
        <a:solidFill>
          <a:srgbClr val="F0532A"/>
        </a:solidFill>
        <a:ln>
          <a:solidFill>
            <a:srgbClr val="F053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xdr:col>
      <xdr:colOff>251013</xdr:colOff>
      <xdr:row>2</xdr:row>
      <xdr:rowOff>161363</xdr:rowOff>
    </xdr:to>
    <xdr:sp macro="" textlink="">
      <xdr:nvSpPr>
        <xdr:cNvPr id="22" name="Rectangle 21">
          <a:extLst>
            <a:ext uri="{FF2B5EF4-FFF2-40B4-BE49-F238E27FC236}">
              <a16:creationId xmlns:a16="http://schemas.microsoft.com/office/drawing/2014/main" id="{00000000-0008-0000-0D00-000016000000}"/>
            </a:ext>
          </a:extLst>
        </xdr:cNvPr>
        <xdr:cNvSpPr/>
      </xdr:nvSpPr>
      <xdr:spPr>
        <a:xfrm>
          <a:off x="0" y="0"/>
          <a:ext cx="1470213" cy="5518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24" name="Rectangle 23">
          <a:hlinkClick xmlns:r="http://schemas.openxmlformats.org/officeDocument/2006/relationships" r:id="rId3" tooltip="Welcome"/>
          <a:extLst>
            <a:ext uri="{FF2B5EF4-FFF2-40B4-BE49-F238E27FC236}">
              <a16:creationId xmlns:a16="http://schemas.microsoft.com/office/drawing/2014/main" id="{00000000-0008-0000-0D00-000018000000}"/>
            </a:ext>
          </a:extLst>
        </xdr:cNvPr>
        <xdr:cNvSpPr/>
      </xdr:nvSpPr>
      <xdr:spPr>
        <a:xfrm>
          <a:off x="1510552" y="11208"/>
          <a:ext cx="1232648"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9</xdr:col>
      <xdr:colOff>3014</xdr:colOff>
      <xdr:row>0</xdr:row>
      <xdr:rowOff>6725</xdr:rowOff>
    </xdr:from>
    <xdr:to>
      <xdr:col>12</xdr:col>
      <xdr:colOff>241139</xdr:colOff>
      <xdr:row>2</xdr:row>
      <xdr:rowOff>192911</xdr:rowOff>
    </xdr:to>
    <xdr:sp macro="" textlink="">
      <xdr:nvSpPr>
        <xdr:cNvPr id="26" name="Rectangle 25">
          <a:hlinkClick xmlns:r="http://schemas.openxmlformats.org/officeDocument/2006/relationships" r:id="rId4" tooltip="Instructions"/>
          <a:extLst>
            <a:ext uri="{FF2B5EF4-FFF2-40B4-BE49-F238E27FC236}">
              <a16:creationId xmlns:a16="http://schemas.microsoft.com/office/drawing/2014/main" id="{00000000-0008-0000-0D00-00001A000000}"/>
            </a:ext>
          </a:extLst>
        </xdr:cNvPr>
        <xdr:cNvSpPr/>
      </xdr:nvSpPr>
      <xdr:spPr>
        <a:xfrm>
          <a:off x="2746214" y="6725"/>
          <a:ext cx="1152525" cy="5767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291353</xdr:colOff>
      <xdr:row>0</xdr:row>
      <xdr:rowOff>0</xdr:rowOff>
    </xdr:from>
    <xdr:to>
      <xdr:col>54</xdr:col>
      <xdr:colOff>280147</xdr:colOff>
      <xdr:row>2</xdr:row>
      <xdr:rowOff>190500</xdr:rowOff>
    </xdr:to>
    <xdr:sp macro="" textlink="">
      <xdr:nvSpPr>
        <xdr:cNvPr id="33" name="Rectangle 32">
          <a:extLst>
            <a:ext uri="{FF2B5EF4-FFF2-40B4-BE49-F238E27FC236}">
              <a16:creationId xmlns:a16="http://schemas.microsoft.com/office/drawing/2014/main" id="{00000000-0008-0000-0D00-000021000000}"/>
            </a:ext>
          </a:extLst>
        </xdr:cNvPr>
        <xdr:cNvSpPr/>
      </xdr:nvSpPr>
      <xdr:spPr>
        <a:xfrm>
          <a:off x="14921753" y="0"/>
          <a:ext cx="1817594"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287431</xdr:colOff>
      <xdr:row>0</xdr:row>
      <xdr:rowOff>100293</xdr:rowOff>
    </xdr:from>
    <xdr:to>
      <xdr:col>4</xdr:col>
      <xdr:colOff>296956</xdr:colOff>
      <xdr:row>2</xdr:row>
      <xdr:rowOff>128868</xdr:rowOff>
    </xdr:to>
    <xdr:cxnSp macro="">
      <xdr:nvCxnSpPr>
        <xdr:cNvPr id="34" name="Straight Connector 33">
          <a:extLst>
            <a:ext uri="{FF2B5EF4-FFF2-40B4-BE49-F238E27FC236}">
              <a16:creationId xmlns:a16="http://schemas.microsoft.com/office/drawing/2014/main" id="{00000000-0008-0000-0D00-000022000000}"/>
            </a:ext>
          </a:extLst>
        </xdr:cNvPr>
        <xdr:cNvCxnSpPr/>
      </xdr:nvCxnSpPr>
      <xdr:spPr>
        <a:xfrm>
          <a:off x="1506631" y="100293"/>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103004</xdr:colOff>
      <xdr:row>0</xdr:row>
      <xdr:rowOff>167239</xdr:rowOff>
    </xdr:from>
    <xdr:to>
      <xdr:col>3</xdr:col>
      <xdr:colOff>292431</xdr:colOff>
      <xdr:row>2</xdr:row>
      <xdr:rowOff>54347</xdr:rowOff>
    </xdr:to>
    <xdr:pic>
      <xdr:nvPicPr>
        <xdr:cNvPr id="36" name="Picture 35">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04" y="167239"/>
          <a:ext cx="1100652" cy="287158"/>
        </a:xfrm>
        <a:prstGeom prst="rect">
          <a:avLst/>
        </a:prstGeom>
      </xdr:spPr>
    </xdr:pic>
    <xdr:clientData/>
  </xdr:twoCellAnchor>
  <xdr:twoCellAnchor>
    <xdr:from>
      <xdr:col>8</xdr:col>
      <xdr:colOff>298657</xdr:colOff>
      <xdr:row>0</xdr:row>
      <xdr:rowOff>100293</xdr:rowOff>
    </xdr:from>
    <xdr:to>
      <xdr:col>9</xdr:col>
      <xdr:colOff>5624</xdr:colOff>
      <xdr:row>2</xdr:row>
      <xdr:rowOff>128868</xdr:rowOff>
    </xdr:to>
    <xdr:cxnSp macro="">
      <xdr:nvCxnSpPr>
        <xdr:cNvPr id="40" name="Straight Connector 39">
          <a:extLst>
            <a:ext uri="{FF2B5EF4-FFF2-40B4-BE49-F238E27FC236}">
              <a16:creationId xmlns:a16="http://schemas.microsoft.com/office/drawing/2014/main" id="{00000000-0008-0000-0D00-000028000000}"/>
            </a:ext>
          </a:extLst>
        </xdr:cNvPr>
        <xdr:cNvCxnSpPr/>
      </xdr:nvCxnSpPr>
      <xdr:spPr>
        <a:xfrm>
          <a:off x="2737057" y="100293"/>
          <a:ext cx="11767"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7754</xdr:colOff>
      <xdr:row>0</xdr:row>
      <xdr:rowOff>103739</xdr:rowOff>
    </xdr:from>
    <xdr:to>
      <xdr:col>4</xdr:col>
      <xdr:colOff>222151</xdr:colOff>
      <xdr:row>2</xdr:row>
      <xdr:rowOff>85537</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a:stretch>
          <a:fillRect/>
        </a:stretch>
      </xdr:blipFill>
      <xdr:spPr>
        <a:xfrm>
          <a:off x="7754" y="103739"/>
          <a:ext cx="1483127" cy="385235"/>
        </a:xfrm>
        <a:prstGeom prst="rect">
          <a:avLst/>
        </a:prstGeom>
      </xdr:spPr>
    </xdr:pic>
    <xdr:clientData/>
  </xdr:twoCellAnchor>
  <xdr:twoCellAnchor>
    <xdr:from>
      <xdr:col>46</xdr:col>
      <xdr:colOff>28575</xdr:colOff>
      <xdr:row>4</xdr:row>
      <xdr:rowOff>68121</xdr:rowOff>
    </xdr:from>
    <xdr:to>
      <xdr:col>52</xdr:col>
      <xdr:colOff>151130</xdr:colOff>
      <xdr:row>7</xdr:row>
      <xdr:rowOff>115499</xdr:rowOff>
    </xdr:to>
    <xdr:sp macro="" textlink="M2S1">
      <xdr:nvSpPr>
        <xdr:cNvPr id="11" name="Arrow: Chevron 10">
          <a:hlinkClick xmlns:r="http://schemas.openxmlformats.org/officeDocument/2006/relationships" r:id="rId7" tooltip="Terms &amp; Conditions"/>
          <a:extLst>
            <a:ext uri="{FF2B5EF4-FFF2-40B4-BE49-F238E27FC236}">
              <a16:creationId xmlns:a16="http://schemas.microsoft.com/office/drawing/2014/main" id="{00000000-0008-0000-0D00-00000B000000}"/>
            </a:ext>
          </a:extLst>
        </xdr:cNvPr>
        <xdr:cNvSpPr/>
      </xdr:nvSpPr>
      <xdr:spPr>
        <a:xfrm>
          <a:off x="14484350" y="865046"/>
          <a:ext cx="2011680" cy="650628"/>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7255EA2-F801-4374-8094-5943FD9408CD}"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Terms &amp; Conditions</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113453</xdr:colOff>
      <xdr:row>4</xdr:row>
      <xdr:rowOff>60495</xdr:rowOff>
    </xdr:from>
    <xdr:to>
      <xdr:col>8</xdr:col>
      <xdr:colOff>242358</xdr:colOff>
      <xdr:row>7</xdr:row>
      <xdr:rowOff>98783</xdr:rowOff>
    </xdr:to>
    <xdr:sp macro="" textlink="M2S2">
      <xdr:nvSpPr>
        <xdr:cNvPr id="12" name="Arrow: Chevron 11">
          <a:hlinkClick xmlns:r="http://schemas.openxmlformats.org/officeDocument/2006/relationships" r:id="rId8" tooltip="Project Information"/>
          <a:extLst>
            <a:ext uri="{FF2B5EF4-FFF2-40B4-BE49-F238E27FC236}">
              <a16:creationId xmlns:a16="http://schemas.microsoft.com/office/drawing/2014/main" id="{00000000-0008-0000-0D00-00000C000000}"/>
            </a:ext>
          </a:extLst>
        </xdr:cNvPr>
        <xdr:cNvSpPr/>
      </xdr:nvSpPr>
      <xdr:spPr>
        <a:xfrm>
          <a:off x="742103" y="863770"/>
          <a:ext cx="2011680" cy="63836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C7A610C2-DFB4-4A6E-9848-8DD07A925D7C}"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Project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8</xdr:col>
      <xdr:colOff>21165</xdr:colOff>
      <xdr:row>4</xdr:row>
      <xdr:rowOff>55965</xdr:rowOff>
    </xdr:from>
    <xdr:to>
      <xdr:col>14</xdr:col>
      <xdr:colOff>146895</xdr:colOff>
      <xdr:row>7</xdr:row>
      <xdr:rowOff>103343</xdr:rowOff>
    </xdr:to>
    <xdr:sp macro="" textlink="M2S3">
      <xdr:nvSpPr>
        <xdr:cNvPr id="14" name="Arrow: Chevron 39">
          <a:hlinkClick xmlns:r="http://schemas.openxmlformats.org/officeDocument/2006/relationships" r:id="rId9" tooltip="Customer Information"/>
          <a:extLst>
            <a:ext uri="{FF2B5EF4-FFF2-40B4-BE49-F238E27FC236}">
              <a16:creationId xmlns:a16="http://schemas.microsoft.com/office/drawing/2014/main" id="{00000000-0008-0000-0D00-00000E000000}"/>
            </a:ext>
          </a:extLst>
        </xdr:cNvPr>
        <xdr:cNvSpPr/>
      </xdr:nvSpPr>
      <xdr:spPr>
        <a:xfrm>
          <a:off x="2535765" y="856065"/>
          <a:ext cx="2008505" cy="650628"/>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52A8C3F-D712-438F-A437-021E4ABD753B}"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Customer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219077</xdr:colOff>
      <xdr:row>4</xdr:row>
      <xdr:rowOff>59140</xdr:rowOff>
    </xdr:from>
    <xdr:to>
      <xdr:col>26</xdr:col>
      <xdr:colOff>169335</xdr:colOff>
      <xdr:row>7</xdr:row>
      <xdr:rowOff>103343</xdr:rowOff>
    </xdr:to>
    <xdr:sp macro="" textlink="MAIN3">
      <xdr:nvSpPr>
        <xdr:cNvPr id="15" name="Arrow: Chevron 40">
          <a:hlinkClick xmlns:r="http://schemas.openxmlformats.org/officeDocument/2006/relationships" r:id="rId10" tooltip="Equipment Input"/>
          <a:extLst>
            <a:ext uri="{FF2B5EF4-FFF2-40B4-BE49-F238E27FC236}">
              <a16:creationId xmlns:a16="http://schemas.microsoft.com/office/drawing/2014/main" id="{00000000-0008-0000-0D00-00000F000000}"/>
            </a:ext>
          </a:extLst>
        </xdr:cNvPr>
        <xdr:cNvSpPr/>
      </xdr:nvSpPr>
      <xdr:spPr>
        <a:xfrm>
          <a:off x="6188077" y="859240"/>
          <a:ext cx="2153708" cy="647453"/>
        </a:xfrm>
        <a:prstGeom prst="chevron">
          <a:avLst/>
        </a:prstGeom>
        <a:solidFill>
          <a:sysClr val="window" lastClr="FFFFFF"/>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B98A913-673C-4FDC-8319-31C7C5278039}" type="TxLink">
            <a:rPr lang="en-US" sz="1100" b="1" i="0" u="none" strike="noStrike" cap="none" baseline="0">
              <a:solidFill>
                <a:srgbClr val="142C41"/>
              </a:solidFill>
              <a:latin typeface="Arial" panose="020B0604020202020204" pitchFamily="34" charset="0"/>
              <a:ea typeface="+mn-ea"/>
              <a:cs typeface="Arial" panose="020B0604020202020204" pitchFamily="34" charset="0"/>
            </a:rPr>
            <a:pPr marL="0" indent="0" algn="ctr"/>
            <a:t>Equipment Input</a:t>
          </a:fld>
          <a:endParaRPr lang="en-US" sz="1100" b="1"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197907</xdr:colOff>
      <xdr:row>4</xdr:row>
      <xdr:rowOff>74253</xdr:rowOff>
    </xdr:from>
    <xdr:to>
      <xdr:col>39</xdr:col>
      <xdr:colOff>317414</xdr:colOff>
      <xdr:row>7</xdr:row>
      <xdr:rowOff>112541</xdr:rowOff>
    </xdr:to>
    <xdr:sp macro="" textlink="M5S1a">
      <xdr:nvSpPr>
        <xdr:cNvPr id="17" name="Arrow: Chevron 16">
          <a:hlinkClick xmlns:r="http://schemas.openxmlformats.org/officeDocument/2006/relationships" r:id="rId11" tooltip="Payment"/>
          <a:extLst>
            <a:ext uri="{FF2B5EF4-FFF2-40B4-BE49-F238E27FC236}">
              <a16:creationId xmlns:a16="http://schemas.microsoft.com/office/drawing/2014/main" id="{00000000-0008-0000-0D00-000011000000}"/>
            </a:ext>
          </a:extLst>
        </xdr:cNvPr>
        <xdr:cNvSpPr/>
      </xdr:nvSpPr>
      <xdr:spPr>
        <a:xfrm>
          <a:off x="10259482" y="874353"/>
          <a:ext cx="2313432"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0738F07-0BD9-48FB-99F5-5064B6E84854}"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51</xdr:col>
      <xdr:colOff>257579</xdr:colOff>
      <xdr:row>4</xdr:row>
      <xdr:rowOff>67382</xdr:rowOff>
    </xdr:from>
    <xdr:to>
      <xdr:col>58</xdr:col>
      <xdr:colOff>55469</xdr:colOff>
      <xdr:row>7</xdr:row>
      <xdr:rowOff>116239</xdr:rowOff>
    </xdr:to>
    <xdr:sp macro="" textlink="M5S2">
      <xdr:nvSpPr>
        <xdr:cNvPr id="18" name="Arrow: Chevron 17">
          <a:hlinkClick xmlns:r="http://schemas.openxmlformats.org/officeDocument/2006/relationships" r:id="rId12" tooltip="Project Review"/>
          <a:extLst>
            <a:ext uri="{FF2B5EF4-FFF2-40B4-BE49-F238E27FC236}">
              <a16:creationId xmlns:a16="http://schemas.microsoft.com/office/drawing/2014/main" id="{00000000-0008-0000-0D00-000012000000}"/>
            </a:ext>
          </a:extLst>
        </xdr:cNvPr>
        <xdr:cNvSpPr/>
      </xdr:nvSpPr>
      <xdr:spPr>
        <a:xfrm>
          <a:off x="16284979" y="864307"/>
          <a:ext cx="2001340" cy="652107"/>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9445C56-5B3B-4C7A-8F12-D6EE4916519F}"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Project Review</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13</xdr:col>
      <xdr:colOff>242443</xdr:colOff>
      <xdr:row>4</xdr:row>
      <xdr:rowOff>57537</xdr:rowOff>
    </xdr:from>
    <xdr:to>
      <xdr:col>20</xdr:col>
      <xdr:colOff>127000</xdr:colOff>
      <xdr:row>7</xdr:row>
      <xdr:rowOff>101740</xdr:rowOff>
    </xdr:to>
    <xdr:sp macro="" textlink="M2S4">
      <xdr:nvSpPr>
        <xdr:cNvPr id="20" name="Arrow: Chevron 43">
          <a:hlinkClick xmlns:r="http://schemas.openxmlformats.org/officeDocument/2006/relationships" r:id="rId13" tooltip="Trade Ally / Contractor Information"/>
          <a:extLst>
            <a:ext uri="{FF2B5EF4-FFF2-40B4-BE49-F238E27FC236}">
              <a16:creationId xmlns:a16="http://schemas.microsoft.com/office/drawing/2014/main" id="{00000000-0008-0000-0D00-000014000000}"/>
            </a:ext>
          </a:extLst>
        </xdr:cNvPr>
        <xdr:cNvSpPr/>
      </xdr:nvSpPr>
      <xdr:spPr>
        <a:xfrm>
          <a:off x="4325493" y="857637"/>
          <a:ext cx="2084832" cy="647453"/>
        </a:xfrm>
        <a:prstGeom prst="chevron">
          <a:avLst/>
        </a:prstGeom>
        <a:solidFill>
          <a:srgbClr val="142C41"/>
        </a:solidFill>
        <a:ln>
          <a:solidFill>
            <a:srgbClr val="142C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B426888-3E3A-4D7B-9A7C-2120D6A8A6FF}" type="TxLink">
            <a:rPr lang="en-US" sz="1100" b="1" i="0" u="none" strike="noStrike" cap="none" baseline="0">
              <a:solidFill>
                <a:srgbClr val="FFFFFF"/>
              </a:solidFill>
              <a:latin typeface="Arial" panose="020B0604020202020204" pitchFamily="34" charset="0"/>
              <a:ea typeface="+mn-ea"/>
              <a:cs typeface="Arial" panose="020B0604020202020204" pitchFamily="34" charset="0"/>
            </a:rPr>
            <a:pPr marL="0" indent="0" algn="ctr"/>
            <a:t>Trade Ally / Contractor Information</a:t>
          </a:fld>
          <a:endParaRPr lang="en-US" sz="1100" b="1" i="0" u="none" strike="noStrike" cap="none" baseline="0">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39</xdr:col>
      <xdr:colOff>101600</xdr:colOff>
      <xdr:row>4</xdr:row>
      <xdr:rowOff>74254</xdr:rowOff>
    </xdr:from>
    <xdr:to>
      <xdr:col>46</xdr:col>
      <xdr:colOff>208788</xdr:colOff>
      <xdr:row>7</xdr:row>
      <xdr:rowOff>112542</xdr:rowOff>
    </xdr:to>
    <xdr:sp macro="" textlink="M5S1b">
      <xdr:nvSpPr>
        <xdr:cNvPr id="21" name="Arrow: Chevron 20">
          <a:hlinkClick xmlns:r="http://schemas.openxmlformats.org/officeDocument/2006/relationships" r:id="rId14" tooltip="On-Bill Repayment"/>
          <a:extLst>
            <a:ext uri="{FF2B5EF4-FFF2-40B4-BE49-F238E27FC236}">
              <a16:creationId xmlns:a16="http://schemas.microsoft.com/office/drawing/2014/main" id="{00000000-0008-0000-0D00-000015000000}"/>
            </a:ext>
          </a:extLst>
        </xdr:cNvPr>
        <xdr:cNvSpPr/>
      </xdr:nvSpPr>
      <xdr:spPr>
        <a:xfrm>
          <a:off x="12363450" y="874354"/>
          <a:ext cx="2304288" cy="63836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64AE4B6-961A-46B9-9C50-C73D91863DD6}" type="TxLink">
            <a:rPr lang="en-US" sz="1100" b="0" i="0" u="none" strike="noStrike" cap="none" baseline="0">
              <a:solidFill>
                <a:srgbClr val="142C41"/>
              </a:solidFill>
              <a:latin typeface="Arial" panose="020B0604020202020204" pitchFamily="34" charset="0"/>
              <a:ea typeface="+mn-ea"/>
              <a:cs typeface="Arial" panose="020B0604020202020204" pitchFamily="34" charset="0"/>
            </a:rPr>
            <a:pPr marL="0" indent="0" algn="ctr"/>
            <a:t>On-Bill Repayment</a:t>
          </a:fld>
          <a:endParaRPr lang="en-US" sz="1100" b="0" i="0" u="none" strike="noStrike" cap="none" baseline="0">
            <a:solidFill>
              <a:srgbClr val="142C41"/>
            </a:solidFill>
            <a:latin typeface="Arial" panose="020B0604020202020204" pitchFamily="34" charset="0"/>
            <a:ea typeface="+mn-ea"/>
            <a:cs typeface="Arial" panose="020B0604020202020204" pitchFamily="34" charset="0"/>
          </a:endParaRPr>
        </a:p>
      </xdr:txBody>
    </xdr:sp>
    <xdr:clientData/>
  </xdr:twoCellAnchor>
  <xdr:twoCellAnchor>
    <xdr:from>
      <xdr:col>25</xdr:col>
      <xdr:colOff>293158</xdr:colOff>
      <xdr:row>4</xdr:row>
      <xdr:rowOff>66674</xdr:rowOff>
    </xdr:from>
    <xdr:to>
      <xdr:col>33</xdr:col>
      <xdr:colOff>88815</xdr:colOff>
      <xdr:row>7</xdr:row>
      <xdr:rowOff>104962</xdr:rowOff>
    </xdr:to>
    <xdr:sp macro="" textlink="M5S1a">
      <xdr:nvSpPr>
        <xdr:cNvPr id="23" name="Arrow: Chevron 22">
          <a:hlinkClick xmlns:r="http://schemas.openxmlformats.org/officeDocument/2006/relationships" r:id="rId15" tooltip="Payment"/>
          <a:extLst>
            <a:ext uri="{FF2B5EF4-FFF2-40B4-BE49-F238E27FC236}">
              <a16:creationId xmlns:a16="http://schemas.microsoft.com/office/drawing/2014/main" id="{00000000-0008-0000-0D00-000017000000}"/>
            </a:ext>
          </a:extLst>
        </xdr:cNvPr>
        <xdr:cNvSpPr/>
      </xdr:nvSpPr>
      <xdr:spPr>
        <a:xfrm>
          <a:off x="8154458" y="869949"/>
          <a:ext cx="2303907" cy="632013"/>
        </a:xfrm>
        <a:prstGeom prst="chevron">
          <a:avLst/>
        </a:prstGeom>
        <a:solidFill>
          <a:srgbClr val="E4EBF7"/>
        </a:solidFill>
        <a:ln>
          <a:solidFill>
            <a:srgbClr val="E4EBF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i="0" u="none" strike="noStrike" cap="none" baseline="0">
              <a:solidFill>
                <a:srgbClr val="142C41"/>
              </a:solidFill>
              <a:latin typeface="Arial" panose="020B0604020202020204" pitchFamily="34" charset="0"/>
              <a:ea typeface="+mn-ea"/>
              <a:cs typeface="Arial" panose="020B0604020202020204" pitchFamily="34" charset="0"/>
            </a:rPr>
            <a:t>Union Information</a:t>
          </a:r>
        </a:p>
      </xdr:txBody>
    </xdr:sp>
    <xdr:clientData/>
  </xdr:twoCellAnchor>
  <xdr:twoCellAnchor>
    <xdr:from>
      <xdr:col>56</xdr:col>
      <xdr:colOff>302559</xdr:colOff>
      <xdr:row>0</xdr:row>
      <xdr:rowOff>0</xdr:rowOff>
    </xdr:from>
    <xdr:to>
      <xdr:col>61</xdr:col>
      <xdr:colOff>0</xdr:colOff>
      <xdr:row>3</xdr:row>
      <xdr:rowOff>0</xdr:rowOff>
    </xdr:to>
    <xdr:sp macro="" textlink="">
      <xdr:nvSpPr>
        <xdr:cNvPr id="65" name="Rectangle 64">
          <a:hlinkClick xmlns:r="http://schemas.openxmlformats.org/officeDocument/2006/relationships" r:id="rId16" tooltip="Contact"/>
          <a:extLst>
            <a:ext uri="{FF2B5EF4-FFF2-40B4-BE49-F238E27FC236}">
              <a16:creationId xmlns:a16="http://schemas.microsoft.com/office/drawing/2014/main" id="{00000000-0008-0000-0D00-000041000000}"/>
            </a:ext>
          </a:extLst>
        </xdr:cNvPr>
        <xdr:cNvSpPr/>
      </xdr:nvSpPr>
      <xdr:spPr>
        <a:xfrm>
          <a:off x="18533409" y="0"/>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i="0" u="none" strike="noStrike" baseline="0">
            <a:solidFill>
              <a:srgbClr val="808080"/>
            </a:solidFill>
            <a:latin typeface="Arial"/>
            <a:cs typeface="Arial"/>
          </a:endParaRPr>
        </a:p>
      </xdr:txBody>
    </xdr:sp>
    <xdr:clientData/>
  </xdr:twoCellAnchor>
  <xdr:twoCellAnchor>
    <xdr:from>
      <xdr:col>46</xdr:col>
      <xdr:colOff>293594</xdr:colOff>
      <xdr:row>0</xdr:row>
      <xdr:rowOff>6723</xdr:rowOff>
    </xdr:from>
    <xdr:to>
      <xdr:col>51</xdr:col>
      <xdr:colOff>2241</xdr:colOff>
      <xdr:row>3</xdr:row>
      <xdr:rowOff>6723</xdr:rowOff>
    </xdr:to>
    <xdr:sp macro="" textlink="">
      <xdr:nvSpPr>
        <xdr:cNvPr id="66" name="Rectangle 65">
          <a:hlinkClick xmlns:r="http://schemas.openxmlformats.org/officeDocument/2006/relationships" r:id="rId17" tooltip=" "/>
          <a:extLst>
            <a:ext uri="{FF2B5EF4-FFF2-40B4-BE49-F238E27FC236}">
              <a16:creationId xmlns:a16="http://schemas.microsoft.com/office/drawing/2014/main" id="{00000000-0008-0000-0D00-000042000000}"/>
            </a:ext>
          </a:extLst>
        </xdr:cNvPr>
        <xdr:cNvSpPr/>
      </xdr:nvSpPr>
      <xdr:spPr>
        <a:xfrm>
          <a:off x="15384369" y="9898"/>
          <a:ext cx="1277097"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0</xdr:colOff>
      <xdr:row>0</xdr:row>
      <xdr:rowOff>100293</xdr:rowOff>
    </xdr:from>
    <xdr:to>
      <xdr:col>57</xdr:col>
      <xdr:colOff>9525</xdr:colOff>
      <xdr:row>2</xdr:row>
      <xdr:rowOff>128868</xdr:rowOff>
    </xdr:to>
    <xdr:cxnSp macro="">
      <xdr:nvCxnSpPr>
        <xdr:cNvPr id="67" name="Straight Connector 66">
          <a:extLst>
            <a:ext uri="{FF2B5EF4-FFF2-40B4-BE49-F238E27FC236}">
              <a16:creationId xmlns:a16="http://schemas.microsoft.com/office/drawing/2014/main" id="{00000000-0008-0000-0D00-000043000000}"/>
            </a:ext>
          </a:extLst>
        </xdr:cNvPr>
        <xdr:cNvCxnSpPr/>
      </xdr:nvCxnSpPr>
      <xdr:spPr>
        <a:xfrm>
          <a:off x="18545175" y="103468"/>
          <a:ext cx="635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302559</xdr:colOff>
      <xdr:row>0</xdr:row>
      <xdr:rowOff>11206</xdr:rowOff>
    </xdr:from>
    <xdr:to>
      <xdr:col>61</xdr:col>
      <xdr:colOff>0</xdr:colOff>
      <xdr:row>3</xdr:row>
      <xdr:rowOff>11206</xdr:rowOff>
    </xdr:to>
    <xdr:sp macro="" textlink="">
      <xdr:nvSpPr>
        <xdr:cNvPr id="68" name="Rectangle 67">
          <a:hlinkClick xmlns:r="http://schemas.openxmlformats.org/officeDocument/2006/relationships" r:id="rId16" tooltip="Contact"/>
          <a:extLst>
            <a:ext uri="{FF2B5EF4-FFF2-40B4-BE49-F238E27FC236}">
              <a16:creationId xmlns:a16="http://schemas.microsoft.com/office/drawing/2014/main" id="{00000000-0008-0000-0D00-000044000000}"/>
            </a:ext>
          </a:extLst>
        </xdr:cNvPr>
        <xdr:cNvSpPr/>
      </xdr:nvSpPr>
      <xdr:spPr>
        <a:xfrm>
          <a:off x="18533409" y="8031"/>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291353</xdr:colOff>
      <xdr:row>0</xdr:row>
      <xdr:rowOff>0</xdr:rowOff>
    </xdr:from>
    <xdr:to>
      <xdr:col>56</xdr:col>
      <xdr:colOff>280147</xdr:colOff>
      <xdr:row>2</xdr:row>
      <xdr:rowOff>190500</xdr:rowOff>
    </xdr:to>
    <xdr:sp macro="" textlink="">
      <xdr:nvSpPr>
        <xdr:cNvPr id="69" name="Rectangle 68">
          <a:extLst>
            <a:ext uri="{FF2B5EF4-FFF2-40B4-BE49-F238E27FC236}">
              <a16:creationId xmlns:a16="http://schemas.microsoft.com/office/drawing/2014/main" id="{00000000-0008-0000-0D00-000045000000}"/>
            </a:ext>
          </a:extLst>
        </xdr:cNvPr>
        <xdr:cNvSpPr/>
      </xdr:nvSpPr>
      <xdr:spPr>
        <a:xfrm>
          <a:off x="16639428" y="0"/>
          <a:ext cx="1868394" cy="590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11787</xdr:colOff>
      <xdr:row>0</xdr:row>
      <xdr:rowOff>100293</xdr:rowOff>
    </xdr:from>
    <xdr:to>
      <xdr:col>51</xdr:col>
      <xdr:colOff>21312</xdr:colOff>
      <xdr:row>2</xdr:row>
      <xdr:rowOff>128868</xdr:rowOff>
    </xdr:to>
    <xdr:cxnSp macro="">
      <xdr:nvCxnSpPr>
        <xdr:cNvPr id="70" name="Straight Connector 69">
          <a:extLst>
            <a:ext uri="{FF2B5EF4-FFF2-40B4-BE49-F238E27FC236}">
              <a16:creationId xmlns:a16="http://schemas.microsoft.com/office/drawing/2014/main" id="{00000000-0008-0000-0D00-000046000000}"/>
            </a:ext>
          </a:extLst>
        </xdr:cNvPr>
        <xdr:cNvCxnSpPr/>
      </xdr:nvCxnSpPr>
      <xdr:spPr>
        <a:xfrm>
          <a:off x="16667837" y="103468"/>
          <a:ext cx="12700" cy="42227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22873</xdr:colOff>
      <xdr:row>0</xdr:row>
      <xdr:rowOff>0</xdr:rowOff>
    </xdr:from>
    <xdr:to>
      <xdr:col>57</xdr:col>
      <xdr:colOff>0</xdr:colOff>
      <xdr:row>2</xdr:row>
      <xdr:rowOff>186186</xdr:rowOff>
    </xdr:to>
    <xdr:sp macro="" textlink="">
      <xdr:nvSpPr>
        <xdr:cNvPr id="71" name="Rectangle 70">
          <a:hlinkClick xmlns:r="http://schemas.openxmlformats.org/officeDocument/2006/relationships" r:id="rId18" tooltip="Incentive Rates &amp; Requirements"/>
          <a:extLst>
            <a:ext uri="{FF2B5EF4-FFF2-40B4-BE49-F238E27FC236}">
              <a16:creationId xmlns:a16="http://schemas.microsoft.com/office/drawing/2014/main" id="{00000000-0008-0000-0D00-000047000000}"/>
            </a:ext>
          </a:extLst>
        </xdr:cNvPr>
        <xdr:cNvSpPr/>
      </xdr:nvSpPr>
      <xdr:spPr>
        <a:xfrm>
          <a:off x="16685273" y="0"/>
          <a:ext cx="1859902" cy="5830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309282</xdr:colOff>
      <xdr:row>0</xdr:row>
      <xdr:rowOff>0</xdr:rowOff>
    </xdr:from>
    <xdr:to>
      <xdr:col>47</xdr:col>
      <xdr:colOff>17930</xdr:colOff>
      <xdr:row>3</xdr:row>
      <xdr:rowOff>0</xdr:rowOff>
    </xdr:to>
    <xdr:sp macro="" textlink="">
      <xdr:nvSpPr>
        <xdr:cNvPr id="72" name="Rectangle 71">
          <a:hlinkClick xmlns:r="http://schemas.openxmlformats.org/officeDocument/2006/relationships" r:id="rId19" tooltip=" "/>
          <a:extLst>
            <a:ext uri="{FF2B5EF4-FFF2-40B4-BE49-F238E27FC236}">
              <a16:creationId xmlns:a16="http://schemas.microsoft.com/office/drawing/2014/main" id="{00000000-0008-0000-0D00-000048000000}"/>
            </a:ext>
          </a:extLst>
        </xdr:cNvPr>
        <xdr:cNvSpPr/>
      </xdr:nvSpPr>
      <xdr:spPr>
        <a:xfrm>
          <a:off x="14142757" y="0"/>
          <a:ext cx="1277098"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293594</xdr:colOff>
      <xdr:row>0</xdr:row>
      <xdr:rowOff>6723</xdr:rowOff>
    </xdr:from>
    <xdr:to>
      <xdr:col>43</xdr:col>
      <xdr:colOff>2241</xdr:colOff>
      <xdr:row>3</xdr:row>
      <xdr:rowOff>6723</xdr:rowOff>
    </xdr:to>
    <xdr:sp macro="" textlink="">
      <xdr:nvSpPr>
        <xdr:cNvPr id="73" name="Rectangle 72">
          <a:hlinkClick xmlns:r="http://schemas.openxmlformats.org/officeDocument/2006/relationships" r:id="rId20" tooltip=" "/>
          <a:extLst>
            <a:ext uri="{FF2B5EF4-FFF2-40B4-BE49-F238E27FC236}">
              <a16:creationId xmlns:a16="http://schemas.microsoft.com/office/drawing/2014/main" id="{00000000-0008-0000-0D00-000049000000}"/>
            </a:ext>
          </a:extLst>
        </xdr:cNvPr>
        <xdr:cNvSpPr/>
      </xdr:nvSpPr>
      <xdr:spPr>
        <a:xfrm>
          <a:off x="12555444" y="9898"/>
          <a:ext cx="159142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232834</xdr:colOff>
      <xdr:row>12</xdr:row>
      <xdr:rowOff>74083</xdr:rowOff>
    </xdr:from>
    <xdr:to>
      <xdr:col>12</xdr:col>
      <xdr:colOff>116715</xdr:colOff>
      <xdr:row>18</xdr:row>
      <xdr:rowOff>17991</xdr:rowOff>
    </xdr:to>
    <xdr:pic>
      <xdr:nvPicPr>
        <xdr:cNvPr id="9" name="Graphic 8" descr="Lightbulb outline">
          <a:hlinkClick xmlns:r="http://schemas.openxmlformats.org/officeDocument/2006/relationships" r:id="rId1"/>
          <a:extLst>
            <a:ext uri="{FF2B5EF4-FFF2-40B4-BE49-F238E27FC236}">
              <a16:creationId xmlns:a16="http://schemas.microsoft.com/office/drawing/2014/main" id="{B09A8BC1-9406-4DD4-82F0-399DD3F242C2}"/>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2750609" y="2474383"/>
          <a:ext cx="1138006" cy="1144058"/>
        </a:xfrm>
        <a:prstGeom prst="rect">
          <a:avLst/>
        </a:prstGeom>
      </xdr:spPr>
    </xdr:pic>
    <xdr:clientData/>
  </xdr:twoCellAnchor>
  <xdr:twoCellAnchor editAs="oneCell">
    <xdr:from>
      <xdr:col>17</xdr:col>
      <xdr:colOff>240243</xdr:colOff>
      <xdr:row>12</xdr:row>
      <xdr:rowOff>116416</xdr:rowOff>
    </xdr:from>
    <xdr:to>
      <xdr:col>21</xdr:col>
      <xdr:colOff>120841</xdr:colOff>
      <xdr:row>18</xdr:row>
      <xdr:rowOff>66674</xdr:rowOff>
    </xdr:to>
    <xdr:pic>
      <xdr:nvPicPr>
        <xdr:cNvPr id="10" name="Graphic 9" descr="Aperture outline">
          <a:hlinkClick xmlns:r="http://schemas.openxmlformats.org/officeDocument/2006/relationships" r:id="rId23"/>
          <a:extLst>
            <a:ext uri="{FF2B5EF4-FFF2-40B4-BE49-F238E27FC236}">
              <a16:creationId xmlns:a16="http://schemas.microsoft.com/office/drawing/2014/main" id="{4294429A-9E47-4B89-8076-183A0CF667FB}"/>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5580593" y="2516716"/>
          <a:ext cx="1144248" cy="1153583"/>
        </a:xfrm>
        <a:prstGeom prst="rect">
          <a:avLst/>
        </a:prstGeom>
      </xdr:spPr>
    </xdr:pic>
    <xdr:clientData/>
  </xdr:twoCellAnchor>
  <xdr:twoCellAnchor editAs="oneCell">
    <xdr:from>
      <xdr:col>26</xdr:col>
      <xdr:colOff>210607</xdr:colOff>
      <xdr:row>12</xdr:row>
      <xdr:rowOff>130175</xdr:rowOff>
    </xdr:from>
    <xdr:to>
      <xdr:col>30</xdr:col>
      <xdr:colOff>135512</xdr:colOff>
      <xdr:row>18</xdr:row>
      <xdr:rowOff>112183</xdr:rowOff>
    </xdr:to>
    <xdr:pic>
      <xdr:nvPicPr>
        <xdr:cNvPr id="25" name="Graphic 24" descr="High temperature outline">
          <a:hlinkClick xmlns:r="http://schemas.openxmlformats.org/officeDocument/2006/relationships" r:id="rId26"/>
          <a:extLst>
            <a:ext uri="{FF2B5EF4-FFF2-40B4-BE49-F238E27FC236}">
              <a16:creationId xmlns:a16="http://schemas.microsoft.com/office/drawing/2014/main" id="{9EC775A4-C8BE-4FF5-8C93-5EACEFE8069D}"/>
            </a:ext>
          </a:extLst>
        </xdr:cNvPr>
        <xdr:cNvPicPr>
          <a:picLocks noChangeAspect="1"/>
        </xdr:cNvPicPr>
      </xdr:nvPicPr>
      <xdr:blipFill>
        <a:blip xmlns:r="http://schemas.openxmlformats.org/officeDocument/2006/relationships" r:embed="rId27">
          <a:extLst>
            <a:ext uri="{96DAC541-7B7A-43D3-8B79-37D633B846F1}">
              <asvg:svgBlip xmlns:asvg="http://schemas.microsoft.com/office/drawing/2016/SVG/main" r:embed="rId28"/>
            </a:ext>
          </a:extLst>
        </a:blip>
        <a:stretch>
          <a:fillRect/>
        </a:stretch>
      </xdr:blipFill>
      <xdr:spPr>
        <a:xfrm>
          <a:off x="11211982" y="2530475"/>
          <a:ext cx="1182205" cy="1182158"/>
        </a:xfrm>
        <a:prstGeom prst="rect">
          <a:avLst/>
        </a:prstGeom>
      </xdr:spPr>
    </xdr:pic>
    <xdr:clientData/>
  </xdr:twoCellAnchor>
  <xdr:twoCellAnchor editAs="oneCell">
    <xdr:from>
      <xdr:col>35</xdr:col>
      <xdr:colOff>148167</xdr:colOff>
      <xdr:row>11</xdr:row>
      <xdr:rowOff>179916</xdr:rowOff>
    </xdr:from>
    <xdr:to>
      <xdr:col>39</xdr:col>
      <xdr:colOff>298285</xdr:colOff>
      <xdr:row>19</xdr:row>
      <xdr:rowOff>1060</xdr:rowOff>
    </xdr:to>
    <xdr:pic>
      <xdr:nvPicPr>
        <xdr:cNvPr id="27" name="Graphic 26" descr="Sink outline">
          <a:hlinkClick xmlns:r="http://schemas.openxmlformats.org/officeDocument/2006/relationships" r:id="rId29"/>
          <a:extLst>
            <a:ext uri="{FF2B5EF4-FFF2-40B4-BE49-F238E27FC236}">
              <a16:creationId xmlns:a16="http://schemas.microsoft.com/office/drawing/2014/main" id="{95789728-2A57-4C1D-8514-DCEE34A0FA30}"/>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11260667" y="2391833"/>
          <a:ext cx="1423293" cy="1426635"/>
        </a:xfrm>
        <a:prstGeom prst="rect">
          <a:avLst/>
        </a:prstGeom>
      </xdr:spPr>
    </xdr:pic>
    <xdr:clientData/>
  </xdr:twoCellAnchor>
  <xdr:twoCellAnchor editAs="oneCell">
    <xdr:from>
      <xdr:col>44</xdr:col>
      <xdr:colOff>158750</xdr:colOff>
      <xdr:row>12</xdr:row>
      <xdr:rowOff>95250</xdr:rowOff>
    </xdr:from>
    <xdr:to>
      <xdr:col>48</xdr:col>
      <xdr:colOff>163125</xdr:colOff>
      <xdr:row>18</xdr:row>
      <xdr:rowOff>183091</xdr:rowOff>
    </xdr:to>
    <xdr:pic>
      <xdr:nvPicPr>
        <xdr:cNvPr id="28" name="Graphic 27" descr="Snowflake outline">
          <a:hlinkClick xmlns:r="http://schemas.openxmlformats.org/officeDocument/2006/relationships" r:id="rId32"/>
          <a:extLst>
            <a:ext uri="{FF2B5EF4-FFF2-40B4-BE49-F238E27FC236}">
              <a16:creationId xmlns:a16="http://schemas.microsoft.com/office/drawing/2014/main" id="{2C98957A-925C-4F41-85B3-A56E99D11352}"/>
            </a:ext>
          </a:extLst>
        </xdr:cNvPr>
        <xdr:cNvPicPr>
          <a:picLocks noChangeAspect="1"/>
        </xdr:cNvPicPr>
      </xdr:nvPicPr>
      <xdr:blipFill>
        <a:blip xmlns:r="http://schemas.openxmlformats.org/officeDocument/2006/relationships" r:embed="rId33">
          <a:extLst>
            <a:ext uri="{96DAC541-7B7A-43D3-8B79-37D633B846F1}">
              <asvg:svgBlip xmlns:asvg="http://schemas.microsoft.com/office/drawing/2016/SVG/main" r:embed="rId34"/>
            </a:ext>
          </a:extLst>
        </a:blip>
        <a:stretch>
          <a:fillRect/>
        </a:stretch>
      </xdr:blipFill>
      <xdr:spPr>
        <a:xfrm>
          <a:off x="14128750" y="2508250"/>
          <a:ext cx="1271200" cy="1291166"/>
        </a:xfrm>
        <a:prstGeom prst="rect">
          <a:avLst/>
        </a:prstGeom>
      </xdr:spPr>
    </xdr:pic>
    <xdr:clientData/>
  </xdr:twoCellAnchor>
  <xdr:twoCellAnchor editAs="oneCell">
    <xdr:from>
      <xdr:col>17</xdr:col>
      <xdr:colOff>190500</xdr:colOff>
      <xdr:row>21</xdr:row>
      <xdr:rowOff>197908</xdr:rowOff>
    </xdr:from>
    <xdr:to>
      <xdr:col>21</xdr:col>
      <xdr:colOff>27878</xdr:colOff>
      <xdr:row>27</xdr:row>
      <xdr:rowOff>105833</xdr:rowOff>
    </xdr:to>
    <xdr:pic>
      <xdr:nvPicPr>
        <xdr:cNvPr id="29" name="Graphic 28" descr="Plant outline">
          <a:hlinkClick xmlns:r="http://schemas.openxmlformats.org/officeDocument/2006/relationships" r:id="rId35"/>
          <a:extLst>
            <a:ext uri="{FF2B5EF4-FFF2-40B4-BE49-F238E27FC236}">
              <a16:creationId xmlns:a16="http://schemas.microsoft.com/office/drawing/2014/main" id="{41972B8C-50F7-423D-8E40-2564D881EB57}"/>
            </a:ext>
          </a:extLst>
        </xdr:cNvPr>
        <xdr:cNvPicPr>
          <a:picLocks noChangeAspect="1"/>
        </xdr:cNvPicPr>
      </xdr:nvPicPr>
      <xdr:blipFill>
        <a:blip xmlns:r="http://schemas.openxmlformats.org/officeDocument/2006/relationships" r:embed="rId36">
          <a:extLst>
            <a:ext uri="{96DAC541-7B7A-43D3-8B79-37D633B846F1}">
              <asvg:svgBlip xmlns:asvg="http://schemas.microsoft.com/office/drawing/2016/SVG/main" r:embed="rId37"/>
            </a:ext>
          </a:extLst>
        </a:blip>
        <a:stretch>
          <a:fillRect/>
        </a:stretch>
      </xdr:blipFill>
      <xdr:spPr>
        <a:xfrm>
          <a:off x="5534025" y="4401608"/>
          <a:ext cx="1094678" cy="1104900"/>
        </a:xfrm>
        <a:prstGeom prst="rect">
          <a:avLst/>
        </a:prstGeom>
      </xdr:spPr>
    </xdr:pic>
    <xdr:clientData/>
  </xdr:twoCellAnchor>
  <xdr:twoCellAnchor editAs="oneCell">
    <xdr:from>
      <xdr:col>26</xdr:col>
      <xdr:colOff>148166</xdr:colOff>
      <xdr:row>21</xdr:row>
      <xdr:rowOff>143932</xdr:rowOff>
    </xdr:from>
    <xdr:to>
      <xdr:col>30</xdr:col>
      <xdr:colOff>136340</xdr:colOff>
      <xdr:row>27</xdr:row>
      <xdr:rowOff>190500</xdr:rowOff>
    </xdr:to>
    <xdr:pic>
      <xdr:nvPicPr>
        <xdr:cNvPr id="30" name="Graphic 29" descr="Plugged Unplugged outline">
          <a:hlinkClick xmlns:r="http://schemas.openxmlformats.org/officeDocument/2006/relationships" r:id="rId38"/>
          <a:extLst>
            <a:ext uri="{FF2B5EF4-FFF2-40B4-BE49-F238E27FC236}">
              <a16:creationId xmlns:a16="http://schemas.microsoft.com/office/drawing/2014/main" id="{07FAEF85-C095-4B72-A412-46FDBEA9B41D}"/>
            </a:ext>
          </a:extLst>
        </xdr:cNvPr>
        <xdr:cNvPicPr>
          <a:picLocks noChangeAspect="1"/>
        </xdr:cNvPicPr>
      </xdr:nvPicPr>
      <xdr:blipFill>
        <a:blip xmlns:r="http://schemas.openxmlformats.org/officeDocument/2006/relationships" r:embed="rId39">
          <a:extLst>
            <a:ext uri="{96DAC541-7B7A-43D3-8B79-37D633B846F1}">
              <asvg:svgBlip xmlns:asvg="http://schemas.microsoft.com/office/drawing/2016/SVG/main" r:embed="rId40"/>
            </a:ext>
          </a:extLst>
        </a:blip>
        <a:stretch>
          <a:fillRect/>
        </a:stretch>
      </xdr:blipFill>
      <xdr:spPr>
        <a:xfrm>
          <a:off x="8317441" y="4341282"/>
          <a:ext cx="1248649" cy="1249893"/>
        </a:xfrm>
        <a:prstGeom prst="rect">
          <a:avLst/>
        </a:prstGeom>
      </xdr:spPr>
    </xdr:pic>
    <xdr:clientData/>
  </xdr:twoCellAnchor>
  <xdr:twoCellAnchor editAs="oneCell">
    <xdr:from>
      <xdr:col>35</xdr:col>
      <xdr:colOff>229656</xdr:colOff>
      <xdr:row>21</xdr:row>
      <xdr:rowOff>176740</xdr:rowOff>
    </xdr:from>
    <xdr:to>
      <xdr:col>39</xdr:col>
      <xdr:colOff>46565</xdr:colOff>
      <xdr:row>27</xdr:row>
      <xdr:rowOff>66674</xdr:rowOff>
    </xdr:to>
    <xdr:pic>
      <xdr:nvPicPr>
        <xdr:cNvPr id="31" name="Graphic 30" descr="Washing Machine outline">
          <a:hlinkClick xmlns:r="http://schemas.openxmlformats.org/officeDocument/2006/relationships" r:id="rId41"/>
          <a:extLst>
            <a:ext uri="{FF2B5EF4-FFF2-40B4-BE49-F238E27FC236}">
              <a16:creationId xmlns:a16="http://schemas.microsoft.com/office/drawing/2014/main" id="{B4E55682-7ECE-4537-A158-B0E243CE2317}"/>
            </a:ext>
          </a:extLst>
        </xdr:cNvPr>
        <xdr:cNvPicPr>
          <a:picLocks noChangeAspect="1"/>
        </xdr:cNvPicPr>
      </xdr:nvPicPr>
      <xdr:blipFill>
        <a:blip xmlns:r="http://schemas.openxmlformats.org/officeDocument/2006/relationships" r:embed="rId42">
          <a:extLst>
            <a:ext uri="{96DAC541-7B7A-43D3-8B79-37D633B846F1}">
              <asvg:svgBlip xmlns:asvg="http://schemas.microsoft.com/office/drawing/2016/SVG/main" r:embed="rId43"/>
            </a:ext>
          </a:extLst>
        </a:blip>
        <a:stretch>
          <a:fillRect/>
        </a:stretch>
      </xdr:blipFill>
      <xdr:spPr>
        <a:xfrm>
          <a:off x="11231031" y="4380440"/>
          <a:ext cx="1074209" cy="1086909"/>
        </a:xfrm>
        <a:prstGeom prst="rect">
          <a:avLst/>
        </a:prstGeom>
      </xdr:spPr>
    </xdr:pic>
    <xdr:clientData/>
  </xdr:twoCellAnchor>
  <xdr:twoCellAnchor editAs="oneCell">
    <xdr:from>
      <xdr:col>44</xdr:col>
      <xdr:colOff>292100</xdr:colOff>
      <xdr:row>21</xdr:row>
      <xdr:rowOff>141816</xdr:rowOff>
    </xdr:from>
    <xdr:to>
      <xdr:col>48</xdr:col>
      <xdr:colOff>126332</xdr:colOff>
      <xdr:row>27</xdr:row>
      <xdr:rowOff>49741</xdr:rowOff>
    </xdr:to>
    <xdr:pic>
      <xdr:nvPicPr>
        <xdr:cNvPr id="32" name="Graphic 31" descr="Shower outline">
          <a:hlinkClick xmlns:r="http://schemas.openxmlformats.org/officeDocument/2006/relationships" r:id="rId44"/>
          <a:extLst>
            <a:ext uri="{FF2B5EF4-FFF2-40B4-BE49-F238E27FC236}">
              <a16:creationId xmlns:a16="http://schemas.microsoft.com/office/drawing/2014/main" id="{43F5F036-15F9-48F1-B01F-D8B6CF0FACF2}"/>
            </a:ext>
          </a:extLst>
        </xdr:cNvPr>
        <xdr:cNvPicPr>
          <a:picLocks noChangeAspect="1"/>
        </xdr:cNvPicPr>
      </xdr:nvPicPr>
      <xdr:blipFill>
        <a:blip xmlns:r="http://schemas.openxmlformats.org/officeDocument/2006/relationships" r:embed="rId45">
          <a:extLst>
            <a:ext uri="{96DAC541-7B7A-43D3-8B79-37D633B846F1}">
              <asvg:svgBlip xmlns:asvg="http://schemas.microsoft.com/office/drawing/2016/SVG/main" r:embed="rId46"/>
            </a:ext>
          </a:extLst>
        </a:blip>
        <a:stretch>
          <a:fillRect/>
        </a:stretch>
      </xdr:blipFill>
      <xdr:spPr>
        <a:xfrm>
          <a:off x="14125575" y="4345516"/>
          <a:ext cx="1088357" cy="1104900"/>
        </a:xfrm>
        <a:prstGeom prst="rect">
          <a:avLst/>
        </a:prstGeom>
      </xdr:spPr>
    </xdr:pic>
    <xdr:clientData/>
  </xdr:twoCellAnchor>
  <xdr:twoCellAnchor editAs="oneCell">
    <xdr:from>
      <xdr:col>8</xdr:col>
      <xdr:colOff>137583</xdr:colOff>
      <xdr:row>21</xdr:row>
      <xdr:rowOff>190499</xdr:rowOff>
    </xdr:from>
    <xdr:to>
      <xdr:col>12</xdr:col>
      <xdr:colOff>180974</xdr:colOff>
      <xdr:row>28</xdr:row>
      <xdr:rowOff>93132</xdr:rowOff>
    </xdr:to>
    <xdr:pic>
      <xdr:nvPicPr>
        <xdr:cNvPr id="35" name="Graphic 34" descr="Table setting outline">
          <a:hlinkClick xmlns:r="http://schemas.openxmlformats.org/officeDocument/2006/relationships" r:id="rId47"/>
          <a:extLst>
            <a:ext uri="{FF2B5EF4-FFF2-40B4-BE49-F238E27FC236}">
              <a16:creationId xmlns:a16="http://schemas.microsoft.com/office/drawing/2014/main" id="{3E587B6C-42F3-46A9-9971-B546E6894085}"/>
            </a:ext>
          </a:extLst>
        </xdr:cNvPr>
        <xdr:cNvPicPr>
          <a:picLocks noChangeAspect="1"/>
        </xdr:cNvPicPr>
      </xdr:nvPicPr>
      <xdr:blipFill>
        <a:blip xmlns:r="http://schemas.openxmlformats.org/officeDocument/2006/relationships" r:embed="rId48">
          <a:extLst>
            <a:ext uri="{96DAC541-7B7A-43D3-8B79-37D633B846F1}">
              <asvg:svgBlip xmlns:asvg="http://schemas.microsoft.com/office/drawing/2016/SVG/main" r:embed="rId49"/>
            </a:ext>
          </a:extLst>
        </a:blip>
        <a:stretch>
          <a:fillRect/>
        </a:stretch>
      </xdr:blipFill>
      <xdr:spPr>
        <a:xfrm>
          <a:off x="2677583" y="4413249"/>
          <a:ext cx="1319741" cy="13102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21</xdr:col>
      <xdr:colOff>302006</xdr:colOff>
      <xdr:row>1</xdr:row>
      <xdr:rowOff>82598</xdr:rowOff>
    </xdr:from>
    <xdr:to>
      <xdr:col>24</xdr:col>
      <xdr:colOff>1455545</xdr:colOff>
      <xdr:row>13</xdr:row>
      <xdr:rowOff>153112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3615987" y="258987"/>
          <a:ext cx="4247165" cy="229936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Rush, Meaghan" id="{8EE0FF9A-6ECD-41B9-9893-51B6452ABB5D}" userId="MRush@trccompanies.com" providerId="PeoplePicker"/>
  <person displayName="Kilinc, Caner" id="{1B3B201F-DA3F-4D72-A7F3-7EBCDB367C0B}" userId="S::CKilinc@trcsolutions.com::fbcf4e23-eb0d-40e4-98eb-1fdd95b088c1" providerId="AD"/>
  <person displayName="Fletcher, Sara" id="{14F22BAB-C789-4F8E-823C-A8FE37696F4E}" userId="S::SFletcher@trcsolutions.com::15d615c0-f333-476c-a2fd-ad122ab3dba4" providerId="AD"/>
  <person displayName="Sizemore, Taylor" id="{1B8D554D-4854-42AC-96D0-73082FA3C628}" userId="S::TSizemore@trcsolutions.com::e4ef0f3d-8dd2-4481-8a9e-1c6fff63a5b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Tbl_Cust_Light" displayName="Tbl_Cust_Light" ref="B2:O12" totalsRowShown="0" headerRowDxfId="668" dataDxfId="667">
  <autoFilter ref="B2:O12" xr:uid="{00000000-0009-0000-0100-000022000000}"/>
  <sortState xmlns:xlrd2="http://schemas.microsoft.com/office/spreadsheetml/2017/richdata2" ref="B3:N12">
    <sortCondition ref="J2:J12"/>
  </sortState>
  <tableColumns count="14">
    <tableColumn id="1" xr3:uid="{00000000-0010-0000-0600-000001000000}" name="Measure Number" dataDxfId="666"/>
    <tableColumn id="2" xr3:uid="{00000000-0010-0000-0600-000002000000}" name="Proj Desc 1" dataDxfId="665"/>
    <tableColumn id="4" xr3:uid="{00000000-0010-0000-0600-000004000000}" name="Inc Rate" dataDxfId="664"/>
    <tableColumn id="5" xr3:uid="{00000000-0010-0000-0600-000005000000}" name="EUL" dataDxfId="663"/>
    <tableColumn id="6" xr3:uid="{00000000-0010-0000-0600-000006000000}" name="Measure Group" dataDxfId="662"/>
    <tableColumn id="7" xr3:uid="{00000000-0010-0000-0600-000007000000}" name="Measure Subgroup 1" dataDxfId="661"/>
    <tableColumn id="8" xr3:uid="{00000000-0010-0000-0600-000008000000}" name="Measure Subgroup 2" dataDxfId="660"/>
    <tableColumn id="9" xr3:uid="{00000000-0010-0000-0600-000009000000}" name="Units" dataDxfId="659"/>
    <tableColumn id="10" xr3:uid="{00000000-0010-0000-0600-00000A000000}" name="Order" dataDxfId="658"/>
    <tableColumn id="11" xr3:uid="{00000000-0010-0000-0600-00000B000000}" name="End Use Category" dataDxfId="657"/>
    <tableColumn id="12" xr3:uid="{00000000-0010-0000-0600-00000C000000}" name="Factor" dataDxfId="656"/>
    <tableColumn id="13" xr3:uid="{00000000-0010-0000-0600-00000D000000}" name="Application Tab" dataDxfId="655"/>
    <tableColumn id="16" xr3:uid="{00000000-0010-0000-0600-000010000000}" name="Unit of Measure" dataDxfId="654"/>
    <tableColumn id="3" xr3:uid="{F0B08D0E-3666-4D9E-BECE-75E3A7FAF6E5}" name="ntgValueElectric" dataDxfId="65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79DEC2E-E537-4A79-8E32-087FDFB8D593}" name="Tbl_Cust_Heat" displayName="Tbl_Cust_Heat" ref="B23:P24" totalsRowShown="0" headerRowDxfId="514" dataDxfId="513">
  <autoFilter ref="B23:P24" xr:uid="{979DEC2E-E537-4A79-8E32-087FDFB8D593}"/>
  <sortState xmlns:xlrd2="http://schemas.microsoft.com/office/spreadsheetml/2017/richdata2" ref="B24:N29">
    <sortCondition ref="J71:J80"/>
  </sortState>
  <tableColumns count="15">
    <tableColumn id="1" xr3:uid="{1A2B1431-A8E9-4CEE-824C-CB0B8FBFA050}" name="Measure Number" dataDxfId="512"/>
    <tableColumn id="2" xr3:uid="{17B1B5BB-0A26-4193-8C57-EE3C0A559FEA}" name="Proj Desc 1" dataDxfId="511"/>
    <tableColumn id="4" xr3:uid="{289195E1-4A75-4BA3-8868-BBF461621975}" name="Inc Rate" dataDxfId="510"/>
    <tableColumn id="5" xr3:uid="{1AB105FE-F6DA-4BAE-995C-F1C9A230D7E6}" name="EUL" dataDxfId="509"/>
    <tableColumn id="6" xr3:uid="{BE25D112-7092-4129-8F7B-B050E5128E23}" name="Measure Group" dataDxfId="508"/>
    <tableColumn id="7" xr3:uid="{783EDE2D-335B-40A2-A5E7-9351BD6EE20E}" name="Measure Subgroup 1" dataDxfId="507"/>
    <tableColumn id="8" xr3:uid="{736B4FA1-0850-4598-AAF6-A311E58E79BA}" name="Measure Subgroup 2" dataDxfId="506"/>
    <tableColumn id="9" xr3:uid="{B329A3E5-519B-408B-BEE4-C53102CEC53B}" name="Units" dataDxfId="505"/>
    <tableColumn id="10" xr3:uid="{37EAEAAF-1F9A-44A9-8E18-AAD1C752A306}" name="Order" dataDxfId="504"/>
    <tableColumn id="11" xr3:uid="{79396E81-7EB9-4308-A088-AB6C37FAF1AC}" name="End Use Category" dataDxfId="503"/>
    <tableColumn id="12" xr3:uid="{6D7EC3EC-A1C5-4ADA-A081-E85263E3D015}" name="Factor" dataDxfId="502"/>
    <tableColumn id="13" xr3:uid="{BF9E81A1-1241-49A0-B3D9-A338A085E46D}" name="Application Tab" dataDxfId="501"/>
    <tableColumn id="16" xr3:uid="{45C510D3-E29F-468D-A079-812B3EF4E8F8}" name="Unit of Measure" dataDxfId="500"/>
    <tableColumn id="3" xr3:uid="{3E27C593-6FFB-4E71-9058-034528FCC74E}" name="ntgValueElectric" dataDxfId="499"/>
    <tableColumn id="14" xr3:uid="{98076DC2-4521-4452-8726-3EDD546271B8}" name="ntgValueNatueralGas" dataDxfId="49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1694709-6353-4BEC-B199-80F7BF3D1A7A}" name="Table16" displayName="Table16" ref="S1:T12" totalsRowShown="0" headerRowDxfId="497" headerRowBorderDxfId="496" tableBorderDxfId="495">
  <autoFilter ref="S1:T12" xr:uid="{81694709-6353-4BEC-B199-80F7BF3D1A7A}"/>
  <tableColumns count="2">
    <tableColumn id="1" xr3:uid="{C6004A57-EB32-4C68-9C8F-8313C4273316}" name="Measure Number" dataDxfId="494"/>
    <tableColumn id="2" xr3:uid="{127F7182-25C9-41F0-82B7-169C9B3B67A1}" name="Category" dataDxfId="49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22:D73" totalsRowShown="0">
  <autoFilter ref="C22:D73" xr:uid="{00000000-0009-0000-0100-000018000000}"/>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C131:F139" totalsRowShown="0" dataDxfId="492">
  <autoFilter ref="C131:F139" xr:uid="{00000000-0009-0000-0100-000019000000}"/>
  <tableColumns count="4">
    <tableColumn id="1" xr3:uid="{00000000-0010-0000-1100-000001000000}" name="Space Conditioning" dataDxfId="491"/>
    <tableColumn id="2" xr3:uid="{0E502D5B-2223-4CA5-B80B-95791AA68BC7}" name="eTRM Space Type - Lighting" dataDxfId="490"/>
    <tableColumn id="3" xr3:uid="{447DCA63-A917-43EB-B208-4334DD1CFFF3}" name="eTRM Fuel Type - Lighting" dataDxfId="489"/>
    <tableColumn id="4" xr3:uid="{089FED7B-F073-4E08-A03D-E6DCA8E914C4}" name="eTRM Space Type - Smart Thermostat" dataDxfId="488"/>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Tbl_ProgramType" displayName="Tbl_ProgramType" ref="A19:A23" totalsRowShown="0">
  <autoFilter ref="A19:A23" xr:uid="{00000000-0009-0000-0100-00001B000000}"/>
  <sortState xmlns:xlrd2="http://schemas.microsoft.com/office/spreadsheetml/2017/richdata2" ref="A20:A24">
    <sortCondition ref="A19:A24"/>
  </sortState>
  <tableColumns count="1">
    <tableColumn id="1" xr3:uid="{00000000-0010-0000-1300-000001000000}" name="Program Typ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X11:AI16" totalsRowShown="0">
  <autoFilter ref="X11:AI16" xr:uid="{00000000-0009-0000-0100-00001D000000}"/>
  <tableColumns count="12">
    <tableColumn id="1" xr3:uid="{00000000-0010-0000-1500-000001000000}" name="Payment to"/>
    <tableColumn id="2" xr3:uid="{00000000-0010-0000-1500-000002000000}" name="Company" dataDxfId="487">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486">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20" totalsRowShown="0">
  <autoFilter ref="C11:D20" xr:uid="{00000000-0009-0000-0100-00001E000000}"/>
  <sortState xmlns:xlrd2="http://schemas.microsoft.com/office/spreadsheetml/2017/richdata2" ref="C12:D20">
    <sortCondition ref="C12:C20"/>
  </sortState>
  <tableColumns count="2">
    <tableColumn id="1" xr3:uid="{00000000-0010-0000-1600-000001000000}" name="Tax Entity"/>
    <tableColumn id="2" xr3:uid="{00000000-0010-0000-1600-000002000000}" name="Column1"/>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51:A63" totalsRowShown="0">
  <autoFilter ref="A51:A63" xr:uid="{00000000-0009-0000-0100-000029000000}"/>
  <tableColumns count="1">
    <tableColumn id="1" xr3:uid="{00000000-0010-0000-1A00-000001000000}" name="Project Status"/>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75:D91" totalsRowShown="0">
  <autoFilter ref="C75:D91"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Tbl_Cust_Water" displayName="Tbl_Cust_Water" ref="B27:P28" totalsRowShown="0" headerRowDxfId="652" dataDxfId="651">
  <autoFilter ref="B27:P28" xr:uid="{00000000-0009-0000-0100-000023000000}"/>
  <sortState xmlns:xlrd2="http://schemas.microsoft.com/office/spreadsheetml/2017/richdata2" ref="B28:N28">
    <sortCondition ref="J27:J28"/>
  </sortState>
  <tableColumns count="15">
    <tableColumn id="1" xr3:uid="{00000000-0010-0000-0700-000001000000}" name="Measure Number" dataDxfId="650"/>
    <tableColumn id="2" xr3:uid="{00000000-0010-0000-0700-000002000000}" name="Proj Desc 1" dataDxfId="649"/>
    <tableColumn id="4" xr3:uid="{00000000-0010-0000-0700-000004000000}" name="Inc Rate" dataDxfId="648"/>
    <tableColumn id="5" xr3:uid="{00000000-0010-0000-0700-000005000000}" name="EUL" dataDxfId="647"/>
    <tableColumn id="6" xr3:uid="{00000000-0010-0000-0700-000006000000}" name="Measure Group" dataDxfId="646"/>
    <tableColumn id="7" xr3:uid="{00000000-0010-0000-0700-000007000000}" name="Measure Subgroup 1" dataDxfId="645"/>
    <tableColumn id="8" xr3:uid="{00000000-0010-0000-0700-000008000000}" name="Measure Subgroup 2" dataDxfId="644"/>
    <tableColumn id="9" xr3:uid="{00000000-0010-0000-0700-000009000000}" name="Units" dataDxfId="643"/>
    <tableColumn id="10" xr3:uid="{00000000-0010-0000-0700-00000A000000}" name="Order" dataDxfId="642"/>
    <tableColumn id="11" xr3:uid="{00000000-0010-0000-0700-00000B000000}" name="End Use Category" dataDxfId="641"/>
    <tableColumn id="12" xr3:uid="{00000000-0010-0000-0700-00000C000000}" name="Factor" dataDxfId="640"/>
    <tableColumn id="13" xr3:uid="{00000000-0010-0000-0700-00000D000000}" name="Application Tab" dataDxfId="639"/>
    <tableColumn id="16" xr3:uid="{00000000-0010-0000-0700-000010000000}" name="Unit of Measure" dataDxfId="638"/>
    <tableColumn id="3" xr3:uid="{4661F38D-137A-44F8-86A7-4E6B13532344}" name="ntgValueElectric" dataDxfId="637"/>
    <tableColumn id="14" xr3:uid="{F71ACE3B-DEED-4AC7-B72E-CE5902031066}" name="ntgValueNatueralGas" dataDxfId="636"/>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5:A74" totalsRowShown="0">
  <autoFilter ref="A65:A74" xr:uid="{00000000-0009-0000-0100-00002C000000}"/>
  <sortState xmlns:xlrd2="http://schemas.microsoft.com/office/spreadsheetml/2017/richdata2" ref="A66:A73">
    <sortCondition ref="A65:A73"/>
  </sortState>
  <tableColumns count="1">
    <tableColumn id="1" xr3:uid="{00000000-0010-0000-1D00-000001000000}" name="Project Specialists"/>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A86:A97" totalsRowShown="0">
  <autoFilter ref="A86:A97" xr:uid="{00000000-0009-0000-0100-00002E000000}"/>
  <sortState xmlns:xlrd2="http://schemas.microsoft.com/office/spreadsheetml/2017/richdata2" ref="A87:A97">
    <sortCondition ref="A86:A97"/>
  </sortState>
  <tableColumns count="1">
    <tableColumn id="1" xr3:uid="{00000000-0010-0000-1E00-000001000000}" name="Energy Efficiency Advisor"/>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76:A84" totalsRowShown="0">
  <autoFilter ref="A76:A84" xr:uid="{00000000-0009-0000-0100-00002F000000}"/>
  <sortState xmlns:xlrd2="http://schemas.microsoft.com/office/spreadsheetml/2017/richdata2" ref="A77:A82">
    <sortCondition ref="A77:A82"/>
  </sortState>
  <tableColumns count="1">
    <tableColumn id="1" xr3:uid="{00000000-0010-0000-1F00-000001000000}" name="Engineers"/>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93:D108" totalsRowShown="0">
  <autoFilter ref="C93:D108" xr:uid="{9919102D-53DA-4750-B123-AE16CB929FEB}"/>
  <tableColumns count="2">
    <tableColumn id="1" xr3:uid="{E971C422-A0DF-407A-810E-59EFF0DE1F82}" name="Tests/Rates/Caps"/>
    <tableColumn id="2" xr3:uid="{E6B94532-F98C-4B3E-9352-D56CE4FDE74E}" name="Value"/>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3:A48" totalsRowShown="0">
  <autoFilter ref="A33:A48"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11:D129" totalsRowShown="0" tableBorderDxfId="485">
  <autoFilter ref="C111:D129"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GRAMTYPE" displayName="PROGRAMTYPE" ref="A99:A101" totalsRowShown="0">
  <autoFilter ref="A99:A101" xr:uid="{00000000-0009-0000-0100-000003000000}"/>
  <sortState xmlns:xlrd2="http://schemas.microsoft.com/office/spreadsheetml/2017/richdata2" ref="A100:B102">
    <sortCondition descending="1" ref="A99:A102"/>
  </sortState>
  <tableColumns count="1">
    <tableColumn id="2" xr3:uid="{9A9CF9C8-2417-4A93-939B-9DDEC33DDB56}" name="Project Category"/>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04:A106" totalsRowShown="0">
  <autoFilter ref="A104:A106" xr:uid="{0E4FDCE4-66D1-4FBA-BDDA-ECA15BC8AF84}"/>
  <sortState xmlns:xlrd2="http://schemas.microsoft.com/office/spreadsheetml/2017/richdata2" ref="A105:B107">
    <sortCondition descending="1" ref="A99:A102"/>
  </sortState>
  <tableColumns count="1">
    <tableColumn id="2" xr3:uid="{AE6902E5-295B-4EC8-B7EE-A312017C5C70}" name="Cost Type"/>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CAF3FA8-EA62-4395-A14B-C189C957F8DA}" name="Table18" displayName="Table18" ref="F42:F49" totalsRowShown="0" headerRowDxfId="484" headerRowBorderDxfId="483" tableBorderDxfId="482">
  <autoFilter ref="F42:F49" xr:uid="{3FF74E2C-96CF-4130-9AB7-20B8FA045689}"/>
  <tableColumns count="1">
    <tableColumn id="1" xr3:uid="{0B982AA4-EF49-4D34-B974-1B4633F6C8AD}" name="Water Heating"/>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Tbl_Cust_Refrig" displayName="Tbl_Cust_Refrig" ref="B31:P32" totalsRowShown="0" headerRowDxfId="635" dataDxfId="634">
  <autoFilter ref="B31:P32" xr:uid="{00000000-0009-0000-0100-000026000000}"/>
  <sortState xmlns:xlrd2="http://schemas.microsoft.com/office/spreadsheetml/2017/richdata2" ref="B32:N32">
    <sortCondition ref="J31:J32"/>
  </sortState>
  <tableColumns count="15">
    <tableColumn id="1" xr3:uid="{00000000-0010-0000-0A00-000001000000}" name="Measure Number" dataDxfId="633"/>
    <tableColumn id="2" xr3:uid="{00000000-0010-0000-0A00-000002000000}" name="Proj Desc 1" dataDxfId="632"/>
    <tableColumn id="4" xr3:uid="{00000000-0010-0000-0A00-000004000000}" name="Inc Rate" dataDxfId="631"/>
    <tableColumn id="5" xr3:uid="{00000000-0010-0000-0A00-000005000000}" name="EUL" dataDxfId="630"/>
    <tableColumn id="6" xr3:uid="{00000000-0010-0000-0A00-000006000000}" name="Measure Group" dataDxfId="629"/>
    <tableColumn id="7" xr3:uid="{00000000-0010-0000-0A00-000007000000}" name="Measure Subgroup 1" dataDxfId="628"/>
    <tableColumn id="8" xr3:uid="{00000000-0010-0000-0A00-000008000000}" name="Measure Subgroup 2" dataDxfId="627"/>
    <tableColumn id="9" xr3:uid="{00000000-0010-0000-0A00-000009000000}" name="Units" dataDxfId="626"/>
    <tableColumn id="10" xr3:uid="{00000000-0010-0000-0A00-00000A000000}" name="Order" dataDxfId="625"/>
    <tableColumn id="11" xr3:uid="{00000000-0010-0000-0A00-00000B000000}" name="End Use Category" dataDxfId="624"/>
    <tableColumn id="12" xr3:uid="{00000000-0010-0000-0A00-00000C000000}" name="Factor" dataDxfId="623"/>
    <tableColumn id="13" xr3:uid="{00000000-0010-0000-0A00-00000D000000}" name="Application Tab" dataDxfId="622"/>
    <tableColumn id="16" xr3:uid="{00000000-0010-0000-0A00-000010000000}" name="Unit of Measure" dataDxfId="621"/>
    <tableColumn id="3" xr3:uid="{0D8C0930-D52E-4387-AC83-9EF0A86BA0CD}" name="ntgValueElectric" dataDxfId="620"/>
    <tableColumn id="14" xr3:uid="{C4848217-675F-4D90-A00B-5BF17FB3090E}" name="ntgValueNatueralGas" dataDxfId="619"/>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11D164-CAC7-4255-B684-D4C3F9731DB3}" name="LIST_SubmissionMethod" displayName="LIST_SubmissionMethod" ref="X23:Z25" totalsRowShown="0">
  <autoFilter ref="X23:Z25" xr:uid="{8B90AAC4-D1E7-4F27-A10F-1F8AF9798D28}"/>
  <tableColumns count="3">
    <tableColumn id="1" xr3:uid="{606C1A9B-A0BB-451E-8CB6-37DD2DEDE80B}" name="Submission Method"/>
    <tableColumn id="2" xr3:uid="{AB66A9E5-93C7-4F88-83F4-6D3E9CC2071C}" name="Welcome Tab Instruction"/>
    <tableColumn id="3" xr3:uid="{DA2D4B82-D7F6-4C0E-AD03-B5BBB1ED43D2}" name="Submission Instruction"/>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21FE3B3-9EBD-47E5-AE14-398331AD6889}" name="SubmissionMethod32" displayName="SubmissionMethod32" ref="X27:Y32" totalsRowShown="0">
  <autoFilter ref="X27:Y32" xr:uid="{A21FE3B3-9EBD-47E5-AE14-398331AD6889}"/>
  <tableColumns count="2">
    <tableColumn id="1" xr3:uid="{0EE628A4-01EF-4474-9ABB-8B9803A4F702}" name="Submission Method"/>
    <tableColumn id="2" xr3:uid="{981E6835-73F2-418A-9D02-7EBA7D155842}" name="Instruction"/>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8B52B3E-EA44-4990-AA82-48537557BBC6}" name="Table_GasUtility_AccountNum" displayName="Table_GasUtility_AccountNum" ref="F58:I62" totalsRowShown="0" headerRowDxfId="481" headerRowBorderDxfId="480" tableBorderDxfId="479" totalsRowBorderDxfId="478">
  <autoFilter ref="F58:I62" xr:uid="{18B52B3E-EA44-4990-AA82-48537557BBC6}"/>
  <tableColumns count="4">
    <tableColumn id="1" xr3:uid="{F6DF8760-BF69-4F71-A65C-A5FC792E6BA1}" name="Gas Utility Name"/>
    <tableColumn id="2" xr3:uid="{2FC58EC8-A6CF-4244-BC34-083619EF0A99}" name="Total Digits"/>
    <tableColumn id="3" xr3:uid="{9E8293ED-D13A-4509-A14E-D42E20285721}" name="Without Leading 0s"/>
    <tableColumn id="4" xr3:uid="{6AFE231C-5AFC-44E8-B6D5-AF4ACB52000C}" name="Used" dataDxfId="477">
      <calculatedColumnFormula>IF(Table_GasUtility_AccountNum[[#This Row],[Without Leading 0s]]&gt;0,Table_GasUtility_AccountNum[[#This Row],[Without Leading 0s]],Table_GasUtility_AccountNum[[#This Row],[Total Digits]])</calculatedColumnFormula>
    </tableColumn>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314AAE7-387D-474D-A93E-E159701D74D1}" name="Table_ElecUtility_AccountNum" displayName="Table_ElecUtility_AccountNum" ref="F64:I68" totalsRowShown="0" headerRowDxfId="476" headerRowBorderDxfId="475" tableBorderDxfId="474" totalsRowBorderDxfId="473">
  <autoFilter ref="F64:I68" xr:uid="{1314AAE7-387D-474D-A93E-E159701D74D1}"/>
  <tableColumns count="4">
    <tableColumn id="1" xr3:uid="{1E5B9367-38C3-4C40-850C-4373F6A93D70}" name="Electric Utility Name"/>
    <tableColumn id="2" xr3:uid="{15C1FEEA-E28D-464E-9CB1-544B913413E1}" name="Total Digits"/>
    <tableColumn id="3" xr3:uid="{5778E117-7469-4394-9748-813786BEBE31}" name="Without Leading 0s" dataDxfId="472"/>
    <tableColumn id="4" xr3:uid="{9466F0B0-D502-4CC2-BA2F-CBFC94B34928}" name="Used" dataDxfId="471">
      <calculatedColumnFormula>IF(Table_ElecUtility_AccountNum[[#This Row],[Without Leading 0s]]&gt;0,Table_ElecUtility_AccountNum[[#This Row],[Without Leading 0s]],Table_ElecUtility_AccountNum[[#This Row],[Total Digits]])</calculatedColumnFormula>
    </tableColumn>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22EC3024-748E-4B40-921E-9D1E1D4FE707}" name="Table52" displayName="Table52" ref="A127:A129" totalsRowShown="0">
  <autoFilter ref="A127:A129" xr:uid="{41CDF8C1-FFF2-4401-BF7E-CD2E3E8DD384}"/>
  <tableColumns count="1">
    <tableColumn id="1" xr3:uid="{75F584BF-30DD-4939-88D7-E21D2E0C472C}" name="Payee Type"/>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EC1DF7DE-8DDC-41AB-9171-7773664EDA49}" name="BUILDINGTYPE" displayName="BUILDINGTYPE" ref="P38:Z81" totalsRowShown="0" headerRowDxfId="470">
  <autoFilter ref="P38:Z81" xr:uid="{EC1DF7DE-8DDC-41AB-9171-7773664EDA49}"/>
  <tableColumns count="11">
    <tableColumn id="1" xr3:uid="{6F2D471C-1D84-4CB4-BEC8-5FBEDA2A3857}" name="Project Level Building Type"/>
    <tableColumn id="2" xr3:uid="{3CD30176-1E31-41A4-90A0-A57C7BF3F69A}" name="Lighting TRM Building Equivalent" dataDxfId="469"/>
    <tableColumn id="3" xr3:uid="{F17CEB03-A306-45A8-8E09-B0CDD055260E}" name="Foodservice TRM Building Equivalent" dataDxfId="468"/>
    <tableColumn id="4" xr3:uid="{A28D0B60-F2CB-4A72-96AF-BADA941B7752}" name="Water Heating &amp; Boilers TRM Building Equivalent" dataDxfId="467"/>
    <tableColumn id="5" xr3:uid="{52C666B4-4491-4632-826F-B345541537A7}" name="HVAC TRM Building Equivalent"/>
    <tableColumn id="6" xr3:uid="{3F1537E3-2395-4714-A99D-7DB2100070CC}" name="HVAC_ECMHydro TRM Building Equivalent"/>
    <tableColumn id="7" xr3:uid="{8D6D25BD-3CD9-4D32-80D1-AACF68298DDF}" name="HVAC_ECMBlower TRM Building Equivalent"/>
    <tableColumn id="8" xr3:uid="{EAE9CE87-02AC-4CE6-BB5E-882E8BE9D48D}" name="NYTRM AppD Building Equivalent"/>
    <tableColumn id="9" xr3:uid="{648CB53A-0C8F-4F09-A980-2E3F6DE83442}" name="HVAC_Dual Enthalpy Economizer Building Equivalent"/>
    <tableColumn id="10" xr3:uid="{018FB3A8-7208-4AB2-8310-5AD4359BF272}" name="HVAC_Smart Thermostat Building Equivalent"/>
    <tableColumn id="11" xr3:uid="{BB43AE22-08FE-4606-941A-01AA8BD9A46E}" name="NYTRM AppG Building Equivalent"/>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E35D3529-44E8-4DDC-A16A-FF15C6F9B9B3}" name="Table87" displayName="Table87" ref="F27:G31" totalsRowShown="0">
  <autoFilter ref="F27:G31" xr:uid="{E35D3529-44E8-4DDC-A16A-FF15C6F9B9B3}"/>
  <tableColumns count="2">
    <tableColumn id="1" xr3:uid="{230CB204-1EFD-4F70-8FA5-D159B605262A}" name="Named Range"/>
    <tableColumn id="2" xr3:uid="{B64E9D33-0774-4162-A27B-CCA76F1DA6FD}" name="Text"/>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C60C1081-F657-4B37-9703-95E1B4D4E6D2}" name="Tbl_WhoFilling" displayName="Tbl_WhoFilling" ref="A136:A139" totalsRowShown="0">
  <autoFilter ref="A136:A139" xr:uid="{C60C1081-F657-4B37-9703-95E1B4D4E6D2}"/>
  <tableColumns count="1">
    <tableColumn id="1" xr3:uid="{EA678D36-7035-4FB2-B176-41365481B9E7}" name="Who is filling out the applicatio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CADA7C7-4F2C-4419-BC55-3B0958480CC0}" name="Tbl_SubProgramType" displayName="Tbl_SubProgramType" ref="A26:A31" totalsRowShown="0" headerRowDxfId="466" dataDxfId="464" headerRowBorderDxfId="465" tableBorderDxfId="463" totalsRowBorderDxfId="462">
  <autoFilter ref="A26:A31" xr:uid="{0CADA7C7-4F2C-4419-BC55-3B0958480CC0}"/>
  <tableColumns count="1">
    <tableColumn id="1" xr3:uid="{78DEEDB2-ED04-421B-BE30-B9138DCAF009}" name="SubProgram Type" dataDxfId="461"/>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90187EB9-F89E-45E3-BA27-F7E29DBB1C3C}" name="Tbl_CustomerType" displayName="Tbl_CustomerType" ref="F34:F40" totalsRowShown="0" headerRowDxfId="460" headerRowBorderDxfId="459" tableBorderDxfId="458" totalsRowBorderDxfId="457">
  <autoFilter ref="F34:F40" xr:uid="{90187EB9-F89E-45E3-BA27-F7E29DBB1C3C}"/>
  <tableColumns count="1">
    <tableColumn id="1" xr3:uid="{2621B01C-1BCD-4CB8-B31A-05B45EE8D1B5}" name="Customer Type" dataDxfId="45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D000000}" name="Tbl_Cust_HVAC" displayName="Tbl_Cust_HVAC" ref="B15:P20" totalsRowShown="0" headerRowDxfId="618" dataDxfId="617">
  <autoFilter ref="B15:P20" xr:uid="{00000000-0009-0000-0100-000020000000}"/>
  <sortState xmlns:xlrd2="http://schemas.microsoft.com/office/spreadsheetml/2017/richdata2" ref="B16:N20">
    <sortCondition ref="J15:J20"/>
  </sortState>
  <tableColumns count="15">
    <tableColumn id="1" xr3:uid="{00000000-0010-0000-0D00-000001000000}" name="Measure Number" dataDxfId="616"/>
    <tableColumn id="2" xr3:uid="{00000000-0010-0000-0D00-000002000000}" name="Proj Desc 1" dataDxfId="615"/>
    <tableColumn id="5" xr3:uid="{00000000-0010-0000-0D00-000005000000}" name="Inc Rate" dataDxfId="614"/>
    <tableColumn id="4" xr3:uid="{00000000-0010-0000-0D00-000004000000}" name="EUL" dataDxfId="613"/>
    <tableColumn id="6" xr3:uid="{00000000-0010-0000-0D00-000006000000}" name="Measure Group" dataDxfId="612"/>
    <tableColumn id="7" xr3:uid="{00000000-0010-0000-0D00-000007000000}" name="Measure Subgroup 1" dataDxfId="611"/>
    <tableColumn id="8" xr3:uid="{00000000-0010-0000-0D00-000008000000}" name="Measure Subgroup 2" dataDxfId="610"/>
    <tableColumn id="9" xr3:uid="{00000000-0010-0000-0D00-000009000000}" name="Units" dataDxfId="609"/>
    <tableColumn id="10" xr3:uid="{00000000-0010-0000-0D00-00000A000000}" name="Order" dataDxfId="608"/>
    <tableColumn id="11" xr3:uid="{00000000-0010-0000-0D00-00000B000000}" name="End Use Category" dataDxfId="607"/>
    <tableColumn id="12" xr3:uid="{00000000-0010-0000-0D00-00000C000000}" name="Factor" dataDxfId="606"/>
    <tableColumn id="13" xr3:uid="{00000000-0010-0000-0D00-00000D000000}" name="Application Tab" dataDxfId="605"/>
    <tableColumn id="16" xr3:uid="{00000000-0010-0000-0D00-000010000000}" name="Unit of Measure" dataDxfId="604"/>
    <tableColumn id="3" xr3:uid="{1379167A-B755-4EA2-B60D-0A53E2987AFE}" name="ntgValueElectric" dataDxfId="603"/>
    <tableColumn id="14" xr3:uid="{C993051D-9AC5-46DF-B68A-E552EDA53385}" name="ntgValueNatueralGas" dataDxfId="602"/>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4FB0513-55C8-4A52-B4A8-E3A4E17B511D}" name="Table2" displayName="Table2" ref="A141:A143" totalsRowShown="0">
  <autoFilter ref="A141:A143" xr:uid="{E4FB0513-55C8-4A52-B4A8-E3A4E17B511D}"/>
  <tableColumns count="1">
    <tableColumn id="1" xr3:uid="{38806F74-4858-4C64-AB2B-4EE83B07EE8D}" name="Draft Status Types"/>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121C672-5D78-415D-A78D-CBEA9A7ED47E}" name="Tbl_ContractorType" displayName="Tbl_ContractorType" ref="A120:A123" totalsRowShown="0">
  <autoFilter ref="A120:A123" xr:uid="{B121C672-5D78-415D-A78D-CBEA9A7ED47E}"/>
  <tableColumns count="1">
    <tableColumn id="1" xr3:uid="{733E1EB5-B37C-4DE1-B0CD-B62296A3AEC4}" name="Contractor Type"/>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CA4FE16-D6DA-4066-A5C5-F25927860CA9}" name="Table126" displayName="Table126" ref="A194:A200" totalsRowShown="0">
  <autoFilter ref="A194:A200" xr:uid="{0CA4FE16-D6DA-4066-A5C5-F25927860CA9}"/>
  <sortState xmlns:xlrd2="http://schemas.microsoft.com/office/spreadsheetml/2017/richdata2" ref="A195:A200">
    <sortCondition ref="A194:A200"/>
  </sortState>
  <tableColumns count="1">
    <tableColumn id="1" xr3:uid="{419D133E-6F79-4B7E-B7BF-80BECAB0387C}" name="Union Ancillary Cost"/>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5F0F17E-8874-40AA-BA4F-E114470BBFB3}" name="Table128" displayName="Table128" ref="C147:C153" totalsRowShown="0" dataDxfId="455">
  <autoFilter ref="C147:C153" xr:uid="{D5F0F17E-8874-40AA-BA4F-E114470BBFB3}"/>
  <tableColumns count="1">
    <tableColumn id="1" xr3:uid="{572E9594-7C7D-467B-860C-443575E04126}" name="End Uses" dataDxfId="454"/>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BC2A443-288B-47F8-A88F-62825456782A}" name="Table6" displayName="Table6" ref="A147:A191" totalsRowShown="0" headerRowDxfId="453" headerRowBorderDxfId="452" tableBorderDxfId="451" totalsRowBorderDxfId="450">
  <autoFilter ref="A147:A191" xr:uid="{2BC2A443-288B-47F8-A88F-62825456782A}"/>
  <tableColumns count="1">
    <tableColumn id="1" xr3:uid="{EA800D6D-A4E5-4B4A-9984-8029C3B6A651}" name="Project Level Building Type"/>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EACC4AC-A83A-40D8-AF4E-88CD62901952}" name="Table131" displayName="Table131" ref="A202:A207" totalsRowShown="0">
  <autoFilter ref="A202:A207" xr:uid="{7EACC4AC-A83A-40D8-AF4E-88CD62901952}"/>
  <sortState xmlns:xlrd2="http://schemas.microsoft.com/office/spreadsheetml/2017/richdata2" ref="A203:A207">
    <sortCondition ref="A202:A207"/>
  </sortState>
  <tableColumns count="1">
    <tableColumn id="1" xr3:uid="{40F6A6B5-7EAD-4B75-BDE2-3DC77E057288}" name="Unions"/>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C3ADFA0-8A42-4A7D-9965-9ADD7E9D25BF}" name="Table129" displayName="Table129" ref="A211:B222" totalsRowShown="0">
  <autoFilter ref="A211:B222" xr:uid="{BC3ADFA0-8A42-4A7D-9965-9ADD7E9D25BF}"/>
  <sortState xmlns:xlrd2="http://schemas.microsoft.com/office/spreadsheetml/2017/richdata2" ref="A212:B222">
    <sortCondition ref="A211:A222"/>
  </sortState>
  <tableColumns count="2">
    <tableColumn id="1" xr3:uid="{77A57638-1454-483E-89EB-D593792054E8}" name="Union Name"/>
    <tableColumn id="2" xr3:uid="{FAFB14A3-5CF3-4DD8-9CDC-E605595274AB}" name="Union Number"/>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BA22764-A24F-452A-A532-17F869BBB09E}" name="Table9" displayName="Table9" ref="A224:A245" totalsRowShown="0">
  <autoFilter ref="A224:A245" xr:uid="{6BA22764-A24F-452A-A532-17F869BBB09E}"/>
  <sortState xmlns:xlrd2="http://schemas.microsoft.com/office/spreadsheetml/2017/richdata2" ref="A225:A245">
    <sortCondition ref="A224:A245"/>
  </sortState>
  <tableColumns count="1">
    <tableColumn id="1" xr3:uid="{6BA7FE70-6EFC-4ACE-AC20-D62B86B574F8}" name="Counties"/>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82FFC59-A0FE-4411-9A63-A8447FE1BC1F}" name="Table13" displayName="Table13" ref="A111:A113" totalsRowShown="0">
  <autoFilter ref="A111:A113" xr:uid="{682FFC59-A0FE-4411-9A63-A8447FE1BC1F}"/>
  <tableColumns count="1">
    <tableColumn id="1" xr3:uid="{2CF6E564-8B76-4AE7-B315-B519B8F87F2B}" name="Baseline"/>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001DCDC-D354-4DBE-9D79-21BAEF30CD69}" name="Table133" displayName="Table133" ref="A249:C285" totalsRowShown="0">
  <autoFilter ref="A249:C285" xr:uid="{1001DCDC-D354-4DBE-9D79-21BAEF30CD69}"/>
  <tableColumns count="3">
    <tableColumn id="1" xr3:uid="{B872A8E8-131A-43CC-9D51-F44B93E00F22}" name="Year" dataDxfId="449" dataCellStyle="Normal 3"/>
    <tableColumn id="2" xr3:uid="{FB0C4325-A5BD-49D5-8BAD-500F886D778F}" name="StS Electric Factor" dataDxfId="448" dataCellStyle="Normal 3"/>
    <tableColumn id="3" xr3:uid="{0E5336B8-7E65-4643-8546-DE58753AEB52}" name="Sts Therm Factor" dataCellStyle="Normal 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2468635-4B03-464B-8863-5A053ADED964}" name="Tbl_Cust_Misc" displayName="Tbl_Cust_Misc" ref="B53:P58" totalsRowShown="0" headerRowDxfId="601" dataDxfId="599" headerRowBorderDxfId="600" tableBorderDxfId="598">
  <autoFilter ref="B53:P58" xr:uid="{22468635-4B03-464B-8863-5A053ADED964}"/>
  <tableColumns count="15">
    <tableColumn id="1" xr3:uid="{2E2B33DC-4498-4FBF-AB92-E537F556B0D0}" name="Measure Number" dataDxfId="597"/>
    <tableColumn id="3" xr3:uid="{2700F517-D5C2-46D3-90FF-E753167680F2}" name="Proj Desc 1" dataDxfId="596"/>
    <tableColumn id="5" xr3:uid="{7B0113A2-4638-4EE4-A4AC-E483187CDF38}" name="Inc Rate" dataDxfId="595"/>
    <tableColumn id="6" xr3:uid="{A72F2A4E-C495-4157-855E-B52131EF9457}" name="EUL" dataDxfId="594"/>
    <tableColumn id="7" xr3:uid="{12312451-1C61-4C4C-A1EC-C9F0F134012B}" name="Measure Group" dataDxfId="593"/>
    <tableColumn id="8" xr3:uid="{D4A4D66F-3881-4BB5-A35A-D83F74866B13}" name="Measure Subgroup 1" dataDxfId="592"/>
    <tableColumn id="9" xr3:uid="{5E6A3828-21FD-4A20-BE0C-85CBFD3F4818}" name="Measure Subgroup 2" dataDxfId="591"/>
    <tableColumn id="10" xr3:uid="{76EC676A-53E8-48CB-9962-719D6B807D33}" name="Units" dataDxfId="590"/>
    <tableColumn id="11" xr3:uid="{2C351935-1381-4E1E-9D7B-57AE6F3AD4F1}" name="Order" dataDxfId="589"/>
    <tableColumn id="12" xr3:uid="{BDF052DE-BBC9-4DE0-8CB0-837B2426A1A9}" name="End Use Category" dataDxfId="588"/>
    <tableColumn id="13" xr3:uid="{D681399C-0D4F-4F3F-9306-8F54B349DB0E}" name="Factor" dataDxfId="587"/>
    <tableColumn id="15" xr3:uid="{97A5E7EC-BFB0-436F-B5A1-33AD92B81F58}" name="Application Tab" dataDxfId="586"/>
    <tableColumn id="16" xr3:uid="{039319D5-CB9E-4D7B-957C-3011C78D7EEE}" name="Unit of Measure" dataDxfId="585"/>
    <tableColumn id="2" xr3:uid="{D266F862-9057-4DD9-B665-7381D3EE6362}" name="ntgValueElectric" dataDxfId="584"/>
    <tableColumn id="4" xr3:uid="{DAF63BB0-5ECC-4124-B4F6-157349D6ABD1}" name="ntgValueNatueralGas" dataDxfId="583"/>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D076591-881D-4D19-BF5C-3298A4E4EB41}" name="Table134" displayName="Table134" ref="A289:B291" totalsRowShown="0">
  <autoFilter ref="A289:B291" xr:uid="{0D076591-881D-4D19-BF5C-3298A4E4EB41}"/>
  <tableColumns count="2">
    <tableColumn id="1" xr3:uid="{5D4FB90F-2691-4941-87C9-31D47E79580D}" name="Conversion Factors" dataDxfId="447"/>
    <tableColumn id="2" xr3:uid="{5A62ADCD-DC85-4529-91C2-8C85DBB3E395}" name="Facto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E57D37-0B8E-4646-93AA-677725C98E02}" name="Tbl_Cust_Food" displayName="Tbl_Cust_Food" ref="B35:P36" totalsRowShown="0" headerRowDxfId="582" dataDxfId="581">
  <autoFilter ref="B35:P36" xr:uid="{62E57D37-0B8E-4646-93AA-677725C98E02}"/>
  <sortState xmlns:xlrd2="http://schemas.microsoft.com/office/spreadsheetml/2017/richdata2" ref="B36:N36">
    <sortCondition ref="J27:J28"/>
  </sortState>
  <tableColumns count="15">
    <tableColumn id="1" xr3:uid="{38A8E996-EECD-4D8E-BD28-BC1AF5D3B222}" name="Measure Number" dataDxfId="580"/>
    <tableColumn id="2" xr3:uid="{25CDCC10-5538-4D0D-8648-7CA8B7375472}" name="Proj Desc 1" dataDxfId="579"/>
    <tableColumn id="4" xr3:uid="{D834AB62-68E1-429E-8A16-4AF5BABE05AF}" name="Inc Rate" dataDxfId="578"/>
    <tableColumn id="5" xr3:uid="{A51BCB05-D1E5-4AC7-A1EE-74E9360C7F18}" name="EUL" dataDxfId="577"/>
    <tableColumn id="6" xr3:uid="{F7E25540-11F6-44FA-94A2-ED56A841BF4B}" name="Measure Group" dataDxfId="576"/>
    <tableColumn id="7" xr3:uid="{9D9DA0FF-CD63-4CE4-836A-2E1BACCCF876}" name="Measure Subgroup 1" dataDxfId="575"/>
    <tableColumn id="8" xr3:uid="{A51E6AB8-81DE-426F-B703-A450BF3812F3}" name="Measure Subgroup 2" dataDxfId="574"/>
    <tableColumn id="9" xr3:uid="{F7E4BBEE-6570-45AF-8811-FECB67532D1B}" name="Units" dataDxfId="573"/>
    <tableColumn id="10" xr3:uid="{3DC9024F-E2B0-4049-8D41-045953700768}" name="Order" dataDxfId="572"/>
    <tableColumn id="11" xr3:uid="{EBC2F64E-0181-475D-9031-7846F79ABE8A}" name="End Use Category" dataDxfId="571"/>
    <tableColumn id="12" xr3:uid="{42D5F0A7-3153-4590-A24F-A03EEAE7098E}" name="Factor" dataDxfId="570"/>
    <tableColumn id="13" xr3:uid="{51411EA7-69D3-40C0-8DD9-6E9242DFEF00}" name="Application Tab" dataDxfId="569"/>
    <tableColumn id="16" xr3:uid="{80B4CE09-7E14-4022-83EF-7E0E3E5882CF}" name="Unit of Measure" dataDxfId="568"/>
    <tableColumn id="3" xr3:uid="{15B3F001-8954-40F3-8D82-A26EBAB57A5F}" name="ntgValueElectric" dataDxfId="567"/>
    <tableColumn id="14" xr3:uid="{B5242D86-18BC-4BD6-B687-21D044B65C0E}" name="ntgValueNatueralGas" dataDxfId="56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3022E59-03B3-4D32-81F2-B033DF72C9F0}" name="Tbl_Cust_Res" displayName="Tbl_Cust_Res" ref="B49:P50" totalsRowShown="0" headerRowDxfId="565" dataDxfId="564">
  <autoFilter ref="B49:P50" xr:uid="{C3022E59-03B3-4D32-81F2-B033DF72C9F0}"/>
  <sortState xmlns:xlrd2="http://schemas.microsoft.com/office/spreadsheetml/2017/richdata2" ref="B50:N58">
    <sortCondition ref="J54:J63"/>
  </sortState>
  <tableColumns count="15">
    <tableColumn id="1" xr3:uid="{850047EC-EC4D-4BEC-80A4-E580A50191F3}" name="Measure Number" dataDxfId="563"/>
    <tableColumn id="2" xr3:uid="{750A3AE2-3053-4F4F-BAFD-737EDA6D044C}" name="Proj Desc 1" dataDxfId="562"/>
    <tableColumn id="4" xr3:uid="{679AA3D4-56F2-4622-AC26-BE6CB2EA9768}" name="Inc Rate" dataDxfId="561"/>
    <tableColumn id="5" xr3:uid="{7F8F6F75-2558-4430-B6B4-5AC980454915}" name="EUL" dataDxfId="560"/>
    <tableColumn id="6" xr3:uid="{91C32F3E-AEB2-4DD5-B7B7-4E7319676915}" name="Measure Group" dataDxfId="559"/>
    <tableColumn id="7" xr3:uid="{EFA03EA0-A31D-4C2E-B933-7EB0ECAA5F58}" name="Measure Subgroup 1" dataDxfId="558"/>
    <tableColumn id="8" xr3:uid="{872C5202-A226-4CED-B185-5710ECFF3681}" name="Measure Subgroup 2" dataDxfId="557"/>
    <tableColumn id="9" xr3:uid="{484A9DE9-0840-481D-8A55-392C14F81362}" name="Units" dataDxfId="556"/>
    <tableColumn id="10" xr3:uid="{D777F58E-AD81-4638-B3D7-D9B855FEED91}" name="Order" dataDxfId="555"/>
    <tableColumn id="11" xr3:uid="{A6BE9BC2-99B0-4D87-8714-519D9CD3DF65}" name="End Use Category" dataDxfId="554"/>
    <tableColumn id="12" xr3:uid="{5D470636-57B2-4172-9F08-3A1EBEA14803}" name="Factor" dataDxfId="553"/>
    <tableColumn id="13" xr3:uid="{C2C81757-C1B7-4958-85BC-4673C38A0182}" name="Application Tab" dataDxfId="552"/>
    <tableColumn id="16" xr3:uid="{A180F633-643D-487D-A064-B99EF4D91B12}" name="Unit of Measure" dataDxfId="551"/>
    <tableColumn id="3" xr3:uid="{F3877BE5-54D6-4ACA-B3ED-A85105DFEF93}" name="ntgValueElectric" dataDxfId="550"/>
    <tableColumn id="14" xr3:uid="{35C965EB-3BDB-4F3D-B08F-209541671A1E}" name="ntgValueNatueralGas" dataDxfId="54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F3A8B7-3CE4-4397-9982-BD6AF9C563A3}" name="Tbl_Cust_Plug" displayName="Tbl_Cust_Plug" ref="B45:P46" totalsRowShown="0" headerRowDxfId="548" dataDxfId="547">
  <autoFilter ref="B45:P46" xr:uid="{5DF3A8B7-3CE4-4397-9982-BD6AF9C563A3}"/>
  <sortState xmlns:xlrd2="http://schemas.microsoft.com/office/spreadsheetml/2017/richdata2" ref="B46:N51">
    <sortCondition ref="J54:J63"/>
  </sortState>
  <tableColumns count="15">
    <tableColumn id="1" xr3:uid="{F85039A2-8527-46E4-948F-18F0B1631043}" name="Measure Number" dataDxfId="546"/>
    <tableColumn id="2" xr3:uid="{0BA6E083-937E-4E26-9CD1-745E0C9CB6A3}" name="Proj Desc 1" dataDxfId="545"/>
    <tableColumn id="4" xr3:uid="{35AC0BB2-0776-40AF-B4C2-1C47E8F075B5}" name="Inc Rate" dataDxfId="544"/>
    <tableColumn id="5" xr3:uid="{A1B81239-951F-455A-8AE4-DAED651D848A}" name="EUL" dataDxfId="543"/>
    <tableColumn id="6" xr3:uid="{ACF5ED61-892A-4D8C-9C90-309C7D7AA00E}" name="Measure Group" dataDxfId="542"/>
    <tableColumn id="7" xr3:uid="{8BD10E83-D50B-43B4-99C2-60D8E55548C4}" name="Measure Subgroup 1" dataDxfId="541"/>
    <tableColumn id="8" xr3:uid="{D3EEF3CD-B885-4B33-BC9C-74A9A2218E53}" name="Measure Subgroup 2" dataDxfId="540"/>
    <tableColumn id="9" xr3:uid="{E8FCAFD2-31C7-4F30-BB38-079C8B4A820B}" name="Units" dataDxfId="539"/>
    <tableColumn id="10" xr3:uid="{B5AB5A86-D9D7-44F4-98AF-B1C0E7D9AB81}" name="Order" dataDxfId="538"/>
    <tableColumn id="11" xr3:uid="{399F195F-23BA-4AE7-8245-124B7B6D82EE}" name="End Use Category" dataDxfId="537"/>
    <tableColumn id="12" xr3:uid="{579F7AD6-61C2-4A7F-A1CE-4680F2AA1D72}" name="Factor" dataDxfId="536"/>
    <tableColumn id="13" xr3:uid="{B46C0FC0-C9AB-40D7-B8B5-999E85CCCD5C}" name="Application Tab" dataDxfId="535"/>
    <tableColumn id="16" xr3:uid="{1DF6EAF8-C46D-4328-A555-673C19727D9B}" name="Unit of Measure" dataDxfId="534"/>
    <tableColumn id="3" xr3:uid="{25216002-3D83-4DB9-B327-6B0280F58C26}" name="ntgValueElectric" dataDxfId="533"/>
    <tableColumn id="14" xr3:uid="{D18D69A2-51B1-4A54-A30E-A96B16133504}" name="ntgValueNatueralGas" dataDxfId="53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14580A5-1818-4828-88AD-1AB59FDA433A}" name="Tbl_Cust_Ag" displayName="Tbl_Cust_Ag" ref="B39:P42" totalsRowShown="0" headerRowDxfId="531" dataDxfId="530">
  <autoFilter ref="B39:P42" xr:uid="{614580A5-1818-4828-88AD-1AB59FDA433A}"/>
  <sortState xmlns:xlrd2="http://schemas.microsoft.com/office/spreadsheetml/2017/richdata2" ref="B40:N47">
    <sortCondition ref="J56:J65"/>
  </sortState>
  <tableColumns count="15">
    <tableColumn id="1" xr3:uid="{61927962-527B-4701-8B7A-3DC2530C9EE4}" name="Measure Number" dataDxfId="529"/>
    <tableColumn id="2" xr3:uid="{5CABDCC8-5A55-41C4-B86E-A7F0A5D81494}" name="Proj Desc 1" dataDxfId="528"/>
    <tableColumn id="4" xr3:uid="{ABAE919C-C5FA-4B8B-A629-6D05ADF5F1B2}" name="Inc Rate" dataDxfId="527"/>
    <tableColumn id="5" xr3:uid="{A036D600-9E8B-42A8-B73A-555097F23BB0}" name="EUL" dataDxfId="526"/>
    <tableColumn id="6" xr3:uid="{3C9CEFAE-4E5D-4A92-ABD8-124998EC62CC}" name="Measure Group" dataDxfId="525"/>
    <tableColumn id="7" xr3:uid="{D5B100DF-0EA3-4FB5-9ADF-43F8F06EE760}" name="Measure Subgroup 1" dataDxfId="524"/>
    <tableColumn id="8" xr3:uid="{F945D736-6A7D-4DC1-9314-8E7868166ABF}" name="Measure Subgroup 2" dataDxfId="523"/>
    <tableColumn id="9" xr3:uid="{21C57863-4FD5-46E4-950A-7F478D8A0385}" name="Units" dataDxfId="522"/>
    <tableColumn id="10" xr3:uid="{98498A85-F2BD-473E-8813-2BD87A20E730}" name="Order" dataDxfId="521"/>
    <tableColumn id="11" xr3:uid="{7D98517A-E50B-4D04-B2B8-2B37272FF07C}" name="End Use Category" dataDxfId="520"/>
    <tableColumn id="12" xr3:uid="{FDAD8F3F-DE12-4CEC-ACF5-39EC3DF283BC}" name="Factor" dataDxfId="519"/>
    <tableColumn id="13" xr3:uid="{1DB18BBF-2839-4BD3-ACDE-0674D842666C}" name="Application Tab" dataDxfId="518"/>
    <tableColumn id="16" xr3:uid="{3D5759C1-3DB4-49DD-93FE-3A2B1912CDE1}" name="Unit of Measure" dataDxfId="517"/>
    <tableColumn id="3" xr3:uid="{5520CB2A-63D1-459A-9650-6276835898B5}" name="ntgValueElectric" dataDxfId="516"/>
    <tableColumn id="14" xr3:uid="{E341DA02-E622-49BB-9410-DB3285973249}" name="ntgValueNatueralGas" dataDxfId="51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0" dT="2022-07-08T22:09:58.20" personId="{1B8D554D-4854-42AC-96D0-73082FA3C628}" id="{E990F967-8BC8-4EE6-B9C6-722E4F97D700}">
    <text>need to update hyperlinks here to correct tabs</text>
  </threadedComment>
  <threadedComment ref="B58" dT="2022-07-18T15:32:22.00" personId="{1B3B201F-DA3F-4D72-A7F3-7EBCDB367C0B}" id="{4B2E61C4-67F0-47F4-A3F7-C3FF484164F2}">
    <text>"On-Bill Repayment" Repayment Agreement
Redundant "Repayment"?</text>
  </threadedComment>
  <threadedComment ref="G84" dT="2022-07-12T23:03:23.36" personId="{1B3B201F-DA3F-4D72-A7F3-7EBCDB367C0B}" id="{C750EF1C-7BD7-4EA8-8068-C8585F7C86D7}">
    <text>I messed with this cell incase someone wants to review. Before it was set to always TRUE</text>
  </threadedComment>
  <threadedComment ref="G97" dT="2022-07-12T23:52:09.61" personId="{1B3B201F-DA3F-4D72-A7F3-7EBCDB367C0B}" id="{383B1F31-3E21-4B5E-92FB-DED7D1E98FAE}">
    <text>Does the "Same as Service Address" Autofill the Mailing Address, or should the answer to that question make these inputs no longer required?</text>
  </threadedComment>
  <threadedComment ref="G97" dT="2022-07-13T20:36:12.88" personId="{14F22BAB-C789-4F8E-823C-A8FE37696F4E}" id="{C42C9201-B3D7-4E71-8CB7-D60BBACB12E9}" parentId="{383B1F31-3E21-4B5E-92FB-DED7D1E98FAE}">
    <text>It should autofill (equations *should* be to the right, but I may still need to add them)</text>
  </threadedComment>
</ThreadedComments>
</file>

<file path=xl/threadedComments/threadedComment2.xml><?xml version="1.0" encoding="utf-8"?>
<ThreadedComments xmlns="http://schemas.microsoft.com/office/spreadsheetml/2018/threadedcomments" xmlns:x="http://schemas.openxmlformats.org/spreadsheetml/2006/main">
  <threadedComment ref="X40" dT="2022-06-27T20:01:09.08" personId="{1B3B201F-DA3F-4D72-A7F3-7EBCDB367C0B}" id="{338D3AD4-B600-4BB6-BD35-6130F0EA816F}">
    <text>Using "Other", as there is no equivalient to this</text>
  </threadedComment>
  <threadedComment ref="X42" dT="2022-06-27T20:01:09.08" personId="{1B3B201F-DA3F-4D72-A7F3-7EBCDB367C0B}" id="{518E6FFD-EC43-4AD7-8EEA-C270EEED36BF}">
    <text>Using "Other", as there is no equivalient to this</text>
  </threadedComment>
  <threadedComment ref="X43" dT="2022-06-27T20:01:09.08" personId="{1B3B201F-DA3F-4D72-A7F3-7EBCDB367C0B}" id="{8348B579-F40D-4D5D-B82E-586F383FE6AC}">
    <text>Using "Other", as there is no equivalient to this</text>
  </threadedComment>
  <threadedComment ref="X45" dT="2022-06-27T20:01:09.08" personId="{1B3B201F-DA3F-4D72-A7F3-7EBCDB367C0B}" id="{3A398A75-1BA9-4A66-8DB8-C078617E897B}">
    <text>Using "Other", as there is no equivalient to this</text>
  </threadedComment>
  <threadedComment ref="X46" dT="2022-06-27T20:01:09.08" personId="{1B3B201F-DA3F-4D72-A7F3-7EBCDB367C0B}" id="{E130CDBA-B7D7-41A2-9B1E-682F7644A698}">
    <text>Using "Other", as there is no equivalient to this</text>
  </threadedComment>
  <threadedComment ref="X47" dT="2022-06-27T20:01:09.08" personId="{1B3B201F-DA3F-4D72-A7F3-7EBCDB367C0B}" id="{D58135E7-6CE9-4DBE-B156-49F0F8778A94}">
    <text>Using "Other", as there is no equivalient to this</text>
  </threadedComment>
  <threadedComment ref="X48" dT="2022-06-27T20:01:09.08" personId="{1B3B201F-DA3F-4D72-A7F3-7EBCDB367C0B}" id="{316973D2-3A26-4F63-A308-81BB312DE220}">
    <text>Using "Other", as there is no equivalient to this</text>
  </threadedComment>
  <threadedComment ref="X49" dT="2022-06-27T20:01:09.08" personId="{1B3B201F-DA3F-4D72-A7F3-7EBCDB367C0B}" id="{594A448B-FE03-4C59-B5FF-BE6D3D8A539B}">
    <text>Using "Other", as there is no equivalient to this</text>
  </threadedComment>
  <threadedComment ref="A65" dT="2022-05-25T19:39:37.93" personId="{1B8D554D-4854-42AC-96D0-73082FA3C628}" id="{4B0E2096-3323-4382-B363-F92E116732CF}">
    <text>Needs updates for PSE&amp;G</text>
  </threadedComment>
  <threadedComment ref="T69" dT="2022-06-27T20:01:09.08" personId="{1B3B201F-DA3F-4D72-A7F3-7EBCDB367C0B}" id="{59374C27-EEE0-49B6-9E4E-3174925DEE5D}">
    <text>Using "Other", as there is no equivalient to this</text>
  </threadedComment>
  <threadedComment ref="W69" dT="2022-06-27T20:01:09.08" personId="{1B3B201F-DA3F-4D72-A7F3-7EBCDB367C0B}" id="{801A00C7-FDDB-40F8-8560-34C7720FD2D2}">
    <text>Using "Other", as there is no equivalient to this</text>
  </threadedComment>
  <threadedComment ref="X69" dT="2022-06-27T20:01:09.08" personId="{1B3B201F-DA3F-4D72-A7F3-7EBCDB367C0B}" id="{7EE39EC9-73E0-4C40-9301-8C29DCF745BA}">
    <text>Using "Other", as there is no equivalient to this</text>
  </threadedComment>
  <threadedComment ref="X74" dT="2022-06-27T20:01:09.08" personId="{1B3B201F-DA3F-4D72-A7F3-7EBCDB367C0B}" id="{260106F5-A0E2-4704-A21D-67343D585641}">
    <text>Using "Other", as there is no equivalient to this</text>
  </threadedComment>
  <threadedComment ref="A76" dT="2022-05-25T19:39:22.28" personId="{1B8D554D-4854-42AC-96D0-73082FA3C628}" id="{3FD4249C-B0F7-452D-9BD5-9A19702DA20A}">
    <text>needs updates for PSE&amp;G</text>
  </threadedComment>
  <threadedComment ref="X76" dT="2022-06-27T20:01:09.08" personId="{1B3B201F-DA3F-4D72-A7F3-7EBCDB367C0B}" id="{2D408385-400F-4B6B-AE30-EB305CA1C41E}">
    <text>Using "Other", as there is no equivalient to this</text>
  </threadedComment>
  <threadedComment ref="X77" dT="2022-06-27T20:01:09.08" personId="{1B3B201F-DA3F-4D72-A7F3-7EBCDB367C0B}" id="{37587403-43F5-4C07-A266-41E4AA2995CB}">
    <text>Using "Other", as there is no equivalient to this</text>
  </threadedComment>
  <threadedComment ref="X78" dT="2022-06-27T20:01:09.08" personId="{1B3B201F-DA3F-4D72-A7F3-7EBCDB367C0B}" id="{35891301-B990-490B-9AB9-28D9CDEB8581}">
    <text>Using "Other", as there is no equivalient to this</text>
  </threadedComment>
  <threadedComment ref="X80" dT="2022-06-27T20:01:09.08" personId="{1B3B201F-DA3F-4D72-A7F3-7EBCDB367C0B}" id="{52474B36-5555-4437-8997-57DF5D333E5E}">
    <text>Using "Other", as there is no equivalient to this</text>
  </threadedComment>
  <threadedComment ref="Y81" dT="2022-07-22T19:22:55.02" personId="{1B3B201F-DA3F-4D72-A7F3-7EBCDB367C0B}" id="{FB0A805E-FABA-45AF-AB82-03110E58C9A0}">
    <text>"Warehouse - Refrigerated" exists, but the cooling hours are far greater.</text>
  </threadedComment>
  <threadedComment ref="C131" dT="2022-05-25T16:19:16.25" personId="{1B8D554D-4854-42AC-96D0-73082FA3C628}" id="{1380CAF0-FE68-4615-A88F-5CD698865CE3}">
    <text>@Rush, Meaghan add your space conditioning needs here</text>
    <mentions>
      <mention mentionpersonId="{8EE0FF9A-6ECD-41B9-9893-51B6452ABB5D}" mentionId="{DD0B36CD-AFF0-4F18-A8D1-679C5039AEF9}" startIndex="0" length="14"/>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CR1" dT="2022-07-14T13:38:37.41" personId="{1B3B201F-DA3F-4D72-A7F3-7EBCDB367C0B}" id="{2117BAF8-735A-4A1C-B340-628263BF547D}">
    <text>Category</text>
  </threadedComment>
  <threadedComment ref="CT1" dT="2022-07-14T13:38:47.16" personId="{1B3B201F-DA3F-4D72-A7F3-7EBCDB367C0B}" id="{C14F1EA7-F32F-4062-82E9-14E5EE0BFE2F}">
    <text>Sub-Category</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13" Type="http://schemas.openxmlformats.org/officeDocument/2006/relationships/table" Target="../tables/table20.xml"/><Relationship Id="rId18" Type="http://schemas.openxmlformats.org/officeDocument/2006/relationships/table" Target="../tables/table25.xml"/><Relationship Id="rId26" Type="http://schemas.openxmlformats.org/officeDocument/2006/relationships/table" Target="../tables/table33.xml"/><Relationship Id="rId39" Type="http://schemas.openxmlformats.org/officeDocument/2006/relationships/table" Target="../tables/table46.xml"/><Relationship Id="rId21" Type="http://schemas.openxmlformats.org/officeDocument/2006/relationships/table" Target="../tables/table28.xml"/><Relationship Id="rId34" Type="http://schemas.openxmlformats.org/officeDocument/2006/relationships/table" Target="../tables/table41.xml"/><Relationship Id="rId42" Type="http://schemas.openxmlformats.org/officeDocument/2006/relationships/table" Target="../tables/table49.xml"/><Relationship Id="rId7" Type="http://schemas.openxmlformats.org/officeDocument/2006/relationships/table" Target="../tables/table14.xml"/><Relationship Id="rId2" Type="http://schemas.openxmlformats.org/officeDocument/2006/relationships/hyperlink" Target="https://bizsaveportal.pseg.com/" TargetMode="External"/><Relationship Id="rId16" Type="http://schemas.openxmlformats.org/officeDocument/2006/relationships/table" Target="../tables/table23.xml"/><Relationship Id="rId29" Type="http://schemas.openxmlformats.org/officeDocument/2006/relationships/table" Target="../tables/table36.xml"/><Relationship Id="rId1" Type="http://schemas.openxmlformats.org/officeDocument/2006/relationships/hyperlink" Target="mailto:PSEGenergysaver@TRCcompanies.com" TargetMode="External"/><Relationship Id="rId6" Type="http://schemas.openxmlformats.org/officeDocument/2006/relationships/table" Target="../tables/table13.xml"/><Relationship Id="rId11" Type="http://schemas.openxmlformats.org/officeDocument/2006/relationships/table" Target="../tables/table18.xml"/><Relationship Id="rId24" Type="http://schemas.openxmlformats.org/officeDocument/2006/relationships/table" Target="../tables/table31.xml"/><Relationship Id="rId32" Type="http://schemas.openxmlformats.org/officeDocument/2006/relationships/table" Target="../tables/table39.xml"/><Relationship Id="rId37" Type="http://schemas.openxmlformats.org/officeDocument/2006/relationships/table" Target="../tables/table44.xml"/><Relationship Id="rId40" Type="http://schemas.openxmlformats.org/officeDocument/2006/relationships/table" Target="../tables/table47.xml"/><Relationship Id="rId45" Type="http://schemas.microsoft.com/office/2017/10/relationships/threadedComment" Target="../threadedComments/threadedComment2.xml"/><Relationship Id="rId5" Type="http://schemas.openxmlformats.org/officeDocument/2006/relationships/table" Target="../tables/table12.xml"/><Relationship Id="rId15" Type="http://schemas.openxmlformats.org/officeDocument/2006/relationships/table" Target="../tables/table22.xml"/><Relationship Id="rId23" Type="http://schemas.openxmlformats.org/officeDocument/2006/relationships/table" Target="../tables/table30.xml"/><Relationship Id="rId28" Type="http://schemas.openxmlformats.org/officeDocument/2006/relationships/table" Target="../tables/table35.xml"/><Relationship Id="rId36" Type="http://schemas.openxmlformats.org/officeDocument/2006/relationships/table" Target="../tables/table43.xml"/><Relationship Id="rId10" Type="http://schemas.openxmlformats.org/officeDocument/2006/relationships/table" Target="../tables/table17.xml"/><Relationship Id="rId19" Type="http://schemas.openxmlformats.org/officeDocument/2006/relationships/table" Target="../tables/table26.xml"/><Relationship Id="rId31" Type="http://schemas.openxmlformats.org/officeDocument/2006/relationships/table" Target="../tables/table38.xml"/><Relationship Id="rId44" Type="http://schemas.openxmlformats.org/officeDocument/2006/relationships/comments" Target="../comments2.xml"/><Relationship Id="rId4" Type="http://schemas.openxmlformats.org/officeDocument/2006/relationships/vmlDrawing" Target="../drawings/vmlDrawing2.vml"/><Relationship Id="rId9" Type="http://schemas.openxmlformats.org/officeDocument/2006/relationships/table" Target="../tables/table16.xml"/><Relationship Id="rId14" Type="http://schemas.openxmlformats.org/officeDocument/2006/relationships/table" Target="../tables/table21.xml"/><Relationship Id="rId22" Type="http://schemas.openxmlformats.org/officeDocument/2006/relationships/table" Target="../tables/table29.xml"/><Relationship Id="rId27" Type="http://schemas.openxmlformats.org/officeDocument/2006/relationships/table" Target="../tables/table34.xml"/><Relationship Id="rId30" Type="http://schemas.openxmlformats.org/officeDocument/2006/relationships/table" Target="../tables/table37.xml"/><Relationship Id="rId35" Type="http://schemas.openxmlformats.org/officeDocument/2006/relationships/table" Target="../tables/table42.xml"/><Relationship Id="rId43" Type="http://schemas.openxmlformats.org/officeDocument/2006/relationships/table" Target="../tables/table50.xml"/><Relationship Id="rId8" Type="http://schemas.openxmlformats.org/officeDocument/2006/relationships/table" Target="../tables/table15.xml"/><Relationship Id="rId3" Type="http://schemas.openxmlformats.org/officeDocument/2006/relationships/printerSettings" Target="../printerSettings/printerSettings12.bin"/><Relationship Id="rId12" Type="http://schemas.openxmlformats.org/officeDocument/2006/relationships/table" Target="../tables/table19.xml"/><Relationship Id="rId17" Type="http://schemas.openxmlformats.org/officeDocument/2006/relationships/table" Target="../tables/table24.xml"/><Relationship Id="rId25" Type="http://schemas.openxmlformats.org/officeDocument/2006/relationships/table" Target="../tables/table32.xml"/><Relationship Id="rId33" Type="http://schemas.openxmlformats.org/officeDocument/2006/relationships/table" Target="../tables/table40.xml"/><Relationship Id="rId38" Type="http://schemas.openxmlformats.org/officeDocument/2006/relationships/table" Target="../tables/table45.xml"/><Relationship Id="rId20" Type="http://schemas.openxmlformats.org/officeDocument/2006/relationships/table" Target="../tables/table27.xml"/><Relationship Id="rId41" Type="http://schemas.openxmlformats.org/officeDocument/2006/relationships/table" Target="../tables/table4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eia.gov/tools/faqs/faq.php?id=74&amp;t=11" TargetMode="Externa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mailto:businessrebates@evergy.com" TargetMode="External"/><Relationship Id="rId6" Type="http://schemas.openxmlformats.org/officeDocument/2006/relationships/drawing" Target="../drawings/drawing25.xml"/><Relationship Id="rId5" Type="http://schemas.openxmlformats.org/officeDocument/2006/relationships/printerSettings" Target="../printerSettings/printerSettings28.bin"/><Relationship Id="rId4" Type="http://schemas.openxmlformats.org/officeDocument/2006/relationships/hyperlink" Target="http://www.bizsave.pseg.com/" TargetMode="Externa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3.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7.xml"/><Relationship Id="rId1" Type="http://schemas.openxmlformats.org/officeDocument/2006/relationships/printerSettings" Target="../printerSettings/printerSettings30.bin"/><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34.bin"/><Relationship Id="rId4" Type="http://schemas.microsoft.com/office/2017/10/relationships/threadedComment" Target="../threadedComments/threadedComment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bizsave.pseg.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test@gmail.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theme="3"/>
  </sheetPr>
  <dimension ref="A1:AQ302"/>
  <sheetViews>
    <sheetView showGridLines="0" zoomScaleNormal="100" workbookViewId="0">
      <selection activeCell="E75" sqref="E75"/>
    </sheetView>
  </sheetViews>
  <sheetFormatPr defaultColWidth="1.5703125" defaultRowHeight="15.75"/>
  <cols>
    <col min="1" max="1" width="13.42578125" style="4" bestFit="1" customWidth="1"/>
    <col min="2" max="2" width="16.5703125" style="4" bestFit="1" customWidth="1"/>
    <col min="3" max="3" width="8.42578125" style="4" bestFit="1" customWidth="1"/>
    <col min="4" max="4" width="10.5703125" style="4" customWidth="1"/>
    <col min="5" max="5" width="103.42578125" style="4" customWidth="1"/>
    <col min="6" max="6" width="4.42578125" customWidth="1"/>
    <col min="7" max="7" width="7" customWidth="1"/>
    <col min="8" max="8" width="7.42578125" customWidth="1"/>
  </cols>
  <sheetData>
    <row r="1" spans="1:43" ht="24">
      <c r="A1" s="121" t="s">
        <v>0</v>
      </c>
      <c r="B1" s="121"/>
      <c r="C1" s="121"/>
      <c r="D1" s="121"/>
      <c r="E1" s="121"/>
      <c r="G1" s="2" t="s">
        <v>1</v>
      </c>
    </row>
    <row r="2" spans="1:43" ht="15" customHeight="1">
      <c r="A2" s="2" t="s">
        <v>2</v>
      </c>
      <c r="B2" s="485" t="str">
        <f>VERSION</f>
        <v>V1.0          Effective Date 1/1/25</v>
      </c>
      <c r="C2" s="121"/>
      <c r="D2" s="121"/>
      <c r="E2" s="121"/>
      <c r="G2" t="s">
        <v>3</v>
      </c>
      <c r="H2" t="s">
        <v>4</v>
      </c>
    </row>
    <row r="3" spans="1:43" ht="15.75" customHeight="1">
      <c r="A3" s="121"/>
      <c r="B3" s="121"/>
      <c r="C3" s="121"/>
      <c r="D3" s="121"/>
      <c r="E3" s="121"/>
      <c r="G3" t="s">
        <v>5</v>
      </c>
      <c r="H3" t="s">
        <v>6</v>
      </c>
      <c r="AQ3" s="35"/>
    </row>
    <row r="4" spans="1:43" ht="15">
      <c r="A4" s="2" t="s">
        <v>7</v>
      </c>
      <c r="B4" s="2" t="s">
        <v>8</v>
      </c>
      <c r="C4" s="2" t="s">
        <v>9</v>
      </c>
      <c r="D4" s="2" t="s">
        <v>10</v>
      </c>
      <c r="E4" s="3" t="s">
        <v>11</v>
      </c>
      <c r="G4" t="s">
        <v>12</v>
      </c>
      <c r="H4" t="s">
        <v>13</v>
      </c>
    </row>
    <row r="5" spans="1:43" ht="15" customHeight="1">
      <c r="A5" s="117">
        <v>44691</v>
      </c>
      <c r="B5" s="118" t="s">
        <v>14</v>
      </c>
      <c r="C5" s="119" t="s">
        <v>15</v>
      </c>
      <c r="D5" s="119" t="s">
        <v>16</v>
      </c>
      <c r="E5" s="107" t="s">
        <v>17</v>
      </c>
    </row>
    <row r="6" spans="1:43" ht="15" customHeight="1">
      <c r="A6" s="117">
        <v>44767</v>
      </c>
      <c r="B6" s="118" t="s">
        <v>14</v>
      </c>
      <c r="C6" s="119" t="s">
        <v>18</v>
      </c>
      <c r="D6" s="119" t="s">
        <v>19</v>
      </c>
      <c r="E6" s="107" t="s">
        <v>20</v>
      </c>
    </row>
    <row r="7" spans="1:43" ht="15" customHeight="1">
      <c r="A7" s="117">
        <v>44770</v>
      </c>
      <c r="B7" s="118" t="s">
        <v>21</v>
      </c>
      <c r="C7" s="119" t="s">
        <v>18</v>
      </c>
      <c r="D7" s="119" t="s">
        <v>22</v>
      </c>
      <c r="E7" s="107" t="s">
        <v>23</v>
      </c>
    </row>
    <row r="8" spans="1:43" ht="15" customHeight="1">
      <c r="A8" s="117">
        <v>44770</v>
      </c>
      <c r="B8" s="118" t="s">
        <v>24</v>
      </c>
      <c r="C8" s="119" t="s">
        <v>18</v>
      </c>
      <c r="D8" s="119" t="s">
        <v>25</v>
      </c>
      <c r="E8" s="107" t="s">
        <v>26</v>
      </c>
    </row>
    <row r="9" spans="1:43" ht="391.5">
      <c r="A9" s="117">
        <v>44770</v>
      </c>
      <c r="B9" s="118" t="s">
        <v>27</v>
      </c>
      <c r="C9" s="119" t="s">
        <v>18</v>
      </c>
      <c r="D9" s="119" t="s">
        <v>28</v>
      </c>
      <c r="E9" s="107" t="s">
        <v>29</v>
      </c>
    </row>
    <row r="10" spans="1:43" ht="283.5">
      <c r="A10" s="117">
        <v>44770</v>
      </c>
      <c r="B10" s="118" t="s">
        <v>27</v>
      </c>
      <c r="C10" s="119" t="s">
        <v>18</v>
      </c>
      <c r="D10" s="119" t="s">
        <v>28</v>
      </c>
      <c r="E10" s="107" t="s">
        <v>30</v>
      </c>
    </row>
    <row r="11" spans="1:43" ht="15" customHeight="1">
      <c r="A11" s="117">
        <v>44775</v>
      </c>
      <c r="B11" s="118" t="s">
        <v>14</v>
      </c>
      <c r="C11" s="119" t="s">
        <v>31</v>
      </c>
      <c r="D11" s="119" t="s">
        <v>32</v>
      </c>
      <c r="E11" s="107" t="s">
        <v>33</v>
      </c>
    </row>
    <row r="12" spans="1:43" ht="15" customHeight="1">
      <c r="A12" s="117">
        <v>44775</v>
      </c>
      <c r="B12" s="118" t="s">
        <v>14</v>
      </c>
      <c r="C12" s="119" t="s">
        <v>31</v>
      </c>
      <c r="D12" s="119" t="s">
        <v>34</v>
      </c>
      <c r="E12" s="107" t="s">
        <v>35</v>
      </c>
    </row>
    <row r="13" spans="1:43" ht="108">
      <c r="A13" s="117">
        <v>44776</v>
      </c>
      <c r="B13" s="118" t="s">
        <v>24</v>
      </c>
      <c r="C13" s="119" t="s">
        <v>31</v>
      </c>
      <c r="D13" s="119" t="s">
        <v>28</v>
      </c>
      <c r="E13" s="107" t="s">
        <v>36</v>
      </c>
    </row>
    <row r="14" spans="1:43" ht="243">
      <c r="A14" s="117">
        <v>44782</v>
      </c>
      <c r="B14" s="118" t="s">
        <v>24</v>
      </c>
      <c r="C14" s="119" t="s">
        <v>31</v>
      </c>
      <c r="D14" s="119" t="s">
        <v>28</v>
      </c>
      <c r="E14" s="108" t="s">
        <v>37</v>
      </c>
    </row>
    <row r="15" spans="1:43" ht="175.5">
      <c r="A15" s="117">
        <v>44790</v>
      </c>
      <c r="B15" s="118" t="s">
        <v>24</v>
      </c>
      <c r="C15" s="119" t="s">
        <v>31</v>
      </c>
      <c r="D15" s="119" t="s">
        <v>28</v>
      </c>
      <c r="E15" s="108" t="s">
        <v>38</v>
      </c>
    </row>
    <row r="16" spans="1:43" ht="56.25" customHeight="1">
      <c r="A16" s="117">
        <v>44788</v>
      </c>
      <c r="B16" s="118" t="s">
        <v>39</v>
      </c>
      <c r="C16" s="119" t="s">
        <v>31</v>
      </c>
      <c r="D16" s="119" t="s">
        <v>40</v>
      </c>
      <c r="E16" s="482" t="s">
        <v>41</v>
      </c>
    </row>
    <row r="17" spans="1:6" ht="162">
      <c r="A17" s="117">
        <v>44798</v>
      </c>
      <c r="B17" s="118" t="s">
        <v>24</v>
      </c>
      <c r="C17" s="119" t="s">
        <v>31</v>
      </c>
      <c r="D17" s="119" t="s">
        <v>28</v>
      </c>
      <c r="E17" s="108" t="s">
        <v>42</v>
      </c>
    </row>
    <row r="18" spans="1:6" ht="256.5">
      <c r="A18" s="117">
        <v>44812</v>
      </c>
      <c r="B18" s="118" t="s">
        <v>43</v>
      </c>
      <c r="C18" s="119" t="s">
        <v>44</v>
      </c>
      <c r="D18" s="119" t="s">
        <v>28</v>
      </c>
      <c r="E18" s="488" t="s">
        <v>45</v>
      </c>
      <c r="F18" s="1"/>
    </row>
    <row r="19" spans="1:6" ht="54">
      <c r="A19" s="117">
        <v>44820</v>
      </c>
      <c r="B19" s="118" t="s">
        <v>24</v>
      </c>
      <c r="C19" s="119" t="s">
        <v>44</v>
      </c>
      <c r="D19" s="119" t="s">
        <v>28</v>
      </c>
      <c r="E19" s="488" t="s">
        <v>46</v>
      </c>
    </row>
    <row r="20" spans="1:6" ht="283.5">
      <c r="A20" s="117">
        <v>44824</v>
      </c>
      <c r="B20" s="118" t="s">
        <v>43</v>
      </c>
      <c r="C20" s="119" t="s">
        <v>44</v>
      </c>
      <c r="D20" s="119" t="s">
        <v>28</v>
      </c>
      <c r="E20" s="488" t="s">
        <v>47</v>
      </c>
    </row>
    <row r="21" spans="1:6" ht="81">
      <c r="A21" s="117">
        <v>44827</v>
      </c>
      <c r="B21" s="118" t="s">
        <v>24</v>
      </c>
      <c r="C21" s="119" t="s">
        <v>44</v>
      </c>
      <c r="D21" s="119" t="s">
        <v>48</v>
      </c>
      <c r="E21" s="108" t="s">
        <v>49</v>
      </c>
    </row>
    <row r="22" spans="1:6" ht="15" customHeight="1">
      <c r="A22" s="117">
        <v>44827</v>
      </c>
      <c r="B22" s="118" t="s">
        <v>14</v>
      </c>
      <c r="C22" s="119" t="s">
        <v>44</v>
      </c>
      <c r="D22" s="119"/>
      <c r="E22" s="108" t="s">
        <v>50</v>
      </c>
    </row>
    <row r="23" spans="1:6" ht="216">
      <c r="A23" s="117">
        <v>44845</v>
      </c>
      <c r="B23" s="118" t="s">
        <v>24</v>
      </c>
      <c r="C23" s="119" t="s">
        <v>51</v>
      </c>
      <c r="D23" s="119" t="s">
        <v>28</v>
      </c>
      <c r="E23" s="108" t="s">
        <v>52</v>
      </c>
    </row>
    <row r="24" spans="1:6" ht="40.5">
      <c r="A24" s="117">
        <v>44846</v>
      </c>
      <c r="B24" s="118" t="s">
        <v>24</v>
      </c>
      <c r="C24" s="119" t="s">
        <v>51</v>
      </c>
      <c r="D24" s="119" t="s">
        <v>53</v>
      </c>
      <c r="E24" s="491" t="s">
        <v>54</v>
      </c>
    </row>
    <row r="25" spans="1:6" ht="27">
      <c r="A25" s="117">
        <v>44852</v>
      </c>
      <c r="B25" s="118" t="s">
        <v>39</v>
      </c>
      <c r="C25" s="119" t="s">
        <v>51</v>
      </c>
      <c r="D25" s="119" t="s">
        <v>55</v>
      </c>
      <c r="E25" s="482" t="s">
        <v>56</v>
      </c>
    </row>
    <row r="26" spans="1:6" ht="337.5">
      <c r="A26" s="117">
        <v>44894</v>
      </c>
      <c r="B26" s="118" t="s">
        <v>24</v>
      </c>
      <c r="C26" s="119" t="s">
        <v>51</v>
      </c>
      <c r="D26" s="119" t="s">
        <v>48</v>
      </c>
      <c r="E26" s="108" t="s">
        <v>57</v>
      </c>
    </row>
    <row r="27" spans="1:6" ht="15" customHeight="1">
      <c r="A27" s="117">
        <v>44852</v>
      </c>
      <c r="B27" s="118" t="s">
        <v>39</v>
      </c>
      <c r="C27" s="119" t="s">
        <v>51</v>
      </c>
      <c r="D27" s="119" t="s">
        <v>58</v>
      </c>
      <c r="E27" s="482" t="s">
        <v>59</v>
      </c>
    </row>
    <row r="28" spans="1:6" ht="216">
      <c r="A28" s="117">
        <v>44904</v>
      </c>
      <c r="B28" s="118" t="s">
        <v>24</v>
      </c>
      <c r="C28" s="119" t="s">
        <v>51</v>
      </c>
      <c r="D28" s="119" t="s">
        <v>48</v>
      </c>
      <c r="E28" s="108" t="s">
        <v>60</v>
      </c>
    </row>
    <row r="29" spans="1:6" ht="39.6" customHeight="1">
      <c r="A29" s="117">
        <v>44966</v>
      </c>
      <c r="B29" s="118" t="s">
        <v>61</v>
      </c>
      <c r="C29" s="119" t="s">
        <v>62</v>
      </c>
      <c r="D29" s="119" t="s">
        <v>28</v>
      </c>
      <c r="E29" s="107" t="s">
        <v>63</v>
      </c>
    </row>
    <row r="30" spans="1:6" ht="71.849999999999994" customHeight="1">
      <c r="A30" s="117">
        <v>44971</v>
      </c>
      <c r="B30" s="118" t="s">
        <v>61</v>
      </c>
      <c r="C30" s="119" t="s">
        <v>62</v>
      </c>
      <c r="D30" s="119" t="s">
        <v>28</v>
      </c>
      <c r="E30" s="107" t="s">
        <v>64</v>
      </c>
    </row>
    <row r="31" spans="1:6" ht="27">
      <c r="A31" s="117">
        <v>44981</v>
      </c>
      <c r="B31" s="118" t="s">
        <v>61</v>
      </c>
      <c r="C31" s="119" t="s">
        <v>62</v>
      </c>
      <c r="D31" s="119" t="s">
        <v>28</v>
      </c>
      <c r="E31" s="108" t="s">
        <v>65</v>
      </c>
    </row>
    <row r="32" spans="1:6" ht="48.6" customHeight="1">
      <c r="A32" s="117">
        <v>44985</v>
      </c>
      <c r="B32" s="118" t="s">
        <v>61</v>
      </c>
      <c r="C32" s="119" t="s">
        <v>62</v>
      </c>
      <c r="D32" s="119" t="s">
        <v>28</v>
      </c>
      <c r="E32" s="107" t="s">
        <v>66</v>
      </c>
    </row>
    <row r="33" spans="1:5" ht="23.85" customHeight="1">
      <c r="A33" s="117">
        <v>44987</v>
      </c>
      <c r="B33" s="118" t="s">
        <v>61</v>
      </c>
      <c r="C33" s="119" t="s">
        <v>62</v>
      </c>
      <c r="D33" s="119" t="s">
        <v>28</v>
      </c>
      <c r="E33" s="107" t="s">
        <v>67</v>
      </c>
    </row>
    <row r="34" spans="1:5" ht="27">
      <c r="A34" s="117">
        <v>44991</v>
      </c>
      <c r="B34" s="118" t="s">
        <v>61</v>
      </c>
      <c r="C34" s="119" t="s">
        <v>62</v>
      </c>
      <c r="D34" s="119" t="s">
        <v>28</v>
      </c>
      <c r="E34" s="108" t="s">
        <v>68</v>
      </c>
    </row>
    <row r="35" spans="1:5" ht="121.5">
      <c r="A35" s="117">
        <v>45021</v>
      </c>
      <c r="B35" s="118" t="s">
        <v>61</v>
      </c>
      <c r="C35" s="119" t="s">
        <v>62</v>
      </c>
      <c r="D35" s="119" t="s">
        <v>28</v>
      </c>
      <c r="E35" s="108" t="s">
        <v>69</v>
      </c>
    </row>
    <row r="36" spans="1:5" ht="46.5" customHeight="1">
      <c r="A36" s="117">
        <v>45022</v>
      </c>
      <c r="B36" s="118" t="s">
        <v>61</v>
      </c>
      <c r="C36" s="119" t="s">
        <v>62</v>
      </c>
      <c r="D36" s="119" t="s">
        <v>28</v>
      </c>
      <c r="E36" s="108" t="s">
        <v>70</v>
      </c>
    </row>
    <row r="37" spans="1:5" ht="27">
      <c r="A37" s="117">
        <v>45029</v>
      </c>
      <c r="B37" s="118" t="s">
        <v>61</v>
      </c>
      <c r="C37" s="119" t="s">
        <v>62</v>
      </c>
      <c r="D37" s="119" t="s">
        <v>28</v>
      </c>
      <c r="E37" s="108" t="s">
        <v>71</v>
      </c>
    </row>
    <row r="38" spans="1:5" ht="27">
      <c r="A38" s="117">
        <v>45030</v>
      </c>
      <c r="B38" s="118" t="s">
        <v>72</v>
      </c>
      <c r="C38" s="119" t="s">
        <v>62</v>
      </c>
      <c r="D38" s="119" t="s">
        <v>28</v>
      </c>
      <c r="E38" s="108" t="s">
        <v>73</v>
      </c>
    </row>
    <row r="39" spans="1:5" ht="27">
      <c r="A39" s="117">
        <v>45034</v>
      </c>
      <c r="B39" s="118" t="s">
        <v>61</v>
      </c>
      <c r="C39" s="119" t="s">
        <v>62</v>
      </c>
      <c r="D39" s="119" t="s">
        <v>28</v>
      </c>
      <c r="E39" s="107" t="s">
        <v>74</v>
      </c>
    </row>
    <row r="40" spans="1:5" ht="40.5">
      <c r="A40" s="117">
        <v>45042</v>
      </c>
      <c r="B40" s="118" t="s">
        <v>61</v>
      </c>
      <c r="C40" s="119" t="s">
        <v>62</v>
      </c>
      <c r="D40" s="119" t="s">
        <v>28</v>
      </c>
      <c r="E40" s="108" t="s">
        <v>75</v>
      </c>
    </row>
    <row r="41" spans="1:5" ht="108">
      <c r="A41" s="117">
        <v>45044</v>
      </c>
      <c r="B41" s="118" t="s">
        <v>39</v>
      </c>
      <c r="C41" s="119" t="s">
        <v>62</v>
      </c>
      <c r="D41" s="119" t="s">
        <v>28</v>
      </c>
      <c r="E41" s="482" t="s">
        <v>76</v>
      </c>
    </row>
    <row r="42" spans="1:5" ht="38.1" customHeight="1">
      <c r="A42" s="117">
        <v>45048</v>
      </c>
      <c r="B42" s="118" t="s">
        <v>61</v>
      </c>
      <c r="C42" s="119" t="s">
        <v>62</v>
      </c>
      <c r="D42" s="119" t="s">
        <v>28</v>
      </c>
      <c r="E42" s="107" t="s">
        <v>77</v>
      </c>
    </row>
    <row r="43" spans="1:5" ht="27">
      <c r="A43" s="117">
        <v>45049</v>
      </c>
      <c r="B43" s="118" t="s">
        <v>61</v>
      </c>
      <c r="C43" s="119" t="s">
        <v>62</v>
      </c>
      <c r="D43" s="119" t="s">
        <v>28</v>
      </c>
      <c r="E43" s="108" t="s">
        <v>78</v>
      </c>
    </row>
    <row r="44" spans="1:5" ht="40.5">
      <c r="A44" s="117">
        <v>45050</v>
      </c>
      <c r="B44" s="118" t="s">
        <v>39</v>
      </c>
      <c r="C44" s="119" t="s">
        <v>62</v>
      </c>
      <c r="D44" s="119" t="s">
        <v>48</v>
      </c>
      <c r="E44" s="108" t="s">
        <v>79</v>
      </c>
    </row>
    <row r="45" spans="1:5" ht="27">
      <c r="A45" s="117">
        <v>45050</v>
      </c>
      <c r="B45" s="118" t="s">
        <v>61</v>
      </c>
      <c r="C45" s="119" t="s">
        <v>62</v>
      </c>
      <c r="D45" s="119" t="s">
        <v>28</v>
      </c>
      <c r="E45" s="108" t="s">
        <v>80</v>
      </c>
    </row>
    <row r="46" spans="1:5" ht="81">
      <c r="A46" s="117">
        <v>45051</v>
      </c>
      <c r="B46" s="118" t="s">
        <v>39</v>
      </c>
      <c r="C46" s="119" t="s">
        <v>62</v>
      </c>
      <c r="D46" s="119" t="s">
        <v>28</v>
      </c>
      <c r="E46" s="108" t="s">
        <v>81</v>
      </c>
    </row>
    <row r="47" spans="1:5" ht="40.5">
      <c r="A47" s="117">
        <v>45054</v>
      </c>
      <c r="B47" s="118" t="s">
        <v>39</v>
      </c>
      <c r="C47" s="119" t="s">
        <v>62</v>
      </c>
      <c r="D47" s="119" t="s">
        <v>28</v>
      </c>
      <c r="E47" s="108" t="s">
        <v>82</v>
      </c>
    </row>
    <row r="48" spans="1:5" ht="27">
      <c r="A48" s="117">
        <v>45055</v>
      </c>
      <c r="B48" s="118" t="s">
        <v>61</v>
      </c>
      <c r="C48" s="119" t="s">
        <v>62</v>
      </c>
      <c r="D48" s="119" t="s">
        <v>28</v>
      </c>
      <c r="E48" s="108" t="s">
        <v>83</v>
      </c>
    </row>
    <row r="49" spans="1:5" ht="27">
      <c r="A49" s="117">
        <v>45056</v>
      </c>
      <c r="B49" s="118" t="s">
        <v>61</v>
      </c>
      <c r="C49" s="119" t="s">
        <v>62</v>
      </c>
      <c r="D49" s="119" t="s">
        <v>28</v>
      </c>
      <c r="E49" s="108" t="s">
        <v>84</v>
      </c>
    </row>
    <row r="50" spans="1:5" ht="27">
      <c r="A50" s="117">
        <v>45058</v>
      </c>
      <c r="B50" s="118" t="s">
        <v>61</v>
      </c>
      <c r="C50" s="119" t="s">
        <v>62</v>
      </c>
      <c r="D50" s="119" t="s">
        <v>28</v>
      </c>
      <c r="E50" s="108" t="s">
        <v>85</v>
      </c>
    </row>
    <row r="51" spans="1:5">
      <c r="A51" s="117">
        <v>45068</v>
      </c>
      <c r="B51" s="118" t="s">
        <v>39</v>
      </c>
      <c r="C51" s="119" t="s">
        <v>86</v>
      </c>
      <c r="D51" s="119" t="s">
        <v>87</v>
      </c>
      <c r="E51" s="108" t="s">
        <v>88</v>
      </c>
    </row>
    <row r="52" spans="1:5">
      <c r="A52" s="117">
        <v>45072</v>
      </c>
      <c r="B52" s="118" t="s">
        <v>39</v>
      </c>
      <c r="C52" s="119" t="s">
        <v>86</v>
      </c>
      <c r="D52" s="119" t="s">
        <v>89</v>
      </c>
      <c r="E52" s="108" t="s">
        <v>90</v>
      </c>
    </row>
    <row r="53" spans="1:5" ht="148.5">
      <c r="A53" s="117">
        <v>45260</v>
      </c>
      <c r="B53" s="118" t="s">
        <v>61</v>
      </c>
      <c r="C53" s="119" t="s">
        <v>91</v>
      </c>
      <c r="D53" s="119" t="s">
        <v>92</v>
      </c>
      <c r="E53" s="108" t="s">
        <v>93</v>
      </c>
    </row>
    <row r="54" spans="1:5" ht="51" customHeight="1">
      <c r="A54" s="117">
        <v>45267</v>
      </c>
      <c r="B54" s="118" t="s">
        <v>61</v>
      </c>
      <c r="C54" s="119" t="s">
        <v>91</v>
      </c>
      <c r="D54" s="119" t="s">
        <v>28</v>
      </c>
      <c r="E54" s="108" t="s">
        <v>94</v>
      </c>
    </row>
    <row r="55" spans="1:5" ht="54">
      <c r="A55" s="117">
        <v>45270</v>
      </c>
      <c r="B55" s="118" t="s">
        <v>61</v>
      </c>
      <c r="C55" s="119" t="s">
        <v>91</v>
      </c>
      <c r="D55" s="119" t="s">
        <v>28</v>
      </c>
      <c r="E55" s="108" t="s">
        <v>95</v>
      </c>
    </row>
    <row r="56" spans="1:5" ht="47.45" customHeight="1">
      <c r="A56" s="117">
        <v>45272</v>
      </c>
      <c r="B56" s="118" t="s">
        <v>61</v>
      </c>
      <c r="C56" s="119" t="s">
        <v>91</v>
      </c>
      <c r="D56" s="119" t="s">
        <v>28</v>
      </c>
      <c r="E56" s="108" t="s">
        <v>96</v>
      </c>
    </row>
    <row r="57" spans="1:5" ht="27">
      <c r="A57" s="117">
        <v>45273</v>
      </c>
      <c r="B57" s="118" t="s">
        <v>61</v>
      </c>
      <c r="C57" s="119" t="s">
        <v>91</v>
      </c>
      <c r="D57" s="119" t="s">
        <v>28</v>
      </c>
      <c r="E57" s="108" t="s">
        <v>97</v>
      </c>
    </row>
    <row r="58" spans="1:5" ht="27">
      <c r="A58" s="117">
        <v>45277</v>
      </c>
      <c r="B58" s="118" t="s">
        <v>61</v>
      </c>
      <c r="C58" s="119" t="s">
        <v>91</v>
      </c>
      <c r="D58" s="119" t="s">
        <v>28</v>
      </c>
      <c r="E58" s="108" t="s">
        <v>98</v>
      </c>
    </row>
    <row r="59" spans="1:5" ht="15.75" customHeight="1">
      <c r="A59" s="117">
        <v>45278</v>
      </c>
      <c r="B59" s="118" t="s">
        <v>61</v>
      </c>
      <c r="C59" s="119" t="s">
        <v>91</v>
      </c>
      <c r="D59" s="119" t="s">
        <v>28</v>
      </c>
      <c r="E59" s="108" t="s">
        <v>99</v>
      </c>
    </row>
    <row r="60" spans="1:5" ht="63.95" customHeight="1">
      <c r="A60" s="117">
        <v>45279</v>
      </c>
      <c r="B60" s="118" t="s">
        <v>61</v>
      </c>
      <c r="C60" s="119" t="s">
        <v>91</v>
      </c>
      <c r="D60" s="119" t="s">
        <v>28</v>
      </c>
      <c r="E60" s="107" t="s">
        <v>100</v>
      </c>
    </row>
    <row r="61" spans="1:5" ht="40.5">
      <c r="A61" s="117">
        <v>45287</v>
      </c>
      <c r="B61" s="118" t="s">
        <v>61</v>
      </c>
      <c r="C61" s="119" t="s">
        <v>91</v>
      </c>
      <c r="D61" s="119" t="s">
        <v>28</v>
      </c>
      <c r="E61" s="108" t="s">
        <v>101</v>
      </c>
    </row>
    <row r="62" spans="1:5" ht="27">
      <c r="A62" s="117">
        <v>45288</v>
      </c>
      <c r="B62" s="118" t="s">
        <v>61</v>
      </c>
      <c r="C62" s="119" t="s">
        <v>91</v>
      </c>
      <c r="D62" s="119" t="s">
        <v>28</v>
      </c>
      <c r="E62" s="108" t="s">
        <v>102</v>
      </c>
    </row>
    <row r="63" spans="1:5" ht="27">
      <c r="A63" s="117">
        <v>44928</v>
      </c>
      <c r="B63" s="118" t="s">
        <v>72</v>
      </c>
      <c r="C63" s="119" t="s">
        <v>91</v>
      </c>
      <c r="D63" s="119" t="s">
        <v>48</v>
      </c>
      <c r="E63" s="108" t="s">
        <v>103</v>
      </c>
    </row>
    <row r="64" spans="1:5" ht="40.5">
      <c r="A64" s="117">
        <v>45345</v>
      </c>
      <c r="B64" s="118" t="s">
        <v>61</v>
      </c>
      <c r="C64" s="119" t="s">
        <v>104</v>
      </c>
      <c r="D64" s="119" t="s">
        <v>28</v>
      </c>
      <c r="E64" s="108" t="s">
        <v>105</v>
      </c>
    </row>
    <row r="65" spans="1:5" ht="27">
      <c r="A65" s="117">
        <v>45355</v>
      </c>
      <c r="B65" s="118" t="s">
        <v>61</v>
      </c>
      <c r="C65" s="119" t="s">
        <v>104</v>
      </c>
      <c r="D65" s="119" t="s">
        <v>28</v>
      </c>
      <c r="E65" s="108" t="s">
        <v>106</v>
      </c>
    </row>
    <row r="66" spans="1:5" ht="108">
      <c r="A66" s="117">
        <v>45366</v>
      </c>
      <c r="B66" s="118" t="s">
        <v>61</v>
      </c>
      <c r="C66" s="119" t="s">
        <v>104</v>
      </c>
      <c r="D66" s="119" t="s">
        <v>28</v>
      </c>
      <c r="E66" s="108" t="s">
        <v>107</v>
      </c>
    </row>
    <row r="67" spans="1:5" ht="27" customHeight="1">
      <c r="A67" s="117">
        <v>45390</v>
      </c>
      <c r="B67" s="118" t="s">
        <v>61</v>
      </c>
      <c r="C67" s="119" t="s">
        <v>104</v>
      </c>
      <c r="D67" s="119" t="s">
        <v>28</v>
      </c>
      <c r="E67" s="589" t="s">
        <v>108</v>
      </c>
    </row>
    <row r="68" spans="1:5" ht="35.1" customHeight="1">
      <c r="A68" s="117">
        <v>45433</v>
      </c>
      <c r="B68" s="118" t="s">
        <v>61</v>
      </c>
      <c r="C68" s="119" t="s">
        <v>104</v>
      </c>
      <c r="D68" s="119" t="s">
        <v>28</v>
      </c>
      <c r="E68" s="592" t="s">
        <v>109</v>
      </c>
    </row>
    <row r="69" spans="1:5" ht="27">
      <c r="A69" s="117">
        <v>45434</v>
      </c>
      <c r="B69" s="118" t="s">
        <v>61</v>
      </c>
      <c r="C69" s="119" t="s">
        <v>104</v>
      </c>
      <c r="D69" s="119" t="s">
        <v>28</v>
      </c>
      <c r="E69" s="590" t="s">
        <v>110</v>
      </c>
    </row>
    <row r="70" spans="1:5" ht="27" customHeight="1">
      <c r="A70" s="117">
        <v>45446</v>
      </c>
      <c r="B70" s="118" t="s">
        <v>61</v>
      </c>
      <c r="C70" s="119" t="s">
        <v>104</v>
      </c>
      <c r="D70" s="119" t="s">
        <v>28</v>
      </c>
      <c r="E70" s="594" t="s">
        <v>111</v>
      </c>
    </row>
    <row r="71" spans="1:5" ht="67.5">
      <c r="A71" s="117">
        <v>45453</v>
      </c>
      <c r="B71" s="118" t="s">
        <v>61</v>
      </c>
      <c r="C71" s="119" t="s">
        <v>104</v>
      </c>
      <c r="D71" s="119" t="s">
        <v>28</v>
      </c>
      <c r="E71" s="108" t="s">
        <v>112</v>
      </c>
    </row>
    <row r="72" spans="1:5" ht="27">
      <c r="A72" s="117">
        <v>45454</v>
      </c>
      <c r="B72" s="118" t="s">
        <v>61</v>
      </c>
      <c r="C72" s="119" t="s">
        <v>104</v>
      </c>
      <c r="D72" s="119" t="s">
        <v>28</v>
      </c>
      <c r="E72" s="108" t="s">
        <v>113</v>
      </c>
    </row>
    <row r="73" spans="1:5" ht="40.5">
      <c r="A73" s="117">
        <v>45455</v>
      </c>
      <c r="B73" s="118" t="s">
        <v>61</v>
      </c>
      <c r="C73" s="119" t="s">
        <v>104</v>
      </c>
      <c r="D73" s="119" t="s">
        <v>28</v>
      </c>
      <c r="E73" s="108" t="s">
        <v>114</v>
      </c>
    </row>
    <row r="74" spans="1:5" ht="54">
      <c r="A74" s="117">
        <v>45456</v>
      </c>
      <c r="B74" s="118" t="s">
        <v>61</v>
      </c>
      <c r="C74" s="119" t="s">
        <v>104</v>
      </c>
      <c r="D74" s="119" t="s">
        <v>28</v>
      </c>
      <c r="E74" s="108" t="s">
        <v>115</v>
      </c>
    </row>
    <row r="75" spans="1:5" ht="40.5">
      <c r="A75" s="117">
        <v>45097</v>
      </c>
      <c r="B75" s="118" t="s">
        <v>61</v>
      </c>
      <c r="C75" s="119" t="s">
        <v>104</v>
      </c>
      <c r="D75" s="119" t="s">
        <v>28</v>
      </c>
      <c r="E75" s="108" t="s">
        <v>116</v>
      </c>
    </row>
    <row r="76" spans="1:5" ht="40.5">
      <c r="A76" s="117">
        <v>45464</v>
      </c>
      <c r="B76" s="118" t="s">
        <v>61</v>
      </c>
      <c r="C76" s="119" t="s">
        <v>104</v>
      </c>
      <c r="D76" s="119" t="s">
        <v>28</v>
      </c>
      <c r="E76" s="108" t="s">
        <v>117</v>
      </c>
    </row>
    <row r="77" spans="1:5">
      <c r="A77" s="117"/>
      <c r="B77" s="118"/>
      <c r="C77" s="119"/>
      <c r="D77" s="119"/>
      <c r="E77" s="108"/>
    </row>
    <row r="78" spans="1:5">
      <c r="A78" s="117"/>
      <c r="B78" s="118"/>
      <c r="C78" s="119"/>
      <c r="D78" s="119"/>
      <c r="E78" s="108"/>
    </row>
    <row r="79" spans="1:5">
      <c r="A79" s="117"/>
      <c r="B79" s="118"/>
      <c r="C79" s="119"/>
      <c r="D79" s="119"/>
      <c r="E79" s="108"/>
    </row>
    <row r="80" spans="1:5">
      <c r="A80" s="117"/>
      <c r="B80" s="118"/>
      <c r="C80" s="119"/>
      <c r="D80" s="119"/>
      <c r="E80" s="108"/>
    </row>
    <row r="81" spans="1:5">
      <c r="A81" s="117"/>
      <c r="B81" s="118"/>
      <c r="C81" s="119"/>
      <c r="D81" s="119"/>
      <c r="E81" s="108"/>
    </row>
    <row r="82" spans="1:5">
      <c r="A82" s="117"/>
      <c r="B82" s="118"/>
      <c r="C82" s="119"/>
      <c r="D82" s="119"/>
      <c r="E82" s="108"/>
    </row>
    <row r="83" spans="1:5" ht="22.35" customHeight="1">
      <c r="A83" s="117"/>
      <c r="B83" s="118"/>
      <c r="C83" s="119"/>
      <c r="D83" s="119"/>
      <c r="E83" s="108"/>
    </row>
    <row r="84" spans="1:5">
      <c r="A84" s="117"/>
      <c r="B84" s="118"/>
      <c r="C84" s="119"/>
      <c r="D84" s="119"/>
      <c r="E84" s="108"/>
    </row>
    <row r="85" spans="1:5">
      <c r="A85" s="117"/>
      <c r="B85" s="118"/>
      <c r="C85" s="119"/>
      <c r="D85" s="119"/>
      <c r="E85" s="108"/>
    </row>
    <row r="86" spans="1:5">
      <c r="A86" s="117"/>
      <c r="B86" s="118"/>
      <c r="C86" s="119"/>
      <c r="D86" s="119"/>
      <c r="E86" s="108"/>
    </row>
    <row r="87" spans="1:5">
      <c r="A87" s="117"/>
      <c r="B87" s="118"/>
      <c r="C87" s="119"/>
      <c r="D87" s="119"/>
      <c r="E87" s="108"/>
    </row>
    <row r="88" spans="1:5">
      <c r="A88" s="117"/>
      <c r="B88" s="118"/>
      <c r="C88" s="119"/>
      <c r="D88" s="119"/>
      <c r="E88" s="108"/>
    </row>
    <row r="89" spans="1:5" ht="42" customHeight="1">
      <c r="A89" s="117"/>
      <c r="B89" s="118"/>
      <c r="C89" s="119"/>
      <c r="D89" s="119"/>
      <c r="E89" s="108"/>
    </row>
    <row r="90" spans="1:5">
      <c r="A90" s="117"/>
      <c r="B90" s="118"/>
      <c r="C90" s="119"/>
      <c r="D90" s="119"/>
      <c r="E90" s="108"/>
    </row>
    <row r="91" spans="1:5">
      <c r="A91" s="117"/>
      <c r="B91" s="118"/>
      <c r="C91" s="119"/>
      <c r="D91" s="119"/>
      <c r="E91" s="108"/>
    </row>
    <row r="92" spans="1:5">
      <c r="A92" s="117"/>
      <c r="B92" s="118"/>
      <c r="C92" s="119"/>
      <c r="D92" s="119"/>
      <c r="E92" s="108"/>
    </row>
    <row r="93" spans="1:5">
      <c r="A93" s="117"/>
      <c r="B93" s="118"/>
      <c r="C93" s="119"/>
      <c r="D93" s="119"/>
      <c r="E93" s="108"/>
    </row>
    <row r="94" spans="1:5">
      <c r="A94" s="117"/>
      <c r="B94" s="118"/>
      <c r="C94" s="119"/>
      <c r="D94" s="119"/>
      <c r="E94" s="108"/>
    </row>
    <row r="95" spans="1:5">
      <c r="A95" s="117"/>
      <c r="B95" s="118"/>
      <c r="C95" s="119"/>
      <c r="D95" s="119"/>
      <c r="E95" s="108"/>
    </row>
    <row r="96" spans="1:5">
      <c r="A96" s="117"/>
      <c r="B96" s="118"/>
      <c r="C96" s="119"/>
      <c r="D96" s="119"/>
      <c r="E96" s="108"/>
    </row>
    <row r="97" spans="1:5">
      <c r="A97" s="117"/>
      <c r="B97" s="118"/>
      <c r="C97" s="119"/>
      <c r="D97" s="119"/>
      <c r="E97" s="108"/>
    </row>
    <row r="98" spans="1:5">
      <c r="A98" s="117"/>
      <c r="B98" s="118"/>
      <c r="C98" s="119"/>
      <c r="D98" s="119"/>
      <c r="E98" s="108"/>
    </row>
    <row r="99" spans="1:5">
      <c r="A99" s="117"/>
      <c r="B99" s="118"/>
      <c r="C99" s="119"/>
      <c r="D99" s="119"/>
      <c r="E99" s="108"/>
    </row>
    <row r="100" spans="1:5">
      <c r="A100" s="117"/>
      <c r="B100" s="118"/>
      <c r="C100" s="119"/>
      <c r="D100" s="119"/>
      <c r="E100" s="108"/>
    </row>
    <row r="101" spans="1:5">
      <c r="A101" s="117"/>
      <c r="B101" s="118"/>
      <c r="C101" s="119"/>
      <c r="D101" s="119"/>
      <c r="E101" s="108"/>
    </row>
    <row r="102" spans="1:5">
      <c r="A102" s="117"/>
      <c r="B102" s="118"/>
      <c r="C102" s="119"/>
      <c r="D102" s="119"/>
      <c r="E102" s="108"/>
    </row>
    <row r="103" spans="1:5">
      <c r="A103" s="117"/>
      <c r="B103" s="118"/>
      <c r="C103" s="119"/>
      <c r="D103" s="119"/>
      <c r="E103" s="108"/>
    </row>
    <row r="104" spans="1:5">
      <c r="A104" s="117"/>
      <c r="B104" s="118"/>
      <c r="C104" s="119"/>
      <c r="D104" s="119"/>
      <c r="E104" s="108"/>
    </row>
    <row r="105" spans="1:5">
      <c r="A105" s="117"/>
      <c r="B105" s="118"/>
      <c r="C105" s="119"/>
      <c r="D105" s="119"/>
      <c r="E105" s="108"/>
    </row>
    <row r="106" spans="1:5">
      <c r="A106" s="117"/>
      <c r="B106" s="118"/>
      <c r="C106" s="119"/>
      <c r="D106" s="119"/>
      <c r="E106" s="108"/>
    </row>
    <row r="107" spans="1:5">
      <c r="A107" s="117"/>
      <c r="B107" s="118"/>
      <c r="C107" s="119"/>
      <c r="D107" s="119"/>
      <c r="E107" s="108"/>
    </row>
    <row r="108" spans="1:5">
      <c r="A108" s="117"/>
      <c r="B108" s="118"/>
      <c r="C108" s="119"/>
      <c r="D108" s="119"/>
      <c r="E108" s="108"/>
    </row>
    <row r="109" spans="1:5">
      <c r="A109" s="117"/>
      <c r="B109" s="118"/>
      <c r="C109" s="119"/>
      <c r="D109" s="119"/>
      <c r="E109" s="108"/>
    </row>
    <row r="110" spans="1:5">
      <c r="A110" s="117"/>
      <c r="B110" s="118"/>
      <c r="C110" s="119"/>
      <c r="D110" s="119"/>
      <c r="E110" s="108"/>
    </row>
    <row r="111" spans="1:5">
      <c r="A111" s="117"/>
      <c r="B111" s="118"/>
      <c r="C111" s="119"/>
      <c r="D111" s="119"/>
      <c r="E111" s="108"/>
    </row>
    <row r="112" spans="1:5">
      <c r="A112" s="117"/>
      <c r="B112" s="118"/>
      <c r="C112" s="119"/>
      <c r="D112" s="119"/>
      <c r="E112" s="108"/>
    </row>
    <row r="113" spans="1:5">
      <c r="A113" s="117"/>
      <c r="B113" s="118"/>
      <c r="C113" s="119"/>
      <c r="D113" s="119"/>
      <c r="E113" s="108"/>
    </row>
    <row r="114" spans="1:5">
      <c r="A114" s="117"/>
      <c r="B114" s="118"/>
      <c r="C114" s="119"/>
      <c r="D114" s="119"/>
      <c r="E114" s="108"/>
    </row>
    <row r="115" spans="1:5">
      <c r="A115" s="117"/>
      <c r="B115" s="118"/>
      <c r="C115" s="119"/>
      <c r="D115" s="119"/>
      <c r="E115" s="108"/>
    </row>
    <row r="116" spans="1:5">
      <c r="A116" s="117"/>
      <c r="B116" s="118"/>
      <c r="C116" s="119"/>
      <c r="D116" s="119"/>
      <c r="E116" s="108"/>
    </row>
    <row r="117" spans="1:5">
      <c r="A117" s="117"/>
      <c r="B117" s="118"/>
      <c r="C117" s="119"/>
      <c r="D117" s="119"/>
      <c r="E117" s="108"/>
    </row>
    <row r="118" spans="1:5">
      <c r="A118" s="117"/>
      <c r="B118" s="118"/>
      <c r="C118" s="119"/>
      <c r="D118" s="119"/>
      <c r="E118" s="108"/>
    </row>
    <row r="119" spans="1:5">
      <c r="A119" s="117"/>
      <c r="B119" s="118"/>
      <c r="C119" s="119"/>
      <c r="D119" s="119"/>
      <c r="E119" s="108"/>
    </row>
    <row r="120" spans="1:5">
      <c r="A120" s="117"/>
      <c r="B120" s="118"/>
      <c r="C120" s="119"/>
      <c r="D120" s="119"/>
      <c r="E120" s="108"/>
    </row>
    <row r="121" spans="1:5">
      <c r="A121" s="117"/>
      <c r="B121" s="118"/>
      <c r="C121" s="119"/>
      <c r="D121" s="119"/>
      <c r="E121" s="108"/>
    </row>
    <row r="122" spans="1:5">
      <c r="A122" s="117"/>
      <c r="B122" s="118"/>
      <c r="C122" s="119"/>
      <c r="D122" s="119"/>
      <c r="E122" s="108"/>
    </row>
    <row r="123" spans="1:5">
      <c r="A123" s="117"/>
      <c r="B123" s="118"/>
      <c r="C123" s="119"/>
      <c r="D123" s="119"/>
      <c r="E123" s="108"/>
    </row>
    <row r="124" spans="1:5">
      <c r="A124" s="117"/>
      <c r="B124" s="118"/>
      <c r="C124" s="119"/>
      <c r="D124" s="119"/>
      <c r="E124" s="108"/>
    </row>
    <row r="125" spans="1:5">
      <c r="A125" s="117"/>
      <c r="B125" s="118"/>
      <c r="C125" s="119"/>
      <c r="D125" s="119"/>
      <c r="E125" s="108"/>
    </row>
    <row r="126" spans="1:5">
      <c r="A126" s="117"/>
      <c r="B126" s="118"/>
      <c r="C126" s="119"/>
      <c r="D126" s="119"/>
      <c r="E126" s="108"/>
    </row>
    <row r="127" spans="1:5">
      <c r="A127" s="117"/>
      <c r="B127" s="118"/>
      <c r="C127" s="119"/>
      <c r="D127" s="119"/>
      <c r="E127" s="108"/>
    </row>
    <row r="128" spans="1:5">
      <c r="A128" s="117"/>
      <c r="B128" s="118"/>
      <c r="C128" s="119"/>
      <c r="D128" s="119"/>
      <c r="E128" s="108"/>
    </row>
    <row r="129" spans="1:5">
      <c r="A129" s="117"/>
      <c r="B129" s="118"/>
      <c r="C129" s="119"/>
      <c r="D129" s="119"/>
      <c r="E129" s="108"/>
    </row>
    <row r="130" spans="1:5">
      <c r="A130" s="117"/>
      <c r="B130" s="118"/>
      <c r="C130" s="119"/>
      <c r="D130" s="119"/>
      <c r="E130" s="108"/>
    </row>
    <row r="131" spans="1:5">
      <c r="A131" s="117"/>
      <c r="B131" s="118"/>
      <c r="C131" s="119"/>
      <c r="D131" s="119"/>
      <c r="E131" s="108"/>
    </row>
    <row r="132" spans="1:5">
      <c r="A132" s="117"/>
      <c r="B132" s="118"/>
      <c r="C132" s="119"/>
      <c r="D132" s="119"/>
      <c r="E132" s="108"/>
    </row>
    <row r="133" spans="1:5">
      <c r="A133" s="117"/>
      <c r="B133" s="118"/>
      <c r="C133" s="119"/>
      <c r="D133" s="119"/>
      <c r="E133" s="108"/>
    </row>
    <row r="134" spans="1:5">
      <c r="A134" s="117"/>
      <c r="B134" s="118"/>
      <c r="C134" s="119"/>
      <c r="D134" s="119"/>
      <c r="E134" s="108"/>
    </row>
    <row r="135" spans="1:5">
      <c r="A135" s="117"/>
      <c r="B135" s="118"/>
      <c r="C135" s="119"/>
      <c r="D135" s="119"/>
      <c r="E135" s="108"/>
    </row>
    <row r="136" spans="1:5">
      <c r="A136" s="117"/>
      <c r="B136" s="118"/>
      <c r="C136" s="119"/>
      <c r="D136" s="119"/>
      <c r="E136" s="108"/>
    </row>
    <row r="137" spans="1:5">
      <c r="A137" s="117"/>
      <c r="B137" s="118"/>
      <c r="C137" s="119"/>
      <c r="D137" s="119"/>
      <c r="E137" s="108"/>
    </row>
    <row r="138" spans="1:5">
      <c r="A138" s="117"/>
      <c r="B138" s="118"/>
      <c r="C138" s="119"/>
      <c r="D138" s="119"/>
      <c r="E138" s="108"/>
    </row>
    <row r="139" spans="1:5">
      <c r="A139" s="117"/>
      <c r="B139" s="118"/>
      <c r="C139" s="119"/>
      <c r="D139" s="119"/>
      <c r="E139" s="108"/>
    </row>
    <row r="140" spans="1:5">
      <c r="A140" s="117"/>
      <c r="B140" s="118"/>
      <c r="C140" s="119"/>
      <c r="D140" s="119"/>
      <c r="E140" s="108"/>
    </row>
    <row r="141" spans="1:5">
      <c r="A141" s="117"/>
      <c r="B141" s="118"/>
      <c r="C141" s="119"/>
      <c r="D141" s="119"/>
      <c r="E141" s="108"/>
    </row>
    <row r="142" spans="1:5">
      <c r="A142" s="117"/>
      <c r="B142" s="118"/>
      <c r="C142" s="119"/>
      <c r="D142" s="119"/>
      <c r="E142" s="108"/>
    </row>
    <row r="143" spans="1:5">
      <c r="A143" s="117"/>
      <c r="B143" s="118"/>
      <c r="C143" s="119"/>
      <c r="D143" s="119"/>
      <c r="E143" s="108"/>
    </row>
    <row r="144" spans="1:5">
      <c r="A144" s="117"/>
      <c r="B144" s="118"/>
      <c r="C144" s="119"/>
      <c r="D144" s="119"/>
      <c r="E144" s="108"/>
    </row>
    <row r="145" spans="1:5">
      <c r="A145" s="117"/>
      <c r="B145" s="118"/>
      <c r="C145" s="119"/>
      <c r="D145" s="119"/>
      <c r="E145" s="108"/>
    </row>
    <row r="146" spans="1:5">
      <c r="A146" s="117"/>
      <c r="B146" s="118"/>
      <c r="C146" s="119"/>
      <c r="D146" s="119"/>
      <c r="E146" s="108"/>
    </row>
    <row r="147" spans="1:5">
      <c r="A147" s="117"/>
      <c r="B147" s="118"/>
      <c r="C147" s="119"/>
      <c r="D147" s="119"/>
      <c r="E147" s="108"/>
    </row>
    <row r="148" spans="1:5">
      <c r="A148" s="117"/>
      <c r="B148" s="118"/>
      <c r="C148" s="119"/>
      <c r="D148" s="119"/>
      <c r="E148" s="108"/>
    </row>
    <row r="149" spans="1:5">
      <c r="A149" s="117"/>
      <c r="B149" s="118"/>
      <c r="C149" s="119"/>
      <c r="D149" s="119"/>
      <c r="E149" s="108"/>
    </row>
    <row r="150" spans="1:5">
      <c r="A150" s="117"/>
      <c r="B150" s="118"/>
      <c r="C150" s="119"/>
      <c r="D150" s="119"/>
      <c r="E150" s="108"/>
    </row>
    <row r="151" spans="1:5">
      <c r="A151" s="117"/>
      <c r="B151" s="118"/>
      <c r="C151" s="119"/>
      <c r="D151" s="119"/>
      <c r="E151" s="108"/>
    </row>
    <row r="152" spans="1:5">
      <c r="A152" s="117"/>
      <c r="B152" s="118"/>
      <c r="C152" s="119"/>
      <c r="D152" s="119"/>
      <c r="E152" s="108"/>
    </row>
    <row r="153" spans="1:5">
      <c r="A153" s="117"/>
      <c r="B153" s="118"/>
      <c r="C153" s="119"/>
      <c r="D153" s="119"/>
      <c r="E153" s="108"/>
    </row>
    <row r="154" spans="1:5">
      <c r="A154" s="117"/>
      <c r="B154" s="118"/>
      <c r="C154" s="119"/>
      <c r="D154" s="119"/>
      <c r="E154" s="108"/>
    </row>
    <row r="155" spans="1:5">
      <c r="A155" s="117"/>
      <c r="B155" s="118"/>
      <c r="C155" s="119"/>
      <c r="D155" s="119"/>
      <c r="E155" s="108"/>
    </row>
    <row r="156" spans="1:5">
      <c r="A156" s="117"/>
      <c r="B156" s="118"/>
      <c r="C156" s="119"/>
      <c r="D156" s="119"/>
      <c r="E156" s="108"/>
    </row>
    <row r="157" spans="1:5">
      <c r="A157" s="117"/>
      <c r="B157" s="118"/>
      <c r="C157" s="119"/>
      <c r="D157" s="119"/>
      <c r="E157" s="108"/>
    </row>
    <row r="158" spans="1:5">
      <c r="A158" s="117"/>
      <c r="B158" s="118"/>
      <c r="C158" s="119"/>
      <c r="D158" s="119"/>
      <c r="E158" s="108"/>
    </row>
    <row r="159" spans="1:5">
      <c r="A159" s="117"/>
      <c r="B159" s="118"/>
      <c r="C159" s="119"/>
      <c r="D159" s="119"/>
      <c r="E159" s="108"/>
    </row>
    <row r="160" spans="1:5">
      <c r="A160" s="117"/>
      <c r="B160" s="118"/>
      <c r="C160" s="119"/>
      <c r="D160" s="119"/>
      <c r="E160" s="108"/>
    </row>
    <row r="161" spans="1:5">
      <c r="A161" s="117"/>
      <c r="B161" s="118"/>
      <c r="C161" s="119"/>
      <c r="D161" s="119"/>
      <c r="E161" s="108"/>
    </row>
    <row r="162" spans="1:5">
      <c r="A162" s="117"/>
      <c r="B162" s="118"/>
      <c r="C162" s="119"/>
      <c r="D162" s="119"/>
      <c r="E162" s="108"/>
    </row>
    <row r="163" spans="1:5">
      <c r="A163" s="117"/>
      <c r="B163" s="118"/>
      <c r="C163" s="119"/>
      <c r="D163" s="119"/>
      <c r="E163" s="108"/>
    </row>
    <row r="164" spans="1:5">
      <c r="A164" s="117"/>
      <c r="B164" s="118"/>
      <c r="C164" s="119"/>
      <c r="D164" s="119"/>
      <c r="E164" s="108"/>
    </row>
    <row r="165" spans="1:5">
      <c r="A165" s="117"/>
      <c r="B165" s="118"/>
      <c r="C165" s="119"/>
      <c r="D165" s="119"/>
      <c r="E165" s="108"/>
    </row>
    <row r="166" spans="1:5">
      <c r="A166" s="117"/>
      <c r="B166" s="118"/>
      <c r="C166" s="119"/>
      <c r="D166" s="119"/>
      <c r="E166" s="108"/>
    </row>
    <row r="167" spans="1:5">
      <c r="A167" s="117"/>
      <c r="B167" s="118"/>
      <c r="C167" s="119"/>
      <c r="D167" s="119"/>
      <c r="E167" s="108"/>
    </row>
    <row r="168" spans="1:5">
      <c r="A168" s="117"/>
      <c r="B168" s="118"/>
      <c r="C168" s="119"/>
      <c r="D168" s="119"/>
      <c r="E168" s="108"/>
    </row>
    <row r="169" spans="1:5">
      <c r="A169" s="117"/>
      <c r="B169" s="118"/>
      <c r="C169" s="119"/>
      <c r="D169" s="119"/>
      <c r="E169" s="108"/>
    </row>
    <row r="170" spans="1:5">
      <c r="A170" s="117"/>
      <c r="B170" s="118"/>
      <c r="C170" s="119"/>
      <c r="D170" s="119"/>
      <c r="E170" s="108"/>
    </row>
    <row r="171" spans="1:5">
      <c r="A171" s="117"/>
      <c r="B171" s="118"/>
      <c r="C171" s="119"/>
      <c r="D171" s="119"/>
      <c r="E171" s="108"/>
    </row>
    <row r="172" spans="1:5">
      <c r="A172" s="117"/>
      <c r="B172" s="118"/>
      <c r="C172" s="119"/>
      <c r="D172" s="119"/>
      <c r="E172" s="108"/>
    </row>
    <row r="173" spans="1:5">
      <c r="A173" s="117"/>
      <c r="B173" s="118"/>
      <c r="C173" s="119"/>
      <c r="D173" s="119"/>
      <c r="E173" s="108"/>
    </row>
    <row r="174" spans="1:5">
      <c r="A174" s="117"/>
      <c r="B174" s="118"/>
      <c r="C174" s="119"/>
      <c r="D174" s="119"/>
      <c r="E174" s="108"/>
    </row>
    <row r="175" spans="1:5">
      <c r="A175" s="117"/>
      <c r="B175" s="118"/>
      <c r="C175" s="119"/>
      <c r="D175" s="119"/>
      <c r="E175" s="108"/>
    </row>
    <row r="176" spans="1:5">
      <c r="A176" s="117"/>
      <c r="B176" s="118"/>
      <c r="C176" s="119"/>
      <c r="D176" s="119"/>
      <c r="E176" s="108"/>
    </row>
    <row r="177" spans="1:5">
      <c r="A177" s="117"/>
      <c r="B177" s="118"/>
      <c r="C177" s="119"/>
      <c r="D177" s="119"/>
      <c r="E177" s="108"/>
    </row>
    <row r="178" spans="1:5">
      <c r="A178" s="117"/>
      <c r="B178" s="118"/>
      <c r="C178" s="119"/>
      <c r="D178" s="119"/>
      <c r="E178" s="108"/>
    </row>
    <row r="179" spans="1:5">
      <c r="A179" s="117"/>
      <c r="B179" s="118"/>
      <c r="C179" s="119"/>
      <c r="D179" s="119"/>
      <c r="E179" s="108"/>
    </row>
    <row r="180" spans="1:5">
      <c r="A180" s="117"/>
      <c r="B180" s="118"/>
      <c r="C180" s="119"/>
      <c r="D180" s="119"/>
      <c r="E180" s="108"/>
    </row>
    <row r="181" spans="1:5">
      <c r="A181" s="117"/>
      <c r="B181" s="118"/>
      <c r="C181" s="119"/>
      <c r="D181" s="119"/>
      <c r="E181" s="108"/>
    </row>
    <row r="182" spans="1:5">
      <c r="A182" s="117"/>
      <c r="B182" s="118"/>
      <c r="C182" s="119"/>
      <c r="D182" s="119"/>
      <c r="E182" s="108"/>
    </row>
    <row r="183" spans="1:5">
      <c r="A183" s="117"/>
      <c r="B183" s="118"/>
      <c r="C183" s="119"/>
      <c r="D183" s="119"/>
      <c r="E183" s="108"/>
    </row>
    <row r="184" spans="1:5">
      <c r="A184" s="117"/>
      <c r="B184" s="118"/>
      <c r="C184" s="119"/>
      <c r="D184" s="119"/>
      <c r="E184" s="108"/>
    </row>
    <row r="185" spans="1:5">
      <c r="A185" s="117"/>
      <c r="B185" s="118"/>
      <c r="C185" s="119"/>
      <c r="D185" s="119"/>
      <c r="E185" s="108"/>
    </row>
    <row r="186" spans="1:5">
      <c r="A186" s="117"/>
      <c r="B186" s="118"/>
      <c r="C186" s="119"/>
      <c r="D186" s="119"/>
      <c r="E186" s="108"/>
    </row>
    <row r="187" spans="1:5">
      <c r="A187" s="117"/>
      <c r="B187" s="118"/>
      <c r="C187" s="119"/>
      <c r="D187" s="119"/>
      <c r="E187" s="108"/>
    </row>
    <row r="188" spans="1:5">
      <c r="A188" s="117"/>
      <c r="B188" s="118"/>
      <c r="C188" s="119"/>
      <c r="D188" s="119"/>
      <c r="E188" s="108"/>
    </row>
    <row r="189" spans="1:5">
      <c r="A189" s="117"/>
      <c r="B189" s="118"/>
      <c r="C189" s="119"/>
      <c r="D189" s="119"/>
      <c r="E189" s="108"/>
    </row>
    <row r="190" spans="1:5">
      <c r="A190" s="117"/>
      <c r="B190" s="118"/>
      <c r="C190" s="119"/>
      <c r="D190" s="119"/>
      <c r="E190" s="108"/>
    </row>
    <row r="191" spans="1:5">
      <c r="A191" s="117"/>
      <c r="B191" s="118"/>
      <c r="C191" s="119"/>
      <c r="D191" s="119"/>
      <c r="E191" s="108"/>
    </row>
    <row r="192" spans="1:5">
      <c r="A192" s="117"/>
      <c r="B192" s="118"/>
      <c r="C192" s="119"/>
      <c r="D192" s="119"/>
      <c r="E192" s="108"/>
    </row>
    <row r="193" spans="1:5">
      <c r="A193" s="117"/>
      <c r="B193" s="118"/>
      <c r="C193" s="119"/>
      <c r="D193" s="119"/>
      <c r="E193" s="108"/>
    </row>
    <row r="194" spans="1:5">
      <c r="A194" s="117"/>
      <c r="B194" s="118"/>
      <c r="C194" s="119"/>
      <c r="D194" s="119"/>
      <c r="E194" s="108"/>
    </row>
    <row r="195" spans="1:5">
      <c r="A195" s="117"/>
      <c r="B195" s="118"/>
      <c r="C195" s="119"/>
      <c r="D195" s="119"/>
      <c r="E195" s="108"/>
    </row>
    <row r="196" spans="1:5">
      <c r="A196" s="117"/>
      <c r="B196" s="118"/>
      <c r="C196" s="119"/>
      <c r="D196" s="119"/>
      <c r="E196" s="108"/>
    </row>
    <row r="197" spans="1:5">
      <c r="A197" s="117"/>
      <c r="B197" s="118"/>
      <c r="C197" s="119"/>
      <c r="D197" s="119"/>
      <c r="E197" s="108"/>
    </row>
    <row r="198" spans="1:5">
      <c r="A198" s="117"/>
      <c r="B198" s="118"/>
      <c r="C198" s="119"/>
      <c r="D198" s="119"/>
      <c r="E198" s="108"/>
    </row>
    <row r="199" spans="1:5">
      <c r="A199" s="117"/>
      <c r="B199" s="118"/>
      <c r="C199" s="119"/>
      <c r="D199" s="119"/>
      <c r="E199" s="108"/>
    </row>
    <row r="200" spans="1:5">
      <c r="A200" s="117"/>
      <c r="B200" s="118"/>
      <c r="C200" s="119"/>
      <c r="D200" s="119"/>
      <c r="E200" s="108"/>
    </row>
    <row r="201" spans="1:5">
      <c r="A201" s="117"/>
      <c r="B201" s="118"/>
      <c r="C201" s="119"/>
      <c r="D201" s="119"/>
      <c r="E201" s="108"/>
    </row>
    <row r="202" spans="1:5">
      <c r="A202" s="117"/>
      <c r="B202" s="118"/>
      <c r="C202" s="119"/>
      <c r="D202" s="119"/>
      <c r="E202" s="108"/>
    </row>
    <row r="203" spans="1:5">
      <c r="A203" s="117"/>
      <c r="B203" s="118"/>
      <c r="C203" s="119"/>
      <c r="D203" s="119"/>
      <c r="E203" s="108"/>
    </row>
    <row r="204" spans="1:5">
      <c r="A204" s="117"/>
      <c r="B204" s="118"/>
      <c r="C204" s="119"/>
      <c r="D204" s="119"/>
      <c r="E204" s="108"/>
    </row>
    <row r="205" spans="1:5">
      <c r="A205" s="117"/>
      <c r="B205" s="118"/>
      <c r="C205" s="119"/>
      <c r="D205" s="119"/>
      <c r="E205" s="108"/>
    </row>
    <row r="206" spans="1:5">
      <c r="A206" s="117"/>
      <c r="B206" s="118"/>
      <c r="C206" s="119"/>
      <c r="D206" s="119"/>
      <c r="E206" s="108"/>
    </row>
    <row r="207" spans="1:5">
      <c r="A207" s="117"/>
      <c r="B207" s="118"/>
      <c r="C207" s="119"/>
      <c r="D207" s="119"/>
      <c r="E207" s="108"/>
    </row>
    <row r="208" spans="1:5">
      <c r="A208" s="117"/>
      <c r="B208" s="118"/>
      <c r="C208" s="119"/>
      <c r="D208" s="119"/>
      <c r="E208" s="108"/>
    </row>
    <row r="209" spans="1:5">
      <c r="A209" s="117"/>
      <c r="B209" s="118"/>
      <c r="C209" s="119"/>
      <c r="D209" s="119"/>
      <c r="E209" s="108"/>
    </row>
    <row r="210" spans="1:5">
      <c r="A210" s="117"/>
      <c r="B210" s="118"/>
      <c r="C210" s="119"/>
      <c r="D210" s="119"/>
      <c r="E210" s="108"/>
    </row>
    <row r="211" spans="1:5">
      <c r="A211" s="117"/>
      <c r="B211" s="118"/>
      <c r="C211" s="119"/>
      <c r="D211" s="119"/>
      <c r="E211" s="108"/>
    </row>
    <row r="212" spans="1:5">
      <c r="A212" s="117"/>
      <c r="B212" s="118"/>
      <c r="C212" s="119"/>
      <c r="D212" s="119"/>
      <c r="E212" s="108"/>
    </row>
    <row r="213" spans="1:5">
      <c r="A213" s="117"/>
      <c r="B213" s="118"/>
      <c r="C213" s="119"/>
      <c r="D213" s="119"/>
      <c r="E213" s="108"/>
    </row>
    <row r="214" spans="1:5">
      <c r="A214" s="117"/>
      <c r="B214" s="118"/>
      <c r="C214" s="119"/>
      <c r="D214" s="119"/>
      <c r="E214" s="108"/>
    </row>
    <row r="215" spans="1:5">
      <c r="A215" s="117"/>
      <c r="B215" s="118"/>
      <c r="C215" s="119"/>
      <c r="D215" s="119"/>
      <c r="E215" s="108"/>
    </row>
    <row r="216" spans="1:5">
      <c r="A216" s="117"/>
      <c r="B216" s="118"/>
      <c r="C216" s="119"/>
      <c r="D216" s="119"/>
      <c r="E216" s="108"/>
    </row>
    <row r="217" spans="1:5">
      <c r="A217" s="117"/>
      <c r="B217" s="118"/>
      <c r="C217" s="119"/>
      <c r="D217" s="119"/>
      <c r="E217" s="108"/>
    </row>
    <row r="218" spans="1:5">
      <c r="A218" s="117"/>
      <c r="B218" s="118"/>
      <c r="C218" s="119"/>
      <c r="D218" s="119"/>
      <c r="E218" s="108"/>
    </row>
    <row r="219" spans="1:5">
      <c r="A219" s="117"/>
      <c r="B219" s="118"/>
      <c r="C219" s="119"/>
      <c r="D219" s="119"/>
      <c r="E219" s="108"/>
    </row>
    <row r="220" spans="1:5">
      <c r="A220" s="117"/>
      <c r="B220" s="118"/>
      <c r="C220" s="119"/>
      <c r="D220" s="119"/>
      <c r="E220" s="108"/>
    </row>
    <row r="221" spans="1:5">
      <c r="A221" s="117"/>
      <c r="B221" s="118"/>
      <c r="C221" s="119"/>
      <c r="D221" s="119"/>
      <c r="E221" s="108"/>
    </row>
    <row r="222" spans="1:5">
      <c r="A222" s="117"/>
      <c r="B222" s="118"/>
      <c r="C222" s="119"/>
      <c r="D222" s="119"/>
      <c r="E222" s="108"/>
    </row>
    <row r="223" spans="1:5">
      <c r="A223" s="117"/>
      <c r="B223" s="118"/>
      <c r="C223" s="119"/>
      <c r="D223" s="119"/>
      <c r="E223" s="108"/>
    </row>
    <row r="224" spans="1:5">
      <c r="A224" s="117"/>
      <c r="B224" s="118"/>
      <c r="C224" s="119"/>
      <c r="D224" s="119"/>
      <c r="E224" s="108"/>
    </row>
    <row r="225" spans="1:5">
      <c r="A225" s="117"/>
      <c r="B225" s="118"/>
      <c r="C225" s="119"/>
      <c r="D225" s="119"/>
      <c r="E225" s="108"/>
    </row>
    <row r="226" spans="1:5">
      <c r="A226" s="117"/>
      <c r="B226" s="118"/>
      <c r="C226" s="119"/>
      <c r="D226" s="119"/>
      <c r="E226" s="108"/>
    </row>
    <row r="227" spans="1:5">
      <c r="A227" s="117"/>
      <c r="B227" s="118"/>
      <c r="C227" s="119"/>
      <c r="D227" s="119"/>
      <c r="E227" s="108"/>
    </row>
    <row r="228" spans="1:5">
      <c r="A228" s="117"/>
      <c r="B228" s="118"/>
      <c r="C228" s="119"/>
      <c r="D228" s="119"/>
      <c r="E228" s="108"/>
    </row>
    <row r="229" spans="1:5">
      <c r="A229" s="117"/>
      <c r="B229" s="118"/>
      <c r="C229" s="119"/>
      <c r="D229" s="119"/>
      <c r="E229" s="108"/>
    </row>
    <row r="230" spans="1:5">
      <c r="A230" s="117"/>
      <c r="B230" s="118"/>
      <c r="C230" s="119"/>
      <c r="D230" s="119"/>
      <c r="E230" s="108"/>
    </row>
    <row r="231" spans="1:5">
      <c r="A231" s="117"/>
      <c r="B231" s="118"/>
      <c r="C231" s="119"/>
      <c r="D231" s="119"/>
      <c r="E231" s="108"/>
    </row>
    <row r="232" spans="1:5">
      <c r="A232" s="117"/>
      <c r="B232" s="118"/>
      <c r="C232" s="119"/>
      <c r="D232" s="119"/>
      <c r="E232" s="108"/>
    </row>
    <row r="233" spans="1:5">
      <c r="A233" s="117"/>
      <c r="B233" s="118"/>
      <c r="C233" s="119"/>
      <c r="D233" s="119"/>
      <c r="E233" s="108"/>
    </row>
    <row r="234" spans="1:5">
      <c r="A234" s="117"/>
      <c r="B234" s="118"/>
      <c r="C234" s="119"/>
      <c r="D234" s="119"/>
      <c r="E234" s="108"/>
    </row>
    <row r="235" spans="1:5">
      <c r="A235" s="117"/>
      <c r="B235" s="118"/>
      <c r="C235" s="119"/>
      <c r="D235" s="119"/>
      <c r="E235" s="108"/>
    </row>
    <row r="236" spans="1:5">
      <c r="A236" s="117"/>
      <c r="B236" s="118"/>
      <c r="C236" s="119"/>
      <c r="D236" s="119"/>
      <c r="E236" s="108"/>
    </row>
    <row r="237" spans="1:5">
      <c r="A237" s="117"/>
      <c r="B237" s="118"/>
      <c r="C237" s="119"/>
      <c r="D237" s="119"/>
      <c r="E237" s="108"/>
    </row>
    <row r="238" spans="1:5">
      <c r="A238" s="117"/>
      <c r="B238" s="118"/>
      <c r="C238" s="119"/>
      <c r="D238" s="119"/>
      <c r="E238" s="108"/>
    </row>
    <row r="239" spans="1:5">
      <c r="A239" s="117"/>
      <c r="B239" s="118"/>
      <c r="C239" s="119"/>
      <c r="D239" s="119"/>
      <c r="E239" s="108"/>
    </row>
    <row r="240" spans="1:5">
      <c r="A240" s="117"/>
      <c r="B240" s="118"/>
      <c r="C240" s="119"/>
      <c r="D240" s="119"/>
      <c r="E240" s="108"/>
    </row>
    <row r="241" spans="1:5">
      <c r="A241" s="117"/>
      <c r="B241" s="118"/>
      <c r="C241" s="119"/>
      <c r="D241" s="119"/>
      <c r="E241" s="108"/>
    </row>
    <row r="242" spans="1:5">
      <c r="A242" s="117"/>
      <c r="B242" s="118"/>
      <c r="C242" s="119"/>
      <c r="D242" s="119"/>
      <c r="E242" s="108"/>
    </row>
    <row r="243" spans="1:5">
      <c r="A243" s="117"/>
      <c r="B243" s="118"/>
      <c r="C243" s="119"/>
      <c r="D243" s="119"/>
      <c r="E243" s="108"/>
    </row>
    <row r="244" spans="1:5">
      <c r="A244" s="117"/>
      <c r="B244" s="118"/>
      <c r="C244" s="119"/>
      <c r="D244" s="119"/>
      <c r="E244" s="108"/>
    </row>
    <row r="245" spans="1:5">
      <c r="A245" s="117"/>
      <c r="B245" s="118"/>
      <c r="C245" s="119"/>
      <c r="D245" s="119"/>
      <c r="E245" s="108"/>
    </row>
    <row r="246" spans="1:5">
      <c r="A246" s="117"/>
      <c r="B246" s="118"/>
      <c r="C246" s="119"/>
      <c r="D246" s="119"/>
      <c r="E246" s="108"/>
    </row>
    <row r="247" spans="1:5">
      <c r="A247" s="117"/>
      <c r="B247" s="118"/>
      <c r="C247" s="119"/>
      <c r="D247" s="119"/>
      <c r="E247" s="108"/>
    </row>
    <row r="248" spans="1:5">
      <c r="A248" s="117"/>
      <c r="B248" s="118"/>
      <c r="C248" s="119"/>
      <c r="D248" s="119"/>
      <c r="E248" s="108"/>
    </row>
    <row r="249" spans="1:5">
      <c r="A249" s="117"/>
      <c r="B249" s="118"/>
      <c r="C249" s="119"/>
      <c r="D249" s="119"/>
      <c r="E249" s="108"/>
    </row>
    <row r="250" spans="1:5">
      <c r="A250" s="117"/>
      <c r="B250" s="118"/>
      <c r="C250" s="119"/>
      <c r="D250" s="119"/>
      <c r="E250" s="108"/>
    </row>
    <row r="251" spans="1:5">
      <c r="A251" s="117"/>
      <c r="B251" s="118"/>
      <c r="C251" s="119"/>
      <c r="D251" s="119"/>
      <c r="E251" s="108"/>
    </row>
    <row r="252" spans="1:5">
      <c r="A252" s="117"/>
      <c r="B252" s="118"/>
      <c r="C252" s="119"/>
      <c r="D252" s="119"/>
      <c r="E252" s="108"/>
    </row>
    <row r="253" spans="1:5">
      <c r="A253" s="117"/>
      <c r="B253" s="118"/>
      <c r="C253" s="119"/>
      <c r="D253" s="119"/>
      <c r="E253" s="108"/>
    </row>
    <row r="254" spans="1:5">
      <c r="A254" s="117"/>
      <c r="B254" s="118"/>
      <c r="C254" s="119"/>
      <c r="D254" s="119"/>
      <c r="E254" s="108"/>
    </row>
    <row r="255" spans="1:5">
      <c r="A255" s="117"/>
      <c r="B255" s="118"/>
      <c r="C255" s="119"/>
      <c r="D255" s="119"/>
      <c r="E255" s="108"/>
    </row>
    <row r="256" spans="1:5">
      <c r="A256" s="117"/>
      <c r="B256" s="118"/>
      <c r="C256" s="119"/>
      <c r="D256" s="119"/>
      <c r="E256" s="108"/>
    </row>
    <row r="257" spans="1:5">
      <c r="A257" s="117"/>
      <c r="B257" s="118"/>
      <c r="C257" s="119"/>
      <c r="D257" s="119"/>
      <c r="E257" s="108"/>
    </row>
    <row r="258" spans="1:5">
      <c r="A258" s="117"/>
      <c r="B258" s="118"/>
      <c r="C258" s="119"/>
      <c r="D258" s="119"/>
      <c r="E258" s="108"/>
    </row>
    <row r="259" spans="1:5">
      <c r="A259" s="117"/>
      <c r="B259" s="118"/>
      <c r="C259" s="119"/>
      <c r="D259" s="119"/>
      <c r="E259" s="108"/>
    </row>
    <row r="260" spans="1:5">
      <c r="A260" s="117"/>
      <c r="B260" s="118"/>
      <c r="C260" s="119"/>
      <c r="D260" s="119"/>
      <c r="E260" s="108"/>
    </row>
    <row r="261" spans="1:5">
      <c r="A261" s="117"/>
      <c r="B261" s="118"/>
      <c r="C261" s="119"/>
      <c r="D261" s="119"/>
      <c r="E261" s="108"/>
    </row>
    <row r="262" spans="1:5">
      <c r="A262" s="117"/>
      <c r="B262" s="118"/>
      <c r="C262" s="119"/>
      <c r="D262" s="119"/>
      <c r="E262" s="108"/>
    </row>
    <row r="263" spans="1:5">
      <c r="A263" s="117"/>
      <c r="B263" s="118"/>
      <c r="C263" s="119"/>
      <c r="D263" s="119"/>
      <c r="E263" s="108"/>
    </row>
    <row r="264" spans="1:5">
      <c r="A264" s="117"/>
      <c r="B264" s="118"/>
      <c r="C264" s="119"/>
      <c r="D264" s="119"/>
      <c r="E264" s="108"/>
    </row>
    <row r="265" spans="1:5">
      <c r="A265" s="117"/>
      <c r="B265" s="118"/>
      <c r="C265" s="119"/>
      <c r="D265" s="119"/>
      <c r="E265" s="108"/>
    </row>
    <row r="266" spans="1:5">
      <c r="A266" s="117"/>
      <c r="B266" s="118"/>
      <c r="C266" s="119"/>
      <c r="D266" s="119"/>
      <c r="E266" s="108"/>
    </row>
    <row r="267" spans="1:5">
      <c r="A267" s="117"/>
      <c r="B267" s="118"/>
      <c r="C267" s="119"/>
      <c r="D267" s="119"/>
      <c r="E267" s="108"/>
    </row>
    <row r="268" spans="1:5">
      <c r="A268" s="117"/>
      <c r="B268" s="118"/>
      <c r="C268" s="119"/>
      <c r="D268" s="119"/>
      <c r="E268" s="108"/>
    </row>
    <row r="269" spans="1:5">
      <c r="A269" s="117"/>
      <c r="B269" s="118"/>
      <c r="C269" s="119"/>
      <c r="D269" s="119"/>
      <c r="E269" s="108"/>
    </row>
    <row r="270" spans="1:5">
      <c r="A270" s="117"/>
      <c r="B270" s="118"/>
      <c r="C270" s="119"/>
      <c r="D270" s="119"/>
      <c r="E270" s="108"/>
    </row>
    <row r="271" spans="1:5">
      <c r="A271" s="117"/>
      <c r="B271" s="118"/>
      <c r="C271" s="119"/>
      <c r="D271" s="119"/>
      <c r="E271" s="108"/>
    </row>
    <row r="272" spans="1:5">
      <c r="A272" s="117"/>
      <c r="B272" s="118"/>
      <c r="C272" s="119"/>
      <c r="D272" s="119"/>
      <c r="E272" s="108"/>
    </row>
    <row r="273" spans="1:5">
      <c r="A273" s="117"/>
      <c r="B273" s="118"/>
      <c r="C273" s="119"/>
      <c r="D273" s="119"/>
      <c r="E273" s="108"/>
    </row>
    <row r="274" spans="1:5">
      <c r="A274" s="117"/>
      <c r="B274" s="118"/>
      <c r="C274" s="119"/>
      <c r="D274" s="119"/>
      <c r="E274" s="108"/>
    </row>
    <row r="275" spans="1:5">
      <c r="A275" s="117"/>
      <c r="B275" s="118"/>
      <c r="C275" s="119"/>
      <c r="D275" s="119"/>
      <c r="E275" s="108"/>
    </row>
    <row r="276" spans="1:5">
      <c r="A276" s="117"/>
      <c r="B276" s="118"/>
      <c r="C276" s="119"/>
      <c r="D276" s="119"/>
      <c r="E276" s="108"/>
    </row>
    <row r="277" spans="1:5">
      <c r="A277" s="117"/>
      <c r="B277" s="118"/>
      <c r="C277" s="119"/>
      <c r="D277" s="119"/>
      <c r="E277" s="108"/>
    </row>
    <row r="278" spans="1:5">
      <c r="A278" s="117"/>
      <c r="B278" s="118"/>
      <c r="C278" s="119"/>
      <c r="D278" s="119"/>
      <c r="E278" s="108"/>
    </row>
    <row r="279" spans="1:5">
      <c r="A279" s="117"/>
      <c r="B279" s="118"/>
      <c r="C279" s="119"/>
      <c r="D279" s="119"/>
      <c r="E279" s="108"/>
    </row>
    <row r="280" spans="1:5">
      <c r="A280" s="117"/>
      <c r="B280" s="118"/>
      <c r="C280" s="119"/>
      <c r="D280" s="119"/>
      <c r="E280" s="108"/>
    </row>
    <row r="281" spans="1:5">
      <c r="A281" s="117"/>
      <c r="B281" s="118"/>
      <c r="C281" s="119"/>
      <c r="D281" s="119"/>
      <c r="E281" s="108"/>
    </row>
    <row r="282" spans="1:5">
      <c r="A282" s="117"/>
      <c r="B282" s="118"/>
      <c r="C282" s="119"/>
      <c r="D282" s="119"/>
      <c r="E282" s="108"/>
    </row>
    <row r="283" spans="1:5">
      <c r="A283" s="117"/>
      <c r="B283" s="118"/>
      <c r="C283" s="119"/>
      <c r="D283" s="119"/>
      <c r="E283" s="108"/>
    </row>
    <row r="284" spans="1:5">
      <c r="A284" s="117"/>
      <c r="B284" s="118"/>
      <c r="C284" s="119"/>
      <c r="D284" s="119"/>
      <c r="E284" s="108"/>
    </row>
    <row r="285" spans="1:5">
      <c r="A285" s="117"/>
      <c r="B285" s="118"/>
      <c r="C285" s="119"/>
      <c r="D285" s="119"/>
      <c r="E285" s="108"/>
    </row>
    <row r="286" spans="1:5">
      <c r="A286" s="117"/>
      <c r="B286" s="118"/>
      <c r="C286" s="119"/>
      <c r="D286" s="119"/>
      <c r="E286" s="108"/>
    </row>
    <row r="287" spans="1:5">
      <c r="A287" s="117"/>
      <c r="B287" s="118"/>
      <c r="C287" s="119"/>
      <c r="D287" s="119"/>
      <c r="E287" s="108"/>
    </row>
    <row r="288" spans="1:5">
      <c r="A288" s="117"/>
      <c r="B288" s="118"/>
      <c r="C288" s="119"/>
      <c r="D288" s="119"/>
      <c r="E288" s="108"/>
    </row>
    <row r="289" spans="1:5">
      <c r="A289" s="117"/>
      <c r="B289" s="118"/>
      <c r="C289" s="119"/>
      <c r="D289" s="119"/>
      <c r="E289" s="108"/>
    </row>
    <row r="290" spans="1:5">
      <c r="A290" s="117"/>
      <c r="B290" s="118"/>
      <c r="C290" s="119"/>
      <c r="D290" s="119"/>
      <c r="E290" s="108"/>
    </row>
    <row r="291" spans="1:5">
      <c r="A291" s="117"/>
      <c r="B291" s="118"/>
      <c r="C291" s="119"/>
      <c r="D291" s="119"/>
      <c r="E291" s="108"/>
    </row>
    <row r="292" spans="1:5">
      <c r="A292" s="117"/>
      <c r="B292" s="118"/>
      <c r="C292" s="119"/>
      <c r="D292" s="119"/>
      <c r="E292" s="108"/>
    </row>
    <row r="293" spans="1:5">
      <c r="A293" s="117"/>
      <c r="B293" s="118"/>
      <c r="C293" s="119"/>
      <c r="D293" s="119"/>
      <c r="E293" s="108"/>
    </row>
    <row r="294" spans="1:5">
      <c r="A294" s="117"/>
      <c r="B294" s="118"/>
      <c r="C294" s="119"/>
      <c r="D294" s="119"/>
      <c r="E294" s="108"/>
    </row>
    <row r="295" spans="1:5">
      <c r="A295" s="117"/>
      <c r="B295" s="118"/>
      <c r="C295" s="119"/>
      <c r="D295" s="119"/>
      <c r="E295" s="108"/>
    </row>
    <row r="296" spans="1:5">
      <c r="A296" s="117"/>
      <c r="B296" s="118"/>
      <c r="C296" s="119"/>
      <c r="D296" s="119"/>
      <c r="E296" s="108"/>
    </row>
    <row r="297" spans="1:5">
      <c r="A297" s="117"/>
      <c r="B297" s="118"/>
      <c r="C297" s="119"/>
      <c r="D297" s="119"/>
      <c r="E297" s="108"/>
    </row>
    <row r="298" spans="1:5">
      <c r="A298" s="117"/>
      <c r="B298" s="118"/>
      <c r="C298" s="119"/>
      <c r="D298" s="119"/>
      <c r="E298" s="108"/>
    </row>
    <row r="299" spans="1:5">
      <c r="A299" s="117"/>
      <c r="B299" s="118"/>
      <c r="C299" s="119"/>
      <c r="D299" s="119"/>
      <c r="E299" s="108"/>
    </row>
    <row r="300" spans="1:5">
      <c r="A300" s="117"/>
      <c r="B300" s="118"/>
      <c r="C300" s="119"/>
      <c r="D300" s="119"/>
      <c r="E300" s="108"/>
    </row>
    <row r="301" spans="1:5">
      <c r="A301" s="117"/>
      <c r="B301" s="118"/>
      <c r="C301" s="119"/>
      <c r="D301" s="119"/>
      <c r="E301" s="108"/>
    </row>
    <row r="302" spans="1:5">
      <c r="A302" s="117"/>
      <c r="B302" s="118"/>
      <c r="C302" s="119"/>
      <c r="D302" s="119"/>
      <c r="E302" s="108"/>
    </row>
  </sheetData>
  <sheetProtection algorithmName="SHA-512" hashValue="m1vkMuXUlP4Gq0PT/ImkvkLeZhiTHzhHnZJjp+KKelH7bor4FV2NqWIW8EOboD9EPHXRY0B1HBg25+KSZRr6Zw==" saltValue="1sJca/9UVVmm/IsasbuhdQ==" spinCount="100000" sheet="1" objects="1" scenarios="1"/>
  <phoneticPr fontId="78"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7896-9343-46B6-B4EF-C67B0892A0C5}">
  <sheetPr codeName="Sheet12">
    <pageSetUpPr fitToPage="1"/>
  </sheetPr>
  <dimension ref="A1:BK202"/>
  <sheetViews>
    <sheetView showGridLines="0" showRowColHeaders="0" zoomScale="90" zoomScaleNormal="90" workbookViewId="0">
      <selection activeCell="AW14" sqref="AW14:AX14"/>
    </sheetView>
  </sheetViews>
  <sheetFormatPr defaultColWidth="0" defaultRowHeight="16.350000000000001" customHeight="1" zeroHeight="1"/>
  <cols>
    <col min="1" max="58" width="4.5703125" style="503" customWidth="1"/>
    <col min="59" max="61" width="4.5703125" style="502" customWidth="1"/>
    <col min="62" max="16384" width="4.5703125" style="502" hidden="1"/>
  </cols>
  <sheetData>
    <row r="1" spans="1:63" customFormat="1" ht="16.350000000000001" customHeight="1">
      <c r="A1" s="12"/>
      <c r="B1" s="36"/>
      <c r="C1" s="36"/>
      <c r="D1" s="36"/>
      <c r="E1" s="36"/>
      <c r="F1" s="750" t="str">
        <f>M1S1</f>
        <v>WELCOME</v>
      </c>
      <c r="G1" s="750"/>
      <c r="H1" s="750"/>
      <c r="I1" s="750"/>
      <c r="J1" s="727" t="str">
        <f>M1S2</f>
        <v>INSTRUCTIONS</v>
      </c>
      <c r="K1" s="727"/>
      <c r="L1" s="727"/>
      <c r="M1" s="727"/>
      <c r="N1" s="166"/>
      <c r="O1" s="166"/>
      <c r="P1" s="166"/>
      <c r="Q1" s="166"/>
      <c r="R1" s="166"/>
      <c r="S1" s="166"/>
      <c r="T1" s="189"/>
      <c r="U1" s="190" t="s">
        <v>118</v>
      </c>
      <c r="V1" s="190"/>
      <c r="W1" s="190"/>
      <c r="X1" s="190"/>
      <c r="Y1" s="166"/>
      <c r="Z1" s="166"/>
      <c r="AA1" s="166"/>
      <c r="AB1" s="166"/>
      <c r="AC1" s="166"/>
      <c r="AD1" s="166"/>
      <c r="AE1" s="166"/>
      <c r="AF1" s="240"/>
      <c r="AG1" s="240"/>
      <c r="AH1" s="177"/>
      <c r="AI1" s="177"/>
      <c r="AJ1" s="177"/>
      <c r="AK1" s="177"/>
      <c r="AL1" s="177"/>
      <c r="AM1" s="177"/>
      <c r="AN1" s="734" t="str">
        <f>IF(ACTIVEINSPECT="Yes","Complete "&amp;M5S4,"")</f>
        <v/>
      </c>
      <c r="AO1" s="734"/>
      <c r="AP1" s="734"/>
      <c r="AQ1" s="734"/>
      <c r="AR1" s="730" t="str">
        <f>IF(ACTIVEOFFER="Yes","Sign "&amp;M5S6,"")</f>
        <v>Sign OBR: Repayment Agreement</v>
      </c>
      <c r="AS1" s="730"/>
      <c r="AT1" s="730"/>
      <c r="AU1" s="730"/>
      <c r="AV1" s="730" t="str">
        <f>IF(ACTIVECOMPL="Yes","Sign "&amp;M5S5,"")</f>
        <v xml:space="preserve">Sign Project Completion Certification </v>
      </c>
      <c r="AW1" s="730"/>
      <c r="AX1" s="730"/>
      <c r="AY1" s="730"/>
      <c r="AZ1" s="754" t="str">
        <f>M1S4</f>
        <v>INCENTIVE RATES &amp; REQUIREMENTS</v>
      </c>
      <c r="BA1" s="754"/>
      <c r="BB1" s="754"/>
      <c r="BC1" s="754"/>
      <c r="BD1" s="754"/>
      <c r="BE1" s="754"/>
      <c r="BF1" s="722" t="s">
        <v>119</v>
      </c>
      <c r="BG1" s="723"/>
      <c r="BH1" s="723"/>
      <c r="BI1" s="723"/>
    </row>
    <row r="2" spans="1:63" customFormat="1" ht="16.350000000000001" customHeight="1">
      <c r="B2" s="36"/>
      <c r="C2" s="36"/>
      <c r="D2" s="36"/>
      <c r="E2" s="36"/>
      <c r="F2" s="750"/>
      <c r="G2" s="750"/>
      <c r="H2" s="750"/>
      <c r="I2" s="750"/>
      <c r="J2" s="728"/>
      <c r="K2" s="728"/>
      <c r="L2" s="728"/>
      <c r="M2" s="728"/>
      <c r="N2" s="166"/>
      <c r="O2" s="166"/>
      <c r="P2" s="166"/>
      <c r="Q2" s="166"/>
      <c r="R2" s="166"/>
      <c r="S2" s="166"/>
      <c r="T2" s="189"/>
      <c r="U2" s="190"/>
      <c r="V2" s="190"/>
      <c r="W2" s="190"/>
      <c r="X2" s="190"/>
      <c r="Y2" s="166"/>
      <c r="Z2" s="166"/>
      <c r="AA2" s="166"/>
      <c r="AB2" s="166"/>
      <c r="AC2" s="166"/>
      <c r="AD2" s="166"/>
      <c r="AE2" s="166"/>
      <c r="AF2" s="240"/>
      <c r="AG2" s="240"/>
      <c r="AH2" s="177"/>
      <c r="AI2" s="177"/>
      <c r="AJ2" s="177"/>
      <c r="AK2" s="177"/>
      <c r="AL2" s="177"/>
      <c r="AM2" s="177"/>
      <c r="AN2" s="734"/>
      <c r="AO2" s="734"/>
      <c r="AP2" s="734"/>
      <c r="AQ2" s="734"/>
      <c r="AR2" s="730"/>
      <c r="AS2" s="730"/>
      <c r="AT2" s="730"/>
      <c r="AU2" s="730"/>
      <c r="AV2" s="730"/>
      <c r="AW2" s="730"/>
      <c r="AX2" s="730"/>
      <c r="AY2" s="730"/>
      <c r="AZ2" s="754"/>
      <c r="BA2" s="754"/>
      <c r="BB2" s="754"/>
      <c r="BC2" s="754"/>
      <c r="BD2" s="754"/>
      <c r="BE2" s="754"/>
      <c r="BF2" s="723"/>
      <c r="BG2" s="723"/>
      <c r="BH2" s="723"/>
      <c r="BI2" s="723"/>
    </row>
    <row r="3" spans="1:63" s="614" customFormat="1" ht="16.350000000000001" customHeight="1" thickBot="1">
      <c r="B3" s="627"/>
      <c r="C3" s="627"/>
      <c r="D3" s="627"/>
      <c r="E3" s="627"/>
      <c r="F3" s="875"/>
      <c r="G3" s="875"/>
      <c r="H3" s="875"/>
      <c r="I3" s="875"/>
      <c r="J3" s="876"/>
      <c r="K3" s="876"/>
      <c r="L3" s="876"/>
      <c r="M3" s="876"/>
      <c r="N3" s="608"/>
      <c r="O3" s="608"/>
      <c r="P3" s="608"/>
      <c r="Q3" s="608"/>
      <c r="R3" s="608"/>
      <c r="S3" s="608"/>
      <c r="T3" s="608"/>
      <c r="U3" s="609"/>
      <c r="V3" s="609"/>
      <c r="W3" s="609"/>
      <c r="X3" s="609"/>
      <c r="AF3" s="626"/>
      <c r="AG3" s="626"/>
      <c r="AH3" s="626"/>
      <c r="AI3" s="626"/>
      <c r="AJ3" s="626"/>
      <c r="AK3" s="626"/>
      <c r="AL3" s="626"/>
      <c r="AM3" s="626"/>
      <c r="AN3" s="868"/>
      <c r="AO3" s="868"/>
      <c r="AP3" s="868"/>
      <c r="AQ3" s="868"/>
      <c r="AR3" s="869"/>
      <c r="AS3" s="869"/>
      <c r="AT3" s="869"/>
      <c r="AU3" s="869"/>
      <c r="AV3" s="869"/>
      <c r="AW3" s="869"/>
      <c r="AX3" s="869"/>
      <c r="AY3" s="869"/>
      <c r="AZ3" s="870"/>
      <c r="BA3" s="870"/>
      <c r="BB3" s="870"/>
      <c r="BC3" s="870"/>
      <c r="BD3" s="870"/>
      <c r="BE3" s="870"/>
      <c r="BF3" s="871"/>
      <c r="BG3" s="871"/>
      <c r="BH3" s="871"/>
      <c r="BI3" s="871"/>
    </row>
    <row r="4" spans="1:63" s="638" customFormat="1" ht="16.350000000000001" customHeight="1">
      <c r="A4" s="632"/>
      <c r="B4" s="632"/>
      <c r="C4" s="632"/>
      <c r="D4" s="632"/>
      <c r="E4" s="632"/>
      <c r="F4" s="632"/>
      <c r="G4" s="632"/>
      <c r="H4" s="632"/>
      <c r="I4" s="632"/>
      <c r="J4" s="632"/>
      <c r="K4" s="632"/>
      <c r="L4" s="633"/>
      <c r="M4" s="498"/>
      <c r="N4" s="632"/>
      <c r="O4" s="632"/>
      <c r="P4" s="632"/>
      <c r="Q4" s="632"/>
      <c r="R4" s="632"/>
      <c r="S4" s="634" t="s">
        <v>707</v>
      </c>
      <c r="T4" s="635" t="str">
        <f>M05S07F07</f>
        <v>Custom</v>
      </c>
      <c r="U4" s="636"/>
      <c r="V4" s="636"/>
      <c r="W4" s="636"/>
      <c r="X4" s="632"/>
      <c r="Y4" s="632"/>
      <c r="Z4" s="632"/>
      <c r="AA4" s="634" t="s">
        <v>708</v>
      </c>
      <c r="AB4" s="874" t="str">
        <f>IF(M02S02F02="","[Project Name]",LEFT(M02S02F02,25))</f>
        <v>[Project Name]</v>
      </c>
      <c r="AC4" s="874"/>
      <c r="AD4" s="874"/>
      <c r="AE4" s="874"/>
      <c r="AF4" s="874"/>
      <c r="AG4" s="874"/>
      <c r="AH4" s="632"/>
      <c r="AI4" s="634" t="s">
        <v>709</v>
      </c>
      <c r="AJ4" s="637" t="str">
        <f>IF(M02S02F27="Yes",Status_Final,Status_Pre)</f>
        <v>Draft Pre-Application</v>
      </c>
      <c r="AK4" s="498"/>
      <c r="AL4" s="632"/>
      <c r="AM4" s="632"/>
      <c r="AN4" s="498"/>
      <c r="AO4" s="498"/>
      <c r="AP4" s="632"/>
      <c r="AQ4" s="632"/>
      <c r="AR4" s="632"/>
      <c r="AS4" s="634" t="s">
        <v>710</v>
      </c>
      <c r="AT4" s="872">
        <f>Incent_Total_Cap_All</f>
        <v>0</v>
      </c>
      <c r="AU4" s="872"/>
      <c r="AV4" s="872"/>
      <c r="AW4" s="872"/>
      <c r="AX4" s="873" t="s">
        <v>711</v>
      </c>
      <c r="AY4" s="873"/>
      <c r="AZ4" s="873"/>
      <c r="BA4" s="873"/>
      <c r="BB4" s="873"/>
      <c r="BC4" s="872" t="str">
        <f>OBR_Amount_Requested</f>
        <v/>
      </c>
      <c r="BD4" s="872"/>
      <c r="BE4" s="872"/>
      <c r="BF4" s="872"/>
      <c r="BG4" s="498"/>
    </row>
    <row r="5" spans="1:63" customFormat="1" ht="16.350000000000001" customHeight="1">
      <c r="A5" s="177"/>
      <c r="B5" s="622"/>
      <c r="C5" s="622"/>
      <c r="D5" s="622"/>
      <c r="E5" s="622"/>
      <c r="F5" s="622"/>
      <c r="G5" s="622"/>
      <c r="H5" s="622"/>
      <c r="I5" s="622"/>
      <c r="J5" s="622"/>
      <c r="K5" s="622"/>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623"/>
      <c r="BF5" s="177"/>
      <c r="BG5" s="918">
        <f ca="1">PROGRESSSTATUS</f>
        <v>0</v>
      </c>
      <c r="BH5" s="918"/>
      <c r="BI5" s="918"/>
    </row>
    <row r="6" spans="1:63" customFormat="1"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63" customFormat="1"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63"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14"/>
      <c r="BK8" s="614"/>
    </row>
    <row r="9" spans="1:63" s="43" customFormat="1" ht="16.350000000000001" customHeight="1">
      <c r="A9" s="765" t="str">
        <f>M3S1</f>
        <v>Equipment Type</v>
      </c>
      <c r="B9" s="765"/>
      <c r="C9" s="765"/>
      <c r="D9" s="765"/>
      <c r="E9" s="765"/>
      <c r="F9" s="765"/>
      <c r="G9" s="765"/>
      <c r="H9" s="765"/>
      <c r="I9" s="765"/>
      <c r="J9" s="765"/>
      <c r="K9" s="765"/>
      <c r="L9" s="765"/>
      <c r="M9" s="765"/>
      <c r="N9" s="765"/>
      <c r="O9" s="765"/>
      <c r="P9" s="765"/>
      <c r="Q9" s="765"/>
      <c r="R9" s="765"/>
      <c r="S9" s="765"/>
      <c r="T9" s="765"/>
      <c r="U9" s="765"/>
      <c r="V9" s="765"/>
      <c r="W9" s="765"/>
      <c r="X9" s="765"/>
      <c r="Y9" s="765"/>
      <c r="Z9" s="765"/>
      <c r="AA9" s="765"/>
      <c r="AB9" s="765"/>
      <c r="AC9" s="765"/>
      <c r="AD9" s="765"/>
      <c r="AE9" s="765"/>
      <c r="AF9" s="765"/>
      <c r="AG9" s="765"/>
      <c r="AH9" s="765"/>
      <c r="AI9" s="765"/>
      <c r="AJ9" s="765"/>
      <c r="AK9" s="765"/>
      <c r="AL9" s="765"/>
      <c r="AM9" s="765"/>
      <c r="AN9" s="765"/>
      <c r="AO9" s="765"/>
      <c r="AP9" s="765"/>
      <c r="AQ9" s="765"/>
      <c r="AR9" s="765"/>
      <c r="AS9" s="765"/>
      <c r="AT9" s="765"/>
      <c r="AU9" s="765"/>
      <c r="AV9" s="765"/>
      <c r="AW9" s="765"/>
      <c r="AX9" s="765"/>
      <c r="AY9" s="765"/>
      <c r="AZ9" s="765"/>
      <c r="BA9" s="765"/>
      <c r="BB9" s="765"/>
      <c r="BC9" s="765"/>
      <c r="BD9" s="765"/>
      <c r="BE9" s="765"/>
      <c r="BF9" s="765"/>
    </row>
    <row r="10" spans="1:63" s="43" customFormat="1" ht="16.350000000000001" customHeight="1">
      <c r="A10" s="765"/>
      <c r="B10" s="765"/>
      <c r="C10" s="765"/>
      <c r="D10" s="765"/>
      <c r="E10" s="765"/>
      <c r="F10" s="765"/>
      <c r="G10" s="765"/>
      <c r="H10" s="765"/>
      <c r="I10" s="765"/>
      <c r="J10" s="765"/>
      <c r="K10" s="765"/>
      <c r="L10" s="765"/>
      <c r="M10" s="765"/>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5"/>
      <c r="AO10" s="765"/>
      <c r="AP10" s="765"/>
      <c r="AQ10" s="765"/>
      <c r="AR10" s="765"/>
      <c r="AS10" s="765"/>
      <c r="AT10" s="765"/>
      <c r="AU10" s="765"/>
      <c r="AV10" s="765"/>
      <c r="AW10" s="765"/>
      <c r="AX10" s="765"/>
      <c r="AY10" s="765"/>
      <c r="AZ10" s="765"/>
      <c r="BA10" s="765"/>
      <c r="BB10" s="765"/>
      <c r="BC10" s="765"/>
      <c r="BD10" s="765"/>
      <c r="BE10" s="765"/>
      <c r="BF10" s="765"/>
    </row>
    <row r="11" spans="1:63" s="43" customFormat="1" ht="16.350000000000001" customHeight="1">
      <c r="A11" s="49"/>
      <c r="B11" s="49"/>
      <c r="C11" s="49"/>
      <c r="D11" s="49"/>
      <c r="E11" s="49"/>
      <c r="F11" s="49"/>
      <c r="G11" s="49"/>
      <c r="H11" s="49"/>
      <c r="I11" s="49"/>
      <c r="J11" s="49"/>
      <c r="K11" s="49"/>
      <c r="L11" s="49"/>
      <c r="M11" s="49"/>
      <c r="U11" s="921" t="s">
        <v>778</v>
      </c>
      <c r="V11" s="921"/>
      <c r="W11" s="921"/>
      <c r="X11" s="921"/>
      <c r="Y11" s="921"/>
      <c r="Z11" s="921"/>
      <c r="AA11" s="921"/>
      <c r="AB11" s="921"/>
      <c r="AC11" s="921"/>
      <c r="AD11" s="921"/>
      <c r="AE11" s="921"/>
      <c r="AF11" s="921"/>
      <c r="AG11" s="921"/>
      <c r="AH11" s="921"/>
      <c r="AI11" s="921"/>
      <c r="AJ11" s="921"/>
      <c r="AK11" s="921"/>
      <c r="AL11" s="921"/>
      <c r="AM11" s="921"/>
      <c r="AN11" s="49"/>
      <c r="AO11" s="49"/>
      <c r="AP11" s="49"/>
      <c r="AQ11" s="49"/>
      <c r="AR11" s="49"/>
      <c r="AS11" s="49"/>
      <c r="BG11"/>
    </row>
    <row r="12" spans="1:63" customFormat="1" ht="16.350000000000001" customHeight="1">
      <c r="A12" s="45"/>
      <c r="B12" s="45"/>
      <c r="C12" s="45"/>
      <c r="D12" s="45"/>
      <c r="E12" s="45"/>
      <c r="F12" s="45"/>
      <c r="G12" s="45"/>
      <c r="H12" s="45"/>
      <c r="I12" s="45"/>
      <c r="J12" s="45"/>
      <c r="S12" s="44"/>
      <c r="T12" s="44"/>
      <c r="U12" s="44"/>
      <c r="V12" s="44"/>
      <c r="W12" s="44"/>
      <c r="X12" s="44"/>
      <c r="Y12" s="44"/>
      <c r="Z12" s="44"/>
      <c r="AA12" s="44"/>
      <c r="AB12" s="44"/>
      <c r="AC12" s="44"/>
      <c r="AD12" s="44"/>
      <c r="AE12" s="44"/>
      <c r="AF12" s="44"/>
      <c r="AG12" s="44"/>
      <c r="AH12" s="44"/>
      <c r="AL12" s="45"/>
      <c r="AM12" s="45"/>
      <c r="AN12" s="45"/>
      <c r="AO12" s="45"/>
      <c r="AP12" s="45"/>
      <c r="AQ12" s="45"/>
      <c r="AR12" s="45"/>
      <c r="AS12" s="45"/>
      <c r="AT12" s="45"/>
    </row>
    <row r="13" spans="1:63" customFormat="1" ht="16.350000000000001" customHeight="1">
      <c r="A13" s="45"/>
      <c r="B13" s="45"/>
      <c r="H13" s="44"/>
      <c r="I13" s="44"/>
      <c r="J13" s="44"/>
      <c r="AC13" s="45"/>
      <c r="AD13" s="45"/>
      <c r="AE13" s="45"/>
      <c r="AF13" s="45"/>
      <c r="AG13" s="45"/>
      <c r="AH13" s="45"/>
      <c r="AI13" s="45"/>
      <c r="AJ13" s="45"/>
    </row>
    <row r="14" spans="1:63" customFormat="1" ht="16.350000000000001" customHeight="1"/>
    <row r="15" spans="1:63" customFormat="1" ht="16.350000000000001" customHeight="1"/>
    <row r="16" spans="1:63" customFormat="1" ht="16.350000000000001" customHeight="1"/>
    <row r="17" spans="8:50" customFormat="1" ht="16.350000000000001" customHeight="1"/>
    <row r="18" spans="8:50" customFormat="1" ht="16.350000000000001" customHeight="1"/>
    <row r="19" spans="8:50" customFormat="1" ht="16.350000000000001" customHeight="1">
      <c r="H19" s="920" t="str">
        <f>M4S2</f>
        <v>Lighting &amp; Lighting Controls</v>
      </c>
      <c r="I19" s="920"/>
      <c r="J19" s="920"/>
      <c r="K19" s="920"/>
      <c r="L19" s="920"/>
      <c r="M19" s="920"/>
      <c r="N19" s="920"/>
      <c r="Q19" s="920" t="str">
        <f>M4S3</f>
        <v>HVAC</v>
      </c>
      <c r="R19" s="920"/>
      <c r="S19" s="920"/>
      <c r="T19" s="920"/>
      <c r="U19" s="920"/>
      <c r="V19" s="920"/>
      <c r="W19" s="920"/>
      <c r="Z19" s="920" t="str">
        <f>M4S4</f>
        <v>Heating</v>
      </c>
      <c r="AA19" s="920"/>
      <c r="AB19" s="920"/>
      <c r="AC19" s="920"/>
      <c r="AD19" s="920"/>
      <c r="AE19" s="920"/>
      <c r="AF19" s="920"/>
      <c r="AI19" s="920" t="str">
        <f>M4S5</f>
        <v>Water Heating &amp; Boilers</v>
      </c>
      <c r="AJ19" s="920"/>
      <c r="AK19" s="920"/>
      <c r="AL19" s="920"/>
      <c r="AM19" s="920"/>
      <c r="AN19" s="920"/>
      <c r="AO19" s="920"/>
      <c r="AR19" s="920" t="str">
        <f>M4S6</f>
        <v>Refrigeration</v>
      </c>
      <c r="AS19" s="920"/>
      <c r="AT19" s="920"/>
      <c r="AU19" s="920"/>
      <c r="AV19" s="920"/>
      <c r="AW19" s="920"/>
      <c r="AX19" s="920"/>
    </row>
    <row r="20" spans="8:50" customFormat="1" ht="16.350000000000001" customHeight="1">
      <c r="H20" s="920"/>
      <c r="I20" s="920"/>
      <c r="J20" s="920"/>
      <c r="K20" s="920"/>
      <c r="L20" s="920"/>
      <c r="M20" s="920"/>
      <c r="N20" s="920"/>
      <c r="Q20" s="920"/>
      <c r="R20" s="920"/>
      <c r="S20" s="920"/>
      <c r="T20" s="920"/>
      <c r="U20" s="920"/>
      <c r="V20" s="920"/>
      <c r="W20" s="920"/>
      <c r="Z20" s="920"/>
      <c r="AA20" s="920"/>
      <c r="AB20" s="920"/>
      <c r="AC20" s="920"/>
      <c r="AD20" s="920"/>
      <c r="AE20" s="920"/>
      <c r="AF20" s="920"/>
      <c r="AI20" s="920"/>
      <c r="AJ20" s="920"/>
      <c r="AK20" s="920"/>
      <c r="AL20" s="920"/>
      <c r="AM20" s="920"/>
      <c r="AN20" s="920"/>
      <c r="AO20" s="920"/>
      <c r="AR20" s="920"/>
      <c r="AS20" s="920"/>
      <c r="AT20" s="920"/>
      <c r="AU20" s="920"/>
      <c r="AV20" s="920"/>
      <c r="AW20" s="920"/>
      <c r="AX20" s="920"/>
    </row>
    <row r="21" spans="8:50" customFormat="1" ht="16.350000000000001" customHeight="1"/>
    <row r="22" spans="8:50" customFormat="1" ht="16.350000000000001" customHeight="1"/>
    <row r="23" spans="8:50" customFormat="1" ht="16.350000000000001" customHeight="1"/>
    <row r="24" spans="8:50" customFormat="1" ht="16.350000000000001" customHeight="1"/>
    <row r="25" spans="8:50" customFormat="1" ht="16.350000000000001" customHeight="1"/>
    <row r="26" spans="8:50" customFormat="1" ht="16.350000000000001" customHeight="1"/>
    <row r="27" spans="8:50" customFormat="1" ht="16.350000000000001" customHeight="1"/>
    <row r="28" spans="8:50" customFormat="1" ht="16.350000000000001" customHeight="1">
      <c r="H28" s="920" t="str">
        <f>M4S7</f>
        <v>Food Service</v>
      </c>
      <c r="I28" s="920"/>
      <c r="J28" s="920"/>
      <c r="K28" s="920"/>
      <c r="L28" s="920"/>
      <c r="M28" s="920"/>
      <c r="N28" s="920"/>
      <c r="Q28" s="920" t="str">
        <f>M4S8</f>
        <v>Agriculture</v>
      </c>
      <c r="R28" s="920"/>
      <c r="S28" s="920"/>
      <c r="T28" s="920"/>
      <c r="U28" s="920"/>
      <c r="V28" s="920"/>
      <c r="W28" s="920"/>
      <c r="Z28" s="920" t="str">
        <f>M4S9</f>
        <v>Plug Load</v>
      </c>
      <c r="AA28" s="920"/>
      <c r="AB28" s="920"/>
      <c r="AC28" s="920"/>
      <c r="AD28" s="920"/>
      <c r="AE28" s="920"/>
      <c r="AF28" s="920"/>
      <c r="AI28" s="920" t="str">
        <f>M4S10</f>
        <v>Residential Appliances</v>
      </c>
      <c r="AJ28" s="920"/>
      <c r="AK28" s="920"/>
      <c r="AL28" s="920"/>
      <c r="AM28" s="920"/>
      <c r="AN28" s="920"/>
      <c r="AO28" s="920"/>
      <c r="AR28" s="920" t="str">
        <f>M4S11</f>
        <v>Miscellaneous</v>
      </c>
      <c r="AS28" s="920"/>
      <c r="AT28" s="920"/>
      <c r="AU28" s="920"/>
      <c r="AV28" s="920"/>
      <c r="AW28" s="920"/>
      <c r="AX28" s="920"/>
    </row>
    <row r="29" spans="8:50" customFormat="1" ht="16.350000000000001" customHeight="1">
      <c r="H29" s="920"/>
      <c r="I29" s="920"/>
      <c r="J29" s="920"/>
      <c r="K29" s="920"/>
      <c r="L29" s="920"/>
      <c r="M29" s="920"/>
      <c r="N29" s="920"/>
      <c r="Q29" s="920"/>
      <c r="R29" s="920"/>
      <c r="S29" s="920"/>
      <c r="T29" s="920"/>
      <c r="U29" s="920"/>
      <c r="V29" s="920"/>
      <c r="W29" s="920"/>
      <c r="Z29" s="920"/>
      <c r="AA29" s="920"/>
      <c r="AB29" s="920"/>
      <c r="AC29" s="920"/>
      <c r="AD29" s="920"/>
      <c r="AE29" s="920"/>
      <c r="AF29" s="920"/>
      <c r="AI29" s="920"/>
      <c r="AJ29" s="920"/>
      <c r="AK29" s="920"/>
      <c r="AL29" s="920"/>
      <c r="AM29" s="920"/>
      <c r="AN29" s="920"/>
      <c r="AO29" s="920"/>
      <c r="AR29" s="920"/>
      <c r="AS29" s="920"/>
      <c r="AT29" s="920"/>
      <c r="AU29" s="920"/>
      <c r="AV29" s="920"/>
      <c r="AW29" s="920"/>
      <c r="AX29" s="920"/>
    </row>
    <row r="30" spans="8:50" customFormat="1" ht="16.350000000000001" customHeight="1"/>
    <row r="31" spans="8:50" customFormat="1" ht="16.350000000000001" customHeight="1"/>
    <row r="32" spans="8:50" customFormat="1" ht="16.350000000000001" customHeight="1"/>
    <row r="33" spans="17:35" customFormat="1" ht="16.350000000000001" hidden="1" customHeight="1"/>
    <row r="34" spans="17:35" customFormat="1" ht="16.350000000000001" hidden="1" customHeight="1">
      <c r="T34" s="920"/>
      <c r="U34" s="920"/>
      <c r="V34" s="920"/>
      <c r="W34" s="920"/>
      <c r="X34" s="920"/>
      <c r="Y34" s="920"/>
      <c r="Z34" s="920"/>
    </row>
    <row r="35" spans="17:35" customFormat="1" ht="16.350000000000001" hidden="1" customHeight="1">
      <c r="R35" s="42"/>
      <c r="S35" s="42"/>
      <c r="T35" s="920"/>
      <c r="U35" s="920"/>
      <c r="V35" s="920"/>
      <c r="W35" s="920"/>
      <c r="X35" s="920"/>
      <c r="Y35" s="920"/>
      <c r="Z35" s="920"/>
    </row>
    <row r="36" spans="17:35" customFormat="1" ht="16.350000000000001" hidden="1" customHeight="1">
      <c r="Q36" s="46"/>
      <c r="R36" s="42"/>
      <c r="S36" s="42"/>
      <c r="T36" s="46"/>
      <c r="U36" s="46"/>
      <c r="V36" s="46"/>
      <c r="W36" s="46"/>
      <c r="X36" s="46"/>
      <c r="Y36" s="46"/>
      <c r="Z36" s="46"/>
      <c r="AC36" s="46"/>
      <c r="AD36" s="46"/>
      <c r="AE36" s="46"/>
      <c r="AF36" s="46"/>
      <c r="AG36" s="46"/>
      <c r="AH36" s="46"/>
      <c r="AI36" s="46"/>
    </row>
    <row r="37" spans="17:35" customFormat="1" ht="16.350000000000001" hidden="1" customHeight="1"/>
    <row r="38" spans="17:35" customFormat="1" ht="16.350000000000001" hidden="1" customHeight="1"/>
    <row r="39" spans="17:35" customFormat="1" ht="16.350000000000001" hidden="1" customHeight="1"/>
    <row r="40" spans="17:35" customFormat="1" ht="16.350000000000001" hidden="1" customHeight="1"/>
    <row r="41" spans="17:35" customFormat="1" ht="16.350000000000001" hidden="1" customHeight="1"/>
    <row r="42" spans="17:35" customFormat="1" ht="16.350000000000001" hidden="1" customHeight="1"/>
    <row r="43" spans="17:35" customFormat="1" ht="16.350000000000001" hidden="1" customHeight="1"/>
    <row r="44" spans="17:35" customFormat="1" ht="16.350000000000001" hidden="1" customHeight="1"/>
    <row r="45" spans="17:35" customFormat="1" ht="16.350000000000001" hidden="1" customHeight="1"/>
    <row r="46" spans="17:35" customFormat="1" ht="16.350000000000001" hidden="1" customHeight="1"/>
    <row r="47" spans="17:35" customFormat="1" ht="16.350000000000001" hidden="1" customHeight="1"/>
    <row r="48" spans="17:35" customFormat="1" ht="16.350000000000001" hidden="1" customHeight="1"/>
    <row r="49" customFormat="1" ht="16.350000000000001" hidden="1" customHeight="1"/>
    <row r="50" customFormat="1" ht="16.350000000000001" hidden="1" customHeight="1"/>
    <row r="51" customFormat="1" ht="16.350000000000001" hidden="1" customHeight="1"/>
    <row r="52" customFormat="1" ht="16.350000000000001" hidden="1" customHeight="1"/>
    <row r="53" customFormat="1" ht="16.350000000000001" hidden="1" customHeight="1"/>
    <row r="54" customFormat="1" ht="16.350000000000001" hidden="1" customHeight="1"/>
    <row r="55" customFormat="1" ht="16.350000000000001" hidden="1" customHeight="1"/>
    <row r="56" customFormat="1" ht="16.350000000000001" hidden="1" customHeight="1"/>
    <row r="57" customFormat="1" ht="16.350000000000001" hidden="1" customHeight="1"/>
    <row r="58" customFormat="1" ht="16.350000000000001" hidden="1" customHeight="1"/>
    <row r="59" customFormat="1" ht="16.350000000000001" hidden="1" customHeight="1"/>
    <row r="60" customFormat="1" ht="16.350000000000001" hidden="1" customHeight="1"/>
    <row r="61" customFormat="1" ht="16.350000000000001" hidden="1" customHeight="1"/>
    <row r="62" customFormat="1" ht="16.350000000000001" hidden="1" customHeight="1"/>
    <row r="63" customFormat="1" ht="16.350000000000001" hidden="1" customHeight="1"/>
    <row r="64" customFormat="1" ht="16.350000000000001" hidden="1" customHeight="1"/>
    <row r="65" customFormat="1" ht="16.350000000000001" hidden="1" customHeight="1"/>
    <row r="66" customFormat="1" ht="16.350000000000001" hidden="1" customHeight="1"/>
    <row r="67" customFormat="1" ht="16.350000000000001" hidden="1" customHeight="1"/>
    <row r="68" customFormat="1" ht="16.350000000000001" hidden="1" customHeight="1"/>
    <row r="69" customFormat="1" ht="16.350000000000001" hidden="1" customHeight="1"/>
    <row r="70" customFormat="1" ht="16.350000000000001" hidden="1" customHeight="1"/>
    <row r="71" customFormat="1" ht="16.350000000000001" hidden="1" customHeight="1"/>
    <row r="72" customFormat="1" ht="16.350000000000001" hidden="1" customHeight="1"/>
    <row r="73" customFormat="1" ht="16.350000000000001" hidden="1" customHeight="1"/>
    <row r="74" customFormat="1" ht="16.350000000000001" hidden="1" customHeight="1"/>
    <row r="75" customFormat="1" ht="16.350000000000001" hidden="1" customHeight="1"/>
    <row r="76" customFormat="1" ht="16.350000000000001" hidden="1" customHeight="1"/>
    <row r="77" customFormat="1" ht="16.350000000000001" hidden="1" customHeight="1"/>
    <row r="78" customFormat="1" ht="16.350000000000001" hidden="1" customHeight="1"/>
    <row r="79" customFormat="1" ht="16.350000000000001" hidden="1" customHeight="1"/>
    <row r="80" customFormat="1" ht="16.350000000000001" hidden="1" customHeight="1"/>
    <row r="81" customFormat="1" ht="16.350000000000001" hidden="1" customHeight="1"/>
    <row r="82" customFormat="1" ht="16.350000000000001" hidden="1" customHeight="1"/>
    <row r="83" customFormat="1" ht="16.350000000000001" hidden="1" customHeight="1"/>
    <row r="84" customFormat="1" ht="16.350000000000001" hidden="1" customHeight="1"/>
    <row r="85" customFormat="1" ht="16.350000000000001" hidden="1" customHeight="1"/>
    <row r="86" customFormat="1" ht="16.350000000000001" hidden="1" customHeight="1"/>
    <row r="87" customFormat="1" ht="16.350000000000001" hidden="1" customHeight="1"/>
    <row r="88" customFormat="1" ht="16.350000000000001" hidden="1" customHeight="1"/>
    <row r="89" customFormat="1" ht="16.350000000000001" hidden="1" customHeight="1"/>
    <row r="90" customFormat="1" ht="16.350000000000001" hidden="1" customHeight="1"/>
    <row r="91" customFormat="1" ht="16.350000000000001" hidden="1" customHeight="1"/>
    <row r="92" customFormat="1" ht="16.350000000000001" hidden="1" customHeight="1"/>
    <row r="93" customFormat="1" ht="16.350000000000001" hidden="1" customHeight="1"/>
    <row r="94" customFormat="1" ht="16.350000000000001" hidden="1" customHeight="1"/>
    <row r="95" customFormat="1" ht="16.350000000000001" hidden="1" customHeight="1"/>
    <row r="96" customFormat="1" ht="16.350000000000001" hidden="1" customHeight="1"/>
    <row r="97" customFormat="1" ht="16.350000000000001" hidden="1" customHeight="1"/>
    <row r="98" customFormat="1" ht="16.350000000000001" hidden="1" customHeight="1"/>
    <row r="99" customFormat="1" ht="16.350000000000001" hidden="1" customHeight="1"/>
    <row r="100" customFormat="1" ht="16.350000000000001" hidden="1" customHeight="1"/>
    <row r="101" customFormat="1" ht="16.350000000000001" hidden="1" customHeight="1"/>
    <row r="102" customFormat="1" ht="16.350000000000001" hidden="1" customHeight="1"/>
    <row r="103" customFormat="1" ht="16.350000000000001" hidden="1" customHeight="1"/>
    <row r="104" customFormat="1" ht="16.350000000000001" hidden="1" customHeight="1"/>
    <row r="105" customFormat="1" ht="16.350000000000001" hidden="1" customHeight="1"/>
    <row r="106" customFormat="1" ht="16.350000000000001" hidden="1" customHeight="1"/>
    <row r="107" customFormat="1" ht="16.350000000000001" hidden="1" customHeight="1"/>
    <row r="108" customFormat="1" ht="16.350000000000001" hidden="1" customHeight="1"/>
    <row r="109" customFormat="1" ht="16.350000000000001" hidden="1" customHeight="1"/>
    <row r="110" customFormat="1" ht="16.350000000000001" hidden="1" customHeight="1"/>
    <row r="111" customFormat="1" ht="16.350000000000001" hidden="1" customHeight="1"/>
    <row r="112" customFormat="1" ht="16.350000000000001" hidden="1" customHeight="1"/>
    <row r="113" customFormat="1" ht="16.350000000000001" hidden="1" customHeight="1"/>
    <row r="114" customFormat="1" ht="16.350000000000001" hidden="1" customHeight="1"/>
    <row r="115" customFormat="1" ht="16.350000000000001" hidden="1" customHeight="1"/>
    <row r="116" customFormat="1" ht="16.350000000000001" hidden="1" customHeight="1"/>
    <row r="117" customFormat="1" ht="16.350000000000001" hidden="1" customHeight="1"/>
    <row r="118" customFormat="1" ht="16.350000000000001" hidden="1" customHeight="1"/>
    <row r="119" customFormat="1" ht="16.350000000000001" hidden="1" customHeight="1"/>
    <row r="120" customFormat="1" ht="16.350000000000001" hidden="1" customHeight="1"/>
    <row r="121" customFormat="1" ht="16.350000000000001" hidden="1" customHeight="1"/>
    <row r="122" customFormat="1" ht="16.350000000000001" hidden="1" customHeight="1"/>
    <row r="123" customFormat="1" ht="16.350000000000001" hidden="1" customHeight="1"/>
    <row r="124" customFormat="1" ht="16.350000000000001" hidden="1" customHeight="1"/>
    <row r="125" customFormat="1" ht="16.350000000000001" hidden="1" customHeight="1"/>
    <row r="126" customFormat="1" ht="16.350000000000001" hidden="1" customHeight="1"/>
    <row r="127" customFormat="1" ht="16.350000000000001" hidden="1" customHeight="1"/>
    <row r="128" customFormat="1" ht="16.350000000000001" hidden="1" customHeight="1"/>
    <row r="129" customFormat="1" ht="16.350000000000001" hidden="1" customHeight="1"/>
    <row r="130" customFormat="1" ht="16.350000000000001" hidden="1" customHeight="1"/>
    <row r="131" customFormat="1" ht="16.350000000000001" hidden="1" customHeight="1"/>
    <row r="132" customFormat="1" ht="16.350000000000001" hidden="1" customHeight="1"/>
    <row r="133" customFormat="1" ht="16.350000000000001" hidden="1" customHeight="1"/>
    <row r="134" customFormat="1" ht="16.350000000000001" hidden="1" customHeight="1"/>
    <row r="135" customFormat="1" ht="16.350000000000001" hidden="1" customHeight="1"/>
    <row r="136" customFormat="1" ht="16.350000000000001" hidden="1" customHeight="1"/>
    <row r="137" customFormat="1" ht="16.350000000000001" hidden="1" customHeight="1"/>
    <row r="138" customFormat="1" ht="16.350000000000001" hidden="1" customHeight="1"/>
    <row r="139" customFormat="1" ht="16.350000000000001" hidden="1" customHeight="1"/>
    <row r="140" customFormat="1" ht="16.350000000000001" hidden="1" customHeight="1"/>
    <row r="141" customFormat="1" ht="16.350000000000001" hidden="1" customHeight="1"/>
    <row r="142" customFormat="1" ht="16.350000000000001" hidden="1" customHeight="1"/>
    <row r="143" customFormat="1" ht="16.350000000000001" hidden="1" customHeight="1"/>
    <row r="144" customFormat="1" ht="16.350000000000001" hidden="1" customHeight="1"/>
    <row r="145" customFormat="1" ht="16.350000000000001" hidden="1" customHeight="1"/>
    <row r="146" customFormat="1" ht="16.350000000000001" hidden="1" customHeight="1"/>
    <row r="147" customFormat="1" ht="16.350000000000001" hidden="1" customHeight="1"/>
    <row r="148" customFormat="1" ht="16.350000000000001" hidden="1" customHeight="1"/>
    <row r="149" customFormat="1" ht="16.350000000000001" hidden="1" customHeight="1"/>
    <row r="150" customFormat="1" ht="16.350000000000001" hidden="1" customHeight="1"/>
    <row r="151" customFormat="1" ht="16.350000000000001" hidden="1" customHeight="1"/>
    <row r="152" customFormat="1" ht="16.350000000000001" hidden="1" customHeight="1"/>
    <row r="153" customFormat="1" ht="16.350000000000001" hidden="1" customHeight="1"/>
    <row r="154" customFormat="1" ht="16.350000000000001" hidden="1" customHeight="1"/>
    <row r="155" customFormat="1" ht="16.350000000000001" hidden="1" customHeight="1"/>
    <row r="156" customFormat="1" ht="16.350000000000001" hidden="1" customHeight="1"/>
    <row r="157" customFormat="1" ht="16.350000000000001" hidden="1" customHeight="1"/>
    <row r="158" customFormat="1" ht="16.350000000000001" hidden="1" customHeight="1"/>
    <row r="159" customFormat="1" ht="16.350000000000001" hidden="1" customHeight="1"/>
    <row r="160" customFormat="1" ht="16.350000000000001" hidden="1" customHeight="1"/>
    <row r="161" customFormat="1" ht="16.350000000000001" hidden="1" customHeight="1"/>
    <row r="162" customFormat="1" ht="16.350000000000001" hidden="1" customHeight="1"/>
    <row r="163" customFormat="1" ht="16.350000000000001" hidden="1" customHeight="1"/>
    <row r="164" customFormat="1" ht="16.350000000000001" hidden="1" customHeight="1"/>
    <row r="165" customFormat="1" ht="16.350000000000001" hidden="1" customHeight="1"/>
    <row r="166" customFormat="1" ht="16.350000000000001" hidden="1" customHeight="1"/>
    <row r="167" customFormat="1" ht="16.350000000000001" hidden="1" customHeight="1"/>
    <row r="168" customFormat="1" ht="16.350000000000001" hidden="1" customHeight="1"/>
    <row r="169" customFormat="1" ht="16.350000000000001" hidden="1" customHeight="1"/>
    <row r="170" customFormat="1" ht="16.350000000000001" hidden="1" customHeight="1"/>
    <row r="171" customFormat="1" ht="16.350000000000001" hidden="1" customHeight="1"/>
    <row r="172" customFormat="1" ht="16.350000000000001" hidden="1" customHeight="1"/>
    <row r="173" customFormat="1" ht="16.350000000000001" hidden="1" customHeight="1"/>
    <row r="174" customFormat="1" ht="16.350000000000001" hidden="1" customHeight="1"/>
    <row r="175" customFormat="1" ht="16.350000000000001" hidden="1" customHeight="1"/>
    <row r="176" customFormat="1" ht="16.350000000000001" hidden="1" customHeight="1"/>
    <row r="177" customFormat="1" ht="16.350000000000001" hidden="1" customHeight="1"/>
    <row r="178" customFormat="1" ht="16.350000000000001" hidden="1" customHeight="1"/>
    <row r="179" customFormat="1" ht="16.350000000000001" hidden="1" customHeight="1"/>
    <row r="180" customFormat="1" ht="16.350000000000001" hidden="1" customHeight="1"/>
    <row r="181" customFormat="1" ht="16.350000000000001" hidden="1" customHeight="1"/>
    <row r="182" customFormat="1" ht="16.350000000000001" hidden="1" customHeight="1"/>
    <row r="183" customFormat="1" ht="16.350000000000001" hidden="1" customHeight="1"/>
    <row r="184" customFormat="1" ht="16.350000000000001" hidden="1" customHeight="1"/>
    <row r="185" customFormat="1" ht="16.350000000000001" hidden="1" customHeight="1"/>
    <row r="186" customFormat="1" ht="16.350000000000001" hidden="1" customHeight="1"/>
    <row r="187" customFormat="1" ht="16.350000000000001" hidden="1" customHeight="1"/>
    <row r="188" customFormat="1" ht="16.350000000000001" hidden="1" customHeight="1"/>
    <row r="189" customFormat="1" ht="16.350000000000001" hidden="1" customHeight="1"/>
    <row r="190" customFormat="1" ht="16.350000000000001" hidden="1" customHeight="1"/>
    <row r="191" customFormat="1" ht="16.350000000000001" hidden="1" customHeight="1"/>
    <row r="192" customFormat="1" ht="16.350000000000001" hidden="1" customHeight="1"/>
    <row r="193" spans="1:59" customFormat="1" ht="16.350000000000001" hidden="1" customHeight="1"/>
    <row r="194" spans="1:59" customFormat="1" ht="16.350000000000001" hidden="1" customHeight="1"/>
    <row r="195" spans="1:59" customFormat="1" ht="16.350000000000001" hidden="1" customHeight="1"/>
    <row r="196" spans="1:59" customFormat="1" ht="16.350000000000001" hidden="1" customHeight="1">
      <c r="M196" s="919"/>
      <c r="N196" s="919"/>
      <c r="O196" s="919"/>
      <c r="P196" s="919"/>
      <c r="Q196" s="919"/>
      <c r="R196" s="919"/>
      <c r="S196" s="919"/>
      <c r="T196" s="919"/>
      <c r="U196" s="919"/>
      <c r="V196" s="919"/>
      <c r="W196" s="919"/>
      <c r="X196" s="919"/>
      <c r="Y196" s="919"/>
      <c r="Z196" s="919"/>
      <c r="AA196" s="919"/>
      <c r="AB196" s="919"/>
      <c r="AC196" s="919"/>
      <c r="AD196" s="919"/>
      <c r="AE196" s="919"/>
      <c r="AF196" s="919"/>
      <c r="AG196" s="919"/>
      <c r="AH196" s="919"/>
      <c r="AI196" s="919"/>
      <c r="AJ196" s="919"/>
      <c r="AK196" s="919"/>
      <c r="AL196" s="919"/>
      <c r="AM196" s="919"/>
      <c r="AN196" s="919"/>
      <c r="AO196" s="919"/>
      <c r="AP196" s="919"/>
      <c r="AQ196" s="919"/>
      <c r="AR196" s="919"/>
      <c r="AS196" s="919"/>
      <c r="AT196" s="919"/>
      <c r="AU196" s="919"/>
    </row>
    <row r="197" spans="1:59" customFormat="1" ht="16.350000000000001" hidden="1" customHeight="1">
      <c r="M197" s="919"/>
      <c r="N197" s="919"/>
      <c r="O197" s="919"/>
      <c r="P197" s="919"/>
      <c r="Q197" s="919"/>
      <c r="R197" s="919"/>
      <c r="S197" s="919"/>
      <c r="T197" s="919"/>
      <c r="U197" s="919"/>
      <c r="V197" s="919"/>
      <c r="W197" s="919"/>
      <c r="X197" s="919"/>
      <c r="Y197" s="919"/>
      <c r="Z197" s="919"/>
      <c r="AA197" s="919"/>
      <c r="AB197" s="919"/>
      <c r="AC197" s="919"/>
      <c r="AD197" s="919"/>
      <c r="AE197" s="919"/>
      <c r="AF197" s="919"/>
      <c r="AG197" s="919"/>
      <c r="AH197" s="919"/>
      <c r="AI197" s="919"/>
      <c r="AJ197" s="919"/>
      <c r="AK197" s="919"/>
      <c r="AL197" s="919"/>
      <c r="AM197" s="919"/>
      <c r="AN197" s="919"/>
      <c r="AO197" s="919"/>
      <c r="AP197" s="919"/>
      <c r="AQ197" s="919"/>
      <c r="AR197" s="919"/>
      <c r="AS197" s="919"/>
      <c r="AT197" s="919"/>
      <c r="AU197" s="919"/>
    </row>
    <row r="198" spans="1:59" customFormat="1" ht="16.350000000000001" hidden="1" customHeight="1">
      <c r="M198" s="919"/>
      <c r="N198" s="919"/>
      <c r="O198" s="919"/>
      <c r="P198" s="919"/>
      <c r="Q198" s="919"/>
      <c r="R198" s="919"/>
      <c r="S198" s="919"/>
      <c r="T198" s="919"/>
      <c r="U198" s="919"/>
      <c r="V198" s="919"/>
      <c r="W198" s="919"/>
      <c r="X198" s="919"/>
      <c r="Y198" s="919"/>
      <c r="Z198" s="919"/>
      <c r="AA198" s="919"/>
      <c r="AB198" s="919"/>
      <c r="AC198" s="919"/>
      <c r="AD198" s="919"/>
      <c r="AE198" s="919"/>
      <c r="AF198" s="919"/>
      <c r="AG198" s="919"/>
      <c r="AH198" s="919"/>
      <c r="AI198" s="919"/>
      <c r="AJ198" s="919"/>
      <c r="AK198" s="919"/>
      <c r="AL198" s="919"/>
      <c r="AM198" s="919"/>
      <c r="AN198" s="919"/>
      <c r="AO198" s="919"/>
      <c r="AP198" s="919"/>
      <c r="AQ198" s="919"/>
      <c r="AR198" s="919"/>
      <c r="AS198" s="919"/>
      <c r="AT198" s="919"/>
      <c r="AU198" s="919"/>
      <c r="AV198" s="919"/>
    </row>
    <row r="199" spans="1:59" customFormat="1" ht="16.350000000000001" hidden="1" customHeight="1"/>
    <row r="200" spans="1:59"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68"/>
    </row>
    <row r="201" spans="1:59"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68"/>
    </row>
    <row r="202" spans="1:59"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68"/>
    </row>
  </sheetData>
  <sheetProtection algorithmName="SHA-512" hashValue="c1KxyiDcecLbNlfF+n2jYXr6zLHdN12QiLWYluu8/gFlyjVMXw1gmRJQs6L4WXHovGILjty8tbSqQj1+jzyV9A==" saltValue="wcPBhu5e2GvEDmTWeRKPyw==" spinCount="100000" sheet="1" objects="1" scenarios="1" selectLockedCells="1"/>
  <sortState xmlns:xlrd2="http://schemas.microsoft.com/office/spreadsheetml/2017/richdata2" ref="J14:V42">
    <sortCondition ref="J41"/>
  </sortState>
  <mergeCells count="29">
    <mergeCell ref="M196:AU197"/>
    <mergeCell ref="H28:N29"/>
    <mergeCell ref="A9:BF10"/>
    <mergeCell ref="AR28:AX29"/>
    <mergeCell ref="Q28:W29"/>
    <mergeCell ref="AI28:AO29"/>
    <mergeCell ref="Q19:W20"/>
    <mergeCell ref="Z19:AF20"/>
    <mergeCell ref="U11:AM11"/>
    <mergeCell ref="H19:N20"/>
    <mergeCell ref="AR19:AX20"/>
    <mergeCell ref="Z28:AF29"/>
    <mergeCell ref="AI19:AO20"/>
    <mergeCell ref="R200:AR201"/>
    <mergeCell ref="BC4:BF4"/>
    <mergeCell ref="BG5:BI7"/>
    <mergeCell ref="BG8:BI8"/>
    <mergeCell ref="F1:I3"/>
    <mergeCell ref="J1:M3"/>
    <mergeCell ref="AB4:AG4"/>
    <mergeCell ref="AT4:AW4"/>
    <mergeCell ref="AX4:BB4"/>
    <mergeCell ref="AN1:AQ3"/>
    <mergeCell ref="AR1:AU3"/>
    <mergeCell ref="AV1:AY3"/>
    <mergeCell ref="AZ1:BE3"/>
    <mergeCell ref="BF1:BI3"/>
    <mergeCell ref="M198:AV198"/>
    <mergeCell ref="T34:Z35"/>
  </mergeCells>
  <conditionalFormatting sqref="BA8:BF8">
    <cfRule type="expression" dxfId="365" priority="1">
      <formula>IF($AO$8=PROJSTATMEASURE,FALSE,TRUE)</formula>
    </cfRule>
  </conditionalFormatting>
  <hyperlinks>
    <hyperlink ref="H28:N29" location="Custom_FS_Tax" tooltip="Food Service" display="Custom_FS_Tax" xr:uid="{79ACB4FD-C6DF-4D76-A219-1BC237F40D03}"/>
    <hyperlink ref="Q28:W29" location="Custom_AG_Tax" tooltip="Agriculture" display="Custom_AG_Tax" xr:uid="{3E84A672-1833-410C-B746-5D40138000F8}"/>
    <hyperlink ref="AR19:AX20" location="Custom_Refrig_Tax" tooltip="Refrigeration" display="Custom_Refrig_Tax" xr:uid="{1C63D201-6651-437A-B29E-2900D7BBFDD2}"/>
    <hyperlink ref="Z28:AF29" location="Custom_PL_Tax" tooltip="Plug Load" display="Custom_PL_Tax" xr:uid="{EE4F7A69-F549-40FF-8E27-5E2B277A49A9}"/>
    <hyperlink ref="AI19:AO20" location="Custom_WH_Tax" tooltip="Water Heating &amp; Boilers" display="Custom_WH_Tax" xr:uid="{30BF9F67-DAE1-4A44-9209-C43C9412904A}"/>
    <hyperlink ref="Z19:AF20" location="Custom_Heating_Tax" tooltip="Heating" display="Custom_Heating_Tax" xr:uid="{90D2E2BE-1616-40B2-A33D-1CB5D58BE470}"/>
    <hyperlink ref="Q19:W20" location="Custom_HVAC_Tax" tooltip="HVAC" display="Custom_HVAC_Tax" xr:uid="{6CD591F5-BBBE-401C-A158-1B6500795B3A}"/>
    <hyperlink ref="AI28:AO29" location="Custom_RA_Tax" tooltip="Residential Appliances" display="Custom_RA_Tax" xr:uid="{44F69FDE-A209-4C94-9281-B2F4B6A5B007}"/>
    <hyperlink ref="AR28:AX29" location="Custom_Misc_Tax" tooltip="Miscellaneous" display="Custom_Misc_Tax" xr:uid="{3A1DEF94-DA80-4BBA-9C07-6F7686A4DA0E}"/>
    <hyperlink ref="J1:M3" location="'M01-S02'!J1" tooltip="Instructions" display="'M01-S02'!J1" xr:uid="{249444BF-D8F0-4ADA-9360-9EA209897F94}"/>
    <hyperlink ref="AV1:AY3" location="'M05-S05'!AL1" tooltip=" " display="'M05-S05'!AL1" xr:uid="{97ADAD78-D0DA-4787-9247-1578C623982E}"/>
    <hyperlink ref="BF1:BI3" location="'M01-S03'!AP1" tooltip="Contact" display="'M01-S03'!AP1" xr:uid="{9C75A742-74CA-4A81-8120-36FC4B210074}"/>
    <hyperlink ref="AR1:AU3" location="'M05-S04'!AH1" tooltip=" " display="'M05-S04'!AH1" xr:uid="{E8459E5E-FACD-4C22-95F2-6AB33FFECF0D}"/>
    <hyperlink ref="AN1:AQ3" location="'M05-S05'!AL1" tooltip=" " display="'M05-S05'!AL1" xr:uid="{935BDCBA-624B-427C-A7A7-F5BAD025C9A3}"/>
    <hyperlink ref="H19:N20" location="Custom_Lighting_Tax" tooltip="Lighting &amp; Lighting Controls" display="Custom_Lighting_Tax" xr:uid="{B8FD63A4-427F-4E48-9D3C-B2EC70C21B06}"/>
  </hyperlinks>
  <printOptions horizontalCentered="1"/>
  <pageMargins left="0.25" right="0.25" top="0.25" bottom="0.25" header="0.25" footer="0.25"/>
  <pageSetup scale="4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tabColor theme="8"/>
  </sheetPr>
  <dimension ref="A1:BY78"/>
  <sheetViews>
    <sheetView topLeftCell="A12" zoomScale="81" zoomScaleNormal="70" workbookViewId="0">
      <selection activeCell="L40" sqref="L40"/>
    </sheetView>
  </sheetViews>
  <sheetFormatPr defaultColWidth="0" defaultRowHeight="15"/>
  <cols>
    <col min="1" max="1" width="4.5703125" customWidth="1"/>
    <col min="2" max="2" width="19" style="11" bestFit="1" customWidth="1"/>
    <col min="3" max="3" width="49.42578125" bestFit="1" customWidth="1"/>
    <col min="4" max="4" width="10.5703125" bestFit="1" customWidth="1"/>
    <col min="5" max="5" width="7" bestFit="1" customWidth="1"/>
    <col min="6" max="6" width="17.42578125" bestFit="1" customWidth="1"/>
    <col min="7" max="8" width="21.5703125" bestFit="1" customWidth="1"/>
    <col min="9" max="9" width="8.42578125" bestFit="1" customWidth="1"/>
    <col min="10" max="10" width="8.5703125" bestFit="1" customWidth="1"/>
    <col min="11" max="11" width="26.5703125" bestFit="1" customWidth="1"/>
    <col min="12" max="12" width="9" bestFit="1" customWidth="1"/>
    <col min="13" max="13" width="28.42578125" bestFit="1" customWidth="1"/>
    <col min="14" max="14" width="17.5703125" bestFit="1" customWidth="1"/>
    <col min="15" max="15" width="16.5703125" bestFit="1" customWidth="1"/>
    <col min="16" max="16" width="29.42578125" bestFit="1" customWidth="1"/>
    <col min="17" max="17" width="25.5703125" bestFit="1" customWidth="1"/>
    <col min="18" max="18" width="76.140625" customWidth="1"/>
    <col min="19" max="19" width="31" bestFit="1" customWidth="1"/>
    <col min="20" max="20" width="24.42578125" bestFit="1" customWidth="1"/>
    <col min="21" max="21" width="17.42578125" customWidth="1"/>
    <col min="22" max="22" width="14.5703125" bestFit="1" customWidth="1"/>
    <col min="23" max="23" width="4.5703125" customWidth="1"/>
    <col min="24" max="24" width="25" bestFit="1" customWidth="1"/>
    <col min="25" max="25" width="24" bestFit="1" customWidth="1"/>
    <col min="26" max="26" width="24.42578125" bestFit="1" customWidth="1"/>
    <col min="27" max="27" width="43.5703125" bestFit="1" customWidth="1"/>
    <col min="28" max="28" width="17.5703125" bestFit="1" customWidth="1"/>
    <col min="29" max="29" width="14.42578125" bestFit="1" customWidth="1"/>
    <col min="30" max="30" width="9.5703125" bestFit="1" customWidth="1"/>
    <col min="31" max="31" width="22.42578125" bestFit="1" customWidth="1"/>
    <col min="32" max="32" width="28.42578125" bestFit="1" customWidth="1"/>
    <col min="33" max="33" width="28.5703125" bestFit="1" customWidth="1"/>
    <col min="34" max="34" width="10.5703125" bestFit="1" customWidth="1"/>
    <col min="35" max="35" width="11.42578125" bestFit="1" customWidth="1"/>
    <col min="36" max="36" width="26.5703125" bestFit="1" customWidth="1"/>
    <col min="37" max="37" width="12.42578125" bestFit="1" customWidth="1"/>
    <col min="38" max="38" width="16.5703125" bestFit="1" customWidth="1"/>
    <col min="39" max="39" width="23" bestFit="1" customWidth="1"/>
    <col min="40" max="40" width="22.5703125" bestFit="1" customWidth="1"/>
    <col min="41" max="49" width="0" hidden="1" customWidth="1"/>
    <col min="50" max="50" width="4.5703125" hidden="1" customWidth="1"/>
    <col min="51" max="77" width="0" hidden="1" customWidth="1"/>
    <col min="78" max="16384" width="4.5703125" hidden="1"/>
  </cols>
  <sheetData>
    <row r="1" spans="1:20" ht="15.75" thickBot="1">
      <c r="A1" t="s">
        <v>265</v>
      </c>
      <c r="B1" s="14"/>
      <c r="C1" s="13"/>
      <c r="D1" s="13"/>
      <c r="E1" s="13"/>
      <c r="F1" s="13"/>
      <c r="G1" s="13"/>
      <c r="H1" s="13"/>
      <c r="I1" s="13"/>
      <c r="J1" s="13"/>
      <c r="K1" s="13"/>
      <c r="L1" s="13"/>
      <c r="M1" s="13"/>
      <c r="N1" s="13"/>
      <c r="O1" s="13"/>
      <c r="P1" s="13"/>
      <c r="Q1" s="13"/>
      <c r="R1" s="13"/>
      <c r="S1" s="280" t="s">
        <v>779</v>
      </c>
      <c r="T1" s="686" t="s">
        <v>780</v>
      </c>
    </row>
    <row r="2" spans="1:20" ht="15.75" thickBot="1">
      <c r="B2" s="14" t="s">
        <v>779</v>
      </c>
      <c r="C2" s="13" t="s">
        <v>781</v>
      </c>
      <c r="D2" t="s">
        <v>782</v>
      </c>
      <c r="E2" s="13" t="s">
        <v>783</v>
      </c>
      <c r="F2" s="13" t="s">
        <v>784</v>
      </c>
      <c r="G2" s="13" t="s">
        <v>785</v>
      </c>
      <c r="H2" s="13" t="s">
        <v>786</v>
      </c>
      <c r="I2" s="13" t="s">
        <v>787</v>
      </c>
      <c r="J2" t="s">
        <v>788</v>
      </c>
      <c r="K2" s="13" t="s">
        <v>789</v>
      </c>
      <c r="L2" s="13" t="s">
        <v>790</v>
      </c>
      <c r="M2" s="13" t="s">
        <v>791</v>
      </c>
      <c r="N2" s="13" t="s">
        <v>792</v>
      </c>
      <c r="O2" t="s">
        <v>793</v>
      </c>
      <c r="S2" s="280" t="s">
        <v>794</v>
      </c>
      <c r="T2" s="686" t="s">
        <v>699</v>
      </c>
    </row>
    <row r="3" spans="1:20" ht="15.75" thickBot="1">
      <c r="B3" s="207" t="s">
        <v>795</v>
      </c>
      <c r="C3" s="208" t="s">
        <v>796</v>
      </c>
      <c r="D3" s="22"/>
      <c r="E3" s="22">
        <v>13</v>
      </c>
      <c r="F3" s="22"/>
      <c r="G3" s="22"/>
      <c r="H3" s="22"/>
      <c r="I3" s="22"/>
      <c r="J3" s="22">
        <v>1</v>
      </c>
      <c r="K3" s="209"/>
      <c r="L3" s="206"/>
      <c r="M3" s="22" t="s">
        <v>265</v>
      </c>
      <c r="N3" s="22" t="s">
        <v>797</v>
      </c>
      <c r="O3" s="22">
        <v>0.9</v>
      </c>
      <c r="P3" s="22"/>
      <c r="Q3" s="22"/>
      <c r="S3" s="280" t="s">
        <v>798</v>
      </c>
      <c r="T3" s="686" t="s">
        <v>799</v>
      </c>
    </row>
    <row r="4" spans="1:20" ht="15.75" thickBot="1">
      <c r="B4" s="207" t="s">
        <v>800</v>
      </c>
      <c r="C4" s="22" t="s">
        <v>801</v>
      </c>
      <c r="D4" s="22"/>
      <c r="E4" s="22">
        <v>13</v>
      </c>
      <c r="F4" s="22"/>
      <c r="G4" s="22"/>
      <c r="H4" s="22"/>
      <c r="I4" s="22"/>
      <c r="J4" s="22">
        <v>2</v>
      </c>
      <c r="K4" s="209"/>
      <c r="L4" s="206"/>
      <c r="M4" s="22" t="s">
        <v>265</v>
      </c>
      <c r="N4" s="22" t="s">
        <v>797</v>
      </c>
      <c r="O4" s="22">
        <v>0.9</v>
      </c>
      <c r="P4" s="22"/>
      <c r="Q4" s="22"/>
      <c r="S4" s="280" t="s">
        <v>802</v>
      </c>
      <c r="T4" s="686" t="s">
        <v>267</v>
      </c>
    </row>
    <row r="5" spans="1:20" ht="15.75" thickBot="1">
      <c r="B5" s="207" t="s">
        <v>803</v>
      </c>
      <c r="C5" s="22" t="s">
        <v>804</v>
      </c>
      <c r="D5" s="22"/>
      <c r="E5" s="22">
        <v>13</v>
      </c>
      <c r="F5" s="22"/>
      <c r="G5" s="22"/>
      <c r="H5" s="22"/>
      <c r="I5" s="22"/>
      <c r="J5" s="22">
        <v>3</v>
      </c>
      <c r="K5" s="209"/>
      <c r="L5" s="206"/>
      <c r="M5" s="22" t="s">
        <v>265</v>
      </c>
      <c r="N5" s="22" t="s">
        <v>797</v>
      </c>
      <c r="O5" s="22">
        <v>0.9</v>
      </c>
      <c r="P5" s="22"/>
      <c r="Q5" s="22"/>
      <c r="S5" s="280" t="s">
        <v>805</v>
      </c>
      <c r="T5" s="686" t="s">
        <v>269</v>
      </c>
    </row>
    <row r="6" spans="1:20" ht="15.75" thickBot="1">
      <c r="B6" s="207" t="s">
        <v>806</v>
      </c>
      <c r="C6" s="208" t="s">
        <v>807</v>
      </c>
      <c r="D6" s="22"/>
      <c r="E6" s="22">
        <v>13</v>
      </c>
      <c r="F6" s="22"/>
      <c r="G6" s="22"/>
      <c r="H6" s="22"/>
      <c r="I6" s="22"/>
      <c r="J6" s="22">
        <v>4</v>
      </c>
      <c r="K6" s="209"/>
      <c r="L6" s="206"/>
      <c r="M6" s="22" t="s">
        <v>265</v>
      </c>
      <c r="N6" s="22" t="s">
        <v>797</v>
      </c>
      <c r="O6" s="22">
        <v>0.9</v>
      </c>
      <c r="P6" s="22"/>
      <c r="Q6" s="22"/>
      <c r="S6" s="280" t="s">
        <v>808</v>
      </c>
      <c r="T6" s="686" t="s">
        <v>271</v>
      </c>
    </row>
    <row r="7" spans="1:20" ht="15.75" thickBot="1">
      <c r="B7" s="207" t="s">
        <v>809</v>
      </c>
      <c r="C7" s="208" t="s">
        <v>810</v>
      </c>
      <c r="D7" s="22"/>
      <c r="E7" s="22">
        <v>13</v>
      </c>
      <c r="F7" s="22"/>
      <c r="G7" s="22"/>
      <c r="H7" s="22"/>
      <c r="I7" s="22"/>
      <c r="J7" s="22">
        <v>5</v>
      </c>
      <c r="K7" s="209"/>
      <c r="L7" s="206"/>
      <c r="M7" s="22" t="s">
        <v>265</v>
      </c>
      <c r="N7" s="22" t="s">
        <v>797</v>
      </c>
      <c r="O7" s="22">
        <v>0.9</v>
      </c>
      <c r="P7" s="22"/>
      <c r="Q7" s="22"/>
      <c r="S7" s="280" t="s">
        <v>811</v>
      </c>
      <c r="T7" s="686" t="s">
        <v>89</v>
      </c>
    </row>
    <row r="8" spans="1:20" ht="14.45" customHeight="1" thickBot="1">
      <c r="B8" s="207" t="s">
        <v>812</v>
      </c>
      <c r="C8" s="208" t="s">
        <v>813</v>
      </c>
      <c r="D8" s="22"/>
      <c r="E8" s="22">
        <v>13</v>
      </c>
      <c r="F8" s="22"/>
      <c r="G8" s="22"/>
      <c r="H8" s="22"/>
      <c r="I8" s="22"/>
      <c r="J8" s="22">
        <v>6</v>
      </c>
      <c r="K8" s="209"/>
      <c r="L8" s="206"/>
      <c r="M8" s="22" t="s">
        <v>265</v>
      </c>
      <c r="N8" s="22" t="s">
        <v>797</v>
      </c>
      <c r="O8" s="22">
        <v>0.9</v>
      </c>
      <c r="P8" s="22"/>
      <c r="Q8" s="22"/>
      <c r="S8" s="280" t="s">
        <v>814</v>
      </c>
      <c r="T8" s="686" t="s">
        <v>274</v>
      </c>
    </row>
    <row r="9" spans="1:20" ht="15.75" thickBot="1">
      <c r="B9" s="207" t="s">
        <v>815</v>
      </c>
      <c r="C9" s="208" t="s">
        <v>816</v>
      </c>
      <c r="D9" s="22"/>
      <c r="E9" s="22">
        <v>13</v>
      </c>
      <c r="F9" s="22"/>
      <c r="G9" s="22"/>
      <c r="H9" s="22"/>
      <c r="I9" s="22"/>
      <c r="J9" s="22">
        <v>7</v>
      </c>
      <c r="K9" s="209"/>
      <c r="L9" s="206"/>
      <c r="M9" s="22" t="s">
        <v>265</v>
      </c>
      <c r="N9" s="22" t="s">
        <v>797</v>
      </c>
      <c r="O9" s="22">
        <v>0.9</v>
      </c>
      <c r="P9" s="22"/>
      <c r="Q9" s="22"/>
      <c r="S9" s="280" t="s">
        <v>817</v>
      </c>
      <c r="T9" s="686" t="s">
        <v>276</v>
      </c>
    </row>
    <row r="10" spans="1:20" ht="15.75" thickBot="1">
      <c r="B10" s="207" t="s">
        <v>818</v>
      </c>
      <c r="C10" s="208" t="s">
        <v>819</v>
      </c>
      <c r="D10" s="22"/>
      <c r="E10" s="22">
        <v>13</v>
      </c>
      <c r="F10" s="22"/>
      <c r="G10" s="22"/>
      <c r="H10" s="22"/>
      <c r="I10" s="22"/>
      <c r="J10" s="22">
        <v>8</v>
      </c>
      <c r="K10" s="209"/>
      <c r="L10" s="206"/>
      <c r="M10" s="22" t="s">
        <v>265</v>
      </c>
      <c r="N10" s="22" t="s">
        <v>797</v>
      </c>
      <c r="O10" s="22">
        <v>0.9</v>
      </c>
      <c r="P10" s="22"/>
      <c r="Q10" s="22"/>
      <c r="S10" s="280" t="s">
        <v>820</v>
      </c>
      <c r="T10" s="686" t="s">
        <v>278</v>
      </c>
    </row>
    <row r="11" spans="1:20" ht="15.75" thickBot="1">
      <c r="B11" s="207" t="s">
        <v>821</v>
      </c>
      <c r="C11" s="208" t="s">
        <v>822</v>
      </c>
      <c r="D11" s="22"/>
      <c r="E11" s="22">
        <v>13</v>
      </c>
      <c r="F11" s="22"/>
      <c r="G11" s="22"/>
      <c r="H11" s="22"/>
      <c r="I11" s="22"/>
      <c r="J11" s="22">
        <v>9</v>
      </c>
      <c r="K11" s="209"/>
      <c r="L11" s="206"/>
      <c r="M11" s="22" t="s">
        <v>265</v>
      </c>
      <c r="N11" s="22" t="s">
        <v>797</v>
      </c>
      <c r="O11" s="22">
        <v>0.9</v>
      </c>
      <c r="P11" s="22"/>
      <c r="Q11" s="22"/>
      <c r="S11" s="280" t="s">
        <v>823</v>
      </c>
      <c r="T11" s="686" t="s">
        <v>281</v>
      </c>
    </row>
    <row r="12" spans="1:20">
      <c r="B12" s="207" t="s">
        <v>824</v>
      </c>
      <c r="C12" s="22" t="s">
        <v>825</v>
      </c>
      <c r="D12" s="22"/>
      <c r="E12" s="22">
        <v>13</v>
      </c>
      <c r="F12" s="22"/>
      <c r="G12" s="22"/>
      <c r="H12" s="22"/>
      <c r="I12" s="22"/>
      <c r="J12" s="22">
        <v>10</v>
      </c>
      <c r="K12" s="209"/>
      <c r="L12" s="206"/>
      <c r="M12" s="22" t="s">
        <v>265</v>
      </c>
      <c r="N12" s="22" t="s">
        <v>797</v>
      </c>
      <c r="O12" s="22">
        <v>0.9</v>
      </c>
      <c r="P12" s="22"/>
      <c r="Q12" s="22"/>
      <c r="S12" s="687" t="s">
        <v>826</v>
      </c>
      <c r="T12" s="688" t="s">
        <v>284</v>
      </c>
    </row>
    <row r="13" spans="1:20">
      <c r="C13" s="11"/>
      <c r="N13" s="11"/>
      <c r="S13" s="34"/>
      <c r="T13" s="25"/>
    </row>
    <row r="14" spans="1:20">
      <c r="A14" t="s">
        <v>267</v>
      </c>
    </row>
    <row r="15" spans="1:20">
      <c r="B15" s="14" t="s">
        <v>779</v>
      </c>
      <c r="C15" s="13" t="s">
        <v>781</v>
      </c>
      <c r="D15" t="s">
        <v>782</v>
      </c>
      <c r="E15" t="s">
        <v>783</v>
      </c>
      <c r="F15" s="13" t="s">
        <v>784</v>
      </c>
      <c r="G15" s="13" t="s">
        <v>785</v>
      </c>
      <c r="H15" s="13" t="s">
        <v>786</v>
      </c>
      <c r="I15" s="13" t="s">
        <v>787</v>
      </c>
      <c r="J15" t="s">
        <v>788</v>
      </c>
      <c r="K15" s="13" t="s">
        <v>789</v>
      </c>
      <c r="L15" s="13" t="s">
        <v>790</v>
      </c>
      <c r="M15" s="13" t="s">
        <v>791</v>
      </c>
      <c r="N15" s="13" t="s">
        <v>792</v>
      </c>
      <c r="O15" t="s">
        <v>793</v>
      </c>
      <c r="P15" t="s">
        <v>827</v>
      </c>
    </row>
    <row r="16" spans="1:20" ht="14.45" customHeight="1">
      <c r="B16" s="14" t="s">
        <v>828</v>
      </c>
      <c r="C16" s="13" t="s">
        <v>829</v>
      </c>
      <c r="E16" s="22">
        <v>13</v>
      </c>
      <c r="F16" s="13"/>
      <c r="G16" s="13"/>
      <c r="H16" s="13"/>
      <c r="I16" s="13"/>
      <c r="K16" s="13"/>
      <c r="L16" s="13"/>
      <c r="M16" s="22" t="s">
        <v>267</v>
      </c>
      <c r="N16" s="22" t="s">
        <v>797</v>
      </c>
      <c r="O16" s="22">
        <v>0.77</v>
      </c>
      <c r="P16" s="22">
        <v>0.82</v>
      </c>
    </row>
    <row r="17" spans="1:18" ht="14.45" customHeight="1">
      <c r="B17" s="14" t="s">
        <v>830</v>
      </c>
      <c r="C17" s="13" t="s">
        <v>831</v>
      </c>
      <c r="E17" s="22">
        <v>13</v>
      </c>
      <c r="F17" s="13"/>
      <c r="G17" s="13"/>
      <c r="H17" s="13"/>
      <c r="I17" s="13"/>
      <c r="K17" s="13"/>
      <c r="L17" s="13"/>
      <c r="M17" s="22" t="s">
        <v>267</v>
      </c>
      <c r="N17" s="22" t="s">
        <v>797</v>
      </c>
      <c r="O17" s="22">
        <v>0.77</v>
      </c>
      <c r="P17" s="22">
        <v>0.82</v>
      </c>
    </row>
    <row r="18" spans="1:18" ht="14.45" customHeight="1">
      <c r="B18" s="14" t="s">
        <v>832</v>
      </c>
      <c r="C18" s="13" t="s">
        <v>833</v>
      </c>
      <c r="E18" s="22">
        <v>13</v>
      </c>
      <c r="F18" s="13"/>
      <c r="G18" s="13"/>
      <c r="H18" s="13"/>
      <c r="I18" s="13"/>
      <c r="K18" s="13"/>
      <c r="L18" s="13"/>
      <c r="M18" s="22" t="s">
        <v>267</v>
      </c>
      <c r="N18" s="22" t="s">
        <v>797</v>
      </c>
      <c r="O18" s="22">
        <v>0.77</v>
      </c>
      <c r="P18" s="22">
        <v>0.82</v>
      </c>
    </row>
    <row r="19" spans="1:18" ht="14.45" customHeight="1">
      <c r="B19" s="14" t="s">
        <v>834</v>
      </c>
      <c r="C19" s="13" t="s">
        <v>835</v>
      </c>
      <c r="E19" s="22">
        <v>13</v>
      </c>
      <c r="F19" s="13"/>
      <c r="G19" s="13"/>
      <c r="H19" s="13"/>
      <c r="I19" s="13"/>
      <c r="K19" s="13"/>
      <c r="L19" s="13"/>
      <c r="M19" s="22" t="s">
        <v>267</v>
      </c>
      <c r="N19" s="22" t="s">
        <v>797</v>
      </c>
      <c r="O19" s="22">
        <v>0.77</v>
      </c>
      <c r="P19" s="22">
        <v>0.82</v>
      </c>
    </row>
    <row r="20" spans="1:18" ht="14.45" customHeight="1">
      <c r="B20" s="11" t="s">
        <v>836</v>
      </c>
      <c r="C20" s="22" t="s">
        <v>825</v>
      </c>
      <c r="D20" s="22"/>
      <c r="E20" s="22">
        <v>13</v>
      </c>
      <c r="F20" s="22"/>
      <c r="G20" s="22"/>
      <c r="H20" s="22"/>
      <c r="I20" s="22"/>
      <c r="J20" s="22"/>
      <c r="K20" s="22"/>
      <c r="L20" s="206"/>
      <c r="M20" s="22" t="s">
        <v>267</v>
      </c>
      <c r="N20" s="22" t="s">
        <v>797</v>
      </c>
      <c r="O20" s="22">
        <v>0.77</v>
      </c>
      <c r="P20" s="22">
        <v>0.82</v>
      </c>
    </row>
    <row r="21" spans="1:18" ht="14.45" customHeight="1">
      <c r="C21" s="14"/>
      <c r="N21" s="11"/>
    </row>
    <row r="22" spans="1:18" ht="14.45" customHeight="1">
      <c r="A22" t="s">
        <v>269</v>
      </c>
      <c r="B22"/>
      <c r="R22" s="13"/>
    </row>
    <row r="23" spans="1:18" ht="14.45" customHeight="1">
      <c r="B23" s="14" t="s">
        <v>779</v>
      </c>
      <c r="C23" s="13" t="s">
        <v>781</v>
      </c>
      <c r="D23" t="s">
        <v>782</v>
      </c>
      <c r="E23" s="13" t="s">
        <v>783</v>
      </c>
      <c r="F23" s="13" t="s">
        <v>784</v>
      </c>
      <c r="G23" s="13" t="s">
        <v>785</v>
      </c>
      <c r="H23" s="13" t="s">
        <v>786</v>
      </c>
      <c r="I23" s="13" t="s">
        <v>787</v>
      </c>
      <c r="J23" t="s">
        <v>788</v>
      </c>
      <c r="K23" s="13" t="s">
        <v>789</v>
      </c>
      <c r="L23" s="13" t="s">
        <v>790</v>
      </c>
      <c r="M23" s="13" t="s">
        <v>791</v>
      </c>
      <c r="N23" s="13" t="s">
        <v>792</v>
      </c>
      <c r="O23" t="s">
        <v>793</v>
      </c>
      <c r="P23" t="s">
        <v>827</v>
      </c>
      <c r="Q23" s="13"/>
    </row>
    <row r="24" spans="1:18" ht="14.45" customHeight="1">
      <c r="B24" s="11" t="s">
        <v>837</v>
      </c>
      <c r="C24" s="22" t="s">
        <v>825</v>
      </c>
      <c r="E24" s="22">
        <v>13</v>
      </c>
      <c r="M24" t="s">
        <v>269</v>
      </c>
      <c r="N24" s="22" t="s">
        <v>797</v>
      </c>
      <c r="O24" s="22">
        <v>0.77</v>
      </c>
      <c r="P24" s="22">
        <v>0.82</v>
      </c>
      <c r="Q24" s="13"/>
    </row>
    <row r="25" spans="1:18" ht="14.45" customHeight="1">
      <c r="B25"/>
      <c r="R25" s="13"/>
    </row>
    <row r="26" spans="1:18" ht="14.45" customHeight="1">
      <c r="A26" t="s">
        <v>271</v>
      </c>
      <c r="C26" s="14"/>
      <c r="N26" s="11"/>
    </row>
    <row r="27" spans="1:18" ht="14.45" customHeight="1">
      <c r="B27" s="14" t="s">
        <v>779</v>
      </c>
      <c r="C27" s="13" t="s">
        <v>781</v>
      </c>
      <c r="D27" t="s">
        <v>782</v>
      </c>
      <c r="E27" s="13" t="s">
        <v>783</v>
      </c>
      <c r="F27" s="13" t="s">
        <v>784</v>
      </c>
      <c r="G27" s="13" t="s">
        <v>785</v>
      </c>
      <c r="H27" s="13" t="s">
        <v>786</v>
      </c>
      <c r="I27" s="13" t="s">
        <v>787</v>
      </c>
      <c r="J27" t="s">
        <v>788</v>
      </c>
      <c r="K27" s="13" t="s">
        <v>789</v>
      </c>
      <c r="L27" s="13" t="s">
        <v>790</v>
      </c>
      <c r="M27" s="13" t="s">
        <v>791</v>
      </c>
      <c r="N27" s="13" t="s">
        <v>792</v>
      </c>
      <c r="O27" t="s">
        <v>793</v>
      </c>
      <c r="P27" t="s">
        <v>827</v>
      </c>
    </row>
    <row r="28" spans="1:18" ht="14.45" customHeight="1">
      <c r="B28" s="206" t="s">
        <v>838</v>
      </c>
      <c r="C28" s="22" t="s">
        <v>825</v>
      </c>
      <c r="D28" s="22"/>
      <c r="E28" s="22">
        <v>13</v>
      </c>
      <c r="F28" s="22"/>
      <c r="G28" s="22"/>
      <c r="H28" s="22"/>
      <c r="I28" s="22"/>
      <c r="J28" s="22"/>
      <c r="K28" s="22"/>
      <c r="L28" s="206"/>
      <c r="M28" s="206" t="s">
        <v>271</v>
      </c>
      <c r="N28" s="22" t="s">
        <v>797</v>
      </c>
      <c r="O28" s="22">
        <v>0.71</v>
      </c>
      <c r="P28" s="22">
        <v>0.71</v>
      </c>
    </row>
    <row r="29" spans="1:18" ht="14.45" customHeight="1">
      <c r="B29" s="206"/>
      <c r="C29" s="22"/>
      <c r="D29" s="22"/>
      <c r="E29" s="22"/>
      <c r="F29" s="22"/>
      <c r="G29" s="22"/>
      <c r="H29" s="22"/>
      <c r="I29" s="22"/>
      <c r="J29" s="22"/>
      <c r="K29" s="22"/>
      <c r="L29" s="206"/>
      <c r="M29" s="206"/>
      <c r="N29" s="22"/>
    </row>
    <row r="30" spans="1:18">
      <c r="A30" t="s">
        <v>89</v>
      </c>
      <c r="B30" s="206"/>
      <c r="C30" s="22"/>
      <c r="D30" s="22"/>
      <c r="E30" s="22"/>
      <c r="F30" s="22"/>
      <c r="G30" s="22"/>
      <c r="H30" s="22"/>
      <c r="I30" s="22"/>
      <c r="J30" s="22"/>
      <c r="K30" s="22"/>
      <c r="L30" s="206"/>
      <c r="M30" s="206"/>
      <c r="N30" s="22"/>
    </row>
    <row r="31" spans="1:18">
      <c r="B31" s="14" t="s">
        <v>779</v>
      </c>
      <c r="C31" s="13" t="s">
        <v>781</v>
      </c>
      <c r="D31" t="s">
        <v>782</v>
      </c>
      <c r="E31" s="13" t="s">
        <v>783</v>
      </c>
      <c r="F31" s="13" t="s">
        <v>784</v>
      </c>
      <c r="G31" s="13" t="s">
        <v>785</v>
      </c>
      <c r="H31" s="13" t="s">
        <v>786</v>
      </c>
      <c r="I31" s="13" t="s">
        <v>787</v>
      </c>
      <c r="J31" t="s">
        <v>788</v>
      </c>
      <c r="K31" s="13" t="s">
        <v>789</v>
      </c>
      <c r="L31" s="13" t="s">
        <v>790</v>
      </c>
      <c r="M31" s="13" t="s">
        <v>791</v>
      </c>
      <c r="N31" s="13" t="s">
        <v>792</v>
      </c>
      <c r="O31" t="s">
        <v>793</v>
      </c>
      <c r="P31" t="s">
        <v>827</v>
      </c>
    </row>
    <row r="32" spans="1:18">
      <c r="B32" s="206" t="s">
        <v>839</v>
      </c>
      <c r="C32" s="22" t="s">
        <v>825</v>
      </c>
      <c r="D32" s="22"/>
      <c r="E32" s="22">
        <v>13</v>
      </c>
      <c r="F32" s="22"/>
      <c r="G32" s="22"/>
      <c r="H32" s="22"/>
      <c r="I32" s="22"/>
      <c r="J32" s="22"/>
      <c r="K32" s="22"/>
      <c r="L32" s="206"/>
      <c r="M32" s="22" t="s">
        <v>89</v>
      </c>
      <c r="N32" s="22" t="s">
        <v>797</v>
      </c>
      <c r="O32" s="22">
        <v>0.77</v>
      </c>
      <c r="P32" s="22">
        <v>0.82</v>
      </c>
    </row>
    <row r="33" spans="1:16">
      <c r="B33" s="206"/>
      <c r="C33" s="22"/>
      <c r="D33" s="22"/>
      <c r="E33" s="22"/>
      <c r="F33" s="22"/>
      <c r="G33" s="22"/>
      <c r="H33" s="22"/>
      <c r="I33" s="22"/>
      <c r="J33" s="22"/>
      <c r="K33" s="22"/>
      <c r="L33" s="206"/>
      <c r="M33" s="206"/>
      <c r="N33" s="22"/>
    </row>
    <row r="34" spans="1:16">
      <c r="A34" t="s">
        <v>274</v>
      </c>
      <c r="B34" s="206"/>
      <c r="C34" s="22"/>
      <c r="D34" s="22"/>
      <c r="E34" s="22"/>
      <c r="F34" s="22"/>
      <c r="G34" s="22"/>
      <c r="H34" s="22"/>
      <c r="I34" s="22"/>
      <c r="J34" s="22"/>
      <c r="K34" s="22"/>
      <c r="L34" s="206"/>
      <c r="M34" s="206"/>
      <c r="N34" s="22"/>
    </row>
    <row r="35" spans="1:16">
      <c r="B35" s="14" t="s">
        <v>779</v>
      </c>
      <c r="C35" s="13" t="s">
        <v>781</v>
      </c>
      <c r="D35" t="s">
        <v>782</v>
      </c>
      <c r="E35" s="13" t="s">
        <v>783</v>
      </c>
      <c r="F35" s="13" t="s">
        <v>784</v>
      </c>
      <c r="G35" s="13" t="s">
        <v>785</v>
      </c>
      <c r="H35" s="13" t="s">
        <v>786</v>
      </c>
      <c r="I35" s="13" t="s">
        <v>787</v>
      </c>
      <c r="J35" t="s">
        <v>788</v>
      </c>
      <c r="K35" s="13" t="s">
        <v>789</v>
      </c>
      <c r="L35" s="13" t="s">
        <v>790</v>
      </c>
      <c r="M35" s="13" t="s">
        <v>791</v>
      </c>
      <c r="N35" s="13" t="s">
        <v>792</v>
      </c>
      <c r="O35" t="s">
        <v>793</v>
      </c>
      <c r="P35" t="s">
        <v>827</v>
      </c>
    </row>
    <row r="36" spans="1:16">
      <c r="B36" s="206" t="s">
        <v>840</v>
      </c>
      <c r="C36" s="22" t="s">
        <v>825</v>
      </c>
      <c r="D36" s="22"/>
      <c r="E36" s="22">
        <v>13</v>
      </c>
      <c r="F36" s="22"/>
      <c r="G36" s="22"/>
      <c r="H36" s="22"/>
      <c r="I36" s="22"/>
      <c r="J36" s="22"/>
      <c r="K36" s="22"/>
      <c r="L36" s="206"/>
      <c r="M36" s="206" t="s">
        <v>274</v>
      </c>
      <c r="N36" s="22" t="s">
        <v>797</v>
      </c>
      <c r="O36" s="22">
        <v>0.77</v>
      </c>
      <c r="P36" s="22">
        <v>0.82</v>
      </c>
    </row>
    <row r="37" spans="1:16">
      <c r="B37" s="206"/>
      <c r="C37" s="22"/>
      <c r="D37" s="22"/>
      <c r="E37" s="22"/>
      <c r="F37" s="22"/>
      <c r="G37" s="22"/>
      <c r="H37" s="22"/>
      <c r="I37" s="22"/>
      <c r="J37" s="22"/>
      <c r="K37" s="22"/>
      <c r="L37" s="206"/>
      <c r="M37" s="206"/>
      <c r="N37" s="22"/>
    </row>
    <row r="38" spans="1:16">
      <c r="A38" t="s">
        <v>276</v>
      </c>
      <c r="B38" s="206"/>
      <c r="C38" s="22"/>
      <c r="D38" s="22"/>
      <c r="E38" s="22"/>
      <c r="F38" s="22"/>
      <c r="G38" s="22"/>
      <c r="H38" s="22"/>
      <c r="I38" s="22"/>
      <c r="J38" s="22"/>
      <c r="K38" s="22"/>
      <c r="L38" s="206"/>
      <c r="M38" s="206"/>
      <c r="N38" s="22"/>
    </row>
    <row r="39" spans="1:16">
      <c r="B39" s="14" t="s">
        <v>779</v>
      </c>
      <c r="C39" s="13" t="s">
        <v>781</v>
      </c>
      <c r="D39" t="s">
        <v>782</v>
      </c>
      <c r="E39" s="13" t="s">
        <v>783</v>
      </c>
      <c r="F39" s="13" t="s">
        <v>784</v>
      </c>
      <c r="G39" s="13" t="s">
        <v>785</v>
      </c>
      <c r="H39" s="13" t="s">
        <v>786</v>
      </c>
      <c r="I39" s="13" t="s">
        <v>787</v>
      </c>
      <c r="J39" t="s">
        <v>788</v>
      </c>
      <c r="K39" s="13" t="s">
        <v>789</v>
      </c>
      <c r="L39" s="13" t="s">
        <v>790</v>
      </c>
      <c r="M39" s="13" t="s">
        <v>791</v>
      </c>
      <c r="N39" s="13" t="s">
        <v>792</v>
      </c>
      <c r="O39" t="s">
        <v>793</v>
      </c>
      <c r="P39" t="s">
        <v>827</v>
      </c>
    </row>
    <row r="40" spans="1:16">
      <c r="B40" s="14" t="s">
        <v>841</v>
      </c>
      <c r="C40" s="13" t="s">
        <v>842</v>
      </c>
      <c r="E40" s="22">
        <v>13</v>
      </c>
      <c r="F40" s="13"/>
      <c r="G40" s="13"/>
      <c r="H40" s="13"/>
      <c r="I40" s="13"/>
      <c r="K40" s="13"/>
      <c r="L40" s="13"/>
      <c r="M40" t="s">
        <v>276</v>
      </c>
      <c r="N40" s="22" t="s">
        <v>797</v>
      </c>
      <c r="O40" s="22">
        <v>0.9</v>
      </c>
      <c r="P40" s="22">
        <v>1</v>
      </c>
    </row>
    <row r="41" spans="1:16">
      <c r="B41" s="14" t="s">
        <v>843</v>
      </c>
      <c r="C41" s="13" t="s">
        <v>844</v>
      </c>
      <c r="E41" s="22">
        <v>13</v>
      </c>
      <c r="F41" s="13"/>
      <c r="G41" s="13"/>
      <c r="H41" s="13"/>
      <c r="I41" s="13"/>
      <c r="K41" s="13"/>
      <c r="L41" s="13"/>
      <c r="M41" t="s">
        <v>276</v>
      </c>
      <c r="N41" s="22" t="s">
        <v>797</v>
      </c>
      <c r="O41" s="22">
        <v>0.77</v>
      </c>
      <c r="P41" s="22">
        <v>0.82</v>
      </c>
    </row>
    <row r="42" spans="1:16">
      <c r="B42" s="11" t="s">
        <v>845</v>
      </c>
      <c r="C42" s="22" t="s">
        <v>825</v>
      </c>
      <c r="E42" s="22">
        <v>13</v>
      </c>
      <c r="M42" t="s">
        <v>276</v>
      </c>
      <c r="N42" s="22" t="s">
        <v>797</v>
      </c>
      <c r="O42" s="22">
        <v>0.77</v>
      </c>
      <c r="P42" s="22">
        <v>0.82</v>
      </c>
    </row>
    <row r="43" spans="1:16">
      <c r="B43" s="206"/>
      <c r="C43" s="22"/>
      <c r="D43" s="22"/>
      <c r="E43" s="22"/>
      <c r="F43" s="22"/>
      <c r="G43" s="22"/>
      <c r="H43" s="22"/>
      <c r="I43" s="22"/>
      <c r="J43" s="22"/>
      <c r="K43" s="22"/>
      <c r="L43" s="206"/>
      <c r="M43" s="206"/>
      <c r="N43" s="22"/>
    </row>
    <row r="44" spans="1:16">
      <c r="A44" t="s">
        <v>278</v>
      </c>
      <c r="B44" s="206"/>
      <c r="C44" s="22"/>
      <c r="D44" s="22"/>
      <c r="E44" s="22"/>
      <c r="F44" s="22"/>
      <c r="G44" s="22"/>
      <c r="H44" s="22"/>
      <c r="I44" s="22"/>
      <c r="J44" s="22"/>
      <c r="K44" s="22"/>
      <c r="L44" s="206"/>
      <c r="M44" s="206"/>
      <c r="N44" s="22"/>
    </row>
    <row r="45" spans="1:16">
      <c r="B45" s="14" t="s">
        <v>779</v>
      </c>
      <c r="C45" s="13" t="s">
        <v>781</v>
      </c>
      <c r="D45" t="s">
        <v>782</v>
      </c>
      <c r="E45" s="13" t="s">
        <v>783</v>
      </c>
      <c r="F45" s="13" t="s">
        <v>784</v>
      </c>
      <c r="G45" s="13" t="s">
        <v>785</v>
      </c>
      <c r="H45" s="13" t="s">
        <v>786</v>
      </c>
      <c r="I45" s="13" t="s">
        <v>787</v>
      </c>
      <c r="J45" t="s">
        <v>788</v>
      </c>
      <c r="K45" s="13" t="s">
        <v>789</v>
      </c>
      <c r="L45" s="13" t="s">
        <v>790</v>
      </c>
      <c r="M45" s="13" t="s">
        <v>791</v>
      </c>
      <c r="N45" s="13" t="s">
        <v>792</v>
      </c>
      <c r="O45" t="s">
        <v>793</v>
      </c>
      <c r="P45" t="s">
        <v>827</v>
      </c>
    </row>
    <row r="46" spans="1:16">
      <c r="B46" s="11" t="s">
        <v>846</v>
      </c>
      <c r="C46" s="22" t="s">
        <v>825</v>
      </c>
      <c r="E46" s="22">
        <v>13</v>
      </c>
      <c r="M46" t="s">
        <v>278</v>
      </c>
      <c r="N46" s="22" t="s">
        <v>797</v>
      </c>
      <c r="O46" s="22">
        <v>0.77</v>
      </c>
      <c r="P46" s="22">
        <v>0.82</v>
      </c>
    </row>
    <row r="47" spans="1:16">
      <c r="B47" s="206"/>
      <c r="C47" s="22"/>
      <c r="D47" s="22"/>
      <c r="E47" s="22"/>
      <c r="F47" s="22"/>
      <c r="G47" s="22"/>
      <c r="H47" s="22"/>
      <c r="I47" s="22"/>
      <c r="J47" s="22"/>
      <c r="K47" s="22"/>
      <c r="L47" s="206"/>
      <c r="M47" s="206"/>
      <c r="N47" s="22"/>
    </row>
    <row r="48" spans="1:16">
      <c r="A48" t="s">
        <v>281</v>
      </c>
      <c r="B48" s="206"/>
      <c r="C48" s="22"/>
      <c r="D48" s="22"/>
      <c r="E48" s="22"/>
      <c r="F48" s="22"/>
      <c r="G48" s="22"/>
      <c r="H48" s="22"/>
      <c r="I48" s="22"/>
      <c r="J48" s="22"/>
      <c r="K48" s="22"/>
      <c r="L48" s="206"/>
      <c r="M48" s="206"/>
      <c r="N48" s="22"/>
    </row>
    <row r="49" spans="1:16">
      <c r="B49" s="14" t="s">
        <v>779</v>
      </c>
      <c r="C49" s="13" t="s">
        <v>781</v>
      </c>
      <c r="D49" t="s">
        <v>782</v>
      </c>
      <c r="E49" s="13" t="s">
        <v>783</v>
      </c>
      <c r="F49" s="13" t="s">
        <v>784</v>
      </c>
      <c r="G49" s="13" t="s">
        <v>785</v>
      </c>
      <c r="H49" s="13" t="s">
        <v>786</v>
      </c>
      <c r="I49" s="13" t="s">
        <v>787</v>
      </c>
      <c r="J49" t="s">
        <v>788</v>
      </c>
      <c r="K49" s="13" t="s">
        <v>789</v>
      </c>
      <c r="L49" s="13" t="s">
        <v>790</v>
      </c>
      <c r="M49" s="13" t="s">
        <v>791</v>
      </c>
      <c r="N49" s="13" t="s">
        <v>792</v>
      </c>
      <c r="O49" t="s">
        <v>793</v>
      </c>
      <c r="P49" t="s">
        <v>827</v>
      </c>
    </row>
    <row r="50" spans="1:16">
      <c r="B50" s="11" t="s">
        <v>847</v>
      </c>
      <c r="C50" s="22" t="s">
        <v>825</v>
      </c>
      <c r="E50" s="22">
        <v>13</v>
      </c>
      <c r="M50" t="s">
        <v>281</v>
      </c>
      <c r="N50" s="22" t="s">
        <v>797</v>
      </c>
      <c r="O50" s="22">
        <v>0.77</v>
      </c>
      <c r="P50" s="22">
        <v>0.82</v>
      </c>
    </row>
    <row r="51" spans="1:16">
      <c r="B51" s="206"/>
      <c r="C51" s="22"/>
      <c r="D51" s="22"/>
      <c r="E51" s="22"/>
      <c r="F51" s="22"/>
      <c r="G51" s="22"/>
      <c r="H51" s="22"/>
      <c r="I51" s="22"/>
      <c r="J51" s="22"/>
      <c r="K51" s="22"/>
      <c r="L51" s="206"/>
      <c r="M51" s="206"/>
      <c r="N51" s="22"/>
    </row>
    <row r="52" spans="1:16">
      <c r="A52" t="s">
        <v>284</v>
      </c>
    </row>
    <row r="53" spans="1:16">
      <c r="B53" s="120" t="s">
        <v>779</v>
      </c>
      <c r="C53" s="100" t="s">
        <v>781</v>
      </c>
      <c r="D53" s="100" t="s">
        <v>782</v>
      </c>
      <c r="E53" s="100" t="s">
        <v>783</v>
      </c>
      <c r="F53" s="100" t="s">
        <v>784</v>
      </c>
      <c r="G53" s="100" t="s">
        <v>785</v>
      </c>
      <c r="H53" s="100" t="s">
        <v>786</v>
      </c>
      <c r="I53" s="100" t="s">
        <v>787</v>
      </c>
      <c r="J53" s="100" t="s">
        <v>788</v>
      </c>
      <c r="K53" s="100" t="s">
        <v>789</v>
      </c>
      <c r="L53" s="100" t="s">
        <v>790</v>
      </c>
      <c r="M53" s="100" t="s">
        <v>791</v>
      </c>
      <c r="N53" s="100" t="s">
        <v>792</v>
      </c>
      <c r="O53" t="s">
        <v>793</v>
      </c>
      <c r="P53" t="s">
        <v>827</v>
      </c>
    </row>
    <row r="54" spans="1:16">
      <c r="B54" s="206" t="s">
        <v>848</v>
      </c>
      <c r="C54" s="22" t="s">
        <v>849</v>
      </c>
      <c r="D54" s="22"/>
      <c r="E54" s="22">
        <v>13</v>
      </c>
      <c r="F54" s="22"/>
      <c r="G54" s="22"/>
      <c r="H54" s="22"/>
      <c r="I54" s="22"/>
      <c r="J54" s="22"/>
      <c r="K54" s="22"/>
      <c r="L54" s="206"/>
      <c r="M54" s="22" t="s">
        <v>284</v>
      </c>
      <c r="N54" s="22" t="s">
        <v>797</v>
      </c>
      <c r="O54" s="22">
        <v>0.77</v>
      </c>
      <c r="P54" s="22">
        <v>0.82</v>
      </c>
    </row>
    <row r="55" spans="1:16">
      <c r="B55" s="206" t="s">
        <v>850</v>
      </c>
      <c r="C55" s="22" t="s">
        <v>194</v>
      </c>
      <c r="D55" s="22"/>
      <c r="E55" s="22">
        <v>13</v>
      </c>
      <c r="F55" s="22"/>
      <c r="G55" s="22"/>
      <c r="H55" s="22"/>
      <c r="I55" s="22"/>
      <c r="J55" s="22"/>
      <c r="K55" s="22"/>
      <c r="L55" s="206"/>
      <c r="M55" s="22" t="s">
        <v>284</v>
      </c>
      <c r="N55" s="22" t="s">
        <v>797</v>
      </c>
      <c r="O55" s="22">
        <v>0.77</v>
      </c>
      <c r="P55" s="22">
        <v>0.82</v>
      </c>
    </row>
    <row r="56" spans="1:16">
      <c r="B56" s="206" t="s">
        <v>851</v>
      </c>
      <c r="C56" s="22" t="s">
        <v>852</v>
      </c>
      <c r="D56" s="22"/>
      <c r="E56" s="22">
        <v>13</v>
      </c>
      <c r="F56" s="22"/>
      <c r="G56" s="22"/>
      <c r="H56" s="22"/>
      <c r="I56" s="22"/>
      <c r="J56" s="22"/>
      <c r="K56" s="22"/>
      <c r="L56" s="206"/>
      <c r="M56" s="22" t="s">
        <v>284</v>
      </c>
      <c r="N56" s="22" t="s">
        <v>797</v>
      </c>
      <c r="O56" s="22">
        <v>0.77</v>
      </c>
      <c r="P56" s="22">
        <v>0.82</v>
      </c>
    </row>
    <row r="57" spans="1:16">
      <c r="B57" s="206" t="s">
        <v>853</v>
      </c>
      <c r="C57" s="22" t="s">
        <v>854</v>
      </c>
      <c r="D57" s="22"/>
      <c r="E57" s="22">
        <v>13</v>
      </c>
      <c r="F57" s="22"/>
      <c r="G57" s="22"/>
      <c r="H57" s="22"/>
      <c r="I57" s="22"/>
      <c r="J57" s="22"/>
      <c r="K57" s="22"/>
      <c r="L57" s="206"/>
      <c r="M57" s="22" t="s">
        <v>284</v>
      </c>
      <c r="N57" s="22" t="s">
        <v>797</v>
      </c>
      <c r="O57" s="22">
        <v>0.77</v>
      </c>
      <c r="P57" s="22">
        <v>0.82</v>
      </c>
    </row>
    <row r="58" spans="1:16">
      <c r="B58" s="206" t="s">
        <v>855</v>
      </c>
      <c r="C58" s="22" t="s">
        <v>825</v>
      </c>
      <c r="D58" s="22"/>
      <c r="E58" s="22">
        <v>13</v>
      </c>
      <c r="F58" s="22"/>
      <c r="G58" s="22"/>
      <c r="H58" s="22"/>
      <c r="I58" s="22"/>
      <c r="J58" s="22"/>
      <c r="K58" s="22"/>
      <c r="L58" s="206"/>
      <c r="M58" s="22" t="s">
        <v>284</v>
      </c>
      <c r="N58" s="22" t="s">
        <v>797</v>
      </c>
      <c r="O58" s="22">
        <v>0.77</v>
      </c>
      <c r="P58" s="22">
        <v>0.82</v>
      </c>
    </row>
    <row r="63" spans="1:16">
      <c r="B63" s="14"/>
      <c r="C63" s="13"/>
    </row>
    <row r="64" spans="1:16">
      <c r="B64" s="206"/>
      <c r="C64" s="22"/>
    </row>
    <row r="65" spans="2:18">
      <c r="B65" s="206"/>
      <c r="C65" s="22"/>
    </row>
    <row r="66" spans="2:18">
      <c r="B66" s="14"/>
      <c r="C66" s="13"/>
    </row>
    <row r="67" spans="2:18">
      <c r="B67" s="14"/>
      <c r="C67" s="13"/>
    </row>
    <row r="68" spans="2:18">
      <c r="C68" s="22"/>
    </row>
    <row r="69" spans="2:18">
      <c r="C69" s="22"/>
    </row>
    <row r="70" spans="2:18">
      <c r="C70" s="22"/>
    </row>
    <row r="71" spans="2:18">
      <c r="B71" s="206"/>
      <c r="C71" s="22"/>
    </row>
    <row r="72" spans="2:18">
      <c r="B72" s="206"/>
      <c r="C72" s="22"/>
    </row>
    <row r="73" spans="2:18">
      <c r="B73" s="206"/>
      <c r="C73" s="22"/>
    </row>
    <row r="74" spans="2:18">
      <c r="B74" s="206"/>
      <c r="C74" s="22"/>
    </row>
    <row r="75" spans="2:18">
      <c r="B75" s="206"/>
      <c r="C75" s="22"/>
    </row>
    <row r="78" spans="2:18">
      <c r="R78" t="s">
        <v>856</v>
      </c>
    </row>
  </sheetData>
  <sheetProtection algorithmName="SHA-512" hashValue="OcpOPTbc3GZpT6dOsFVrf4MlPIGvSrNzP87JSMlGBK9xQ6jyk2o+Xd0a6c1npeqXkcsruJdjDmS2Nv7/JdpQKg==" saltValue="1940IAC/vRL9SrQvLIHyAA==" spinCount="100000" sheet="1" objects="1" scenarios="1"/>
  <phoneticPr fontId="78" type="noConversion"/>
  <dataValidations disablePrompts="1" count="1">
    <dataValidation type="list" allowBlank="1" showInputMessage="1" showErrorMessage="1" sqref="M26 K3:K12" xr:uid="{B57342AC-D75B-40F4-BFB5-E20F4C565251}">
      <formula1>ENDUSECAT</formula1>
    </dataValidation>
  </dataValidations>
  <pageMargins left="0.7" right="0.7" top="0.75" bottom="0.75" header="0.3" footer="0.3"/>
  <pageSetup orientation="portrait" r:id="rId1"/>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theme="9"/>
  </sheetPr>
  <dimension ref="A1:BL291"/>
  <sheetViews>
    <sheetView zoomScale="85" zoomScaleNormal="85" workbookViewId="0">
      <selection activeCell="D7" sqref="D7"/>
    </sheetView>
  </sheetViews>
  <sheetFormatPr defaultColWidth="0" defaultRowHeight="15"/>
  <cols>
    <col min="1" max="1" width="39.42578125" bestFit="1" customWidth="1"/>
    <col min="2" max="2" width="24.42578125" customWidth="1"/>
    <col min="3" max="3" width="36.5703125" customWidth="1"/>
    <col min="4" max="4" width="53.5703125" customWidth="1"/>
    <col min="5" max="5" width="4.5703125" customWidth="1"/>
    <col min="6" max="6" width="28.5703125" bestFit="1" customWidth="1"/>
    <col min="7" max="7" width="38.42578125" bestFit="1" customWidth="1"/>
    <col min="8" max="8" width="78.5703125" customWidth="1"/>
    <col min="9" max="9" width="5.42578125" customWidth="1"/>
    <col min="10" max="10" width="26.42578125" customWidth="1"/>
    <col min="11" max="11" width="22.5703125" customWidth="1"/>
    <col min="12" max="12" width="29.42578125" customWidth="1"/>
    <col min="13" max="13" width="11.42578125" customWidth="1"/>
    <col min="14" max="14" width="21.42578125" bestFit="1" customWidth="1"/>
    <col min="15" max="15" width="26" bestFit="1" customWidth="1"/>
    <col min="16" max="16" width="43" bestFit="1" customWidth="1"/>
    <col min="17" max="17" width="41.42578125" customWidth="1"/>
    <col min="18" max="18" width="36.5703125" bestFit="1" customWidth="1"/>
    <col min="19" max="19" width="36.5703125" customWidth="1"/>
    <col min="20" max="20" width="26" customWidth="1"/>
    <col min="21" max="21" width="26.42578125" customWidth="1"/>
    <col min="22" max="22" width="27.5703125" bestFit="1" customWidth="1"/>
    <col min="23" max="24" width="21.42578125" bestFit="1" customWidth="1"/>
    <col min="25" max="25" width="95.42578125" bestFit="1" customWidth="1"/>
    <col min="26" max="26" width="16" bestFit="1" customWidth="1"/>
    <col min="27" max="27" width="20.42578125" bestFit="1" customWidth="1"/>
    <col min="28" max="28" width="18.42578125" bestFit="1" customWidth="1"/>
    <col min="29" max="29" width="19" customWidth="1"/>
    <col min="30" max="30" width="7.5703125" bestFit="1" customWidth="1"/>
    <col min="31" max="31" width="7.42578125" bestFit="1" customWidth="1"/>
    <col min="32" max="33" width="9" bestFit="1" customWidth="1"/>
    <col min="34" max="34" width="255.5703125" bestFit="1" customWidth="1"/>
    <col min="35" max="35" width="21.5703125" bestFit="1" customWidth="1"/>
    <col min="36" max="36" width="4.5703125" customWidth="1"/>
    <col min="37" max="37" width="7" customWidth="1"/>
    <col min="38" max="38" width="10.42578125" bestFit="1" customWidth="1"/>
    <col min="39" max="40" width="11.42578125" bestFit="1" customWidth="1"/>
    <col min="41" max="41" width="9.42578125" bestFit="1" customWidth="1"/>
    <col min="42" max="42" width="10.42578125" bestFit="1" customWidth="1"/>
    <col min="43" max="44" width="12.42578125" bestFit="1" customWidth="1"/>
    <col min="45" max="45" width="10.42578125" bestFit="1" customWidth="1"/>
    <col min="46" max="59" width="4.5703125" customWidth="1"/>
    <col min="60" max="64" width="0" hidden="1" customWidth="1"/>
    <col min="65" max="16384" width="4.5703125" hidden="1"/>
  </cols>
  <sheetData>
    <row r="1" spans="1:63" ht="15.75" thickBot="1">
      <c r="C1" s="106" t="s">
        <v>857</v>
      </c>
      <c r="D1" s="5" t="s">
        <v>858</v>
      </c>
      <c r="G1" s="596" t="s">
        <v>859</v>
      </c>
      <c r="H1" s="597" t="str">
        <f>IF('M02-S02'!$P37="","",IF(AND('M02-S02'!$P37="Office",SitePeakkW=""),"Office - Small",IF(AND('M02-S02'!$P37="Office",SitePeakkW="&lt;=300 kW"),"Office - Small",IF(AND('M02-S02'!$P37="Retail",SitePeakkW=""),"Retail - Small",IF(AND('M02-S02'!$P37="Retail",SitePeakkW="&lt;=300 kW"),"Retail - Small",IF(AND('M02-S02'!$P37="Office",SitePeakkW="&gt;300 kW"),"Office - Large",IF(AND('M02-S02'!$P37="Retail",SitePeakkW="&gt;300 kW"),"Retail - Large",IF('M02-S02'!$P37&lt;&gt;"",'M02-S02'!P37,""))))))))</f>
        <v/>
      </c>
      <c r="I1" s="199"/>
      <c r="J1" s="199"/>
      <c r="K1" s="199"/>
      <c r="L1" s="199"/>
      <c r="M1" s="199"/>
      <c r="N1" s="199"/>
      <c r="O1" s="199"/>
      <c r="P1" s="199"/>
      <c r="Q1" s="199"/>
      <c r="R1" s="199"/>
    </row>
    <row r="2" spans="1:63">
      <c r="C2" s="106" t="s">
        <v>860</v>
      </c>
      <c r="D2" s="5" t="s">
        <v>861</v>
      </c>
    </row>
    <row r="3" spans="1:63">
      <c r="C3" s="106" t="s">
        <v>862</v>
      </c>
      <c r="D3" s="131" t="s">
        <v>863</v>
      </c>
      <c r="G3" t="s">
        <v>864</v>
      </c>
    </row>
    <row r="4" spans="1:63">
      <c r="C4" s="106" t="s">
        <v>865</v>
      </c>
      <c r="D4" s="5" t="s">
        <v>866</v>
      </c>
      <c r="G4" s="63" t="s">
        <v>867</v>
      </c>
    </row>
    <row r="5" spans="1:63">
      <c r="C5" s="106" t="s">
        <v>868</v>
      </c>
      <c r="D5" s="5" t="str">
        <f>""</f>
        <v/>
      </c>
    </row>
    <row r="6" spans="1:63">
      <c r="C6" s="106" t="s">
        <v>869</v>
      </c>
      <c r="D6" s="5" t="s">
        <v>870</v>
      </c>
    </row>
    <row r="7" spans="1:63">
      <c r="C7" s="106" t="s">
        <v>871</v>
      </c>
      <c r="D7" s="5" t="str">
        <f>IF(AND(PROJID=0,M02S04F07=""),"",IF(AND(PROJID=0,M02S04F07&lt;&gt;""),M02S04F07,IF(AND(PROJID&lt;&gt;0,M02S04F07&lt;&gt;""),CONCATENATE("Project ",PROJID," - ",M02S04F07),"")))</f>
        <v/>
      </c>
    </row>
    <row r="11" spans="1:63" ht="15.6" customHeight="1">
      <c r="A11" t="s">
        <v>872</v>
      </c>
      <c r="C11" t="s">
        <v>873</v>
      </c>
      <c r="D11" t="s">
        <v>874</v>
      </c>
      <c r="X11" t="s">
        <v>875</v>
      </c>
      <c r="Y11" t="s">
        <v>876</v>
      </c>
      <c r="Z11" t="s">
        <v>758</v>
      </c>
      <c r="AA11" t="s">
        <v>720</v>
      </c>
      <c r="AB11" t="s">
        <v>721</v>
      </c>
      <c r="AC11" t="s">
        <v>877</v>
      </c>
      <c r="AD11" t="s">
        <v>878</v>
      </c>
      <c r="AE11" t="s">
        <v>879</v>
      </c>
      <c r="AF11" t="s">
        <v>880</v>
      </c>
      <c r="AG11" t="s">
        <v>762</v>
      </c>
      <c r="AH11" t="s">
        <v>881</v>
      </c>
      <c r="AI11" t="s">
        <v>882</v>
      </c>
      <c r="BK11" s="35"/>
    </row>
    <row r="12" spans="1:63">
      <c r="A12" t="s">
        <v>883</v>
      </c>
      <c r="C12" t="s">
        <v>884</v>
      </c>
      <c r="H12" s="63"/>
      <c r="X12" t="s">
        <v>885</v>
      </c>
      <c r="Y12">
        <f>M02S02F02</f>
        <v>0</v>
      </c>
      <c r="Z12">
        <f>M02S02F03</f>
        <v>0</v>
      </c>
      <c r="AA12" t="str">
        <f>M02S02F04</f>
        <v/>
      </c>
      <c r="AB12">
        <f>M02S02F05</f>
        <v>0</v>
      </c>
      <c r="AC12">
        <f>M02S02F06</f>
        <v>0</v>
      </c>
      <c r="AD12" t="str">
        <f>M02S02F07</f>
        <v>NJ</v>
      </c>
      <c r="AE12">
        <f>M02S02F08</f>
        <v>0</v>
      </c>
      <c r="AF12" t="str">
        <f>M02S02F10</f>
        <v/>
      </c>
      <c r="AG12" t="str">
        <f>M02S02F11</f>
        <v/>
      </c>
      <c r="AH12" t="s">
        <v>886</v>
      </c>
      <c r="AI12" t="s">
        <v>887</v>
      </c>
    </row>
    <row r="13" spans="1:63">
      <c r="A13" t="s">
        <v>888</v>
      </c>
      <c r="C13" t="s">
        <v>889</v>
      </c>
      <c r="X13" t="s">
        <v>890</v>
      </c>
      <c r="Y13">
        <f>M02S03F01</f>
        <v>0</v>
      </c>
      <c r="Z13">
        <f>_xlfn.SINGLE(M02S03F02)</f>
        <v>0</v>
      </c>
      <c r="AA13">
        <f>_xlfn.SINGLE(M02S03F03)</f>
        <v>0</v>
      </c>
      <c r="AB13">
        <f>_xlfn.SINGLE(M02S03F04)</f>
        <v>0</v>
      </c>
      <c r="AC13" t="str">
        <f>_xlfn.SINGLE(M02S03F05)</f>
        <v/>
      </c>
      <c r="AD13">
        <f>M02S03F06</f>
        <v>0</v>
      </c>
      <c r="AE13">
        <f>M02S03F07</f>
        <v>0</v>
      </c>
      <c r="AF13" t="str">
        <f>M02S03F09</f>
        <v/>
      </c>
      <c r="AG13" t="str">
        <f>M02S03F10</f>
        <v/>
      </c>
      <c r="AH13" t="s">
        <v>891</v>
      </c>
      <c r="AI13" t="s">
        <v>892</v>
      </c>
    </row>
    <row r="14" spans="1:63">
      <c r="C14" t="s">
        <v>893</v>
      </c>
      <c r="H14" s="63"/>
      <c r="X14" t="s">
        <v>894</v>
      </c>
      <c r="Y14">
        <f>M02S04F07</f>
        <v>0</v>
      </c>
      <c r="Z14">
        <f>M02S04F08</f>
        <v>0</v>
      </c>
      <c r="AA14">
        <f>M02S04F09</f>
        <v>0</v>
      </c>
      <c r="AB14">
        <f>M02S04F10</f>
        <v>0</v>
      </c>
      <c r="AC14">
        <f>M02S04F11</f>
        <v>0</v>
      </c>
      <c r="AD14">
        <f>M02S04F12</f>
        <v>0</v>
      </c>
      <c r="AE14">
        <f>M02S04F13</f>
        <v>0</v>
      </c>
      <c r="AF14">
        <f>M02S04F15</f>
        <v>0</v>
      </c>
      <c r="AG14">
        <f>M02S04F16</f>
        <v>0</v>
      </c>
      <c r="AH14" t="s">
        <v>895</v>
      </c>
      <c r="AI14" t="s">
        <v>892</v>
      </c>
    </row>
    <row r="15" spans="1:63">
      <c r="A15" t="s">
        <v>896</v>
      </c>
      <c r="C15" t="s">
        <v>897</v>
      </c>
      <c r="X15" t="s">
        <v>898</v>
      </c>
      <c r="Y15">
        <f>M02S04F07</f>
        <v>0</v>
      </c>
      <c r="Z15">
        <f>M02S04F08</f>
        <v>0</v>
      </c>
      <c r="AA15">
        <f>M02S04F09</f>
        <v>0</v>
      </c>
      <c r="AB15">
        <f>M02S04F10</f>
        <v>0</v>
      </c>
      <c r="AC15">
        <f>M02S04F11</f>
        <v>0</v>
      </c>
      <c r="AD15">
        <f>M02S04F12</f>
        <v>0</v>
      </c>
      <c r="AE15">
        <f>M02S04F13</f>
        <v>0</v>
      </c>
      <c r="AF15">
        <f>M02S04F15</f>
        <v>0</v>
      </c>
      <c r="AG15">
        <f>M02S04F16</f>
        <v>0</v>
      </c>
      <c r="AH15" t="s">
        <v>899</v>
      </c>
      <c r="AI15" t="s">
        <v>900</v>
      </c>
    </row>
    <row r="16" spans="1:63">
      <c r="A16" t="s">
        <v>901</v>
      </c>
      <c r="C16" t="s">
        <v>902</v>
      </c>
      <c r="X16" t="s">
        <v>903</v>
      </c>
      <c r="Y16" t="str">
        <f>""</f>
        <v/>
      </c>
      <c r="Z16" t="str">
        <f>""</f>
        <v/>
      </c>
      <c r="AA16" t="str">
        <f>""</f>
        <v/>
      </c>
      <c r="AB16" t="str">
        <f>""</f>
        <v/>
      </c>
      <c r="AC16" t="str">
        <f>""</f>
        <v/>
      </c>
      <c r="AD16" t="str">
        <f>""</f>
        <v/>
      </c>
      <c r="AE16" t="str">
        <f>""</f>
        <v/>
      </c>
      <c r="AF16" t="str">
        <f>""</f>
        <v/>
      </c>
      <c r="AG16" t="str">
        <f>""</f>
        <v/>
      </c>
      <c r="AH16" t="s">
        <v>895</v>
      </c>
      <c r="AI16" t="s">
        <v>900</v>
      </c>
    </row>
    <row r="17" spans="1:26">
      <c r="A17" t="s">
        <v>904</v>
      </c>
      <c r="C17" t="s">
        <v>905</v>
      </c>
    </row>
    <row r="18" spans="1:26">
      <c r="C18" t="s">
        <v>906</v>
      </c>
      <c r="H18" s="63"/>
    </row>
    <row r="19" spans="1:26">
      <c r="A19" t="s">
        <v>907</v>
      </c>
      <c r="C19" t="s">
        <v>908</v>
      </c>
    </row>
    <row r="20" spans="1:26">
      <c r="A20" t="s">
        <v>909</v>
      </c>
      <c r="C20" t="s">
        <v>910</v>
      </c>
    </row>
    <row r="21" spans="1:26">
      <c r="A21" t="s">
        <v>230</v>
      </c>
      <c r="Y21" s="63" t="str">
        <f>HYPERLINK(IF(M01S02F02="Online Portal",PortalLink,
IF(M01S02F02="Encrypted Email","mailto:"&amp;FOOT3&amp;"?subject=Standard/Custom Incentive Application Submission","")),IF(M01S02F02="Online Portal","Submit via Online Portal",IF(M01S02F02="Encrypted Email","✉ Draft Email","")))</f>
        <v/>
      </c>
    </row>
    <row r="22" spans="1:26">
      <c r="A22" t="s">
        <v>911</v>
      </c>
      <c r="C22" t="s">
        <v>912</v>
      </c>
      <c r="D22" t="s">
        <v>913</v>
      </c>
    </row>
    <row r="23" spans="1:26">
      <c r="A23" t="s">
        <v>914</v>
      </c>
      <c r="C23" t="s">
        <v>915</v>
      </c>
      <c r="D23" t="s">
        <v>916</v>
      </c>
      <c r="X23" t="s">
        <v>917</v>
      </c>
      <c r="Y23" t="s">
        <v>918</v>
      </c>
      <c r="Z23" t="s">
        <v>919</v>
      </c>
    </row>
    <row r="24" spans="1:26">
      <c r="C24" t="s">
        <v>920</v>
      </c>
      <c r="D24" t="s">
        <v>921</v>
      </c>
      <c r="X24" t="s">
        <v>922</v>
      </c>
      <c r="Y24" t="s">
        <v>923</v>
      </c>
      <c r="Z24" t="str">
        <f>"Upload all documents via the "&amp;HYPERLINK("https://bizsaveportal.pseg.com","Online Application Portal")</f>
        <v>Upload all documents via the Online Application Portal</v>
      </c>
    </row>
    <row r="25" spans="1:26">
      <c r="C25" t="s">
        <v>924</v>
      </c>
      <c r="D25" t="s">
        <v>925</v>
      </c>
      <c r="X25" t="s">
        <v>926</v>
      </c>
      <c r="Y25" t="e">
        <f>INDEX(SubmissionMethod32[Instruction],MATCH(EmailPlatformSelection,SubmissionMethod32[Submission Method],0),1)</f>
        <v>#N/A</v>
      </c>
      <c r="Z25" s="63" t="str">
        <f>HYPERLINK("mailto:"&amp;FOOT3&amp;"?subject=Standard/Custom Incentive Application Submission","Submit the application via encrypted email. Refer to instructions on the Welcome screen for your email client.")</f>
        <v>Submit the application via encrypted email. Refer to instructions on the Welcome screen for your email client.</v>
      </c>
    </row>
    <row r="26" spans="1:26">
      <c r="A26" s="100" t="s">
        <v>927</v>
      </c>
      <c r="C26" t="s">
        <v>928</v>
      </c>
      <c r="D26" t="s">
        <v>929</v>
      </c>
      <c r="Y26" s="21"/>
    </row>
    <row r="27" spans="1:26">
      <c r="A27" s="91" t="s">
        <v>930</v>
      </c>
      <c r="C27" t="s">
        <v>931</v>
      </c>
      <c r="D27" t="s">
        <v>932</v>
      </c>
      <c r="F27" t="s">
        <v>933</v>
      </c>
      <c r="G27" t="s">
        <v>934</v>
      </c>
      <c r="X27" t="s">
        <v>917</v>
      </c>
      <c r="Y27" t="s">
        <v>935</v>
      </c>
    </row>
    <row r="28" spans="1:26">
      <c r="A28" s="91" t="s">
        <v>936</v>
      </c>
      <c r="C28" t="s">
        <v>937</v>
      </c>
      <c r="D28" t="s">
        <v>938</v>
      </c>
      <c r="F28" t="s">
        <v>939</v>
      </c>
      <c r="G28" t="s">
        <v>142</v>
      </c>
      <c r="X28" t="s">
        <v>940</v>
      </c>
      <c r="Y28" t="s">
        <v>941</v>
      </c>
    </row>
    <row r="29" spans="1:26">
      <c r="A29" s="92" t="s">
        <v>942</v>
      </c>
      <c r="C29" t="s">
        <v>943</v>
      </c>
      <c r="D29" t="s">
        <v>944</v>
      </c>
      <c r="F29" t="s">
        <v>945</v>
      </c>
      <c r="G29" t="s">
        <v>946</v>
      </c>
      <c r="X29" t="s">
        <v>947</v>
      </c>
      <c r="Y29" t="s">
        <v>948</v>
      </c>
    </row>
    <row r="30" spans="1:26">
      <c r="A30" t="s">
        <v>949</v>
      </c>
      <c r="C30" t="s">
        <v>950</v>
      </c>
      <c r="D30" t="s">
        <v>951</v>
      </c>
      <c r="F30" t="s">
        <v>952</v>
      </c>
      <c r="G30" t="str">
        <f>X24</f>
        <v>Online Portal</v>
      </c>
      <c r="X30" t="s">
        <v>953</v>
      </c>
      <c r="Y30" t="s">
        <v>954</v>
      </c>
    </row>
    <row r="31" spans="1:26">
      <c r="A31" t="s">
        <v>955</v>
      </c>
      <c r="C31" t="s">
        <v>956</v>
      </c>
      <c r="D31" t="s">
        <v>957</v>
      </c>
      <c r="F31" t="s">
        <v>958</v>
      </c>
      <c r="G31" t="str">
        <f>X25</f>
        <v>Encrypted Email</v>
      </c>
      <c r="X31" t="s">
        <v>959</v>
      </c>
      <c r="Y31" t="s">
        <v>960</v>
      </c>
    </row>
    <row r="32" spans="1:26">
      <c r="C32" t="s">
        <v>961</v>
      </c>
      <c r="D32" t="s">
        <v>962</v>
      </c>
      <c r="X32" t="s">
        <v>900</v>
      </c>
      <c r="Y32" t="s">
        <v>963</v>
      </c>
    </row>
    <row r="33" spans="1:26">
      <c r="A33" t="s">
        <v>964</v>
      </c>
      <c r="C33" t="s">
        <v>965</v>
      </c>
      <c r="D33" t="s">
        <v>966</v>
      </c>
      <c r="O33" s="6"/>
      <c r="P33" s="6"/>
      <c r="Q33" s="6"/>
      <c r="R33" s="6"/>
      <c r="S33" s="6"/>
      <c r="T33" s="6"/>
      <c r="U33" s="6"/>
      <c r="V33" s="6"/>
      <c r="W33" s="6"/>
    </row>
    <row r="34" spans="1:26">
      <c r="A34" t="s">
        <v>967</v>
      </c>
      <c r="C34" t="s">
        <v>968</v>
      </c>
      <c r="D34" t="s">
        <v>969</v>
      </c>
      <c r="F34" s="100" t="s">
        <v>719</v>
      </c>
      <c r="O34" s="6"/>
      <c r="P34" s="6"/>
      <c r="Q34" s="6"/>
      <c r="R34" s="6"/>
      <c r="S34" s="6"/>
      <c r="T34" s="6"/>
      <c r="U34" s="6"/>
      <c r="V34" s="6"/>
      <c r="W34" s="6"/>
    </row>
    <row r="35" spans="1:26">
      <c r="A35" t="s">
        <v>970</v>
      </c>
      <c r="C35" t="s">
        <v>971</v>
      </c>
      <c r="D35" t="s">
        <v>972</v>
      </c>
      <c r="F35" s="126" t="s">
        <v>973</v>
      </c>
      <c r="O35" s="6"/>
      <c r="P35" s="6"/>
      <c r="Q35" s="6"/>
      <c r="R35" s="6"/>
      <c r="S35" s="6"/>
      <c r="T35" s="6"/>
      <c r="U35" s="6"/>
      <c r="V35" s="6"/>
      <c r="W35" s="6"/>
    </row>
    <row r="36" spans="1:26">
      <c r="A36" t="s">
        <v>974</v>
      </c>
      <c r="C36" t="s">
        <v>975</v>
      </c>
      <c r="D36" t="s">
        <v>976</v>
      </c>
      <c r="F36" s="91" t="s">
        <v>977</v>
      </c>
      <c r="O36" s="6"/>
      <c r="P36" s="6"/>
      <c r="Q36" s="6"/>
      <c r="R36" s="6"/>
      <c r="S36" s="6"/>
      <c r="T36" s="6"/>
      <c r="U36" s="6"/>
      <c r="V36" s="6"/>
      <c r="W36" s="6"/>
    </row>
    <row r="37" spans="1:26">
      <c r="A37" t="s">
        <v>978</v>
      </c>
      <c r="C37" t="s">
        <v>979</v>
      </c>
      <c r="D37" t="s">
        <v>980</v>
      </c>
      <c r="F37" s="97" t="s">
        <v>981</v>
      </c>
      <c r="O37" s="6"/>
      <c r="P37" s="6"/>
      <c r="Q37" s="6"/>
      <c r="R37" s="6"/>
      <c r="S37" s="6"/>
      <c r="T37" s="6"/>
      <c r="U37" s="6"/>
      <c r="V37" s="6"/>
      <c r="W37" s="6"/>
    </row>
    <row r="38" spans="1:26">
      <c r="A38" t="s">
        <v>982</v>
      </c>
      <c r="C38" t="s">
        <v>983</v>
      </c>
      <c r="D38" t="s">
        <v>984</v>
      </c>
      <c r="F38" s="91" t="s">
        <v>985</v>
      </c>
      <c r="O38" s="6"/>
      <c r="P38" s="136" t="s">
        <v>986</v>
      </c>
      <c r="Q38" s="136" t="s">
        <v>987</v>
      </c>
      <c r="R38" s="136" t="s">
        <v>988</v>
      </c>
      <c r="S38" s="136" t="s">
        <v>989</v>
      </c>
      <c r="T38" s="136" t="s">
        <v>990</v>
      </c>
      <c r="U38" s="136" t="s">
        <v>991</v>
      </c>
      <c r="V38" s="136" t="s">
        <v>992</v>
      </c>
      <c r="W38" s="136" t="s">
        <v>993</v>
      </c>
      <c r="X38" s="136" t="s">
        <v>994</v>
      </c>
      <c r="Y38" s="136" t="s">
        <v>995</v>
      </c>
      <c r="Z38" s="136" t="s">
        <v>996</v>
      </c>
    </row>
    <row r="39" spans="1:26">
      <c r="A39" t="s">
        <v>997</v>
      </c>
      <c r="C39" t="s">
        <v>998</v>
      </c>
      <c r="D39" t="s">
        <v>999</v>
      </c>
      <c r="F39" s="97" t="s">
        <v>1000</v>
      </c>
      <c r="O39" s="6"/>
      <c r="P39" s="6" t="s">
        <v>1001</v>
      </c>
      <c r="Q39" s="6" t="str">
        <f>IF(SitePeakkW="&lt;=200 kW","Office - Small","Office - Large")</f>
        <v>Office - Large</v>
      </c>
      <c r="R39" s="124" t="s">
        <v>1002</v>
      </c>
      <c r="S39" s="6" t="s">
        <v>1003</v>
      </c>
      <c r="T39" s="144" t="s">
        <v>1003</v>
      </c>
      <c r="U39" t="s">
        <v>1003</v>
      </c>
      <c r="V39" s="29" t="s">
        <v>1004</v>
      </c>
      <c r="W39" t="s">
        <v>1003</v>
      </c>
      <c r="X39" t="s">
        <v>1003</v>
      </c>
      <c r="Y39" s="124" t="s">
        <v>1003</v>
      </c>
      <c r="Z39" t="s">
        <v>1003</v>
      </c>
    </row>
    <row r="40" spans="1:26">
      <c r="A40" t="s">
        <v>1005</v>
      </c>
      <c r="C40" t="s">
        <v>1006</v>
      </c>
      <c r="D40" t="s">
        <v>1007</v>
      </c>
      <c r="F40" s="92" t="s">
        <v>900</v>
      </c>
      <c r="O40" s="6"/>
      <c r="P40" s="6" t="s">
        <v>1003</v>
      </c>
      <c r="Q40" s="6" t="s">
        <v>1008</v>
      </c>
      <c r="R40" s="124" t="s">
        <v>1002</v>
      </c>
      <c r="S40" s="6" t="s">
        <v>1009</v>
      </c>
      <c r="T40" s="144" t="s">
        <v>1009</v>
      </c>
      <c r="U40" t="s">
        <v>1009</v>
      </c>
      <c r="V40" t="s">
        <v>1010</v>
      </c>
      <c r="W40" t="s">
        <v>1009</v>
      </c>
      <c r="X40" s="29" t="s">
        <v>900</v>
      </c>
      <c r="Y40" s="170" t="s">
        <v>1011</v>
      </c>
      <c r="Z40" t="s">
        <v>1009</v>
      </c>
    </row>
    <row r="41" spans="1:26">
      <c r="A41" t="s">
        <v>1012</v>
      </c>
      <c r="C41" t="s">
        <v>1013</v>
      </c>
      <c r="D41" t="s">
        <v>1014</v>
      </c>
      <c r="O41" s="6"/>
      <c r="P41" s="6" t="s">
        <v>1009</v>
      </c>
      <c r="Q41" s="6" t="s">
        <v>1015</v>
      </c>
      <c r="R41" s="161" t="s">
        <v>1015</v>
      </c>
      <c r="S41" s="135" t="s">
        <v>1016</v>
      </c>
      <c r="T41" s="176" t="s">
        <v>1016</v>
      </c>
      <c r="U41" s="29" t="s">
        <v>1017</v>
      </c>
      <c r="V41" t="s">
        <v>1018</v>
      </c>
      <c r="W41" s="29" t="s">
        <v>1017</v>
      </c>
      <c r="X41" s="29" t="s">
        <v>1017</v>
      </c>
      <c r="Y41" s="187" t="s">
        <v>1019</v>
      </c>
      <c r="Z41" s="29" t="s">
        <v>1017</v>
      </c>
    </row>
    <row r="42" spans="1:26">
      <c r="A42" t="s">
        <v>1020</v>
      </c>
      <c r="C42" t="s">
        <v>1021</v>
      </c>
      <c r="D42" t="s">
        <v>1022</v>
      </c>
      <c r="F42" s="100" t="s">
        <v>1023</v>
      </c>
      <c r="J42" s="6"/>
      <c r="K42" s="6"/>
      <c r="L42" s="6"/>
      <c r="M42" s="6"/>
      <c r="O42" s="6"/>
      <c r="P42" t="s">
        <v>1024</v>
      </c>
      <c r="Q42" t="s">
        <v>1008</v>
      </c>
      <c r="R42" s="99" t="s">
        <v>1025</v>
      </c>
      <c r="S42" s="135" t="s">
        <v>1026</v>
      </c>
      <c r="T42" s="144" t="s">
        <v>1026</v>
      </c>
      <c r="U42" t="s">
        <v>1026</v>
      </c>
      <c r="V42" t="s">
        <v>1027</v>
      </c>
      <c r="W42" t="s">
        <v>1028</v>
      </c>
      <c r="X42" s="29" t="s">
        <v>900</v>
      </c>
      <c r="Y42" s="187" t="s">
        <v>1029</v>
      </c>
      <c r="Z42" s="99" t="s">
        <v>1030</v>
      </c>
    </row>
    <row r="43" spans="1:26">
      <c r="A43" t="s">
        <v>1031</v>
      </c>
      <c r="C43" t="s">
        <v>1032</v>
      </c>
      <c r="D43" t="s">
        <v>1033</v>
      </c>
      <c r="F43" s="126" t="s">
        <v>1034</v>
      </c>
      <c r="J43" s="6"/>
      <c r="K43" s="6"/>
      <c r="L43" s="6"/>
      <c r="M43" s="6"/>
      <c r="O43" s="6"/>
      <c r="P43" s="6" t="s">
        <v>1035</v>
      </c>
      <c r="Q43" t="s">
        <v>1036</v>
      </c>
      <c r="R43" s="97" t="s">
        <v>1036</v>
      </c>
      <c r="S43" s="135" t="s">
        <v>1037</v>
      </c>
      <c r="T43" s="144" t="s">
        <v>1037</v>
      </c>
      <c r="U43" t="s">
        <v>1037</v>
      </c>
      <c r="V43" t="s">
        <v>1038</v>
      </c>
      <c r="W43" t="s">
        <v>1037</v>
      </c>
      <c r="X43" s="29" t="s">
        <v>900</v>
      </c>
      <c r="Y43" s="99" t="s">
        <v>1039</v>
      </c>
      <c r="Z43" t="s">
        <v>1037</v>
      </c>
    </row>
    <row r="44" spans="1:26">
      <c r="A44" t="s">
        <v>1040</v>
      </c>
      <c r="C44" t="s">
        <v>1041</v>
      </c>
      <c r="D44" t="s">
        <v>1042</v>
      </c>
      <c r="F44" s="91" t="s">
        <v>1043</v>
      </c>
      <c r="J44" s="6"/>
      <c r="K44" s="6"/>
      <c r="L44" s="6"/>
      <c r="M44" s="6"/>
      <c r="O44" s="6"/>
      <c r="P44" s="6" t="s">
        <v>1044</v>
      </c>
      <c r="Q44" t="str">
        <f>IF(SitePeakkW="&lt;=200 kW","Warehouse/Industrial - Small","Warehouse/Industrial - Large")</f>
        <v>Warehouse/Industrial - Large</v>
      </c>
      <c r="R44" s="91" t="s">
        <v>1045</v>
      </c>
      <c r="S44" s="135" t="s">
        <v>1046</v>
      </c>
      <c r="T44" s="144" t="s">
        <v>1046</v>
      </c>
      <c r="U44" t="s">
        <v>1046</v>
      </c>
      <c r="V44" t="s">
        <v>1047</v>
      </c>
      <c r="W44" t="s">
        <v>1046</v>
      </c>
      <c r="X44" t="s">
        <v>1046</v>
      </c>
      <c r="Y44" s="99" t="s">
        <v>1048</v>
      </c>
      <c r="Z44" t="s">
        <v>1046</v>
      </c>
    </row>
    <row r="45" spans="1:26">
      <c r="A45" t="s">
        <v>1049</v>
      </c>
      <c r="C45" t="s">
        <v>1050</v>
      </c>
      <c r="D45" t="s">
        <v>1051</v>
      </c>
      <c r="F45" s="97" t="s">
        <v>1052</v>
      </c>
      <c r="J45" s="6"/>
      <c r="K45" s="6"/>
      <c r="L45" s="6"/>
      <c r="M45" s="6"/>
      <c r="O45" s="6"/>
      <c r="P45" s="6" t="s">
        <v>1053</v>
      </c>
      <c r="Q45" t="s">
        <v>1008</v>
      </c>
      <c r="R45" s="97" t="s">
        <v>1054</v>
      </c>
      <c r="S45" s="135" t="s">
        <v>1055</v>
      </c>
      <c r="T45" s="144" t="s">
        <v>1055</v>
      </c>
      <c r="U45" t="s">
        <v>1056</v>
      </c>
      <c r="V45" t="s">
        <v>1057</v>
      </c>
      <c r="W45" t="s">
        <v>1056</v>
      </c>
      <c r="X45" s="29" t="s">
        <v>900</v>
      </c>
      <c r="Y45" s="99" t="s">
        <v>1055</v>
      </c>
      <c r="Z45" t="s">
        <v>1056</v>
      </c>
    </row>
    <row r="46" spans="1:26">
      <c r="A46" t="s">
        <v>1058</v>
      </c>
      <c r="C46" t="s">
        <v>1059</v>
      </c>
      <c r="D46" t="s">
        <v>1060</v>
      </c>
      <c r="F46" s="91" t="s">
        <v>1061</v>
      </c>
      <c r="J46" s="6"/>
      <c r="K46" s="6"/>
      <c r="L46" s="6"/>
      <c r="M46" s="6"/>
      <c r="O46" s="6"/>
      <c r="P46" s="6" t="s">
        <v>1062</v>
      </c>
      <c r="Q46" t="s">
        <v>1008</v>
      </c>
      <c r="R46" s="91" t="s">
        <v>1063</v>
      </c>
      <c r="S46" s="135" t="s">
        <v>1064</v>
      </c>
      <c r="T46" s="144" t="s">
        <v>1064</v>
      </c>
      <c r="U46" t="s">
        <v>1065</v>
      </c>
      <c r="V46" t="s">
        <v>1057</v>
      </c>
      <c r="W46" t="s">
        <v>1065</v>
      </c>
      <c r="X46" s="29" t="s">
        <v>900</v>
      </c>
      <c r="Y46" s="188" t="s">
        <v>1055</v>
      </c>
      <c r="Z46" t="s">
        <v>1065</v>
      </c>
    </row>
    <row r="47" spans="1:26">
      <c r="A47" t="s">
        <v>1066</v>
      </c>
      <c r="C47" t="s">
        <v>1067</v>
      </c>
      <c r="D47" t="s">
        <v>1068</v>
      </c>
      <c r="F47" s="97" t="s">
        <v>900</v>
      </c>
      <c r="J47" s="6"/>
      <c r="K47" s="6"/>
      <c r="L47" s="6"/>
      <c r="M47" s="6"/>
      <c r="O47" s="6"/>
      <c r="P47" s="6" t="s">
        <v>1069</v>
      </c>
      <c r="Q47" t="s">
        <v>1070</v>
      </c>
      <c r="R47" s="99" t="s">
        <v>1054</v>
      </c>
      <c r="S47" s="135" t="s">
        <v>1071</v>
      </c>
      <c r="T47" s="135" t="s">
        <v>1072</v>
      </c>
      <c r="U47" s="29" t="s">
        <v>1026</v>
      </c>
      <c r="V47" t="s">
        <v>1029</v>
      </c>
      <c r="W47" t="s">
        <v>1072</v>
      </c>
      <c r="X47" s="29" t="s">
        <v>900</v>
      </c>
      <c r="Y47" s="124" t="s">
        <v>1029</v>
      </c>
      <c r="Z47" t="s">
        <v>1072</v>
      </c>
    </row>
    <row r="48" spans="1:26">
      <c r="A48" t="s">
        <v>900</v>
      </c>
      <c r="C48" t="s">
        <v>1073</v>
      </c>
      <c r="D48" t="s">
        <v>1074</v>
      </c>
      <c r="F48" s="91" t="s">
        <v>1075</v>
      </c>
      <c r="J48" s="6"/>
      <c r="K48" s="6"/>
      <c r="L48" s="6"/>
      <c r="M48" s="6"/>
      <c r="O48" s="6"/>
      <c r="P48" s="6" t="s">
        <v>1076</v>
      </c>
      <c r="Q48" t="s">
        <v>1070</v>
      </c>
      <c r="R48" s="99" t="s">
        <v>1054</v>
      </c>
      <c r="S48" s="135" t="s">
        <v>1077</v>
      </c>
      <c r="T48" s="135" t="s">
        <v>1078</v>
      </c>
      <c r="U48" s="29" t="s">
        <v>1026</v>
      </c>
      <c r="V48" t="s">
        <v>1029</v>
      </c>
      <c r="W48" t="s">
        <v>1078</v>
      </c>
      <c r="X48" s="29" t="s">
        <v>900</v>
      </c>
      <c r="Y48" s="124" t="s">
        <v>1029</v>
      </c>
      <c r="Z48" t="s">
        <v>1078</v>
      </c>
    </row>
    <row r="49" spans="1:26">
      <c r="C49" t="s">
        <v>1079</v>
      </c>
      <c r="D49" t="s">
        <v>1080</v>
      </c>
      <c r="F49" s="127" t="s">
        <v>1081</v>
      </c>
      <c r="J49" s="6"/>
      <c r="K49" s="6"/>
      <c r="L49" s="6"/>
      <c r="M49" s="6"/>
      <c r="O49" s="6"/>
      <c r="P49" s="6" t="s">
        <v>1082</v>
      </c>
      <c r="Q49" t="s">
        <v>1083</v>
      </c>
      <c r="R49" s="97" t="s">
        <v>1083</v>
      </c>
      <c r="S49" s="135" t="s">
        <v>1083</v>
      </c>
      <c r="T49" s="144" t="s">
        <v>1083</v>
      </c>
      <c r="U49" t="s">
        <v>1084</v>
      </c>
      <c r="V49" t="s">
        <v>1085</v>
      </c>
      <c r="W49" t="s">
        <v>1084</v>
      </c>
      <c r="X49" s="29" t="s">
        <v>900</v>
      </c>
      <c r="Y49" s="99" t="s">
        <v>1083</v>
      </c>
      <c r="Z49" t="s">
        <v>1084</v>
      </c>
    </row>
    <row r="50" spans="1:26">
      <c r="C50" t="s">
        <v>1086</v>
      </c>
      <c r="D50" t="s">
        <v>1087</v>
      </c>
      <c r="J50" s="6"/>
      <c r="K50" s="6"/>
      <c r="L50" s="6"/>
      <c r="M50" s="6"/>
      <c r="O50" s="6"/>
      <c r="P50" s="6" t="s">
        <v>1088</v>
      </c>
      <c r="Q50" t="s">
        <v>1016</v>
      </c>
      <c r="R50" s="91" t="s">
        <v>1016</v>
      </c>
      <c r="S50" s="135" t="s">
        <v>1016</v>
      </c>
      <c r="T50" s="144" t="s">
        <v>1016</v>
      </c>
      <c r="U50" t="s">
        <v>1017</v>
      </c>
      <c r="V50" t="s">
        <v>1085</v>
      </c>
      <c r="W50" t="s">
        <v>1017</v>
      </c>
      <c r="X50" t="s">
        <v>1017</v>
      </c>
      <c r="Y50" s="124" t="s">
        <v>1016</v>
      </c>
      <c r="Z50" t="s">
        <v>1017</v>
      </c>
    </row>
    <row r="51" spans="1:26">
      <c r="A51" t="s">
        <v>208</v>
      </c>
      <c r="C51" t="s">
        <v>1089</v>
      </c>
      <c r="D51" t="s">
        <v>1090</v>
      </c>
      <c r="J51" s="6"/>
      <c r="K51" s="6"/>
      <c r="L51" s="6"/>
      <c r="M51" s="6"/>
      <c r="O51" s="6"/>
      <c r="P51" s="6" t="s">
        <v>1091</v>
      </c>
      <c r="Q51" t="s">
        <v>900</v>
      </c>
      <c r="R51" s="124" t="s">
        <v>1002</v>
      </c>
      <c r="S51" s="135" t="s">
        <v>900</v>
      </c>
      <c r="T51" s="144" t="s">
        <v>900</v>
      </c>
      <c r="U51" s="170" t="s">
        <v>1092</v>
      </c>
      <c r="V51" s="170" t="s">
        <v>1093</v>
      </c>
      <c r="W51" t="s">
        <v>900</v>
      </c>
      <c r="X51" t="s">
        <v>900</v>
      </c>
      <c r="Y51" s="170" t="s">
        <v>1011</v>
      </c>
      <c r="Z51" t="s">
        <v>900</v>
      </c>
    </row>
    <row r="52" spans="1:26">
      <c r="A52" t="s">
        <v>1094</v>
      </c>
      <c r="C52" t="s">
        <v>1095</v>
      </c>
      <c r="D52" t="s">
        <v>723</v>
      </c>
      <c r="J52" s="6"/>
      <c r="K52" s="6"/>
      <c r="L52" s="6"/>
      <c r="M52" s="6"/>
      <c r="O52" s="6"/>
      <c r="P52" s="6" t="s">
        <v>1096</v>
      </c>
      <c r="Q52" s="6"/>
      <c r="R52" s="664"/>
      <c r="S52" s="135"/>
      <c r="T52" s="144"/>
      <c r="U52" s="170"/>
      <c r="V52" s="170"/>
      <c r="Y52" s="170"/>
    </row>
    <row r="53" spans="1:26">
      <c r="A53" t="s">
        <v>1097</v>
      </c>
      <c r="C53" t="s">
        <v>1098</v>
      </c>
      <c r="D53" t="s">
        <v>1099</v>
      </c>
      <c r="J53" s="6"/>
      <c r="K53" s="6"/>
      <c r="L53" s="6"/>
      <c r="M53" s="6"/>
      <c r="O53" s="6"/>
      <c r="P53" s="6" t="s">
        <v>1100</v>
      </c>
      <c r="Q53" s="6"/>
      <c r="R53" s="664"/>
      <c r="S53" s="135"/>
      <c r="T53" s="144"/>
      <c r="U53" s="170"/>
      <c r="V53" s="170"/>
      <c r="Y53" s="170"/>
    </row>
    <row r="54" spans="1:26">
      <c r="A54" t="s">
        <v>1101</v>
      </c>
      <c r="C54" t="s">
        <v>1102</v>
      </c>
      <c r="D54" t="s">
        <v>1103</v>
      </c>
      <c r="F54" s="128" t="s">
        <v>1104</v>
      </c>
      <c r="O54" s="6"/>
      <c r="P54" s="6" t="s">
        <v>1105</v>
      </c>
      <c r="Q54" s="6"/>
      <c r="R54" s="664"/>
      <c r="S54" s="135"/>
      <c r="T54" s="144"/>
      <c r="U54" s="170"/>
      <c r="V54" s="170"/>
      <c r="Y54" s="170"/>
    </row>
    <row r="55" spans="1:26">
      <c r="A55" t="s">
        <v>1106</v>
      </c>
      <c r="C55" t="s">
        <v>1107</v>
      </c>
      <c r="D55" t="s">
        <v>1108</v>
      </c>
      <c r="F55" s="130" t="s">
        <v>1109</v>
      </c>
      <c r="O55" s="6"/>
      <c r="P55" s="6" t="s">
        <v>1110</v>
      </c>
      <c r="Q55" s="6"/>
      <c r="R55" s="664"/>
      <c r="S55" s="135"/>
      <c r="T55" s="144"/>
      <c r="U55" s="170"/>
      <c r="V55" s="170"/>
      <c r="Y55" s="170"/>
    </row>
    <row r="56" spans="1:26">
      <c r="A56" t="s">
        <v>1111</v>
      </c>
      <c r="C56" t="s">
        <v>1112</v>
      </c>
      <c r="D56" t="s">
        <v>1113</v>
      </c>
      <c r="O56" s="6"/>
      <c r="P56" s="6" t="s">
        <v>1114</v>
      </c>
      <c r="Q56" s="6"/>
      <c r="R56" s="664"/>
      <c r="S56" s="135"/>
      <c r="T56" s="144"/>
      <c r="U56" s="170"/>
      <c r="V56" s="170"/>
      <c r="Y56" s="170"/>
    </row>
    <row r="57" spans="1:26">
      <c r="A57" t="s">
        <v>1115</v>
      </c>
      <c r="C57" t="s">
        <v>1116</v>
      </c>
      <c r="D57" t="s">
        <v>1117</v>
      </c>
      <c r="O57" s="6"/>
      <c r="P57" s="6" t="s">
        <v>1118</v>
      </c>
      <c r="Q57" s="6"/>
      <c r="R57" s="664"/>
      <c r="S57" s="135"/>
      <c r="T57" s="144"/>
      <c r="U57" s="170"/>
      <c r="V57" s="170"/>
      <c r="Y57" s="170"/>
    </row>
    <row r="58" spans="1:26">
      <c r="A58" t="s">
        <v>1119</v>
      </c>
      <c r="C58" t="s">
        <v>1120</v>
      </c>
      <c r="D58" t="s">
        <v>1121</v>
      </c>
      <c r="F58" s="100" t="s">
        <v>729</v>
      </c>
      <c r="G58" s="100" t="s">
        <v>1122</v>
      </c>
      <c r="H58" s="100" t="s">
        <v>1123</v>
      </c>
      <c r="I58" s="100" t="s">
        <v>1124</v>
      </c>
      <c r="O58" s="6"/>
      <c r="P58" s="6" t="s">
        <v>1125</v>
      </c>
      <c r="Q58" s="6"/>
      <c r="R58" s="664"/>
      <c r="S58" s="135"/>
      <c r="T58" s="144"/>
      <c r="U58" s="170"/>
      <c r="V58" s="170"/>
      <c r="Y58" s="170"/>
    </row>
    <row r="59" spans="1:26">
      <c r="A59" t="s">
        <v>1126</v>
      </c>
      <c r="C59" t="s">
        <v>1127</v>
      </c>
      <c r="D59" t="s">
        <v>1128</v>
      </c>
      <c r="F59" s="126" t="s">
        <v>1129</v>
      </c>
      <c r="G59">
        <v>10</v>
      </c>
      <c r="I59">
        <f>IF(Table_GasUtility_AccountNum[[#This Row],[Without Leading 0s]]&gt;0,Table_GasUtility_AccountNum[[#This Row],[Without Leading 0s]],Table_GasUtility_AccountNum[[#This Row],[Total Digits]])</f>
        <v>10</v>
      </c>
      <c r="K59" t="str">
        <f>Table_GasUtility_AccountNum[[#This Row],[Gas Utility Name]]</f>
        <v>Elizabethtown Gas</v>
      </c>
      <c r="L59">
        <v>1234567890</v>
      </c>
      <c r="M59" t="b">
        <f>AND(ISNUMBER(L59),IF(LEN(L59)=INDEX(Table_GasUtility_AccountNum[],MATCH(K59,Table_GasUtility_AccountNum[Gas Utility Name],0),MATCH(Table_GasUtility_AccountNum[[#Headers],[Used]],Table_GasUtility_AccountNum[#Headers],0)),TRUE,FALSE))</f>
        <v>1</v>
      </c>
      <c r="O59" s="6"/>
      <c r="P59" s="6" t="s">
        <v>1130</v>
      </c>
      <c r="Q59" s="6"/>
      <c r="R59" s="664"/>
      <c r="S59" s="135"/>
      <c r="T59" s="144"/>
      <c r="U59" s="170"/>
      <c r="V59" s="170"/>
      <c r="Y59" s="170"/>
    </row>
    <row r="60" spans="1:26">
      <c r="A60" t="s">
        <v>1131</v>
      </c>
      <c r="C60" t="s">
        <v>1132</v>
      </c>
      <c r="D60" t="s">
        <v>1133</v>
      </c>
      <c r="F60" s="91" t="s">
        <v>1134</v>
      </c>
      <c r="G60">
        <v>10</v>
      </c>
      <c r="I60">
        <f>IF(Table_GasUtility_AccountNum[[#This Row],[Without Leading 0s]]&gt;0,Table_GasUtility_AccountNum[[#This Row],[Without Leading 0s]],Table_GasUtility_AccountNum[[#This Row],[Total Digits]])</f>
        <v>10</v>
      </c>
      <c r="K60" t="str">
        <f>Table_GasUtility_AccountNum[[#This Row],[Gas Utility Name]]</f>
        <v>South Jersey Gas</v>
      </c>
      <c r="L60">
        <v>1234567890</v>
      </c>
      <c r="M60" t="b">
        <f>AND(ISNUMBER(L60),IF(LEN(L60)=INDEX(Table_GasUtility_AccountNum[],MATCH(K60,Table_GasUtility_AccountNum[Gas Utility Name],0),MATCH(Table_GasUtility_AccountNum[[#Headers],[Used]],Table_GasUtility_AccountNum[#Headers],0)),TRUE,FALSE))</f>
        <v>1</v>
      </c>
      <c r="N60">
        <f>VLOOKUP(K60,Table_GasUtility_AccountNum[],4,FALSE)</f>
        <v>10</v>
      </c>
      <c r="O60" s="6"/>
      <c r="P60" s="6" t="s">
        <v>1135</v>
      </c>
      <c r="Q60" s="6"/>
      <c r="R60" s="664"/>
      <c r="S60" s="135"/>
      <c r="T60" s="144"/>
      <c r="U60" s="170"/>
      <c r="V60" s="170"/>
      <c r="Y60" s="170"/>
    </row>
    <row r="61" spans="1:26">
      <c r="A61" t="s">
        <v>1136</v>
      </c>
      <c r="C61" t="s">
        <v>1137</v>
      </c>
      <c r="D61" t="s">
        <v>1138</v>
      </c>
      <c r="F61" s="101" t="s">
        <v>1139</v>
      </c>
      <c r="G61">
        <v>12</v>
      </c>
      <c r="I61">
        <f>IF(Table_GasUtility_AccountNum[[#This Row],[Without Leading 0s]]&gt;0,Table_GasUtility_AccountNum[[#This Row],[Without Leading 0s]],Table_GasUtility_AccountNum[[#This Row],[Total Digits]])</f>
        <v>12</v>
      </c>
      <c r="K61" t="str">
        <f>Table_GasUtility_AccountNum[[#This Row],[Gas Utility Name]]</f>
        <v>New Jersey Natural Gas</v>
      </c>
      <c r="L61">
        <v>123456789012</v>
      </c>
      <c r="M61" t="b">
        <f>AND(ISNUMBER(L61),IF(LEN(L61)=INDEX(Table_GasUtility_AccountNum[],MATCH(K61,Table_GasUtility_AccountNum[Gas Utility Name],0),MATCH(Table_GasUtility_AccountNum[[#Headers],[Used]],Table_GasUtility_AccountNum[#Headers],0)),TRUE,FALSE))</f>
        <v>1</v>
      </c>
      <c r="O61" s="6"/>
      <c r="P61" s="6" t="s">
        <v>1140</v>
      </c>
      <c r="Q61" s="6"/>
      <c r="R61" s="664"/>
      <c r="S61" s="135"/>
      <c r="T61" s="144"/>
      <c r="U61" s="170"/>
      <c r="V61" s="170"/>
      <c r="Y61" s="170"/>
    </row>
    <row r="62" spans="1:26">
      <c r="A62" t="s">
        <v>1141</v>
      </c>
      <c r="C62" t="s">
        <v>1142</v>
      </c>
      <c r="D62" t="s">
        <v>1143</v>
      </c>
      <c r="F62" t="s">
        <v>1144</v>
      </c>
      <c r="G62">
        <v>12</v>
      </c>
      <c r="H62">
        <v>10</v>
      </c>
      <c r="I62">
        <f>IF(Table_GasUtility_AccountNum[[#This Row],[Without Leading 0s]]&gt;0,Table_GasUtility_AccountNum[[#This Row],[Without Leading 0s]],Table_GasUtility_AccountNum[[#This Row],[Total Digits]])</f>
        <v>10</v>
      </c>
      <c r="K62" t="str">
        <f>Table_GasUtility_AccountNum[[#This Row],[Gas Utility Name]]</f>
        <v>PSE&amp;G</v>
      </c>
      <c r="L62">
        <v>1234567890</v>
      </c>
      <c r="M62" t="b">
        <f>AND(ISNUMBER(L62),IF(LEN(L62)=INDEX(Table_GasUtility_AccountNum[],MATCH(K62,Table_GasUtility_AccountNum[Gas Utility Name],0),MATCH(Table_GasUtility_AccountNum[[#Headers],[Used]],Table_GasUtility_AccountNum[#Headers],0)),TRUE,FALSE))</f>
        <v>1</v>
      </c>
      <c r="O62" s="6"/>
      <c r="P62" s="6" t="s">
        <v>1037</v>
      </c>
      <c r="Q62" s="6"/>
      <c r="R62" s="664"/>
      <c r="S62" s="135"/>
      <c r="T62" s="144"/>
      <c r="U62" s="170"/>
      <c r="V62" s="170"/>
      <c r="Y62" s="170"/>
    </row>
    <row r="63" spans="1:26">
      <c r="A63" t="s">
        <v>1145</v>
      </c>
      <c r="C63" t="s">
        <v>1146</v>
      </c>
      <c r="D63" t="s">
        <v>1147</v>
      </c>
      <c r="P63" s="6" t="s">
        <v>1056</v>
      </c>
      <c r="Q63" s="6"/>
      <c r="R63" s="664"/>
      <c r="S63" s="135"/>
      <c r="T63" s="144"/>
      <c r="U63" s="170"/>
      <c r="V63" s="170"/>
      <c r="Y63" s="170"/>
    </row>
    <row r="64" spans="1:26">
      <c r="C64" t="s">
        <v>1148</v>
      </c>
      <c r="D64" t="s">
        <v>1149</v>
      </c>
      <c r="F64" s="100" t="s">
        <v>726</v>
      </c>
      <c r="G64" s="100" t="s">
        <v>1122</v>
      </c>
      <c r="H64" s="100" t="s">
        <v>1123</v>
      </c>
      <c r="I64" s="100" t="s">
        <v>1124</v>
      </c>
      <c r="P64" s="6" t="s">
        <v>1046</v>
      </c>
      <c r="Q64" s="6"/>
      <c r="R64" s="664"/>
      <c r="S64" s="135"/>
      <c r="T64" s="144"/>
      <c r="U64" s="170"/>
      <c r="V64" s="170"/>
      <c r="Y64" s="170"/>
    </row>
    <row r="65" spans="1:32">
      <c r="A65" t="s">
        <v>1150</v>
      </c>
      <c r="C65" t="s">
        <v>1151</v>
      </c>
      <c r="D65" t="s">
        <v>1152</v>
      </c>
      <c r="F65" s="126" t="s">
        <v>1153</v>
      </c>
      <c r="G65">
        <v>12</v>
      </c>
      <c r="H65">
        <v>11</v>
      </c>
      <c r="I65">
        <f>IF(Table_ElecUtility_AccountNum[[#This Row],[Without Leading 0s]]&gt;0,Table_ElecUtility_AccountNum[[#This Row],[Without Leading 0s]],Table_ElecUtility_AccountNum[[#This Row],[Total Digits]])</f>
        <v>11</v>
      </c>
      <c r="K65" t="str">
        <f>Table_ElecUtility_AccountNum[[#This Row],[Electric Utility Name]]</f>
        <v>Atlantic City Electric</v>
      </c>
      <c r="L65">
        <v>12345678901</v>
      </c>
      <c r="M65" t="b">
        <f>AND(ISNUMBER(L65),IF(LEN(L65)=INDEX(Table_ElecUtility_AccountNum[],MATCH(K65,Table_ElecUtility_AccountNum[Electric Utility Name],0),MATCH(Table_ElecUtility_AccountNum[[#Headers],[Used]],Table_ElecUtility_AccountNum[#Headers],0)),TRUE,FALSE))</f>
        <v>1</v>
      </c>
      <c r="P65" s="6" t="s">
        <v>1063</v>
      </c>
      <c r="Q65" s="6"/>
      <c r="R65" s="664"/>
      <c r="S65" s="135"/>
      <c r="T65" s="144"/>
      <c r="U65" s="170"/>
      <c r="V65" s="170"/>
      <c r="Y65" s="170"/>
    </row>
    <row r="66" spans="1:32">
      <c r="A66" s="29" t="s">
        <v>1154</v>
      </c>
      <c r="C66" t="s">
        <v>1155</v>
      </c>
      <c r="D66" t="s">
        <v>1156</v>
      </c>
      <c r="F66" s="91" t="s">
        <v>1157</v>
      </c>
      <c r="G66">
        <v>12</v>
      </c>
      <c r="H66">
        <f>Table_ElecUtility_AccountNum[[#This Row],[Total Digits]]</f>
        <v>12</v>
      </c>
      <c r="I66">
        <f>IF(Table_ElecUtility_AccountNum[[#This Row],[Without Leading 0s]]&gt;0,Table_ElecUtility_AccountNum[[#This Row],[Without Leading 0s]],Table_ElecUtility_AccountNum[[#This Row],[Total Digits]])</f>
        <v>12</v>
      </c>
      <c r="K66" t="str">
        <f>Table_ElecUtility_AccountNum[[#This Row],[Electric Utility Name]]</f>
        <v>JCP&amp;L</v>
      </c>
      <c r="L66">
        <v>123456789012</v>
      </c>
      <c r="M66" t="b">
        <f>AND(ISNUMBER(L66),IF(LEN(L66)=INDEX(Table_ElecUtility_AccountNum[],MATCH(K66,Table_ElecUtility_AccountNum[Electric Utility Name],0),MATCH(Table_ElecUtility_AccountNum[[#Headers],[Used]],Table_ElecUtility_AccountNum[#Headers],0)),TRUE,FALSE))</f>
        <v>1</v>
      </c>
      <c r="P66" s="6" t="s">
        <v>1158</v>
      </c>
      <c r="Q66" s="6"/>
      <c r="R66" s="664"/>
      <c r="S66" s="135"/>
      <c r="T66" s="144"/>
      <c r="U66" s="170"/>
      <c r="V66" s="170"/>
      <c r="Y66" s="170"/>
    </row>
    <row r="67" spans="1:32">
      <c r="A67" t="s">
        <v>1159</v>
      </c>
      <c r="C67" t="s">
        <v>1160</v>
      </c>
      <c r="D67" t="s">
        <v>1161</v>
      </c>
      <c r="F67" s="97" t="s">
        <v>1162</v>
      </c>
      <c r="G67">
        <v>10</v>
      </c>
      <c r="I67">
        <f>IF(Table_ElecUtility_AccountNum[[#This Row],[Without Leading 0s]]&gt;0,Table_ElecUtility_AccountNum[[#This Row],[Without Leading 0s]],Table_ElecUtility_AccountNum[[#This Row],[Total Digits]])</f>
        <v>10</v>
      </c>
      <c r="K67" t="str">
        <f>Table_ElecUtility_AccountNum[[#This Row],[Electric Utility Name]]</f>
        <v>Rockland Electric</v>
      </c>
      <c r="L67">
        <v>1234567890</v>
      </c>
      <c r="M67" t="b">
        <f>AND(ISNUMBER(L67),IF(LEN(L67)=INDEX(Table_ElecUtility_AccountNum[],MATCH(K67,Table_ElecUtility_AccountNum[Electric Utility Name],0),MATCH(Table_ElecUtility_AccountNum[[#Headers],[Used]],Table_ElecUtility_AccountNum[#Headers],0)),TRUE,FALSE))</f>
        <v>1</v>
      </c>
      <c r="P67" s="6" t="s">
        <v>1163</v>
      </c>
      <c r="Q67" s="6"/>
      <c r="R67" s="664"/>
      <c r="S67" s="135"/>
      <c r="T67" s="144"/>
      <c r="U67" s="170"/>
      <c r="V67" s="170"/>
      <c r="Y67" s="170"/>
    </row>
    <row r="68" spans="1:32">
      <c r="A68" t="s">
        <v>1164</v>
      </c>
      <c r="C68" t="s">
        <v>1165</v>
      </c>
      <c r="D68" t="s">
        <v>1166</v>
      </c>
      <c r="F68" t="s">
        <v>1144</v>
      </c>
      <c r="G68">
        <v>12</v>
      </c>
      <c r="H68">
        <v>10</v>
      </c>
      <c r="I68">
        <f>IF(Table_ElecUtility_AccountNum[[#This Row],[Without Leading 0s]]&gt;0,Table_ElecUtility_AccountNum[[#This Row],[Without Leading 0s]],Table_ElecUtility_AccountNum[[#This Row],[Total Digits]])</f>
        <v>10</v>
      </c>
      <c r="K68" t="str">
        <f>Table_ElecUtility_AccountNum[[#This Row],[Electric Utility Name]]</f>
        <v>PSE&amp;G</v>
      </c>
      <c r="L68">
        <v>1234567890</v>
      </c>
      <c r="M68" t="b">
        <f>AND(ISNUMBER(L68),IF(LEN(L68)=INDEX(Table_ElecUtility_AccountNum[],MATCH(K68,Table_ElecUtility_AccountNum[Electric Utility Name],0),MATCH(Table_ElecUtility_AccountNum[[#Headers],[Used]],Table_ElecUtility_AccountNum[#Headers],0)),TRUE,FALSE))</f>
        <v>1</v>
      </c>
      <c r="P68" s="6" t="s">
        <v>1167</v>
      </c>
      <c r="Q68" s="6"/>
      <c r="R68" s="664"/>
      <c r="S68" s="135"/>
      <c r="T68" s="144"/>
      <c r="U68" s="170"/>
      <c r="V68" s="170"/>
      <c r="Y68" s="170"/>
    </row>
    <row r="69" spans="1:32">
      <c r="A69" t="s">
        <v>1168</v>
      </c>
      <c r="C69" t="s">
        <v>1169</v>
      </c>
      <c r="D69" t="s">
        <v>1170</v>
      </c>
      <c r="P69" t="s">
        <v>1171</v>
      </c>
      <c r="Q69" t="s">
        <v>1172</v>
      </c>
      <c r="R69" s="91" t="s">
        <v>1008</v>
      </c>
      <c r="S69" s="135" t="s">
        <v>1172</v>
      </c>
      <c r="T69" s="29" t="s">
        <v>900</v>
      </c>
      <c r="U69" s="170" t="s">
        <v>1092</v>
      </c>
      <c r="V69" t="s">
        <v>1173</v>
      </c>
      <c r="W69" s="29" t="s">
        <v>900</v>
      </c>
      <c r="X69" s="29" t="s">
        <v>900</v>
      </c>
      <c r="Y69" s="170" t="s">
        <v>1011</v>
      </c>
      <c r="Z69" s="29" t="s">
        <v>900</v>
      </c>
    </row>
    <row r="70" spans="1:32">
      <c r="A70" t="s">
        <v>1174</v>
      </c>
      <c r="C70" t="s">
        <v>1175</v>
      </c>
      <c r="D70" t="s">
        <v>1176</v>
      </c>
      <c r="P70" s="6" t="s">
        <v>1177</v>
      </c>
      <c r="Q70" t="s">
        <v>1008</v>
      </c>
      <c r="R70" s="124" t="s">
        <v>1002</v>
      </c>
      <c r="S70" s="135" t="s">
        <v>1178</v>
      </c>
      <c r="T70" s="144" t="s">
        <v>1178</v>
      </c>
      <c r="U70" t="s">
        <v>1092</v>
      </c>
      <c r="V70" t="s">
        <v>1179</v>
      </c>
      <c r="W70" t="s">
        <v>1092</v>
      </c>
      <c r="X70" t="s">
        <v>1092</v>
      </c>
      <c r="Y70" s="170" t="s">
        <v>1011</v>
      </c>
      <c r="Z70" s="99" t="s">
        <v>1178</v>
      </c>
      <c r="AA70" s="109"/>
    </row>
    <row r="71" spans="1:32">
      <c r="A71" t="s">
        <v>1180</v>
      </c>
      <c r="C71" t="s">
        <v>1181</v>
      </c>
      <c r="D71" t="s">
        <v>1182</v>
      </c>
      <c r="P71" s="6" t="s">
        <v>1071</v>
      </c>
      <c r="Q71" t="s">
        <v>1008</v>
      </c>
      <c r="R71" s="91" t="s">
        <v>1183</v>
      </c>
      <c r="S71" s="135" t="s">
        <v>1184</v>
      </c>
      <c r="T71" s="144" t="s">
        <v>1184</v>
      </c>
      <c r="U71" t="s">
        <v>1185</v>
      </c>
      <c r="V71" t="s">
        <v>1186</v>
      </c>
      <c r="W71" t="s">
        <v>1105</v>
      </c>
      <c r="X71" t="s">
        <v>1185</v>
      </c>
      <c r="Y71" s="99" t="s">
        <v>1183</v>
      </c>
      <c r="Z71" s="99" t="s">
        <v>1185</v>
      </c>
      <c r="AA71" s="109"/>
    </row>
    <row r="72" spans="1:32">
      <c r="A72" s="29" t="s">
        <v>1187</v>
      </c>
      <c r="C72" t="s">
        <v>1188</v>
      </c>
      <c r="D72" t="s">
        <v>1189</v>
      </c>
      <c r="P72" s="6" t="s">
        <v>1190</v>
      </c>
      <c r="Q72" t="s">
        <v>1008</v>
      </c>
      <c r="R72" s="97" t="s">
        <v>1191</v>
      </c>
      <c r="S72" s="135" t="s">
        <v>1192</v>
      </c>
      <c r="T72" s="144" t="s">
        <v>1192</v>
      </c>
      <c r="U72" t="s">
        <v>1193</v>
      </c>
      <c r="V72" t="s">
        <v>1194</v>
      </c>
      <c r="W72" t="s">
        <v>1125</v>
      </c>
      <c r="X72" t="s">
        <v>1125</v>
      </c>
      <c r="Y72" s="124" t="s">
        <v>1191</v>
      </c>
      <c r="Z72" t="s">
        <v>1125</v>
      </c>
      <c r="AA72" s="109"/>
    </row>
    <row r="73" spans="1:32">
      <c r="A73" t="s">
        <v>1195</v>
      </c>
      <c r="C73" t="s">
        <v>1196</v>
      </c>
      <c r="D73" t="s">
        <v>1197</v>
      </c>
      <c r="P73" s="6" t="s">
        <v>900</v>
      </c>
      <c r="Q73" t="s">
        <v>1198</v>
      </c>
      <c r="R73" s="91" t="s">
        <v>1199</v>
      </c>
      <c r="S73" s="135" t="s">
        <v>1200</v>
      </c>
      <c r="T73" s="144" t="s">
        <v>1200</v>
      </c>
      <c r="U73" t="s">
        <v>1035</v>
      </c>
      <c r="V73" t="s">
        <v>1201</v>
      </c>
      <c r="W73" t="s">
        <v>1202</v>
      </c>
      <c r="X73" t="s">
        <v>1035</v>
      </c>
      <c r="Y73" s="124" t="s">
        <v>1203</v>
      </c>
      <c r="Z73" s="124" t="s">
        <v>1035</v>
      </c>
      <c r="AA73" s="109"/>
    </row>
    <row r="74" spans="1:32">
      <c r="A74" t="s">
        <v>1204</v>
      </c>
      <c r="P74" s="6" t="s">
        <v>1205</v>
      </c>
      <c r="Q74" s="6" t="s">
        <v>1135</v>
      </c>
      <c r="R74" s="161" t="s">
        <v>1135</v>
      </c>
      <c r="S74" s="135" t="s">
        <v>1206</v>
      </c>
      <c r="T74" s="144" t="s">
        <v>1206</v>
      </c>
      <c r="U74" t="s">
        <v>1135</v>
      </c>
      <c r="V74" s="6" t="s">
        <v>1207</v>
      </c>
      <c r="W74" t="s">
        <v>1135</v>
      </c>
      <c r="X74" s="29" t="s">
        <v>900</v>
      </c>
      <c r="Y74" s="124" t="s">
        <v>1135</v>
      </c>
      <c r="Z74" t="s">
        <v>1135</v>
      </c>
      <c r="AA74" s="109"/>
    </row>
    <row r="75" spans="1:32">
      <c r="C75" t="s">
        <v>1208</v>
      </c>
      <c r="D75" t="s">
        <v>1209</v>
      </c>
      <c r="P75" s="6" t="s">
        <v>1210</v>
      </c>
      <c r="Q75" s="6" t="s">
        <v>1211</v>
      </c>
      <c r="R75" s="162" t="s">
        <v>1211</v>
      </c>
      <c r="S75" s="135" t="s">
        <v>1211</v>
      </c>
      <c r="T75" s="144" t="s">
        <v>1211</v>
      </c>
      <c r="U75" t="s">
        <v>1212</v>
      </c>
      <c r="V75" s="6" t="s">
        <v>1201</v>
      </c>
      <c r="W75" t="s">
        <v>1212</v>
      </c>
      <c r="X75" t="s">
        <v>1212</v>
      </c>
      <c r="Y75" s="99" t="s">
        <v>1211</v>
      </c>
      <c r="Z75" t="s">
        <v>1212</v>
      </c>
    </row>
    <row r="76" spans="1:32">
      <c r="A76" t="s">
        <v>1213</v>
      </c>
      <c r="C76" t="s">
        <v>1214</v>
      </c>
      <c r="D76" t="s">
        <v>1115</v>
      </c>
      <c r="P76" s="6" t="s">
        <v>1178</v>
      </c>
      <c r="Q76" s="6" t="s">
        <v>1198</v>
      </c>
      <c r="R76" s="91" t="s">
        <v>1199</v>
      </c>
      <c r="S76" s="135" t="s">
        <v>1198</v>
      </c>
      <c r="T76" s="144" t="s">
        <v>1198</v>
      </c>
      <c r="U76" t="s">
        <v>1215</v>
      </c>
      <c r="V76" t="s">
        <v>1201</v>
      </c>
      <c r="W76" t="s">
        <v>1215</v>
      </c>
      <c r="X76" s="29" t="s">
        <v>900</v>
      </c>
      <c r="Y76" s="99" t="s">
        <v>1216</v>
      </c>
      <c r="Z76" t="s">
        <v>1215</v>
      </c>
    </row>
    <row r="77" spans="1:32">
      <c r="A77" t="s">
        <v>1217</v>
      </c>
      <c r="C77" t="s">
        <v>1218</v>
      </c>
      <c r="D77" t="s">
        <v>1115</v>
      </c>
      <c r="P77" s="6" t="s">
        <v>1201</v>
      </c>
      <c r="Q77" s="6" t="s">
        <v>1000</v>
      </c>
      <c r="R77" s="162" t="s">
        <v>1219</v>
      </c>
      <c r="S77" s="135" t="s">
        <v>1220</v>
      </c>
      <c r="T77" s="144" t="s">
        <v>1220</v>
      </c>
      <c r="U77" t="s">
        <v>1069</v>
      </c>
      <c r="V77" t="s">
        <v>1221</v>
      </c>
      <c r="W77" t="s">
        <v>1069</v>
      </c>
      <c r="X77" s="29" t="s">
        <v>900</v>
      </c>
      <c r="Y77" s="99" t="s">
        <v>1219</v>
      </c>
      <c r="Z77" t="s">
        <v>1069</v>
      </c>
    </row>
    <row r="78" spans="1:32">
      <c r="A78" t="s">
        <v>1222</v>
      </c>
      <c r="C78" t="s">
        <v>1223</v>
      </c>
      <c r="D78" t="s">
        <v>1224</v>
      </c>
      <c r="P78" t="s">
        <v>1225</v>
      </c>
      <c r="Q78" s="6" t="s">
        <v>1000</v>
      </c>
      <c r="R78" s="161" t="s">
        <v>1025</v>
      </c>
      <c r="S78" s="135" t="s">
        <v>1226</v>
      </c>
      <c r="T78" s="144" t="s">
        <v>1227</v>
      </c>
      <c r="U78" t="s">
        <v>1228</v>
      </c>
      <c r="V78" t="s">
        <v>1229</v>
      </c>
      <c r="W78" t="s">
        <v>1228</v>
      </c>
      <c r="X78" s="29" t="s">
        <v>900</v>
      </c>
      <c r="Y78" s="99" t="s">
        <v>1025</v>
      </c>
      <c r="Z78" t="s">
        <v>1228</v>
      </c>
    </row>
    <row r="79" spans="1:32">
      <c r="A79" t="s">
        <v>1230</v>
      </c>
      <c r="C79" t="s">
        <v>1231</v>
      </c>
      <c r="D79" t="s">
        <v>1232</v>
      </c>
      <c r="P79" t="s">
        <v>1233</v>
      </c>
      <c r="Q79" t="s">
        <v>1000</v>
      </c>
      <c r="R79" s="91" t="s">
        <v>1234</v>
      </c>
      <c r="S79" s="135" t="s">
        <v>1235</v>
      </c>
      <c r="T79" s="144" t="s">
        <v>1235</v>
      </c>
      <c r="U79" s="6" t="s">
        <v>1100</v>
      </c>
      <c r="V79" s="6" t="s">
        <v>1236</v>
      </c>
      <c r="W79" t="s">
        <v>1100</v>
      </c>
      <c r="X79" t="s">
        <v>1237</v>
      </c>
      <c r="Y79" s="124" t="s">
        <v>1234</v>
      </c>
      <c r="Z79" s="124" t="s">
        <v>1237</v>
      </c>
      <c r="AF79" s="21"/>
    </row>
    <row r="80" spans="1:32">
      <c r="A80" t="s">
        <v>1238</v>
      </c>
      <c r="C80" t="s">
        <v>1239</v>
      </c>
      <c r="D80" t="s">
        <v>1115</v>
      </c>
      <c r="P80" t="s">
        <v>1240</v>
      </c>
      <c r="Q80" s="6" t="s">
        <v>1000</v>
      </c>
      <c r="R80" s="161" t="s">
        <v>1241</v>
      </c>
      <c r="S80" s="135" t="s">
        <v>1242</v>
      </c>
      <c r="T80" s="144" t="s">
        <v>1242</v>
      </c>
      <c r="U80" t="s">
        <v>1140</v>
      </c>
      <c r="V80" t="s">
        <v>1243</v>
      </c>
      <c r="W80" t="s">
        <v>1140</v>
      </c>
      <c r="X80" s="29" t="s">
        <v>1237</v>
      </c>
      <c r="Y80" s="124" t="s">
        <v>1241</v>
      </c>
      <c r="Z80" t="s">
        <v>1140</v>
      </c>
    </row>
    <row r="81" spans="1:26">
      <c r="A81" t="s">
        <v>1244</v>
      </c>
      <c r="C81" t="s">
        <v>1245</v>
      </c>
      <c r="D81" t="s">
        <v>1115</v>
      </c>
      <c r="P81" t="s">
        <v>1228</v>
      </c>
      <c r="Q81" s="6" t="str">
        <f>IF(SitePeakkW="&lt;=200 kW","Warehouse/Industrial - Small","Warehouse/Industrial - Large")</f>
        <v>Warehouse/Industrial - Large</v>
      </c>
      <c r="R81" s="99" t="s">
        <v>1240</v>
      </c>
      <c r="S81" s="135" t="s">
        <v>1240</v>
      </c>
      <c r="T81" s="144" t="s">
        <v>1240</v>
      </c>
      <c r="U81" t="s">
        <v>1240</v>
      </c>
      <c r="V81" t="s">
        <v>1246</v>
      </c>
      <c r="W81" t="s">
        <v>1240</v>
      </c>
      <c r="X81" t="s">
        <v>1240</v>
      </c>
      <c r="Y81" s="29" t="s">
        <v>1247</v>
      </c>
      <c r="Z81" s="109" t="s">
        <v>1240</v>
      </c>
    </row>
    <row r="82" spans="1:26" ht="15.75" thickBot="1">
      <c r="A82" t="s">
        <v>1248</v>
      </c>
      <c r="C82" t="s">
        <v>1249</v>
      </c>
      <c r="D82" t="s">
        <v>1115</v>
      </c>
      <c r="P82" s="6"/>
      <c r="Q82" s="6"/>
      <c r="R82" s="135"/>
      <c r="S82" s="135"/>
      <c r="T82" s="6"/>
      <c r="U82" s="6"/>
      <c r="V82" s="6"/>
      <c r="W82" s="6"/>
      <c r="X82" s="6"/>
      <c r="Y82" s="6"/>
      <c r="Z82" s="109"/>
    </row>
    <row r="83" spans="1:26" ht="15.75" thickBot="1">
      <c r="A83" t="s">
        <v>1250</v>
      </c>
      <c r="C83" t="s">
        <v>1251</v>
      </c>
      <c r="D83" t="s">
        <v>1115</v>
      </c>
      <c r="P83" s="6"/>
      <c r="Q83" s="6"/>
      <c r="R83" s="135"/>
      <c r="S83" s="135"/>
      <c r="U83" s="922" t="s">
        <v>1252</v>
      </c>
      <c r="V83" s="923"/>
      <c r="W83" s="924"/>
      <c r="X83" s="6"/>
      <c r="Y83" s="29" t="s">
        <v>1253</v>
      </c>
      <c r="Z83" s="109"/>
    </row>
    <row r="84" spans="1:26" ht="15.75" thickBot="1">
      <c r="A84" t="s">
        <v>1204</v>
      </c>
      <c r="C84" t="s">
        <v>1254</v>
      </c>
      <c r="D84" t="s">
        <v>1115</v>
      </c>
      <c r="P84" s="6"/>
      <c r="Q84" s="6"/>
      <c r="R84" s="135"/>
      <c r="S84" s="135"/>
      <c r="U84" s="151" t="s">
        <v>732</v>
      </c>
      <c r="V84" s="152" t="s">
        <v>1255</v>
      </c>
      <c r="W84" s="152" t="s">
        <v>1256</v>
      </c>
      <c r="Y84" s="170" t="s">
        <v>1257</v>
      </c>
      <c r="Z84" s="109"/>
    </row>
    <row r="85" spans="1:26" ht="15.75" thickBot="1">
      <c r="C85" t="s">
        <v>1258</v>
      </c>
      <c r="D85" t="s">
        <v>1115</v>
      </c>
      <c r="P85" s="6"/>
      <c r="Q85" s="6"/>
      <c r="R85" s="135" t="e">
        <f>INDEX(BUILDINGTYPE[],MATCH(BuildingInfo_Building_Type,BUILDINGTYPE[Project Level Building Type],0),MATCH(BUILDINGTYPE[[#Headers],[NYTRM AppD Building Equivalent]],BUILDINGTYPE[#Headers],0))</f>
        <v>#N/A</v>
      </c>
      <c r="S85" s="135"/>
      <c r="U85" s="160" t="s">
        <v>1234</v>
      </c>
      <c r="V85" s="153">
        <v>180</v>
      </c>
      <c r="W85" s="153">
        <v>8</v>
      </c>
      <c r="Y85" s="6"/>
      <c r="Z85" s="109"/>
    </row>
    <row r="86" spans="1:26" ht="15.75" thickBot="1">
      <c r="A86" t="s">
        <v>1259</v>
      </c>
      <c r="C86" t="s">
        <v>1260</v>
      </c>
      <c r="D86" t="s">
        <v>1115</v>
      </c>
      <c r="J86" s="6"/>
      <c r="K86" s="6"/>
      <c r="L86" s="135"/>
      <c r="P86" s="6"/>
      <c r="Q86" s="6"/>
      <c r="R86" s="135"/>
      <c r="S86" s="135"/>
      <c r="U86" s="160" t="s">
        <v>1241</v>
      </c>
      <c r="V86" s="153">
        <v>210</v>
      </c>
      <c r="W86" s="153">
        <v>11</v>
      </c>
      <c r="Z86" s="109"/>
    </row>
    <row r="87" spans="1:26" ht="15.75" thickBot="1">
      <c r="A87" t="s">
        <v>1261</v>
      </c>
      <c r="C87" t="s">
        <v>1262</v>
      </c>
      <c r="D87" t="s">
        <v>1115</v>
      </c>
      <c r="J87" s="6"/>
      <c r="K87" s="6"/>
      <c r="L87" s="135"/>
      <c r="U87" s="160" t="s">
        <v>1219</v>
      </c>
      <c r="V87" s="153">
        <v>237</v>
      </c>
      <c r="W87" s="153">
        <v>16</v>
      </c>
    </row>
    <row r="88" spans="1:26" ht="15.75" thickBot="1">
      <c r="A88" t="s">
        <v>1263</v>
      </c>
      <c r="C88" t="s">
        <v>1264</v>
      </c>
      <c r="D88" t="s">
        <v>1115</v>
      </c>
      <c r="U88" s="160" t="s">
        <v>1025</v>
      </c>
      <c r="V88" s="153">
        <v>192</v>
      </c>
      <c r="W88" s="153">
        <v>16</v>
      </c>
    </row>
    <row r="89" spans="1:26" ht="15.75" thickBot="1">
      <c r="A89" t="s">
        <v>1265</v>
      </c>
      <c r="C89" t="s">
        <v>1266</v>
      </c>
      <c r="D89" t="s">
        <v>1115</v>
      </c>
      <c r="U89" s="160" t="s">
        <v>1135</v>
      </c>
      <c r="V89" s="153">
        <v>364</v>
      </c>
      <c r="W89" s="153">
        <v>16</v>
      </c>
    </row>
    <row r="90" spans="1:26" ht="15.75" thickBot="1">
      <c r="A90" t="s">
        <v>1267</v>
      </c>
      <c r="C90" t="s">
        <v>1268</v>
      </c>
      <c r="D90" t="s">
        <v>1269</v>
      </c>
      <c r="U90" s="160" t="s">
        <v>1036</v>
      </c>
      <c r="V90" s="153">
        <v>364</v>
      </c>
      <c r="W90" s="153">
        <v>24</v>
      </c>
    </row>
    <row r="91" spans="1:26" ht="15.75" thickBot="1">
      <c r="A91" t="s">
        <v>1270</v>
      </c>
      <c r="C91" t="s">
        <v>1271</v>
      </c>
      <c r="D91" t="s">
        <v>1224</v>
      </c>
      <c r="U91" s="160" t="s">
        <v>1015</v>
      </c>
      <c r="V91" s="153">
        <v>351</v>
      </c>
      <c r="W91" s="153">
        <v>12</v>
      </c>
    </row>
    <row r="92" spans="1:26" ht="15.75" thickBot="1">
      <c r="A92" t="s">
        <v>1272</v>
      </c>
      <c r="U92" s="160" t="s">
        <v>1054</v>
      </c>
      <c r="V92" s="153">
        <v>229</v>
      </c>
      <c r="W92" s="153">
        <v>5</v>
      </c>
    </row>
    <row r="93" spans="1:26" ht="15.75" thickBot="1">
      <c r="A93" t="s">
        <v>1273</v>
      </c>
      <c r="C93" t="s">
        <v>1274</v>
      </c>
      <c r="D93" s="10" t="s">
        <v>1275</v>
      </c>
      <c r="U93" s="160" t="s">
        <v>1063</v>
      </c>
      <c r="V93" s="153">
        <v>364</v>
      </c>
      <c r="W93" s="153">
        <v>24</v>
      </c>
    </row>
    <row r="94" spans="1:26" ht="15.75" thickBot="1">
      <c r="A94" t="s">
        <v>1276</v>
      </c>
      <c r="U94" s="160" t="s">
        <v>1045</v>
      </c>
      <c r="V94" s="153">
        <v>330</v>
      </c>
      <c r="W94" s="153">
        <v>13</v>
      </c>
    </row>
    <row r="95" spans="1:26" ht="15.75" thickBot="1">
      <c r="A95" t="s">
        <v>1277</v>
      </c>
      <c r="U95" s="160" t="s">
        <v>1083</v>
      </c>
      <c r="V95" s="153">
        <v>234</v>
      </c>
      <c r="W95" s="153">
        <v>12</v>
      </c>
    </row>
    <row r="96" spans="1:26" ht="15.75" thickBot="1">
      <c r="A96" t="s">
        <v>1278</v>
      </c>
      <c r="U96" s="160" t="s">
        <v>1016</v>
      </c>
      <c r="V96" s="153">
        <v>234</v>
      </c>
      <c r="W96" s="153">
        <v>12</v>
      </c>
    </row>
    <row r="97" spans="1:23" ht="15.75" thickBot="1">
      <c r="A97" t="s">
        <v>1204</v>
      </c>
      <c r="U97" s="160" t="s">
        <v>1191</v>
      </c>
      <c r="V97" s="153">
        <v>364</v>
      </c>
      <c r="W97" s="153">
        <v>12</v>
      </c>
    </row>
    <row r="98" spans="1:23" ht="15.75" thickBot="1">
      <c r="U98" s="160" t="s">
        <v>1183</v>
      </c>
      <c r="V98" s="153">
        <v>364</v>
      </c>
      <c r="W98" s="153">
        <v>17</v>
      </c>
    </row>
    <row r="99" spans="1:23" ht="15.75" thickBot="1">
      <c r="A99" t="s">
        <v>1279</v>
      </c>
      <c r="U99" s="160" t="s">
        <v>1199</v>
      </c>
      <c r="V99" s="153">
        <v>355</v>
      </c>
      <c r="W99" s="153">
        <v>12</v>
      </c>
    </row>
    <row r="100" spans="1:23" ht="15.75" thickBot="1">
      <c r="A100" t="s">
        <v>1280</v>
      </c>
      <c r="U100" s="160" t="s">
        <v>1203</v>
      </c>
      <c r="V100" s="153">
        <v>364</v>
      </c>
      <c r="W100" s="153">
        <v>12</v>
      </c>
    </row>
    <row r="101" spans="1:23" ht="15.75" thickBot="1">
      <c r="A101" t="s">
        <v>1281</v>
      </c>
      <c r="U101" s="160" t="s">
        <v>1211</v>
      </c>
      <c r="V101" s="153">
        <v>364</v>
      </c>
      <c r="W101" s="153">
        <v>11</v>
      </c>
    </row>
    <row r="102" spans="1:23" ht="15.75" thickBot="1">
      <c r="U102" s="160" t="s">
        <v>1282</v>
      </c>
      <c r="V102" s="153">
        <v>330</v>
      </c>
      <c r="W102" s="153">
        <v>13</v>
      </c>
    </row>
    <row r="103" spans="1:23" ht="15.75" thickBot="1">
      <c r="B103" s="64" t="s">
        <v>1283</v>
      </c>
      <c r="U103" s="160" t="s">
        <v>1284</v>
      </c>
      <c r="V103" s="153">
        <v>330</v>
      </c>
      <c r="W103" s="153">
        <v>13</v>
      </c>
    </row>
    <row r="104" spans="1:23" ht="15.75" thickBot="1">
      <c r="A104" t="s">
        <v>1285</v>
      </c>
      <c r="U104" s="160" t="s">
        <v>1240</v>
      </c>
      <c r="V104" s="153">
        <v>325</v>
      </c>
      <c r="W104" s="153">
        <v>12</v>
      </c>
    </row>
    <row r="105" spans="1:23" ht="15.75" thickBot="1">
      <c r="A105" t="s">
        <v>341</v>
      </c>
      <c r="U105" s="160" t="s">
        <v>1002</v>
      </c>
      <c r="V105" s="153">
        <v>303</v>
      </c>
      <c r="W105" s="153">
        <v>14</v>
      </c>
    </row>
    <row r="106" spans="1:23">
      <c r="A106" t="s">
        <v>1286</v>
      </c>
      <c r="C106" t="s">
        <v>1287</v>
      </c>
      <c r="D106" s="25">
        <v>1</v>
      </c>
    </row>
    <row r="107" spans="1:23">
      <c r="C107" t="s">
        <v>1288</v>
      </c>
      <c r="D107" s="25">
        <v>7</v>
      </c>
    </row>
    <row r="108" spans="1:23">
      <c r="A108" s="5" t="s">
        <v>1289</v>
      </c>
      <c r="C108" t="s">
        <v>1290</v>
      </c>
      <c r="D108" s="25">
        <v>0.5</v>
      </c>
    </row>
    <row r="111" spans="1:23">
      <c r="A111" t="s">
        <v>1291</v>
      </c>
      <c r="C111" s="104" t="s">
        <v>1292</v>
      </c>
      <c r="D111" t="s">
        <v>1293</v>
      </c>
    </row>
    <row r="112" spans="1:23">
      <c r="A112" t="s">
        <v>1294</v>
      </c>
      <c r="C112" t="s">
        <v>1295</v>
      </c>
      <c r="D112">
        <v>10.3</v>
      </c>
    </row>
    <row r="113" spans="1:4">
      <c r="A113" t="s">
        <v>1296</v>
      </c>
      <c r="C113" t="s">
        <v>1297</v>
      </c>
      <c r="D113">
        <v>50.5</v>
      </c>
    </row>
    <row r="114" spans="1:4">
      <c r="C114" t="s">
        <v>1298</v>
      </c>
      <c r="D114">
        <v>43.1</v>
      </c>
    </row>
    <row r="115" spans="1:4">
      <c r="C115" t="s">
        <v>1299</v>
      </c>
      <c r="D115">
        <v>25.1</v>
      </c>
    </row>
    <row r="116" spans="1:4">
      <c r="C116" t="s">
        <v>1300</v>
      </c>
      <c r="D116">
        <v>28.9</v>
      </c>
    </row>
    <row r="117" spans="1:4">
      <c r="C117" t="s">
        <v>1301</v>
      </c>
      <c r="D117">
        <v>20.100000000000001</v>
      </c>
    </row>
    <row r="118" spans="1:4">
      <c r="C118" t="s">
        <v>1302</v>
      </c>
      <c r="D118">
        <v>15.4</v>
      </c>
    </row>
    <row r="119" spans="1:4">
      <c r="C119" t="s">
        <v>1303</v>
      </c>
      <c r="D119">
        <v>17.5</v>
      </c>
    </row>
    <row r="120" spans="1:4">
      <c r="A120" t="s">
        <v>1304</v>
      </c>
      <c r="C120" t="s">
        <v>1305</v>
      </c>
      <c r="D120">
        <v>14.1</v>
      </c>
    </row>
    <row r="121" spans="1:4">
      <c r="A121" t="s">
        <v>1031</v>
      </c>
      <c r="C121" t="s">
        <v>1306</v>
      </c>
      <c r="D121">
        <v>21.4</v>
      </c>
    </row>
    <row r="122" spans="1:4">
      <c r="A122" t="s">
        <v>1307</v>
      </c>
      <c r="C122" t="s">
        <v>1190</v>
      </c>
      <c r="D122">
        <v>15.3</v>
      </c>
    </row>
    <row r="123" spans="1:4">
      <c r="A123" t="s">
        <v>1308</v>
      </c>
      <c r="C123" t="s">
        <v>1309</v>
      </c>
      <c r="D123">
        <v>13.2</v>
      </c>
    </row>
    <row r="124" spans="1:4">
      <c r="C124" t="s">
        <v>1310</v>
      </c>
      <c r="D124">
        <v>10.3</v>
      </c>
    </row>
    <row r="125" spans="1:4">
      <c r="C125" t="s">
        <v>1311</v>
      </c>
      <c r="D125">
        <v>4.5</v>
      </c>
    </row>
    <row r="126" spans="1:4">
      <c r="C126" t="s">
        <v>1312</v>
      </c>
      <c r="D126">
        <v>7.3</v>
      </c>
    </row>
    <row r="127" spans="1:4">
      <c r="A127" t="s">
        <v>1313</v>
      </c>
      <c r="C127" t="s">
        <v>1314</v>
      </c>
      <c r="D127">
        <v>6.6</v>
      </c>
    </row>
    <row r="128" spans="1:4">
      <c r="A128" t="s">
        <v>1315</v>
      </c>
      <c r="C128" t="s">
        <v>900</v>
      </c>
      <c r="D128">
        <v>20.2</v>
      </c>
    </row>
    <row r="129" spans="1:6">
      <c r="A129" t="s">
        <v>1316</v>
      </c>
      <c r="C129" t="s">
        <v>1317</v>
      </c>
      <c r="D129">
        <v>5.3</v>
      </c>
    </row>
    <row r="131" spans="1:6">
      <c r="A131" s="128" t="s">
        <v>1313</v>
      </c>
      <c r="C131" t="s">
        <v>1318</v>
      </c>
      <c r="D131" t="s">
        <v>1319</v>
      </c>
      <c r="E131" t="s">
        <v>1320</v>
      </c>
      <c r="F131" t="s">
        <v>1321</v>
      </c>
    </row>
    <row r="132" spans="1:6">
      <c r="A132" s="336" t="s">
        <v>1315</v>
      </c>
      <c r="C132" t="s">
        <v>1322</v>
      </c>
      <c r="D132" t="s">
        <v>1323</v>
      </c>
      <c r="E132" t="s">
        <v>1324</v>
      </c>
      <c r="F132" t="s">
        <v>1325</v>
      </c>
    </row>
    <row r="133" spans="1:6">
      <c r="A133" s="337" t="s">
        <v>1316</v>
      </c>
      <c r="C133" t="s">
        <v>1326</v>
      </c>
      <c r="D133" t="s">
        <v>1323</v>
      </c>
      <c r="E133" t="s">
        <v>1327</v>
      </c>
    </row>
    <row r="134" spans="1:6">
      <c r="A134" s="336" t="s">
        <v>1031</v>
      </c>
      <c r="C134" t="s">
        <v>1328</v>
      </c>
      <c r="D134" t="s">
        <v>1323</v>
      </c>
      <c r="E134" t="str">
        <f>""</f>
        <v/>
      </c>
    </row>
    <row r="135" spans="1:6">
      <c r="C135" t="s">
        <v>1329</v>
      </c>
      <c r="D135" t="s">
        <v>1330</v>
      </c>
      <c r="E135" t="str">
        <f>""</f>
        <v/>
      </c>
      <c r="F135" t="s">
        <v>1331</v>
      </c>
    </row>
    <row r="136" spans="1:6">
      <c r="A136" t="s">
        <v>1332</v>
      </c>
      <c r="C136" t="s">
        <v>1333</v>
      </c>
      <c r="D136" t="s">
        <v>1333</v>
      </c>
      <c r="E136" t="str">
        <f>""</f>
        <v/>
      </c>
      <c r="F136" t="s">
        <v>1331</v>
      </c>
    </row>
    <row r="137" spans="1:6">
      <c r="A137" t="s">
        <v>1334</v>
      </c>
      <c r="C137" t="s">
        <v>1335</v>
      </c>
      <c r="D137" t="str">
        <f>""</f>
        <v/>
      </c>
      <c r="E137" t="s">
        <v>1324</v>
      </c>
    </row>
    <row r="138" spans="1:6">
      <c r="A138" t="s">
        <v>1336</v>
      </c>
      <c r="C138" t="s">
        <v>1337</v>
      </c>
      <c r="D138" t="s">
        <v>1338</v>
      </c>
      <c r="E138" t="str">
        <f>""</f>
        <v/>
      </c>
    </row>
    <row r="139" spans="1:6">
      <c r="A139" t="s">
        <v>1339</v>
      </c>
      <c r="C139" t="s">
        <v>1340</v>
      </c>
      <c r="D139" t="s">
        <v>1308</v>
      </c>
      <c r="E139" t="s">
        <v>1327</v>
      </c>
    </row>
    <row r="140" spans="1:6">
      <c r="C140" s="139"/>
      <c r="D140" s="139"/>
    </row>
    <row r="141" spans="1:6">
      <c r="A141" t="s">
        <v>1341</v>
      </c>
    </row>
    <row r="142" spans="1:6">
      <c r="A142" t="s">
        <v>1342</v>
      </c>
    </row>
    <row r="143" spans="1:6">
      <c r="A143" t="s">
        <v>1343</v>
      </c>
    </row>
    <row r="146" spans="1:3" ht="14.25" customHeight="1"/>
    <row r="147" spans="1:3">
      <c r="A147" s="665" t="s">
        <v>986</v>
      </c>
      <c r="C147" t="s">
        <v>1344</v>
      </c>
    </row>
    <row r="148" spans="1:3">
      <c r="A148" s="6" t="s">
        <v>1001</v>
      </c>
      <c r="C148" s="659" t="str">
        <f>IF(TEMPLATE!H10 &gt; 0,"Lighting","")</f>
        <v/>
      </c>
    </row>
    <row r="149" spans="1:3">
      <c r="A149" s="6" t="s">
        <v>1003</v>
      </c>
      <c r="C149" s="659" t="str">
        <f>IF(OR(TEMPLATE!H11 &gt; 0,TEMPLATE!H12 &gt; 0),"Other","")</f>
        <v/>
      </c>
    </row>
    <row r="150" spans="1:3">
      <c r="A150" s="6" t="s">
        <v>1009</v>
      </c>
      <c r="C150" s="660" t="str">
        <f>IF(TEMPLATE!H13 &gt; 0,"Water Heaters and Boilers","")</f>
        <v/>
      </c>
    </row>
    <row r="151" spans="1:3">
      <c r="A151" t="s">
        <v>1024</v>
      </c>
      <c r="C151" s="660" t="str">
        <f>IF(TEMPLATE!H14 &gt; 0,"Refrigeration","")</f>
        <v/>
      </c>
    </row>
    <row r="152" spans="1:3">
      <c r="A152" s="6" t="s">
        <v>1035</v>
      </c>
      <c r="C152" s="660" t="str">
        <f>IF(OR(TEMPLATE!H16 &gt; 0,TEMPLATE!H17 &gt; 0,TEMPLATE!H18 &gt; 0,TEMPLATE!H19 &gt; 0),"Other","")</f>
        <v/>
      </c>
    </row>
    <row r="153" spans="1:3">
      <c r="A153" s="6" t="s">
        <v>1044</v>
      </c>
      <c r="C153" s="660" t="str">
        <f>IF(TEMPLATE!H15 &gt; 0,"Food Service","")</f>
        <v/>
      </c>
    </row>
    <row r="154" spans="1:3">
      <c r="A154" s="6" t="s">
        <v>1053</v>
      </c>
    </row>
    <row r="155" spans="1:3">
      <c r="A155" s="6" t="s">
        <v>1062</v>
      </c>
    </row>
    <row r="156" spans="1:3">
      <c r="A156" s="6" t="s">
        <v>1076</v>
      </c>
    </row>
    <row r="157" spans="1:3">
      <c r="A157" s="6" t="s">
        <v>1082</v>
      </c>
    </row>
    <row r="158" spans="1:3">
      <c r="A158" s="6" t="s">
        <v>1069</v>
      </c>
    </row>
    <row r="159" spans="1:3">
      <c r="A159" s="6" t="s">
        <v>1345</v>
      </c>
    </row>
    <row r="160" spans="1:3">
      <c r="A160" s="6" t="s">
        <v>1091</v>
      </c>
    </row>
    <row r="161" spans="1:1">
      <c r="A161" s="6" t="s">
        <v>1096</v>
      </c>
    </row>
    <row r="162" spans="1:1">
      <c r="A162" s="6" t="s">
        <v>1100</v>
      </c>
    </row>
    <row r="163" spans="1:1">
      <c r="A163" s="6" t="s">
        <v>1105</v>
      </c>
    </row>
    <row r="164" spans="1:1">
      <c r="A164" s="6" t="s">
        <v>1110</v>
      </c>
    </row>
    <row r="165" spans="1:1">
      <c r="A165" s="6" t="s">
        <v>1114</v>
      </c>
    </row>
    <row r="166" spans="1:1">
      <c r="A166" s="6" t="s">
        <v>1118</v>
      </c>
    </row>
    <row r="167" spans="1:1">
      <c r="A167" s="6" t="s">
        <v>1125</v>
      </c>
    </row>
    <row r="168" spans="1:1">
      <c r="A168" s="6" t="s">
        <v>1130</v>
      </c>
    </row>
    <row r="169" spans="1:1">
      <c r="A169" s="6" t="s">
        <v>1135</v>
      </c>
    </row>
    <row r="170" spans="1:1">
      <c r="A170" s="6" t="s">
        <v>1140</v>
      </c>
    </row>
    <row r="171" spans="1:1">
      <c r="A171" s="6" t="s">
        <v>1037</v>
      </c>
    </row>
    <row r="172" spans="1:1">
      <c r="A172" s="6" t="s">
        <v>1056</v>
      </c>
    </row>
    <row r="173" spans="1:1">
      <c r="A173" s="6" t="s">
        <v>1046</v>
      </c>
    </row>
    <row r="174" spans="1:1">
      <c r="A174" s="6" t="s">
        <v>1063</v>
      </c>
    </row>
    <row r="175" spans="1:1">
      <c r="A175" s="6" t="s">
        <v>1163</v>
      </c>
    </row>
    <row r="176" spans="1:1">
      <c r="A176" s="6" t="s">
        <v>1167</v>
      </c>
    </row>
    <row r="177" spans="1:1">
      <c r="A177" s="6" t="s">
        <v>1077</v>
      </c>
    </row>
    <row r="178" spans="1:1">
      <c r="A178" s="6" t="s">
        <v>1071</v>
      </c>
    </row>
    <row r="179" spans="1:1">
      <c r="A179" t="s">
        <v>1171</v>
      </c>
    </row>
    <row r="180" spans="1:1">
      <c r="A180" s="6" t="s">
        <v>1158</v>
      </c>
    </row>
    <row r="181" spans="1:1">
      <c r="A181" s="6" t="s">
        <v>1190</v>
      </c>
    </row>
    <row r="182" spans="1:1">
      <c r="A182" s="6" t="s">
        <v>900</v>
      </c>
    </row>
    <row r="183" spans="1:1">
      <c r="A183" t="s">
        <v>1172</v>
      </c>
    </row>
    <row r="184" spans="1:1">
      <c r="A184" s="6" t="s">
        <v>1205</v>
      </c>
    </row>
    <row r="185" spans="1:1">
      <c r="A185" s="6" t="s">
        <v>1210</v>
      </c>
    </row>
    <row r="186" spans="1:1">
      <c r="A186" s="6" t="s">
        <v>1178</v>
      </c>
    </row>
    <row r="187" spans="1:1">
      <c r="A187" s="6" t="s">
        <v>1201</v>
      </c>
    </row>
    <row r="188" spans="1:1">
      <c r="A188" t="s">
        <v>1225</v>
      </c>
    </row>
    <row r="189" spans="1:1">
      <c r="A189" t="s">
        <v>1233</v>
      </c>
    </row>
    <row r="190" spans="1:1">
      <c r="A190" t="s">
        <v>1228</v>
      </c>
    </row>
    <row r="191" spans="1:1">
      <c r="A191" t="s">
        <v>1240</v>
      </c>
    </row>
    <row r="194" spans="1:1">
      <c r="A194" t="s">
        <v>1346</v>
      </c>
    </row>
    <row r="195" spans="1:1">
      <c r="A195" t="s">
        <v>1347</v>
      </c>
    </row>
    <row r="196" spans="1:1">
      <c r="A196" t="s">
        <v>1348</v>
      </c>
    </row>
    <row r="197" spans="1:1">
      <c r="A197" t="s">
        <v>1349</v>
      </c>
    </row>
    <row r="198" spans="1:1">
      <c r="A198" t="s">
        <v>1350</v>
      </c>
    </row>
    <row r="199" spans="1:1">
      <c r="A199" t="s">
        <v>1351</v>
      </c>
    </row>
    <row r="200" spans="1:1">
      <c r="A200" t="s">
        <v>900</v>
      </c>
    </row>
    <row r="202" spans="1:1">
      <c r="A202" t="s">
        <v>301</v>
      </c>
    </row>
    <row r="203" spans="1:1">
      <c r="A203" t="s">
        <v>1352</v>
      </c>
    </row>
    <row r="204" spans="1:1">
      <c r="A204" t="s">
        <v>1353</v>
      </c>
    </row>
    <row r="205" spans="1:1">
      <c r="A205" t="s">
        <v>1354</v>
      </c>
    </row>
    <row r="206" spans="1:1">
      <c r="A206" t="s">
        <v>1355</v>
      </c>
    </row>
    <row r="207" spans="1:1">
      <c r="A207" t="s">
        <v>1356</v>
      </c>
    </row>
    <row r="211" spans="1:2">
      <c r="A211" t="s">
        <v>1357</v>
      </c>
      <c r="B211" t="s">
        <v>1358</v>
      </c>
    </row>
    <row r="212" spans="1:2">
      <c r="A212" t="s">
        <v>1352</v>
      </c>
      <c r="B212" t="s">
        <v>1359</v>
      </c>
    </row>
    <row r="213" spans="1:2">
      <c r="A213" t="s">
        <v>1352</v>
      </c>
      <c r="B213" t="s">
        <v>1360</v>
      </c>
    </row>
    <row r="214" spans="1:2">
      <c r="A214" t="s">
        <v>1352</v>
      </c>
      <c r="B214" t="s">
        <v>1361</v>
      </c>
    </row>
    <row r="215" spans="1:2">
      <c r="A215" t="s">
        <v>1352</v>
      </c>
      <c r="B215" t="s">
        <v>1362</v>
      </c>
    </row>
    <row r="216" spans="1:2">
      <c r="A216" t="s">
        <v>1352</v>
      </c>
      <c r="B216" t="s">
        <v>1363</v>
      </c>
    </row>
    <row r="217" spans="1:2">
      <c r="A217" t="s">
        <v>1352</v>
      </c>
      <c r="B217" t="s">
        <v>1364</v>
      </c>
    </row>
    <row r="218" spans="1:2">
      <c r="A218" t="s">
        <v>1353</v>
      </c>
      <c r="B218" t="s">
        <v>1365</v>
      </c>
    </row>
    <row r="219" spans="1:2">
      <c r="A219" t="s">
        <v>1354</v>
      </c>
      <c r="B219" t="s">
        <v>1366</v>
      </c>
    </row>
    <row r="220" spans="1:2">
      <c r="A220" t="s">
        <v>1355</v>
      </c>
      <c r="B220" t="s">
        <v>1367</v>
      </c>
    </row>
    <row r="221" spans="1:2">
      <c r="A221" t="s">
        <v>1355</v>
      </c>
      <c r="B221" t="s">
        <v>1368</v>
      </c>
    </row>
    <row r="222" spans="1:2">
      <c r="A222" t="s">
        <v>1356</v>
      </c>
      <c r="B222" t="s">
        <v>1369</v>
      </c>
    </row>
    <row r="224" spans="1:2">
      <c r="A224" t="s">
        <v>1370</v>
      </c>
    </row>
    <row r="225" spans="1:1">
      <c r="A225" t="s">
        <v>1371</v>
      </c>
    </row>
    <row r="226" spans="1:1">
      <c r="A226" t="s">
        <v>1372</v>
      </c>
    </row>
    <row r="227" spans="1:1">
      <c r="A227" t="s">
        <v>1373</v>
      </c>
    </row>
    <row r="228" spans="1:1">
      <c r="A228" t="s">
        <v>1374</v>
      </c>
    </row>
    <row r="229" spans="1:1">
      <c r="A229" t="s">
        <v>1375</v>
      </c>
    </row>
    <row r="230" spans="1:1">
      <c r="A230" t="s">
        <v>1376</v>
      </c>
    </row>
    <row r="231" spans="1:1">
      <c r="A231" t="s">
        <v>1377</v>
      </c>
    </row>
    <row r="232" spans="1:1">
      <c r="A232" t="s">
        <v>1378</v>
      </c>
    </row>
    <row r="233" spans="1:1">
      <c r="A233" t="s">
        <v>1379</v>
      </c>
    </row>
    <row r="234" spans="1:1">
      <c r="A234" t="s">
        <v>1380</v>
      </c>
    </row>
    <row r="235" spans="1:1">
      <c r="A235" t="s">
        <v>1381</v>
      </c>
    </row>
    <row r="236" spans="1:1">
      <c r="A236" t="s">
        <v>1382</v>
      </c>
    </row>
    <row r="237" spans="1:1">
      <c r="A237" t="s">
        <v>1383</v>
      </c>
    </row>
    <row r="238" spans="1:1">
      <c r="A238" t="s">
        <v>1384</v>
      </c>
    </row>
    <row r="239" spans="1:1">
      <c r="A239" t="s">
        <v>1385</v>
      </c>
    </row>
    <row r="240" spans="1:1">
      <c r="A240" t="s">
        <v>1386</v>
      </c>
    </row>
    <row r="241" spans="1:3">
      <c r="A241" t="s">
        <v>1387</v>
      </c>
    </row>
    <row r="242" spans="1:3">
      <c r="A242" t="s">
        <v>1388</v>
      </c>
    </row>
    <row r="243" spans="1:3">
      <c r="A243" t="s">
        <v>1389</v>
      </c>
    </row>
    <row r="244" spans="1:3">
      <c r="A244" t="s">
        <v>1390</v>
      </c>
    </row>
    <row r="245" spans="1:3">
      <c r="A245" t="s">
        <v>1391</v>
      </c>
    </row>
    <row r="247" spans="1:3">
      <c r="B247" s="707" t="s">
        <v>1392</v>
      </c>
      <c r="C247" s="5">
        <f ca="1">IF(ISBLANK(M05S07F05),YEAR(TODAY()),YEAR(M05S07F05))</f>
        <v>2025</v>
      </c>
    </row>
    <row r="249" spans="1:3">
      <c r="A249" s="681" t="s">
        <v>1393</v>
      </c>
      <c r="B249" s="682" t="s">
        <v>1394</v>
      </c>
      <c r="C249" s="682" t="s">
        <v>1395</v>
      </c>
    </row>
    <row r="250" spans="1:3">
      <c r="A250" s="683">
        <v>2025</v>
      </c>
      <c r="B250" s="684">
        <v>2.46</v>
      </c>
      <c r="C250" s="685">
        <v>1.02</v>
      </c>
    </row>
    <row r="251" spans="1:3">
      <c r="A251" s="683">
        <v>2026</v>
      </c>
      <c r="B251" s="684">
        <v>2.4300000000000002</v>
      </c>
      <c r="C251" s="697">
        <v>1.02</v>
      </c>
    </row>
    <row r="252" spans="1:3">
      <c r="A252" s="683">
        <v>2027</v>
      </c>
      <c r="B252" s="684">
        <v>2.41</v>
      </c>
      <c r="C252" s="697">
        <v>1.02</v>
      </c>
    </row>
    <row r="253" spans="1:3">
      <c r="A253" s="683">
        <v>2028</v>
      </c>
      <c r="B253" s="684">
        <v>2.38</v>
      </c>
      <c r="C253" s="697">
        <v>1.02</v>
      </c>
    </row>
    <row r="254" spans="1:3">
      <c r="A254" s="683">
        <v>2029</v>
      </c>
      <c r="B254" s="684">
        <v>2.36</v>
      </c>
      <c r="C254" s="697">
        <v>1.02</v>
      </c>
    </row>
    <row r="255" spans="1:3">
      <c r="A255" s="683">
        <v>2030</v>
      </c>
      <c r="B255" s="684">
        <v>2.33</v>
      </c>
      <c r="C255" s="697">
        <v>1.02</v>
      </c>
    </row>
    <row r="256" spans="1:3">
      <c r="A256" s="683">
        <v>2031</v>
      </c>
      <c r="B256" s="684">
        <v>2.2999999999999998</v>
      </c>
      <c r="C256" s="697">
        <v>1.02</v>
      </c>
    </row>
    <row r="257" spans="1:3">
      <c r="A257" s="683">
        <v>2032</v>
      </c>
      <c r="B257" s="684">
        <v>2.2799999999999998</v>
      </c>
      <c r="C257" s="697">
        <v>1.02</v>
      </c>
    </row>
    <row r="258" spans="1:3">
      <c r="A258" s="683">
        <v>2033</v>
      </c>
      <c r="B258" s="684">
        <v>2.25</v>
      </c>
      <c r="C258" s="697">
        <v>1.02</v>
      </c>
    </row>
    <row r="259" spans="1:3">
      <c r="A259" s="683">
        <v>2034</v>
      </c>
      <c r="B259" s="684">
        <v>2.23</v>
      </c>
      <c r="C259" s="697">
        <v>1.02</v>
      </c>
    </row>
    <row r="260" spans="1:3">
      <c r="A260" s="683">
        <v>2035</v>
      </c>
      <c r="B260" s="684">
        <v>2.2000000000000002</v>
      </c>
      <c r="C260" s="698">
        <v>1.02</v>
      </c>
    </row>
    <row r="261" spans="1:3">
      <c r="A261" s="683">
        <v>2036</v>
      </c>
      <c r="B261" s="684">
        <v>2.1800000000000002</v>
      </c>
      <c r="C261" s="698">
        <v>1.02</v>
      </c>
    </row>
    <row r="262" spans="1:3">
      <c r="A262" s="683">
        <v>2037</v>
      </c>
      <c r="B262" s="684">
        <v>2.15</v>
      </c>
      <c r="C262" s="698">
        <v>1.02</v>
      </c>
    </row>
    <row r="263" spans="1:3">
      <c r="A263" s="683">
        <v>2038</v>
      </c>
      <c r="B263" s="684">
        <v>2.12</v>
      </c>
      <c r="C263" s="698">
        <v>1.02</v>
      </c>
    </row>
    <row r="264" spans="1:3">
      <c r="A264" s="683">
        <v>2039</v>
      </c>
      <c r="B264" s="684">
        <v>2.1</v>
      </c>
      <c r="C264" s="698">
        <v>1.02</v>
      </c>
    </row>
    <row r="265" spans="1:3">
      <c r="A265" s="683">
        <v>2040</v>
      </c>
      <c r="B265" s="684">
        <v>2.0699999999999998</v>
      </c>
      <c r="C265" s="698">
        <v>1.02</v>
      </c>
    </row>
    <row r="266" spans="1:3">
      <c r="A266" s="683">
        <v>2041</v>
      </c>
      <c r="B266" s="684">
        <v>2.0499999999999998</v>
      </c>
      <c r="C266" s="698">
        <v>1.02</v>
      </c>
    </row>
    <row r="267" spans="1:3">
      <c r="A267" s="683">
        <v>2042</v>
      </c>
      <c r="B267" s="684">
        <v>2.02</v>
      </c>
      <c r="C267" s="698">
        <v>1.02</v>
      </c>
    </row>
    <row r="268" spans="1:3">
      <c r="A268" s="683">
        <v>2043</v>
      </c>
      <c r="B268" s="684">
        <v>2</v>
      </c>
      <c r="C268" s="698">
        <v>1.02</v>
      </c>
    </row>
    <row r="269" spans="1:3">
      <c r="A269" s="683">
        <v>2044</v>
      </c>
      <c r="B269" s="684">
        <v>1.97</v>
      </c>
      <c r="C269" s="698">
        <v>1.02</v>
      </c>
    </row>
    <row r="270" spans="1:3">
      <c r="A270" s="683">
        <v>2045</v>
      </c>
      <c r="B270" s="684">
        <v>1.94</v>
      </c>
      <c r="C270" s="698">
        <v>1.02</v>
      </c>
    </row>
    <row r="271" spans="1:3">
      <c r="A271" s="683">
        <v>2046</v>
      </c>
      <c r="B271" s="684">
        <v>1.92</v>
      </c>
      <c r="C271" s="698">
        <v>1.02</v>
      </c>
    </row>
    <row r="272" spans="1:3">
      <c r="A272" s="683">
        <v>2047</v>
      </c>
      <c r="B272" s="684">
        <v>1.89</v>
      </c>
      <c r="C272" s="698">
        <v>1.02</v>
      </c>
    </row>
    <row r="273" spans="1:3">
      <c r="A273" s="683">
        <v>2048</v>
      </c>
      <c r="B273" s="684">
        <v>1.87</v>
      </c>
      <c r="C273" s="698">
        <v>1.02</v>
      </c>
    </row>
    <row r="274" spans="1:3">
      <c r="A274" s="683">
        <v>2049</v>
      </c>
      <c r="B274" s="684">
        <v>1.84</v>
      </c>
      <c r="C274" s="698">
        <v>1.02</v>
      </c>
    </row>
    <row r="275" spans="1:3">
      <c r="A275" s="683">
        <v>2050</v>
      </c>
      <c r="B275" s="684">
        <v>1.82</v>
      </c>
      <c r="C275" s="698">
        <v>1.02</v>
      </c>
    </row>
    <row r="276" spans="1:3">
      <c r="A276" s="683">
        <v>2051</v>
      </c>
      <c r="B276" s="684">
        <v>1.79</v>
      </c>
      <c r="C276" s="698">
        <v>1.02</v>
      </c>
    </row>
    <row r="277" spans="1:3">
      <c r="A277" s="683">
        <v>2052</v>
      </c>
      <c r="B277" s="684">
        <v>1.76</v>
      </c>
      <c r="C277" s="698">
        <v>1.02</v>
      </c>
    </row>
    <row r="278" spans="1:3">
      <c r="A278" s="683">
        <v>2053</v>
      </c>
      <c r="B278" s="684">
        <v>1.74</v>
      </c>
      <c r="C278" s="698">
        <v>1.02</v>
      </c>
    </row>
    <row r="279" spans="1:3">
      <c r="A279" s="683">
        <v>2054</v>
      </c>
      <c r="B279" s="684">
        <v>1.71</v>
      </c>
      <c r="C279" s="698">
        <v>1.02</v>
      </c>
    </row>
    <row r="280" spans="1:3">
      <c r="A280" s="683">
        <v>2055</v>
      </c>
      <c r="B280" s="684">
        <v>1.69</v>
      </c>
      <c r="C280" s="685">
        <v>1.02</v>
      </c>
    </row>
    <row r="281" spans="1:3">
      <c r="A281" s="683">
        <v>2056</v>
      </c>
      <c r="B281" s="684">
        <v>1.66</v>
      </c>
      <c r="C281" s="685">
        <v>1.02</v>
      </c>
    </row>
    <row r="282" spans="1:3">
      <c r="A282" s="683">
        <v>2057</v>
      </c>
      <c r="B282" s="684">
        <v>1.64</v>
      </c>
      <c r="C282" s="685">
        <v>1.02</v>
      </c>
    </row>
    <row r="283" spans="1:3">
      <c r="A283" s="683">
        <v>2058</v>
      </c>
      <c r="B283" s="684">
        <v>1.61</v>
      </c>
      <c r="C283" s="685">
        <v>1.02</v>
      </c>
    </row>
    <row r="284" spans="1:3">
      <c r="A284" s="683">
        <v>2059</v>
      </c>
      <c r="B284" s="684">
        <v>1.58</v>
      </c>
      <c r="C284" s="685">
        <v>1.02</v>
      </c>
    </row>
    <row r="285" spans="1:3">
      <c r="A285" s="683">
        <v>2060</v>
      </c>
      <c r="B285" s="684">
        <v>1.56</v>
      </c>
      <c r="C285" s="685">
        <v>1.02</v>
      </c>
    </row>
    <row r="289" spans="1:2">
      <c r="A289" s="671" t="s">
        <v>1396</v>
      </c>
      <c r="B289" t="s">
        <v>790</v>
      </c>
    </row>
    <row r="290" spans="1:2">
      <c r="A290" s="672" t="s">
        <v>1397</v>
      </c>
      <c r="B290" s="673">
        <v>3.4120000000000001E-3</v>
      </c>
    </row>
    <row r="291" spans="1:2">
      <c r="A291" s="672" t="s">
        <v>1398</v>
      </c>
      <c r="B291" s="672">
        <v>0.1</v>
      </c>
    </row>
  </sheetData>
  <sheetProtection algorithmName="SHA-512" hashValue="6AiMaIO51HhRXcDqFXWelULh8QmUL9jS2CBGmnMtQ2+nuOD8WJL1/gzGjDFfty/nI6XVasMQD9IPvLx1xnHCSQ==" saltValue="FbD0a7tOTpPEohh/RPDjXw==" spinCount="100000" sheet="1" objects="1" scenarios="1"/>
  <sortState xmlns:xlrd2="http://schemas.microsoft.com/office/spreadsheetml/2017/richdata2" ref="AB40:AB62">
    <sortCondition ref="AB39:AB62"/>
  </sortState>
  <mergeCells count="1">
    <mergeCell ref="U83:W83"/>
  </mergeCells>
  <phoneticPr fontId="78" type="noConversion"/>
  <dataValidations disablePrompts="1" count="2">
    <dataValidation type="custom" allowBlank="1" showInputMessage="1" showErrorMessage="1" sqref="L59" xr:uid="{CFA5BE8F-FFB6-421A-8D4A-0D539D5E6A4E}">
      <formula1>"IF(LEN(L59)=INDEX(Table48,MATCH(K59,Table48[Gas Utility Name],0),MATCH(Table48[[#Headers],[Used]],Table48[#Headers],0)),TRUE,FALSE)"</formula1>
    </dataValidation>
    <dataValidation type="textLength" operator="equal" allowBlank="1" showInputMessage="1" showErrorMessage="1" sqref="L60" xr:uid="{C2C2DD93-185C-4249-84A4-C110BB2DF685}">
      <formula1>N60</formula1>
    </dataValidation>
  </dataValidations>
  <hyperlinks>
    <hyperlink ref="D3" r:id="rId1" xr:uid="{2033BF8B-1225-4D2B-95B9-28C9C12D88E9}"/>
    <hyperlink ref="G4" r:id="rId2" xr:uid="{511EE5C4-B275-4390-8B7F-079B99D10D7B}"/>
  </hyperlinks>
  <pageMargins left="0.7" right="0.7" top="0.75" bottom="0.75" header="0.3" footer="0.3"/>
  <pageSetup orientation="portrait" r:id="rId3"/>
  <legacyDrawing r:id="rId4"/>
  <tableParts count="39">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E5C-A001-4DE2-AA43-41CF039070A3}">
  <sheetPr codeName="Sheet26">
    <tabColor rgb="FF142C41"/>
    <pageSetUpPr fitToPage="1"/>
  </sheetPr>
  <dimension ref="A1:EN204"/>
  <sheetViews>
    <sheetView showGridLines="0" showRowColHeaders="0" topLeftCell="B1" zoomScale="90" zoomScaleNormal="90" workbookViewId="0">
      <selection activeCell="C18" sqref="C18:E19"/>
    </sheetView>
  </sheetViews>
  <sheetFormatPr defaultColWidth="0" defaultRowHeight="15" zeroHeight="1"/>
  <cols>
    <col min="1" max="70" width="4.5703125" customWidth="1"/>
    <col min="71" max="71" width="11.5703125" hidden="1" customWidth="1"/>
    <col min="72" max="72" width="80.5703125" hidden="1" customWidth="1"/>
    <col min="73" max="73" width="4.5703125" hidden="1" customWidth="1"/>
    <col min="74" max="76" width="12" hidden="1" customWidth="1"/>
    <col min="77" max="77" width="13.28515625" hidden="1" customWidth="1"/>
    <col min="78" max="78" width="12.85546875" hidden="1" customWidth="1"/>
    <col min="79" max="79" width="4.5703125" hidden="1" customWidth="1"/>
    <col min="80" max="98" width="12" hidden="1" customWidth="1"/>
    <col min="99" max="99" width="12.42578125" hidden="1" customWidth="1"/>
    <col min="100" max="102" width="12" hidden="1" customWidth="1"/>
    <col min="103" max="107" width="12.42578125" hidden="1" customWidth="1"/>
    <col min="108" max="128" width="28.5703125" hidden="1" customWidth="1"/>
    <col min="129" max="129" width="26.7109375" hidden="1" customWidth="1"/>
    <col min="130" max="130" width="15.85546875" hidden="1" customWidth="1"/>
    <col min="131" max="144" width="40.85546875" hidden="1" customWidth="1"/>
    <col min="145" max="16384" width="4.5703125" hidden="1"/>
  </cols>
  <sheetData>
    <row r="1" spans="1:113" ht="16.350000000000001" customHeight="1">
      <c r="A1" s="12"/>
      <c r="B1" s="36"/>
      <c r="C1" s="36"/>
      <c r="D1" s="36"/>
      <c r="E1" s="36"/>
      <c r="F1" s="750" t="str">
        <f>M1S1</f>
        <v>WELCOME</v>
      </c>
      <c r="G1" s="750"/>
      <c r="H1" s="750"/>
      <c r="I1" s="750"/>
      <c r="J1" s="727" t="str">
        <f>M1S2</f>
        <v>INSTRUCTIONS</v>
      </c>
      <c r="K1" s="727"/>
      <c r="L1" s="727"/>
      <c r="M1" s="727"/>
      <c r="P1" s="166"/>
      <c r="Q1" s="166"/>
      <c r="R1" s="166"/>
      <c r="S1" s="166"/>
      <c r="T1" s="166"/>
      <c r="U1" s="166"/>
      <c r="V1" s="166"/>
      <c r="W1" s="189"/>
      <c r="X1" s="190" t="s">
        <v>118</v>
      </c>
      <c r="Y1" s="190"/>
      <c r="Z1" s="190"/>
      <c r="AA1" s="190"/>
      <c r="AB1" s="166"/>
      <c r="AC1" s="166"/>
      <c r="AD1" s="166"/>
      <c r="AE1" s="166"/>
      <c r="AF1" s="166"/>
      <c r="AG1" s="166"/>
      <c r="AH1" s="166"/>
      <c r="AI1" s="166"/>
      <c r="AJ1" s="166"/>
      <c r="AP1" s="734" t="str">
        <f>IF(ACTIVEINSPECT="Yes","Complete "&amp;M5S4,"")</f>
        <v/>
      </c>
      <c r="AQ1" s="734"/>
      <c r="AR1" s="734"/>
      <c r="AS1" s="734"/>
      <c r="AT1" s="730" t="str">
        <f>IF(ACTIVEOFFER="Yes","Sign "&amp;M5S6,"")</f>
        <v>Sign OBR: Repayment Agreement</v>
      </c>
      <c r="AU1" s="730"/>
      <c r="AV1" s="730"/>
      <c r="AW1" s="730"/>
      <c r="AX1" s="730" t="str">
        <f>IF(ACTIVECOMPL="Yes","Sign "&amp;M5S5,"")</f>
        <v xml:space="preserve">Sign Project Completion Certification </v>
      </c>
      <c r="AY1" s="730"/>
      <c r="AZ1" s="730"/>
      <c r="BA1" s="730"/>
      <c r="BB1" s="732" t="str">
        <f>M1S4</f>
        <v>INCENTIVE RATES &amp; REQUIREMENTS</v>
      </c>
      <c r="BC1" s="732"/>
      <c r="BD1" s="732"/>
      <c r="BE1" s="732"/>
      <c r="BF1" s="732"/>
      <c r="BG1" s="732"/>
      <c r="BH1" s="722" t="s">
        <v>119</v>
      </c>
      <c r="BI1" s="723"/>
      <c r="BJ1" s="723"/>
      <c r="BK1" s="723"/>
      <c r="BL1" s="676"/>
      <c r="BM1" s="676"/>
      <c r="BN1" s="676"/>
      <c r="BO1" s="676"/>
      <c r="BP1" s="676"/>
      <c r="BQ1" s="676"/>
      <c r="BR1" s="676"/>
    </row>
    <row r="2" spans="1:113" ht="16.350000000000001" customHeight="1">
      <c r="B2" s="36"/>
      <c r="C2" s="36"/>
      <c r="D2" s="36"/>
      <c r="E2" s="36"/>
      <c r="F2" s="750"/>
      <c r="G2" s="750"/>
      <c r="H2" s="750"/>
      <c r="I2" s="750"/>
      <c r="J2" s="728"/>
      <c r="K2" s="728"/>
      <c r="L2" s="728"/>
      <c r="M2" s="728"/>
      <c r="P2" s="166"/>
      <c r="Q2" s="166"/>
      <c r="R2" s="166"/>
      <c r="S2" s="166"/>
      <c r="T2" s="166"/>
      <c r="U2" s="166"/>
      <c r="V2" s="166"/>
      <c r="W2" s="189"/>
      <c r="X2" s="190"/>
      <c r="Y2" s="190"/>
      <c r="Z2" s="190"/>
      <c r="AA2" s="190"/>
      <c r="AB2" s="166"/>
      <c r="AC2" s="166"/>
      <c r="AD2" s="166"/>
      <c r="AE2" s="166"/>
      <c r="AF2" s="166"/>
      <c r="AG2" s="166"/>
      <c r="AH2" s="166"/>
      <c r="AI2" s="166"/>
      <c r="AJ2" s="166"/>
      <c r="AP2" s="734"/>
      <c r="AQ2" s="734"/>
      <c r="AR2" s="734"/>
      <c r="AS2" s="734"/>
      <c r="AT2" s="730"/>
      <c r="AU2" s="730"/>
      <c r="AV2" s="730"/>
      <c r="AW2" s="730"/>
      <c r="AX2" s="730"/>
      <c r="AY2" s="730"/>
      <c r="AZ2" s="730"/>
      <c r="BA2" s="730"/>
      <c r="BB2" s="732"/>
      <c r="BC2" s="732"/>
      <c r="BD2" s="732"/>
      <c r="BE2" s="732"/>
      <c r="BF2" s="732"/>
      <c r="BG2" s="732"/>
      <c r="BH2" s="723"/>
      <c r="BI2" s="723"/>
      <c r="BJ2" s="723"/>
      <c r="BK2" s="723"/>
      <c r="BL2" s="676"/>
      <c r="BM2" s="676"/>
      <c r="BN2" s="676"/>
      <c r="BO2" s="676"/>
      <c r="BP2" s="676"/>
      <c r="BQ2" s="676"/>
      <c r="BR2" s="676"/>
    </row>
    <row r="3" spans="1:113" s="614" customFormat="1" ht="16.350000000000001" customHeight="1" thickBot="1">
      <c r="B3" s="627"/>
      <c r="C3" s="627"/>
      <c r="D3" s="627"/>
      <c r="E3" s="627"/>
      <c r="F3" s="875"/>
      <c r="G3" s="875"/>
      <c r="H3" s="875"/>
      <c r="I3" s="875"/>
      <c r="J3" s="876"/>
      <c r="K3" s="876"/>
      <c r="L3" s="876"/>
      <c r="M3" s="876"/>
      <c r="P3" s="608"/>
      <c r="Q3" s="608"/>
      <c r="R3" s="608"/>
      <c r="S3" s="608"/>
      <c r="T3" s="608"/>
      <c r="U3" s="608"/>
      <c r="V3" s="608"/>
      <c r="W3" s="608"/>
      <c r="X3" s="609"/>
      <c r="Y3" s="609"/>
      <c r="Z3" s="609"/>
      <c r="AA3" s="609"/>
      <c r="AP3" s="868"/>
      <c r="AQ3" s="868"/>
      <c r="AR3" s="868"/>
      <c r="AS3" s="868"/>
      <c r="AT3" s="869"/>
      <c r="AU3" s="869"/>
      <c r="AV3" s="869"/>
      <c r="AW3" s="869"/>
      <c r="AX3" s="869"/>
      <c r="AY3" s="869"/>
      <c r="AZ3" s="869"/>
      <c r="BA3" s="869"/>
      <c r="BB3" s="1009"/>
      <c r="BC3" s="1009"/>
      <c r="BD3" s="1009"/>
      <c r="BE3" s="1009"/>
      <c r="BF3" s="1009"/>
      <c r="BG3" s="1009"/>
      <c r="BH3" s="871"/>
      <c r="BI3" s="871"/>
      <c r="BJ3" s="871"/>
      <c r="BK3" s="871"/>
      <c r="BL3" s="677"/>
      <c r="BM3" s="677"/>
      <c r="BN3" s="677"/>
      <c r="BO3" s="677"/>
      <c r="BP3" s="677"/>
      <c r="BQ3" s="677"/>
      <c r="BR3" s="677"/>
    </row>
    <row r="4" spans="1:113" s="496" customFormat="1" ht="16.350000000000001" customHeight="1">
      <c r="A4" s="632"/>
      <c r="B4" s="632"/>
      <c r="C4" s="632"/>
      <c r="D4" s="632"/>
      <c r="E4" s="632"/>
      <c r="F4" s="632"/>
      <c r="G4" s="632"/>
      <c r="H4" s="632"/>
      <c r="I4" s="632"/>
      <c r="J4" s="632"/>
      <c r="K4" s="632"/>
      <c r="L4" s="632"/>
      <c r="M4" s="632"/>
      <c r="N4" s="633"/>
      <c r="O4" s="498"/>
      <c r="P4" s="632"/>
      <c r="Q4" s="632"/>
      <c r="R4" s="632"/>
      <c r="S4" s="632"/>
      <c r="T4" s="634" t="s">
        <v>707</v>
      </c>
      <c r="U4" s="635" t="str">
        <f>M05S07F07</f>
        <v>Custom</v>
      </c>
      <c r="V4" s="497"/>
      <c r="W4" s="497"/>
      <c r="X4" s="636"/>
      <c r="Y4" s="636"/>
      <c r="Z4" s="636"/>
      <c r="AA4" s="632"/>
      <c r="AB4" s="632"/>
      <c r="AC4" s="634" t="s">
        <v>708</v>
      </c>
      <c r="AD4" s="635" t="str">
        <f>IF(M02S02F02="","[Project Name]",LEFT(M02S02F02,25))</f>
        <v>[Project Name]</v>
      </c>
      <c r="AE4" s="497"/>
      <c r="AF4" s="647"/>
      <c r="AG4" s="647"/>
      <c r="AH4" s="647"/>
      <c r="AI4" s="647"/>
      <c r="AJ4" s="647"/>
      <c r="AK4" s="647"/>
      <c r="AL4" s="634" t="s">
        <v>709</v>
      </c>
      <c r="AM4" s="637" t="str">
        <f>IF(M02S02F27="Yes",Status_Final,Status_Pre)</f>
        <v>Draft Pre-Application</v>
      </c>
      <c r="AN4" s="497"/>
      <c r="AO4" s="498"/>
      <c r="AP4" s="632"/>
      <c r="AQ4" s="632"/>
      <c r="AR4" s="498"/>
      <c r="AS4" s="498"/>
      <c r="AT4" s="632"/>
      <c r="AU4" s="632"/>
      <c r="AV4" s="632"/>
      <c r="AW4" s="634" t="s">
        <v>710</v>
      </c>
      <c r="AX4" s="872">
        <f>Incent_Total_Cap_All</f>
        <v>0</v>
      </c>
      <c r="AY4" s="872"/>
      <c r="AZ4" s="872"/>
      <c r="BA4" s="872"/>
      <c r="BB4" s="873" t="s">
        <v>711</v>
      </c>
      <c r="BC4" s="873"/>
      <c r="BD4" s="873"/>
      <c r="BE4" s="873"/>
      <c r="BF4" s="873"/>
      <c r="BG4" s="872" t="str">
        <f>OBR_Amount_Requested</f>
        <v/>
      </c>
      <c r="BH4" s="872"/>
      <c r="BI4" s="872"/>
      <c r="BJ4" s="872"/>
      <c r="BK4" s="498"/>
      <c r="BL4" s="617"/>
      <c r="BM4" s="617"/>
      <c r="BN4" s="617"/>
      <c r="BO4" s="617"/>
      <c r="BP4" s="617"/>
      <c r="BQ4" s="617"/>
      <c r="BR4" s="617"/>
    </row>
    <row r="5" spans="1:113"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142"/>
      <c r="BK5" s="142"/>
    </row>
    <row r="6" spans="1:113"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113"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113"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14"/>
      <c r="BK8" s="614"/>
    </row>
    <row r="9" spans="1:113" s="43" customFormat="1" ht="16.350000000000001" customHeight="1">
      <c r="B9" s="44"/>
      <c r="C9" s="44"/>
      <c r="D9" s="44"/>
      <c r="E9" s="44"/>
      <c r="K9" s="1025" t="str">
        <f>M4S2</f>
        <v>Lighting &amp; Lighting Controls</v>
      </c>
      <c r="L9" s="1026"/>
      <c r="M9" s="1026"/>
      <c r="N9" s="1026"/>
      <c r="O9" s="1005" t="str">
        <f>M4S3</f>
        <v>HVAC</v>
      </c>
      <c r="P9" s="1005"/>
      <c r="Q9" s="1005"/>
      <c r="R9" s="1005"/>
      <c r="S9" s="1005" t="str">
        <f>M4S4</f>
        <v>Heating</v>
      </c>
      <c r="T9" s="1005"/>
      <c r="U9" s="1005"/>
      <c r="V9" s="1005"/>
      <c r="W9" s="1005" t="str">
        <f>M4S5</f>
        <v>Water Heating &amp; Boilers</v>
      </c>
      <c r="X9" s="1005"/>
      <c r="Y9" s="1005"/>
      <c r="Z9" s="1005"/>
      <c r="AA9" s="1029" t="str">
        <f>M4S6</f>
        <v>Refrigeration</v>
      </c>
      <c r="AB9" s="1030"/>
      <c r="AC9" s="1030"/>
      <c r="AD9" s="1030"/>
      <c r="AE9" s="1031"/>
      <c r="AF9" s="1010" t="str">
        <f>M4S7</f>
        <v>Food Service</v>
      </c>
      <c r="AG9" s="1011"/>
      <c r="AH9" s="1011"/>
      <c r="AI9" s="1011"/>
      <c r="AJ9" s="1012"/>
      <c r="AK9" s="1010" t="str">
        <f>M4S8</f>
        <v>Agriculture</v>
      </c>
      <c r="AL9" s="1011"/>
      <c r="AM9" s="1011"/>
      <c r="AN9" s="1011"/>
      <c r="AO9" s="1012"/>
      <c r="AP9" s="1005" t="str">
        <f>M4S9</f>
        <v>Plug Load</v>
      </c>
      <c r="AQ9" s="1005"/>
      <c r="AR9" s="1005"/>
      <c r="AS9" s="1005"/>
      <c r="AT9" s="1005" t="str">
        <f>M4S10</f>
        <v>Residential Appliances</v>
      </c>
      <c r="AU9" s="1005"/>
      <c r="AV9" s="1005"/>
      <c r="AW9" s="1005"/>
      <c r="AX9" s="1005" t="str">
        <f>M4S11</f>
        <v>Miscellaneous</v>
      </c>
      <c r="AY9" s="1005"/>
      <c r="AZ9" s="1005"/>
      <c r="BA9" s="1005"/>
      <c r="BF9" s="122"/>
      <c r="BG9" s="122"/>
      <c r="BH9" s="122"/>
      <c r="BI9" s="122"/>
      <c r="BJ9" s="122"/>
      <c r="BK9" s="122"/>
      <c r="BL9" s="122"/>
      <c r="BM9" s="122"/>
      <c r="BN9" s="122"/>
      <c r="BO9" s="122"/>
      <c r="BP9" s="122"/>
      <c r="BQ9" s="122"/>
      <c r="BR9" s="122"/>
      <c r="DD9"/>
      <c r="DE9"/>
      <c r="DF9"/>
      <c r="DG9"/>
      <c r="DH9"/>
      <c r="DI9"/>
    </row>
    <row r="10" spans="1:113" s="43" customFormat="1" ht="16.350000000000001" customHeight="1">
      <c r="B10" s="44"/>
      <c r="C10" s="44"/>
      <c r="D10" s="44"/>
      <c r="E10" s="44"/>
      <c r="K10" s="1025"/>
      <c r="L10" s="1026"/>
      <c r="M10" s="1026"/>
      <c r="N10" s="1026"/>
      <c r="O10" s="1005"/>
      <c r="P10" s="1005"/>
      <c r="Q10" s="1005"/>
      <c r="R10" s="1005"/>
      <c r="S10" s="1005"/>
      <c r="T10" s="1005"/>
      <c r="U10" s="1005"/>
      <c r="V10" s="1005"/>
      <c r="W10" s="1005"/>
      <c r="X10" s="1005"/>
      <c r="Y10" s="1005"/>
      <c r="Z10" s="1005"/>
      <c r="AA10" s="1032"/>
      <c r="AB10" s="1033"/>
      <c r="AC10" s="1033"/>
      <c r="AD10" s="1033"/>
      <c r="AE10" s="1034"/>
      <c r="AF10" s="1013"/>
      <c r="AG10" s="1014"/>
      <c r="AH10" s="1014"/>
      <c r="AI10" s="1014"/>
      <c r="AJ10" s="1015"/>
      <c r="AK10" s="1013"/>
      <c r="AL10" s="1014"/>
      <c r="AM10" s="1014"/>
      <c r="AN10" s="1014"/>
      <c r="AO10" s="1015"/>
      <c r="AP10" s="1005"/>
      <c r="AQ10" s="1005"/>
      <c r="AR10" s="1005"/>
      <c r="AS10" s="1005"/>
      <c r="AT10" s="1005"/>
      <c r="AU10" s="1005"/>
      <c r="AV10" s="1005"/>
      <c r="AW10" s="1005"/>
      <c r="AX10" s="1005"/>
      <c r="AY10" s="1005"/>
      <c r="AZ10" s="1005"/>
      <c r="BA10" s="1005"/>
      <c r="BF10" s="171"/>
      <c r="BG10" s="171"/>
      <c r="BH10" s="171"/>
      <c r="BI10" s="171"/>
      <c r="BJ10" s="122"/>
      <c r="BK10" s="122"/>
      <c r="BL10" s="122"/>
      <c r="BM10" s="122"/>
      <c r="BN10" s="122"/>
      <c r="BO10" s="122"/>
      <c r="BP10" s="122"/>
      <c r="BQ10" s="122"/>
      <c r="BR10" s="122"/>
      <c r="DD10"/>
      <c r="DE10"/>
      <c r="DF10"/>
      <c r="DG10"/>
      <c r="DH10"/>
      <c r="DI10"/>
    </row>
    <row r="11" spans="1:113" ht="16.350000000000001" customHeight="1">
      <c r="B11" s="49"/>
      <c r="C11" s="49"/>
      <c r="D11" s="49"/>
      <c r="E11" s="49"/>
      <c r="K11" s="1027"/>
      <c r="L11" s="1028"/>
      <c r="M11" s="1028"/>
      <c r="N11" s="1028"/>
      <c r="O11" s="1006"/>
      <c r="P11" s="1006"/>
      <c r="Q11" s="1006"/>
      <c r="R11" s="1006"/>
      <c r="S11" s="1006"/>
      <c r="T11" s="1006"/>
      <c r="U11" s="1006"/>
      <c r="V11" s="1006"/>
      <c r="W11" s="1006"/>
      <c r="X11" s="1006"/>
      <c r="Y11" s="1006"/>
      <c r="Z11" s="1006"/>
      <c r="AA11" s="1035"/>
      <c r="AB11" s="1036"/>
      <c r="AC11" s="1036"/>
      <c r="AD11" s="1036"/>
      <c r="AE11" s="1037"/>
      <c r="AF11" s="1016"/>
      <c r="AG11" s="1017"/>
      <c r="AH11" s="1017"/>
      <c r="AI11" s="1017"/>
      <c r="AJ11" s="1018"/>
      <c r="AK11" s="1016"/>
      <c r="AL11" s="1017"/>
      <c r="AM11" s="1017"/>
      <c r="AN11" s="1017"/>
      <c r="AO11" s="1018"/>
      <c r="AP11" s="1006"/>
      <c r="AQ11" s="1006"/>
      <c r="AR11" s="1006"/>
      <c r="AS11" s="1006"/>
      <c r="AT11" s="1006"/>
      <c r="AU11" s="1006"/>
      <c r="AV11" s="1006"/>
      <c r="AW11" s="1006"/>
      <c r="AX11" s="1006"/>
      <c r="AY11" s="1006"/>
      <c r="AZ11" s="1006"/>
      <c r="BA11" s="1006"/>
      <c r="BF11" s="171"/>
      <c r="BG11" s="171"/>
      <c r="BH11" s="171"/>
      <c r="BI11" s="171"/>
      <c r="BJ11" s="122"/>
      <c r="BK11" s="122"/>
      <c r="BL11" s="122"/>
      <c r="BM11" s="122"/>
      <c r="BN11" s="122"/>
      <c r="BO11" s="122"/>
      <c r="BP11" s="122"/>
      <c r="BQ11" s="122"/>
      <c r="BR11" s="122"/>
    </row>
    <row r="12" spans="1:113" ht="16.350000000000001" customHeight="1">
      <c r="A12" s="41"/>
      <c r="B12" s="41"/>
      <c r="O12" s="149"/>
      <c r="P12" s="149"/>
      <c r="Q12" s="149"/>
      <c r="R12" s="149"/>
      <c r="S12" s="149"/>
      <c r="Y12" s="1004">
        <f>IFERROR(SUM(BF18:BG37,AQ14),0)</f>
        <v>0</v>
      </c>
      <c r="Z12" s="1004"/>
      <c r="AA12" s="1004"/>
      <c r="AB12" s="1004"/>
      <c r="AC12" s="1004">
        <f>IFERROR(SUM(BH18:BJ225),0)</f>
        <v>0</v>
      </c>
      <c r="AD12" s="1004"/>
      <c r="AE12" s="1004"/>
      <c r="AF12" s="1004"/>
      <c r="AG12" s="1004"/>
      <c r="AH12" s="1007">
        <f>IFERROR(SUMIF(BH18:BJ225,"&gt;0",BK18:BM225),0)</f>
        <v>0</v>
      </c>
      <c r="AI12" s="1007"/>
      <c r="AJ12" s="1007"/>
      <c r="AK12" s="1007"/>
      <c r="AL12" s="1008">
        <f>IFERROR(SUMIF(BH18:BJ225,"&gt;0",BN18:BP225),0)</f>
        <v>0</v>
      </c>
      <c r="AM12" s="1008"/>
      <c r="AN12" s="1008"/>
      <c r="AO12" s="1008"/>
      <c r="AQ12" s="1019" t="s">
        <v>1399</v>
      </c>
      <c r="AR12" s="1019"/>
      <c r="AS12" s="1019"/>
      <c r="AT12" s="1019"/>
      <c r="AU12" s="1019"/>
      <c r="AV12" s="1019"/>
      <c r="AW12" s="1019"/>
      <c r="AX12" s="1019"/>
      <c r="AY12" s="1019"/>
      <c r="AZ12" s="1019"/>
      <c r="BA12" s="1019"/>
      <c r="CW12" s="1041" t="s">
        <v>1400</v>
      </c>
      <c r="CX12" s="1041"/>
      <c r="CY12" s="1041"/>
    </row>
    <row r="13" spans="1:113" ht="16.350000000000001" customHeight="1">
      <c r="A13" s="41"/>
      <c r="B13" s="41"/>
      <c r="H13" t="s">
        <v>118</v>
      </c>
      <c r="Y13" s="1004"/>
      <c r="Z13" s="1004"/>
      <c r="AA13" s="1004"/>
      <c r="AB13" s="1004"/>
      <c r="AC13" s="1004"/>
      <c r="AD13" s="1004"/>
      <c r="AE13" s="1004"/>
      <c r="AF13" s="1004"/>
      <c r="AG13" s="1004"/>
      <c r="AH13" s="1007"/>
      <c r="AI13" s="1007"/>
      <c r="AJ13" s="1007"/>
      <c r="AK13" s="1007"/>
      <c r="AL13" s="1008"/>
      <c r="AM13" s="1008"/>
      <c r="AN13" s="1008"/>
      <c r="AO13" s="1008"/>
      <c r="AQ13" s="1020"/>
      <c r="AR13" s="1020"/>
      <c r="AS13" s="1020"/>
      <c r="AT13" s="1020"/>
      <c r="AU13" s="1020"/>
      <c r="AV13" s="1020"/>
      <c r="AW13" s="1020"/>
      <c r="AX13" s="1020"/>
      <c r="AY13" s="1020"/>
      <c r="AZ13" s="1020"/>
      <c r="BA13" s="1020"/>
      <c r="CW13" s="1041"/>
      <c r="CX13" s="1041"/>
      <c r="CY13" s="1041"/>
    </row>
    <row r="14" spans="1:113" ht="16.350000000000001" customHeight="1">
      <c r="Y14" s="1003" t="s">
        <v>1401</v>
      </c>
      <c r="Z14" s="1003"/>
      <c r="AA14" s="1003"/>
      <c r="AB14" s="1003"/>
      <c r="AC14" s="1003" t="s">
        <v>1402</v>
      </c>
      <c r="AD14" s="1003"/>
      <c r="AE14" s="1003"/>
      <c r="AF14" s="1003"/>
      <c r="AG14" s="1003"/>
      <c r="AH14" s="1003" t="s">
        <v>1403</v>
      </c>
      <c r="AI14" s="1003"/>
      <c r="AJ14" s="1003"/>
      <c r="AK14" s="1003"/>
      <c r="AL14" s="1003" t="s">
        <v>1403</v>
      </c>
      <c r="AM14" s="1003"/>
      <c r="AN14" s="1003"/>
      <c r="AO14" s="1003"/>
      <c r="AQ14" s="1021"/>
      <c r="AR14" s="1021"/>
      <c r="AS14" s="1021"/>
      <c r="AT14" s="1021"/>
      <c r="AU14" s="1021"/>
      <c r="AV14" s="1021"/>
      <c r="AW14" s="1021"/>
      <c r="AX14" s="1021"/>
      <c r="AY14" s="1021"/>
      <c r="AZ14" s="1021"/>
      <c r="BA14" s="1021"/>
      <c r="BV14" s="1040" t="s">
        <v>1404</v>
      </c>
      <c r="BW14" s="1040"/>
      <c r="BX14" s="1040"/>
      <c r="BY14" s="1040"/>
      <c r="BZ14" s="1040"/>
      <c r="CW14" s="595"/>
      <c r="CX14" s="595"/>
      <c r="CY14" s="595"/>
    </row>
    <row r="15" spans="1:113" ht="16.350000000000001" customHeight="1">
      <c r="L15" s="1038" t="s">
        <v>1405</v>
      </c>
      <c r="M15" s="1038"/>
      <c r="N15" s="1038"/>
      <c r="O15" s="1038"/>
      <c r="P15" s="1038"/>
      <c r="Q15" s="1038"/>
      <c r="R15" s="1038"/>
      <c r="S15" s="1038"/>
      <c r="T15" s="1038"/>
      <c r="U15" s="1038"/>
      <c r="V15" s="1038"/>
      <c r="W15" s="1038"/>
      <c r="X15" s="1038"/>
      <c r="Y15" s="1038"/>
      <c r="Z15" s="1038"/>
      <c r="AA15" s="1038" t="s">
        <v>1406</v>
      </c>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679"/>
      <c r="AW15" s="679"/>
      <c r="AX15" s="679"/>
      <c r="AY15" s="679"/>
      <c r="AZ15" s="679"/>
      <c r="BA15" s="679"/>
      <c r="BV15" s="1040"/>
      <c r="BW15" s="1040"/>
      <c r="BX15" s="1040"/>
      <c r="BY15" s="1040"/>
      <c r="BZ15" s="1040"/>
    </row>
    <row r="16" spans="1:113" ht="16.350000000000001" customHeight="1">
      <c r="C16" s="992" t="s">
        <v>1407</v>
      </c>
      <c r="D16" s="992"/>
      <c r="E16" s="992"/>
      <c r="F16" s="991" t="s">
        <v>1408</v>
      </c>
      <c r="G16" s="991"/>
      <c r="H16" s="991"/>
      <c r="I16" s="991"/>
      <c r="J16" s="991"/>
      <c r="K16" s="991"/>
      <c r="L16" s="991" t="s">
        <v>1409</v>
      </c>
      <c r="M16" s="991"/>
      <c r="N16" s="991"/>
      <c r="O16" s="991"/>
      <c r="P16" s="991"/>
      <c r="Q16" s="991"/>
      <c r="R16" s="991" t="s">
        <v>1410</v>
      </c>
      <c r="S16" s="991"/>
      <c r="T16" s="991"/>
      <c r="U16" s="991" t="s">
        <v>1411</v>
      </c>
      <c r="V16" s="991"/>
      <c r="W16" s="991"/>
      <c r="X16" s="991" t="s">
        <v>1412</v>
      </c>
      <c r="Y16" s="991"/>
      <c r="Z16" s="991"/>
      <c r="AA16" s="991" t="s">
        <v>1413</v>
      </c>
      <c r="AB16" s="991"/>
      <c r="AC16" s="991"/>
      <c r="AD16" s="1022" t="s">
        <v>1409</v>
      </c>
      <c r="AE16" s="991"/>
      <c r="AF16" s="991"/>
      <c r="AG16" s="991"/>
      <c r="AH16" s="991"/>
      <c r="AI16" s="991"/>
      <c r="AJ16" s="991" t="s">
        <v>1410</v>
      </c>
      <c r="AK16" s="991"/>
      <c r="AL16" s="991"/>
      <c r="AM16" s="991" t="s">
        <v>1411</v>
      </c>
      <c r="AN16" s="991"/>
      <c r="AO16" s="991"/>
      <c r="AP16" s="991" t="s">
        <v>1412</v>
      </c>
      <c r="AQ16" s="991"/>
      <c r="AR16" s="991"/>
      <c r="AS16" s="991" t="s">
        <v>1413</v>
      </c>
      <c r="AT16" s="991"/>
      <c r="AU16" s="991"/>
      <c r="AV16" s="1024" t="s">
        <v>1414</v>
      </c>
      <c r="AW16" s="1024"/>
      <c r="AX16" s="1024"/>
      <c r="AY16" s="1024" t="s">
        <v>1415</v>
      </c>
      <c r="AZ16" s="1024"/>
      <c r="BA16" s="1024"/>
      <c r="BB16" s="989" t="s">
        <v>1416</v>
      </c>
      <c r="BC16" s="989"/>
      <c r="BD16" s="989"/>
      <c r="BE16" s="989"/>
      <c r="BF16" s="991" t="s">
        <v>224</v>
      </c>
      <c r="BG16" s="991"/>
      <c r="BH16" s="984" t="s">
        <v>1417</v>
      </c>
      <c r="BI16" s="984"/>
      <c r="BJ16" s="984"/>
      <c r="BK16" s="992" t="s">
        <v>1418</v>
      </c>
      <c r="BL16" s="992"/>
      <c r="BM16" s="992"/>
      <c r="BN16" s="992" t="s">
        <v>1419</v>
      </c>
      <c r="BO16" s="992"/>
      <c r="BP16" s="992"/>
      <c r="BS16" s="987" t="s">
        <v>1420</v>
      </c>
      <c r="BT16" s="987" t="s">
        <v>1421</v>
      </c>
      <c r="BV16" s="987" t="s">
        <v>1422</v>
      </c>
      <c r="BW16" s="987" t="s">
        <v>1423</v>
      </c>
      <c r="BX16" s="987" t="s">
        <v>1424</v>
      </c>
      <c r="BY16" s="987" t="s">
        <v>1425</v>
      </c>
      <c r="BZ16" s="987" t="s">
        <v>1426</v>
      </c>
      <c r="CB16" s="987" t="s">
        <v>1427</v>
      </c>
      <c r="CC16" s="987" t="s">
        <v>779</v>
      </c>
      <c r="CD16" s="987" t="s">
        <v>1428</v>
      </c>
      <c r="CE16" s="987" t="s">
        <v>1429</v>
      </c>
      <c r="CF16" s="987" t="s">
        <v>1430</v>
      </c>
      <c r="CG16" s="987" t="s">
        <v>1431</v>
      </c>
      <c r="CH16" s="987" t="s">
        <v>1432</v>
      </c>
      <c r="CI16" s="987" t="s">
        <v>1433</v>
      </c>
      <c r="CJ16" s="987" t="s">
        <v>1434</v>
      </c>
      <c r="CK16" s="987" t="s">
        <v>1435</v>
      </c>
      <c r="CL16" s="987" t="s">
        <v>1436</v>
      </c>
      <c r="CM16" s="987" t="s">
        <v>1437</v>
      </c>
      <c r="CN16" s="987" t="s">
        <v>1438</v>
      </c>
      <c r="CO16" s="987" t="s">
        <v>1439</v>
      </c>
      <c r="CP16" s="987" t="s">
        <v>1440</v>
      </c>
      <c r="CQ16" s="987" t="s">
        <v>1441</v>
      </c>
      <c r="CR16" s="987" t="s">
        <v>1442</v>
      </c>
      <c r="CS16" s="987" t="s">
        <v>1443</v>
      </c>
      <c r="CT16" s="987" t="s">
        <v>1444</v>
      </c>
      <c r="CU16" s="987" t="s">
        <v>1445</v>
      </c>
      <c r="CV16" s="919" t="s">
        <v>1446</v>
      </c>
      <c r="CW16" s="919" t="s">
        <v>1447</v>
      </c>
      <c r="CX16" s="919" t="s">
        <v>1448</v>
      </c>
      <c r="CY16" s="1042" t="s">
        <v>1449</v>
      </c>
      <c r="CZ16" s="1042" t="s">
        <v>1450</v>
      </c>
      <c r="DA16" s="678"/>
      <c r="DB16" s="678"/>
      <c r="DC16" s="678"/>
    </row>
    <row r="17" spans="1:144" ht="16.350000000000001" customHeight="1">
      <c r="B17" s="12"/>
      <c r="C17" s="993"/>
      <c r="D17" s="993"/>
      <c r="E17" s="993"/>
      <c r="F17" s="990"/>
      <c r="G17" s="990"/>
      <c r="H17" s="990"/>
      <c r="I17" s="990"/>
      <c r="J17" s="990"/>
      <c r="K17" s="990"/>
      <c r="L17" s="990"/>
      <c r="M17" s="990"/>
      <c r="N17" s="990"/>
      <c r="O17" s="990"/>
      <c r="P17" s="990"/>
      <c r="Q17" s="990"/>
      <c r="R17" s="991"/>
      <c r="S17" s="991"/>
      <c r="T17" s="991"/>
      <c r="U17" s="991"/>
      <c r="V17" s="991"/>
      <c r="W17" s="991"/>
      <c r="X17" s="991"/>
      <c r="Y17" s="991"/>
      <c r="Z17" s="991"/>
      <c r="AA17" s="991"/>
      <c r="AB17" s="991"/>
      <c r="AC17" s="991"/>
      <c r="AD17" s="1023"/>
      <c r="AE17" s="990"/>
      <c r="AF17" s="990"/>
      <c r="AG17" s="990"/>
      <c r="AH17" s="990"/>
      <c r="AI17" s="990"/>
      <c r="AJ17" s="990"/>
      <c r="AK17" s="990"/>
      <c r="AL17" s="990"/>
      <c r="AM17" s="990"/>
      <c r="AN17" s="990"/>
      <c r="AO17" s="990"/>
      <c r="AP17" s="990"/>
      <c r="AQ17" s="990"/>
      <c r="AR17" s="990"/>
      <c r="AS17" s="990"/>
      <c r="AT17" s="990"/>
      <c r="AU17" s="990"/>
      <c r="AV17" s="1039" t="s">
        <v>1451</v>
      </c>
      <c r="AW17" s="1039"/>
      <c r="AX17" s="1039"/>
      <c r="AY17" s="1039"/>
      <c r="AZ17" s="1039"/>
      <c r="BA17" s="1039"/>
      <c r="BB17" s="990" t="s">
        <v>1452</v>
      </c>
      <c r="BC17" s="990"/>
      <c r="BD17" s="990" t="s">
        <v>1453</v>
      </c>
      <c r="BE17" s="990"/>
      <c r="BF17" s="990"/>
      <c r="BG17" s="990"/>
      <c r="BH17" s="985"/>
      <c r="BI17" s="985"/>
      <c r="BJ17" s="985"/>
      <c r="BK17" s="993"/>
      <c r="BL17" s="993"/>
      <c r="BM17" s="993"/>
      <c r="BN17" s="993"/>
      <c r="BO17" s="993"/>
      <c r="BP17" s="993"/>
      <c r="BS17" s="987"/>
      <c r="BT17" s="987"/>
      <c r="BV17" s="988"/>
      <c r="BW17" s="988"/>
      <c r="BX17" s="988"/>
      <c r="BY17" s="988"/>
      <c r="BZ17" s="988"/>
      <c r="CB17" s="988"/>
      <c r="CC17" s="988"/>
      <c r="CD17" s="988"/>
      <c r="CE17" s="988"/>
      <c r="CF17" s="988"/>
      <c r="CG17" s="988"/>
      <c r="CH17" s="988"/>
      <c r="CI17" s="988"/>
      <c r="CJ17" s="988"/>
      <c r="CK17" s="988"/>
      <c r="CL17" s="988"/>
      <c r="CM17" s="988"/>
      <c r="CN17" s="988"/>
      <c r="CO17" s="988"/>
      <c r="CP17" s="988"/>
      <c r="CQ17" s="988"/>
      <c r="CR17" s="988"/>
      <c r="CS17" s="988"/>
      <c r="CT17" s="988"/>
      <c r="CU17" s="987"/>
      <c r="CV17" s="919"/>
      <c r="CW17" s="919"/>
      <c r="CX17" s="919"/>
      <c r="CY17" s="1042"/>
      <c r="CZ17" s="1042"/>
      <c r="DA17" s="678"/>
      <c r="DB17" s="678"/>
      <c r="DC17" s="678"/>
      <c r="DD17" s="670" t="s">
        <v>1454</v>
      </c>
      <c r="DE17" s="670" t="s">
        <v>1455</v>
      </c>
      <c r="DF17" s="670" t="s">
        <v>1456</v>
      </c>
      <c r="DG17" s="670" t="s">
        <v>1457</v>
      </c>
      <c r="DH17" s="670" t="s">
        <v>1458</v>
      </c>
      <c r="DI17" s="670" t="s">
        <v>1459</v>
      </c>
      <c r="DJ17" s="670" t="s">
        <v>1460</v>
      </c>
      <c r="DK17" s="670" t="s">
        <v>1461</v>
      </c>
      <c r="DL17" s="670" t="s">
        <v>1462</v>
      </c>
      <c r="DM17" s="670" t="s">
        <v>1463</v>
      </c>
      <c r="DN17" s="670" t="s">
        <v>1464</v>
      </c>
      <c r="DO17" s="670" t="s">
        <v>1465</v>
      </c>
      <c r="DP17" s="670" t="s">
        <v>1466</v>
      </c>
      <c r="DQ17" s="670" t="s">
        <v>1467</v>
      </c>
      <c r="DR17" s="670" t="s">
        <v>1468</v>
      </c>
      <c r="DS17" s="670" t="s">
        <v>1469</v>
      </c>
      <c r="DT17" s="670" t="s">
        <v>1470</v>
      </c>
      <c r="DU17" s="670" t="s">
        <v>1471</v>
      </c>
      <c r="DV17" s="670" t="s">
        <v>1472</v>
      </c>
      <c r="DW17" s="670" t="s">
        <v>1473</v>
      </c>
      <c r="DX17" s="670" t="s">
        <v>1474</v>
      </c>
      <c r="DY17" s="670" t="s">
        <v>1475</v>
      </c>
      <c r="DZ17" s="670" t="s">
        <v>1476</v>
      </c>
      <c r="EA17" s="703" t="s">
        <v>1477</v>
      </c>
      <c r="EB17" s="703" t="s">
        <v>1478</v>
      </c>
      <c r="EC17" s="703" t="s">
        <v>1479</v>
      </c>
      <c r="ED17" s="703" t="s">
        <v>1480</v>
      </c>
      <c r="EE17" s="703" t="s">
        <v>1481</v>
      </c>
      <c r="EF17" s="703" t="s">
        <v>1482</v>
      </c>
      <c r="EG17" s="703" t="s">
        <v>1483</v>
      </c>
      <c r="EH17" s="703" t="s">
        <v>1484</v>
      </c>
      <c r="EI17" s="703" t="s">
        <v>1485</v>
      </c>
      <c r="EJ17" s="703" t="s">
        <v>1486</v>
      </c>
      <c r="EK17" s="703" t="s">
        <v>1487</v>
      </c>
      <c r="EL17" s="703" t="s">
        <v>1488</v>
      </c>
      <c r="EM17" s="703" t="s">
        <v>1489</v>
      </c>
      <c r="EN17" s="703" t="s">
        <v>1490</v>
      </c>
    </row>
    <row r="18" spans="1:144" ht="16.350000000000001" customHeight="1">
      <c r="A18" s="462"/>
      <c r="B18" s="994">
        <v>1</v>
      </c>
      <c r="C18" s="995"/>
      <c r="D18" s="996"/>
      <c r="E18" s="997"/>
      <c r="F18" s="961"/>
      <c r="G18" s="962"/>
      <c r="H18" s="962"/>
      <c r="I18" s="962"/>
      <c r="J18" s="962"/>
      <c r="K18" s="963"/>
      <c r="L18" s="961"/>
      <c r="M18" s="962"/>
      <c r="N18" s="962"/>
      <c r="O18" s="962"/>
      <c r="P18" s="962"/>
      <c r="Q18" s="963"/>
      <c r="R18" s="949"/>
      <c r="S18" s="950"/>
      <c r="T18" s="951"/>
      <c r="U18" s="949"/>
      <c r="V18" s="950"/>
      <c r="W18" s="951"/>
      <c r="X18" s="955"/>
      <c r="Y18" s="956"/>
      <c r="Z18" s="957"/>
      <c r="AA18" s="955"/>
      <c r="AB18" s="956"/>
      <c r="AC18" s="957"/>
      <c r="AD18" s="961"/>
      <c r="AE18" s="962"/>
      <c r="AF18" s="962"/>
      <c r="AG18" s="962"/>
      <c r="AH18" s="962"/>
      <c r="AI18" s="963"/>
      <c r="AJ18" s="949"/>
      <c r="AK18" s="950"/>
      <c r="AL18" s="951"/>
      <c r="AM18" s="949"/>
      <c r="AN18" s="950"/>
      <c r="AO18" s="951"/>
      <c r="AP18" s="955"/>
      <c r="AQ18" s="956"/>
      <c r="AR18" s="957"/>
      <c r="AS18" s="955"/>
      <c r="AT18" s="956"/>
      <c r="AU18" s="957"/>
      <c r="AV18" s="968"/>
      <c r="AW18" s="969"/>
      <c r="AX18" s="970"/>
      <c r="AY18" s="968"/>
      <c r="AZ18" s="969"/>
      <c r="BA18" s="970"/>
      <c r="BB18" s="945"/>
      <c r="BC18" s="946"/>
      <c r="BD18" s="945"/>
      <c r="BE18" s="946"/>
      <c r="BF18" s="929" t="str">
        <f>IF(CB18="OK",ROUND(BB18+BD18,2),"")</f>
        <v/>
      </c>
      <c r="BG18" s="930"/>
      <c r="BH18" s="971" t="str">
        <f>IFERROR(IF(AND($CB18="OK",$CU18="OK"),$CI18,IF($CB18&lt;&gt;"OK",$CB18,$CU18)),"")</f>
        <v/>
      </c>
      <c r="BI18" s="972"/>
      <c r="BJ18" s="973"/>
      <c r="BK18" s="933" t="str">
        <f>IF($CB18="OK",CM18,"")</f>
        <v/>
      </c>
      <c r="BL18" s="934"/>
      <c r="BM18" s="935"/>
      <c r="BN18" s="939" t="str">
        <f>IF($CB18="OK",$CR18,"")</f>
        <v/>
      </c>
      <c r="BO18" s="940"/>
      <c r="BP18" s="941"/>
      <c r="BS18" s="967"/>
      <c r="BT18" s="967"/>
      <c r="BV18" s="926" t="str">
        <f>IFERROR(ROUND(IF(AND(CB18="OK",CU18="OK"),CT18,""),0),"")</f>
        <v/>
      </c>
      <c r="BW18" s="926" t="str">
        <f>IFERROR(ROUND(IF(AND(CB18="OK",CU18="OK"),BV18/3,""),0),"")</f>
        <v/>
      </c>
      <c r="BX18" s="926"/>
      <c r="BY18" s="927"/>
      <c r="BZ18" s="928"/>
      <c r="CB18" s="986" t="str">
        <f>IF(AND(C18="",F18="",R18="",AD18="",U18="",X18="",L18="",AJ18="",AV18="",AM18="",AP18="",AY18="",AV19="",BB18="",BD18="",AA18="",AS18=""),"",
IF(OR(C18="",F18="",R18="",AD18="",U18="",X18="",L18="",AJ18="",AV18="",AM18="",AP18="",AY18="",AV19="",BB18="",BD18="",AA18="",AS18=""),"Missing Fields",
IF(AND(M02S04F04disp="Required",M02S04F04=""),"TA Info Incomplete",
"OK")))</f>
        <v/>
      </c>
      <c r="CC18" s="925" t="str">
        <f>IF(AND($CB18="OK",$CU18="OK"),INDEX(Tbl_Cust_Light[Measure Number], MATCH(F18,Tbl_Cust_Light[Proj Desc 1],0)),"")</f>
        <v/>
      </c>
      <c r="CD18" s="925"/>
      <c r="CE18" s="925" t="str">
        <f>IF(AND(CB18="OK",CU18="OK"),"Measure","")</f>
        <v/>
      </c>
      <c r="CF18" s="925" t="str">
        <f>IF(AND(CB18="OK",CU18="OK"),1,"")</f>
        <v/>
      </c>
      <c r="CG18" s="978" t="str">
        <f>IFERROR(CI18/CF18,"")</f>
        <v/>
      </c>
      <c r="CH18" s="978" t="str">
        <f>IF(AND(CB18="OK",CU18="OK"),IF(CM18&gt;0,CM18*Lighting_Only_rate,0)+IF(CO18&gt;0,CO18*Lighting_Only_rate,0),"")</f>
        <v/>
      </c>
      <c r="CI18" s="978" t="str">
        <f>IFERROR(IF(AND(CB18="OK",CU18="OK"),IF(INCENTTOCOST_CUST&gt;CostCap_Cust,
CH18*CostCap_Cust/INCENTTOCOST_CUST,CH18),""),"")</f>
        <v/>
      </c>
      <c r="CJ18" s="977">
        <f>CM18</f>
        <v>0</v>
      </c>
      <c r="CK18" s="977">
        <f>CN18</f>
        <v>0</v>
      </c>
      <c r="CL18" s="977">
        <f>CO18</f>
        <v>0</v>
      </c>
      <c r="CM18" s="977">
        <f>R18-AJ18</f>
        <v>0</v>
      </c>
      <c r="CN18" s="977">
        <f>U18-AM18</f>
        <v>0</v>
      </c>
      <c r="CO18" s="977">
        <f>IF(CR18&gt;0,CR18,0)</f>
        <v>0</v>
      </c>
      <c r="CP18" s="977">
        <f>CM18</f>
        <v>0</v>
      </c>
      <c r="CQ18" s="977">
        <f>CN18</f>
        <v>0</v>
      </c>
      <c r="CR18" s="977">
        <f>X18-AP18</f>
        <v>0</v>
      </c>
      <c r="CS18" s="983"/>
      <c r="CT18" s="982" t="str">
        <f>IF(AND(CB18="OK",CU18="OK"),INDEX(Tbl_Cust_Light[EUL], MATCH(F18,Tbl_Cust_Light[Proj Desc 1],0)),"")</f>
        <v/>
      </c>
      <c r="CU18" s="979" t="str">
        <f>IFERROR(IF(AND($CM18&lt;=0,$CN18&lt;=0,$CO18&lt;=0),"No Savings","OK"),"")</f>
        <v>No Savings</v>
      </c>
      <c r="CV18" s="925" t="str">
        <f>IF(AND(CB18="OK",CU18="OK"),"1","")</f>
        <v/>
      </c>
      <c r="CW18" s="1043" t="str">
        <f>IFERROR(IF($CB18="OK",ROUND($AQ$14-SUM($CW$20:$CW$37),2),""),"")</f>
        <v/>
      </c>
      <c r="CX18" s="925" t="str">
        <f>IFERROR(IF(M02S04F04="Customer/Self-Installed",CW18,IF($CB18="OK",CW18+BD18,"")),"")</f>
        <v/>
      </c>
      <c r="CY18" s="925" t="str">
        <f>IFERROR(IF($CB18="OK",CX18+BB18,""),"")</f>
        <v/>
      </c>
      <c r="CZ18" s="925" t="str">
        <f>IF(CB18&lt;&gt;"OK","",INDEX(MEASURES3_M!$O$3:$O$12,MATCH(F18,MEASURES3_M!$C$2:$C$12,0)))</f>
        <v/>
      </c>
      <c r="DA18" s="98"/>
      <c r="DB18" s="98"/>
      <c r="DC18" s="98"/>
      <c r="DD18" s="980" t="str">
        <f>IFERROR(IF(CB18&lt;&gt;"OK","",CM18*VLOOKUP('DATA TABLES_Project'!$C$247,'DATA TABLES_Project'!$A$250:$B$285,2,FALSE)),"")</f>
        <v/>
      </c>
      <c r="DE18" s="925" t="str">
        <f>IFERROR(IF(CB18&lt;&gt;"OK","",CM18*CZ18*0.92),"")</f>
        <v/>
      </c>
      <c r="DF18" s="925" t="str">
        <f>IFERROR(IF(CB18&lt;&gt;"OK","",CM18*CZ18*0.92*VLOOKUP('DATA TABLES_Project'!$C$247,'DATA TABLES_Project'!$A$250:$B$285,2,FALSE)),"")</f>
        <v/>
      </c>
      <c r="DG18" s="925" t="str">
        <f>IFERROR(IF(CB18&lt;&gt;"OK","",CM18*BV18),IF(BX18="Dual",(CM18*BW18)+((BY18-AJ18)*(BV18-BW18)),""))</f>
        <v/>
      </c>
      <c r="DH18" s="925" t="str">
        <f ca="1">IFERROR(IF(CB18&lt;&gt;"OK","",IF(OR(BX18="Single",BX18=""), CM18*BV18*AVERAGE(INDEX('DATA TABLES_Project'!$B$250:$B$285, MATCH('DATA TABLES_Project'!$C$247,'DATA TABLES_Project'!$A$250:$A$285, 0)):OFFSET(INDEX('DATA TABLES_Project'!$B$250:$B$285, MATCH('DATA TABLES_Project'!$C$247,'DATA TABLES_Project'!$A$250:$A$285, 0)),BV18-1,0)),CM18*BW18*AVERAGE(INDEX('DATA TABLES_Project'!$B$250:$B$285, MATCH('DATA TABLES_Project'!$C$247,'DATA TABLES_Project'!$A$250:$A$285, 0)):OFFSET(INDEX('DATA TABLES_Project'!$B$250:$B$285, MATCH('DATA TABLES_Project'!$C$247,'DATA TABLES_Project'!$A$250:$A$285, 0)),BW18-1,0)) + ((BY18-AJ18)*(BV18-BW18)*AVERAGE(OFFSET(INDEX('DATA TABLES_Project'!$B$250:$B$285, MATCH('DATA TABLES_Project'!$C$247,'DATA TABLES_Project'!$A$250:$A$285, 0)),BW18,0):OFFSET(INDEX('DATA TABLES_Project'!$B$250:$B$285, MATCH('DATA TABLES_Project'!$C$247,'DATA TABLES_Project'!$A$250:$A$285, 0)),BV18-1,0))))), "")</f>
        <v/>
      </c>
      <c r="DI18" s="925" t="str">
        <f>IFERROR(IF(CB18&lt;&gt;"OK","",IF(BX18="Dual",(CM18*BW18)+((BY18-AJ18)*(BV18-BW18))*CZ18*0.92,CM18*CZ18*BV18*0.92)),"")</f>
        <v/>
      </c>
      <c r="DJ18" s="925" t="str">
        <f ca="1">IFERROR(IF(CB18&lt;&gt;"OK","",IF(OR(BX18="Single",BX18=""),0.92*CZ18*CM18*BV18*AVERAGE(INDEX('DATA TABLES_Project'!$B$250:$B$285, MATCH('DATA TABLES_Project'!$C$247,'DATA TABLES_Project'!$A$250:$A$285, 0)):OFFSET(INDEX('DATA TABLES_Project'!$B$250:$B$285, MATCH('DATA TABLES_Project'!$C$247,'DATA TABLES_Project'!$A$250:$A$285, 0)),BV18-1,0)),0.92*CZ18*CM18*BW18*AVERAGE(INDEX('DATA TABLES_Project'!$B$250:$B$285, MATCH('DATA TABLES_Project'!$C$247,'DATA TABLES_Project'!$A$250:$A$285, 0)):OFFSET(INDEX('DATA TABLES_Project'!$B$250:$B$285, MATCH('DATA TABLES_Project'!$C$247,'DATA TABLES_Project'!$A$250:$A$285, 0)),BW18-1,0)) + (0.92*CZ18*(BY18-AJ18)*(BV18-BW18)*AVERAGE(OFFSET(INDEX('DATA TABLES_Project'!$B$250:$B$285, MATCH('DATA TABLES_Project'!$C$247,'DATA TABLES_Project'!$A$250:$A$285, 0)),BW18,0):OFFSET(INDEX('DATA TABLES_Project'!$B$250:$B$285, MATCH('DATA TABLES_Project'!$C$247,'DATA TABLES_Project'!$A$250:$A$285, 0)),BV18-1,0))))), "")</f>
        <v/>
      </c>
      <c r="DK18" s="925" t="str">
        <f>IFERROR(IF(CB18&lt;&gt;"OK","",CO18*'DATA TABLES_Project'!$C$250),"")</f>
        <v/>
      </c>
      <c r="DL18" s="925" t="str">
        <f>IFERROR(IF(CB18&lt;&gt;"OK","",CO18*CZ18*0.92),"")</f>
        <v/>
      </c>
      <c r="DM18" s="925" t="str">
        <f>IFERROR(IF(CB18&lt;&gt;"OK","",CO18*'DATA TABLES_Project'!$C$250*CZ18*0.92),"")</f>
        <v/>
      </c>
      <c r="DN18" s="925" t="str">
        <f>IFERROR(IF(CB18&lt;&gt;"OK","",CO18*BV18),IF(BX18="Dual",(CO18*BW18)+((BZ18-AP18)*(BV18-BW18)),""))</f>
        <v/>
      </c>
      <c r="DO18" s="925" t="str">
        <f ca="1">IFERROR(IF(CB18&lt;&gt;"OK","",CO18*BV18*AVERAGE('DATA TABLES_Project'!$C$250:OFFSET('DATA TABLES_Project'!$C$250,BV18,0))),IF(BX18="Dual",(CO18*BW18*AVERAGE('DATA TABLES_Project'!$C$251:$C$259))+((BZ18-AP18)*(BV18-BW18)*AVERAGE('DATA TABLES_Project'!$C$260:$C$279)),""))</f>
        <v/>
      </c>
      <c r="DP18" s="925" t="str">
        <f>IFERROR(IF(CB18&lt;&gt;"OK","",IF(BX18="Dual",((CO18*BW18)+(BZ18-AP18)*(BV18-BW18))*CZ18*0.92,CO18*BV18*CZ18*0.92)),"")</f>
        <v/>
      </c>
      <c r="DQ18" s="925" t="str">
        <f ca="1">IFERROR(IF(CB18&lt;&gt;"OK","",IF(BX18="Dual",(0.92*CZ18*CO18*BW18*AVERAGE('DATA TABLES_Project'!$C$251:$C$259))+(0.92*CZ18*(BZ18-AP18)*(BV18-BW18)*AVERAGE('DATA TABLES_Project'!$C$260:$C$279)),0.92*CZ18*CO18*BV18*AVERAGE('DATA TABLES_Project'!$C$250:OFFSET('DATA TABLES_Project'!$C$250,BV18,0)))),"")</f>
        <v/>
      </c>
      <c r="DR18" s="925" t="str">
        <f>IFERROR(IF($CB18&lt;&gt;"OK","",CM18*'DATA TABLES_Project'!$B$290+IF(CO18&lt;0,0,CO18*'DATA TABLES_Project'!$B$291)),"")</f>
        <v/>
      </c>
      <c r="DS18" s="925" t="str">
        <f>IFERROR(IF($CB18&lt;&gt;"OK","",DD18*'DATA TABLES_Project'!$B$290+IF(DK18&lt;0,0,DK18*'DATA TABLES_Project'!$B$291)),"")</f>
        <v/>
      </c>
      <c r="DT18" s="925" t="str">
        <f>IFERROR(IF($CB18&lt;&gt;"OK","",DE18*'DATA TABLES_Project'!$B$290+IF(DL18&lt;0,0,DL18*'DATA TABLES_Project'!$B$291)),"")</f>
        <v/>
      </c>
      <c r="DU18" s="925" t="str">
        <f>IFERROR(IF($CB18&lt;&gt;"OK","",DF18*'DATA TABLES_Project'!$B$290+IF(DM18&lt;0,0,DM18*'DATA TABLES_Project'!$B$291)),"")</f>
        <v/>
      </c>
      <c r="DV18" s="925" t="str">
        <f>IFERROR(IF($CB18&lt;&gt;"OK","",DG18*'DATA TABLES_Project'!$B$290+IF(DN18&lt;0,0,DN18*'DATA TABLES_Project'!$B$291)),"")</f>
        <v/>
      </c>
      <c r="DW18" s="925" t="str">
        <f>IFERROR(IF($CB18&lt;&gt;"OK","",DH18*'DATA TABLES_Project'!$B$290+IF(DO18&lt;0,0,DO18*'DATA TABLES_Project'!$B$291)),"")</f>
        <v/>
      </c>
      <c r="DX18" s="925" t="str">
        <f>IFERROR(IF($CB18&lt;&gt;"OK","",DI18*'DATA TABLES_Project'!$B$290+IF(DP18&lt;0,0,DP18*'DATA TABLES_Project'!$B$291)),"")</f>
        <v/>
      </c>
      <c r="DY18" s="925" t="str">
        <f>IFERROR(IF($CB18&lt;&gt;"OK","",DJ18*'DATA TABLES_Project'!$B$290+IF(DQ18&lt;0,0,DQ18*'DATA TABLES_Project'!$B$291)),"")</f>
        <v/>
      </c>
      <c r="DZ18" s="925" t="str">
        <f>IFERROR(IF($CB18&lt;&gt;"OK","",AS18),"")</f>
        <v/>
      </c>
      <c r="EA18" s="925" t="str">
        <f>IFERROR(IF(CB18&lt;&gt;"OK","",CN18*'DATA TABLES_Project'!$B$250*CZ18*1.03),"")</f>
        <v/>
      </c>
      <c r="EB18" s="925" t="str">
        <f>IFERROR(IF(CB18&lt;&gt;"OK","",CN18*CZ18*1.03),"")</f>
        <v/>
      </c>
      <c r="EC18" s="925" t="str">
        <f>IFERROR(IF(CB18&lt;&gt;"OK","",CZ18*DZ18*'DATA TABLES_Project'!$C$250*0.92),"")</f>
        <v/>
      </c>
      <c r="ED18" s="925" t="str">
        <f>IFERROR(IF(CB18&lt;&gt;"OK","",CZ18*DZ18*'DATA TABLES_Project'!$C$250*0.92),"")</f>
        <v/>
      </c>
      <c r="EE18" s="925" t="str">
        <f>IFERROR(IF(CB18&lt;&gt;"OK","",CZ18*DZ18*0.92),"")</f>
        <v/>
      </c>
      <c r="EF18" s="925" t="str">
        <f>IFERROR(IF(CB18&lt;&gt;"OK","",CZ18*DZ18*0.92),"")</f>
        <v/>
      </c>
      <c r="EG18" s="925" t="str">
        <f>IFERROR(IF($CB18&lt;&gt;"OK","",CM18*'DATA TABLES_Project'!$B$290+CO18*'DATA TABLES_Project'!$B$291),"")</f>
        <v/>
      </c>
      <c r="EH18" s="925" t="str">
        <f>IFERROR(IF($CB18&lt;&gt;"OK","",DD18*'DATA TABLES_Project'!$B$290+DK18*'DATA TABLES_Project'!$B$291),"")</f>
        <v/>
      </c>
      <c r="EI18" s="925" t="str">
        <f>IFERROR(IF($CB18&lt;&gt;"OK","",DE18*'DATA TABLES_Project'!$B$290+DL18*'DATA TABLES_Project'!$B$291),"")</f>
        <v/>
      </c>
      <c r="EJ18" s="925" t="str">
        <f>IFERROR(IF($CB18&lt;&gt;"OK","",DF18*'DATA TABLES_Project'!$B$290+DM18*'DATA TABLES_Project'!$B$291),"")</f>
        <v/>
      </c>
      <c r="EK18" s="925" t="str">
        <f>IFERROR(IF($CB18&lt;&gt;"OK","",DG18*'DATA TABLES_Project'!$B$290+DN18*'DATA TABLES_Project'!$B$291),"")</f>
        <v/>
      </c>
      <c r="EL18" s="925" t="str">
        <f>IFERROR(IF($CB18&lt;&gt;"OK","",DH18*'DATA TABLES_Project'!$B$290+DO18*'DATA TABLES_Project'!$B$291),"")</f>
        <v/>
      </c>
      <c r="EM18" s="925" t="str">
        <f>IFERROR(IF($CB18&lt;&gt;"OK","",DI18*'DATA TABLES_Project'!$B$290+DP18*'DATA TABLES_Project'!$B$291),"")</f>
        <v/>
      </c>
      <c r="EN18" s="925" t="str">
        <f>IFERROR(IF($CB18&lt;&gt;"OK","",DJ18*'DATA TABLES_Project'!$B$290+DQ18*'DATA TABLES_Project'!$B$291),"")</f>
        <v/>
      </c>
    </row>
    <row r="19" spans="1:144" ht="16.350000000000001" customHeight="1">
      <c r="A19" s="462"/>
      <c r="B19" s="994"/>
      <c r="C19" s="998"/>
      <c r="D19" s="999"/>
      <c r="E19" s="1000"/>
      <c r="F19" s="964"/>
      <c r="G19" s="965"/>
      <c r="H19" s="965"/>
      <c r="I19" s="965"/>
      <c r="J19" s="965"/>
      <c r="K19" s="966"/>
      <c r="L19" s="964"/>
      <c r="M19" s="965"/>
      <c r="N19" s="965"/>
      <c r="O19" s="965"/>
      <c r="P19" s="965"/>
      <c r="Q19" s="966"/>
      <c r="R19" s="952"/>
      <c r="S19" s="953"/>
      <c r="T19" s="954"/>
      <c r="U19" s="952"/>
      <c r="V19" s="953"/>
      <c r="W19" s="954"/>
      <c r="X19" s="958"/>
      <c r="Y19" s="959"/>
      <c r="Z19" s="960"/>
      <c r="AA19" s="958"/>
      <c r="AB19" s="959"/>
      <c r="AC19" s="960"/>
      <c r="AD19" s="964"/>
      <c r="AE19" s="965"/>
      <c r="AF19" s="965"/>
      <c r="AG19" s="965"/>
      <c r="AH19" s="965"/>
      <c r="AI19" s="966"/>
      <c r="AJ19" s="952"/>
      <c r="AK19" s="953"/>
      <c r="AL19" s="954"/>
      <c r="AM19" s="952"/>
      <c r="AN19" s="953"/>
      <c r="AO19" s="954"/>
      <c r="AP19" s="958"/>
      <c r="AQ19" s="959"/>
      <c r="AR19" s="960"/>
      <c r="AS19" s="958"/>
      <c r="AT19" s="959"/>
      <c r="AU19" s="960"/>
      <c r="AV19" s="968"/>
      <c r="AW19" s="969"/>
      <c r="AX19" s="969"/>
      <c r="AY19" s="969"/>
      <c r="AZ19" s="969"/>
      <c r="BA19" s="970"/>
      <c r="BB19" s="947"/>
      <c r="BC19" s="948"/>
      <c r="BD19" s="947"/>
      <c r="BE19" s="948"/>
      <c r="BF19" s="931"/>
      <c r="BG19" s="932"/>
      <c r="BH19" s="974"/>
      <c r="BI19" s="975"/>
      <c r="BJ19" s="976"/>
      <c r="BK19" s="936"/>
      <c r="BL19" s="937"/>
      <c r="BM19" s="938"/>
      <c r="BN19" s="942"/>
      <c r="BO19" s="943"/>
      <c r="BP19" s="944"/>
      <c r="BS19" s="967"/>
      <c r="BT19" s="967"/>
      <c r="BV19" s="926"/>
      <c r="BW19" s="926"/>
      <c r="BX19" s="926"/>
      <c r="BY19" s="927"/>
      <c r="BZ19" s="928"/>
      <c r="CB19" s="986"/>
      <c r="CC19" s="925"/>
      <c r="CD19" s="925"/>
      <c r="CE19" s="925"/>
      <c r="CF19" s="925"/>
      <c r="CG19" s="925"/>
      <c r="CH19" s="925"/>
      <c r="CI19" s="925"/>
      <c r="CJ19" s="977"/>
      <c r="CK19" s="977"/>
      <c r="CL19" s="977"/>
      <c r="CM19" s="977"/>
      <c r="CN19" s="977"/>
      <c r="CO19" s="977"/>
      <c r="CP19" s="977"/>
      <c r="CQ19" s="977"/>
      <c r="CR19" s="977"/>
      <c r="CS19" s="983"/>
      <c r="CT19" s="982"/>
      <c r="CU19" s="979"/>
      <c r="CV19" s="925"/>
      <c r="CW19" s="1043"/>
      <c r="CX19" s="925"/>
      <c r="CY19" s="925"/>
      <c r="CZ19" s="925"/>
      <c r="DA19" s="98"/>
      <c r="DB19" s="98"/>
      <c r="DC19" s="98"/>
      <c r="DD19" s="981"/>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row>
    <row r="20" spans="1:144" ht="16.350000000000001" customHeight="1">
      <c r="A20" s="462"/>
      <c r="B20" s="994">
        <v>2</v>
      </c>
      <c r="C20" s="995"/>
      <c r="D20" s="996"/>
      <c r="E20" s="997"/>
      <c r="F20" s="961"/>
      <c r="G20" s="962"/>
      <c r="H20" s="962"/>
      <c r="I20" s="962"/>
      <c r="J20" s="962"/>
      <c r="K20" s="963"/>
      <c r="L20" s="961"/>
      <c r="M20" s="962"/>
      <c r="N20" s="962"/>
      <c r="O20" s="962"/>
      <c r="P20" s="962"/>
      <c r="Q20" s="963"/>
      <c r="R20" s="1001"/>
      <c r="S20" s="1001"/>
      <c r="T20" s="1001"/>
      <c r="U20" s="1001"/>
      <c r="V20" s="1001"/>
      <c r="W20" s="1001"/>
      <c r="X20" s="955"/>
      <c r="Y20" s="956"/>
      <c r="Z20" s="957"/>
      <c r="AA20" s="955"/>
      <c r="AB20" s="956"/>
      <c r="AC20" s="957"/>
      <c r="AD20" s="961"/>
      <c r="AE20" s="962"/>
      <c r="AF20" s="962"/>
      <c r="AG20" s="962"/>
      <c r="AH20" s="962"/>
      <c r="AI20" s="963"/>
      <c r="AJ20" s="949"/>
      <c r="AK20" s="950"/>
      <c r="AL20" s="951"/>
      <c r="AM20" s="949"/>
      <c r="AN20" s="950"/>
      <c r="AO20" s="951"/>
      <c r="AP20" s="955"/>
      <c r="AQ20" s="956"/>
      <c r="AR20" s="957"/>
      <c r="AS20" s="955"/>
      <c r="AT20" s="956"/>
      <c r="AU20" s="957"/>
      <c r="AV20" s="968"/>
      <c r="AW20" s="969"/>
      <c r="AX20" s="970"/>
      <c r="AY20" s="968"/>
      <c r="AZ20" s="969"/>
      <c r="BA20" s="970"/>
      <c r="BB20" s="945"/>
      <c r="BC20" s="946"/>
      <c r="BD20" s="945"/>
      <c r="BE20" s="946"/>
      <c r="BF20" s="929" t="str">
        <f>IF(CB20="OK",ROUND(BB20+BD20,2),"")</f>
        <v/>
      </c>
      <c r="BG20" s="930"/>
      <c r="BH20" s="971" t="str">
        <f t="shared" ref="BH20" si="0">IFERROR(IF(AND($CB20="OK",$CU20="OK"),$CI20,IF($CB20&lt;&gt;"OK",$CB20,$CU20)),"")</f>
        <v/>
      </c>
      <c r="BI20" s="972"/>
      <c r="BJ20" s="973"/>
      <c r="BK20" s="933" t="str">
        <f t="shared" ref="BK20" si="1">IF($CB20="OK",CM20,"")</f>
        <v/>
      </c>
      <c r="BL20" s="934"/>
      <c r="BM20" s="935"/>
      <c r="BN20" s="939" t="str">
        <f t="shared" ref="BN20" si="2">IF($CB20="OK",$CR20,"")</f>
        <v/>
      </c>
      <c r="BO20" s="940"/>
      <c r="BP20" s="941"/>
      <c r="BS20" s="967"/>
      <c r="BT20" s="967"/>
      <c r="BV20" s="926" t="str">
        <f t="shared" ref="BV20" si="3">IFERROR(ROUND(IF(AND(CB20="OK",CU20="OK"),CT20,""),0),"")</f>
        <v/>
      </c>
      <c r="BW20" s="926" t="str">
        <f t="shared" ref="BW20" si="4">IFERROR(ROUND(IF(AND(CB20="OK",CU20="OK"),BV20/3,""),0),"")</f>
        <v/>
      </c>
      <c r="BX20" s="926"/>
      <c r="BY20" s="927"/>
      <c r="BZ20" s="928"/>
      <c r="CB20" s="986" t="str">
        <f>IF(AND(C20="",F20="",R20="",AD20="",U20="",X20="",L20="",AJ20="",AV20="",AM20="",AP20="",AY20="",AV21="",BB20="",BD20="",AA20="",AS20=""),"",
IF(OR(C20="",F20="",R20="",AD20="",U20="",X20="",L20="",AJ20="",AV20="",AM20="",AP20="",AY20="",AV21="",BB20="",BD20="",AA20="",AS20=""),"Missing Fields",
IF(AND(M02S04F04disp="Required",M02S04F04=""),"TA Info Incomplete",
"OK")))</f>
        <v/>
      </c>
      <c r="CC20" s="925" t="str">
        <f>IF(AND($CB20="OK",$CU20="OK"),INDEX(Tbl_Cust_Light[Measure Number], MATCH(F20,Tbl_Cust_Light[Proj Desc 1],0)),"")</f>
        <v/>
      </c>
      <c r="CD20" s="925"/>
      <c r="CE20" s="925" t="str">
        <f t="shared" ref="CE20" si="5">IF(AND(CB20="OK",CU20="OK"),"Measure","")</f>
        <v/>
      </c>
      <c r="CF20" s="925" t="str">
        <f t="shared" ref="CF20" si="6">IF(AND(CB20="OK",CU20="OK"),1,"")</f>
        <v/>
      </c>
      <c r="CG20" s="978" t="str">
        <f t="shared" ref="CG20" si="7">IFERROR(CI20/CF20,"")</f>
        <v/>
      </c>
      <c r="CH20" s="978" t="str">
        <f>IF(AND(CB20="OK",CU20="OK"),IF(CM20&gt;0,CM20*Lighting_Only_rate,0)+IF(CO20&gt;0,CO20*Lighting_Only_rate,0),"")</f>
        <v/>
      </c>
      <c r="CI20" s="978" t="str">
        <f>IFERROR(IF(AND(CB20="OK",CU20="OK"),IF(INCENTTOCOST_CUST&gt;CostCap_Cust,
CH20*CostCap_Cust/INCENTTOCOST_CUST,CH20),""),"")</f>
        <v/>
      </c>
      <c r="CJ20" s="977">
        <f t="shared" ref="CJ20" si="8">CM20</f>
        <v>0</v>
      </c>
      <c r="CK20" s="977">
        <f t="shared" ref="CK20" si="9">CN20</f>
        <v>0</v>
      </c>
      <c r="CL20" s="977">
        <f t="shared" ref="CL20" si="10">CO20</f>
        <v>0</v>
      </c>
      <c r="CM20" s="977">
        <f>R20-AJ20</f>
        <v>0</v>
      </c>
      <c r="CN20" s="977">
        <f>U20-AM20</f>
        <v>0</v>
      </c>
      <c r="CO20" s="977">
        <f t="shared" ref="CO20" si="11">IF(CR20&gt;0,CR20,0)</f>
        <v>0</v>
      </c>
      <c r="CP20" s="977">
        <f t="shared" ref="CP20" si="12">CM20</f>
        <v>0</v>
      </c>
      <c r="CQ20" s="977">
        <f t="shared" ref="CQ20" si="13">CN20</f>
        <v>0</v>
      </c>
      <c r="CR20" s="977">
        <f>X20-AP20</f>
        <v>0</v>
      </c>
      <c r="CS20" s="983"/>
      <c r="CT20" s="982" t="str">
        <f>IF(CB20="OK",INDEX(Tbl_Cust_Light[EUL], MATCH(F20,Tbl_Cust_Light[Proj Desc 1],0)),"")</f>
        <v/>
      </c>
      <c r="CU20" s="979" t="str">
        <f>IFERROR(IF(AND($CM20&lt;=0,$CN20&lt;=0,$CO20&lt;=0),"No Savings","OK"),"")</f>
        <v>No Savings</v>
      </c>
      <c r="CV20" s="925" t="str">
        <f t="shared" ref="CV20" si="14">IF(AND(CB20="OK",CU20="OK"),"1","")</f>
        <v/>
      </c>
      <c r="CW20" s="925" t="str">
        <f>IFERROR(IF($CB20="OK",ROUND($AQ$14*SUM(BB20:BE21)/SUM($BF$18:$BG$37),2),""),"")</f>
        <v/>
      </c>
      <c r="CX20" s="925" t="str">
        <f>IFERROR(IF(M02S04F04="Customer/Self-Installed",CW20,IF($CB20="OK",CW20+BD20,"")),"")</f>
        <v/>
      </c>
      <c r="CY20" s="925" t="str">
        <f>IFERROR(IF($CB20="OK",CX20+BB20,""),"")</f>
        <v/>
      </c>
      <c r="CZ20" s="925" t="str">
        <f>IF(CB20&lt;&gt;"OK","",INDEX(MEASURES3_M!$O$3:$O$12,MATCH(F20,MEASURES3_M!$C$2:$C$12,0)))</f>
        <v/>
      </c>
      <c r="DA20" s="98"/>
      <c r="DB20" s="98"/>
      <c r="DC20" s="98"/>
      <c r="DD20" s="980" t="str">
        <f>IFERROR(IF(CB20&lt;&gt;"OK","",CM20*VLOOKUP('DATA TABLES_Project'!$C$247,'DATA TABLES_Project'!$A$250:$B$285,2,FALSE)),"")</f>
        <v/>
      </c>
      <c r="DE20" s="925" t="str">
        <f t="shared" ref="DE20" si="15">IFERROR(IF(CB20&lt;&gt;"OK","",CM20*CZ20*0.92),"")</f>
        <v/>
      </c>
      <c r="DF20" s="980" t="str">
        <f>IFERROR(IF(CB20&lt;&gt;"OK","",CM20*CZ20*0.92*VLOOKUP('DATA TABLES_Project'!$C$247,'DATA TABLES_Project'!$A$250:$B$285,2,FALSE)),"")</f>
        <v/>
      </c>
      <c r="DG20" s="925" t="str">
        <f t="shared" ref="DG20" si="16">IFERROR(IF(CB20&lt;&gt;"OK","",CM20*BV20),IF(BX20="Dual",(CM20*BW20)+((BY20-AJ20)*(BV20-BW20)),""))</f>
        <v/>
      </c>
      <c r="DH20" s="925" t="str">
        <f ca="1">IFERROR(IF(CB20&lt;&gt;"OK","",IF(OR(BX20="Single",BX20=""), CM20*BV20*AVERAGE(INDEX('DATA TABLES_Project'!$B$250:$B$285, MATCH('DATA TABLES_Project'!$C$247,'DATA TABLES_Project'!$A$250:$A$285, 0)):OFFSET(INDEX('DATA TABLES_Project'!$B$250:$B$285, MATCH('DATA TABLES_Project'!$C$247,'DATA TABLES_Project'!$A$250:$A$285, 0)),BV20-1,0)),CM20*BW20*AVERAGE(INDEX('DATA TABLES_Project'!$B$250:$B$285, MATCH('DATA TABLES_Project'!$C$247,'DATA TABLES_Project'!$A$250:$A$285, 0)):OFFSET(INDEX('DATA TABLES_Project'!$B$250:$B$285, MATCH('DATA TABLES_Project'!$C$247,'DATA TABLES_Project'!$A$250:$A$285, 0)),BW20-1,0)) + ((BY20-AJ20)*(BV20-BW20)*AVERAGE(OFFSET(INDEX('DATA TABLES_Project'!$B$250:$B$285, MATCH('DATA TABLES_Project'!$C$247,'DATA TABLES_Project'!$A$250:$A$285, 0)),BW20,0):OFFSET(INDEX('DATA TABLES_Project'!$B$250:$B$285, MATCH('DATA TABLES_Project'!$C$247,'DATA TABLES_Project'!$A$250:$A$285, 0)),BV20-1,0))))), "")</f>
        <v/>
      </c>
      <c r="DI20" s="925" t="str">
        <f t="shared" ref="DI20" si="17">IFERROR(IF(CB20&lt;&gt;"OK","",IF(BX20="Dual",(CM20*BW20)+((BY20-AJ20)*(BV20-BW20))*CZ20*0.92,CM20*CZ20*BV20*0.92)),"")</f>
        <v/>
      </c>
      <c r="DJ20" s="925" t="str">
        <f ca="1">IFERROR(IF(CB20&lt;&gt;"OK","",IF(OR(BX20="Single",BX20=""),0.92*CZ20*CM20*BV20*AVERAGE(INDEX('DATA TABLES_Project'!$B$250:$B$285, MATCH('DATA TABLES_Project'!$C$247,'DATA TABLES_Project'!$A$250:$A$285, 0)):OFFSET(INDEX('DATA TABLES_Project'!$B$250:$B$285, MATCH('DATA TABLES_Project'!$C$247,'DATA TABLES_Project'!$A$250:$A$285, 0)),BV20-1,0)),0.92*CZ20*CM20*BW20*AVERAGE(INDEX('DATA TABLES_Project'!$B$250:$B$285, MATCH('DATA TABLES_Project'!$C$247,'DATA TABLES_Project'!$A$250:$A$285, 0)):OFFSET(INDEX('DATA TABLES_Project'!$B$250:$B$285, MATCH('DATA TABLES_Project'!$C$247,'DATA TABLES_Project'!$A$250:$A$285, 0)),BW20-1,0)) + (0.92*CZ20*(BY20-AJ20)*(BV20-BW20)*AVERAGE(OFFSET(INDEX('DATA TABLES_Project'!$B$250:$B$285, MATCH('DATA TABLES_Project'!$C$247,'DATA TABLES_Project'!$A$250:$A$285, 0)),BW20,0):OFFSET(INDEX('DATA TABLES_Project'!$B$250:$B$285, MATCH('DATA TABLES_Project'!$C$247,'DATA TABLES_Project'!$A$250:$A$285, 0)),BV20-1,0))))), "")</f>
        <v/>
      </c>
      <c r="DK20" s="925" t="str">
        <f>IFERROR(IF(CB20&lt;&gt;"OK","",CO20*'DATA TABLES_Project'!$C$250),"")</f>
        <v/>
      </c>
      <c r="DL20" s="925" t="str">
        <f t="shared" ref="DL20" si="18">IFERROR(IF(CB20&lt;&gt;"OK","",CO20*CZ20*0.92),"")</f>
        <v/>
      </c>
      <c r="DM20" s="925" t="str">
        <f>IFERROR(IF(CB20&lt;&gt;"OK","",CO20*'DATA TABLES_Project'!$C$250*CZ20*0.92),"")</f>
        <v/>
      </c>
      <c r="DN20" s="925" t="str">
        <f t="shared" ref="DN20" si="19">IFERROR(IF(CB20&lt;&gt;"OK","",CO20*BV20),IF(BX20="Dual",(CO20*BW20)+((BZ20-AP20)*(BV20-BW20)),""))</f>
        <v/>
      </c>
      <c r="DO20" s="925" t="str">
        <f ca="1">IFERROR(IF(CB20&lt;&gt;"OK","",CO20*BV20*AVERAGE('DATA TABLES_Project'!$C$250:OFFSET('DATA TABLES_Project'!$C$250,BV20,0))),IF(BX20="Dual",(CO20*BW20*AVERAGE('DATA TABLES_Project'!$C$251:$C$259))+((BZ20-AP20)*(BV20-BW20)*AVERAGE('DATA TABLES_Project'!$C$260:$C$279)),""))</f>
        <v/>
      </c>
      <c r="DP20" s="925" t="str">
        <f t="shared" ref="DP20" si="20">IFERROR(IF(CB20&lt;&gt;"OK","",IF(BX20="Dual",((CO20*BW20)+(BZ20-AP20)*(BV20-BW20))*CZ20*0.92,CO20*BV20*CZ20*0.92)),"")</f>
        <v/>
      </c>
      <c r="DQ20" s="925" t="str">
        <f ca="1">IFERROR(IF(CB20&lt;&gt;"OK","",IF(BX20="Dual",(0.92*CZ20*CO20*BW20*AVERAGE('DATA TABLES_Project'!$C$251:$C$259))+(0.92*CZ20*(BZ20-AP20)*(BV20-BW20)*AVERAGE('DATA TABLES_Project'!$C$260:$C$279)),0.92*CZ20*CO20*BV20*AVERAGE('DATA TABLES_Project'!$C$250:OFFSET('DATA TABLES_Project'!$C$250,BV20,0)))),"")</f>
        <v/>
      </c>
      <c r="DR20" s="980" t="str">
        <f>IFERROR(IF($CB20&lt;&gt;"OK","",CM20*'DATA TABLES_Project'!$B$290+IF(CO20&lt;0,0,CO20*'DATA TABLES_Project'!$B$291)),"")</f>
        <v/>
      </c>
      <c r="DS20" s="980" t="str">
        <f>IFERROR(IF($CB20&lt;&gt;"OK","",DD20*'DATA TABLES_Project'!$B$290+IF(DK20&lt;0,0,DK20*'DATA TABLES_Project'!$B$291)),"")</f>
        <v/>
      </c>
      <c r="DT20" s="980" t="str">
        <f>IFERROR(IF($CB20&lt;&gt;"OK","",DE20*'DATA TABLES_Project'!$B$290+IF(DL20&lt;0,0,DL20*'DATA TABLES_Project'!$B$291)),"")</f>
        <v/>
      </c>
      <c r="DU20" s="980" t="str">
        <f>IFERROR(IF($CB20&lt;&gt;"OK","",DF20*'DATA TABLES_Project'!$B$290+IF(DM20&lt;0,0,DM20*'DATA TABLES_Project'!$B$291)),"")</f>
        <v/>
      </c>
      <c r="DV20" s="980" t="str">
        <f>IFERROR(IF($CB20&lt;&gt;"OK","",DG20*'DATA TABLES_Project'!$B$290+IF(DN20&lt;0,0,DN20*'DATA TABLES_Project'!$B$291)),"")</f>
        <v/>
      </c>
      <c r="DW20" s="980" t="str">
        <f>IFERROR(IF($CB20&lt;&gt;"OK","",DH20*'DATA TABLES_Project'!$B$290+IF(DO20&lt;0,0,DO20*'DATA TABLES_Project'!$B$291)),"")</f>
        <v/>
      </c>
      <c r="DX20" s="980" t="str">
        <f>IFERROR(IF($CB20&lt;&gt;"OK","",DI20*'DATA TABLES_Project'!$B$290+IF(DP20&lt;0,0,DP20*'DATA TABLES_Project'!$B$291)),"")</f>
        <v/>
      </c>
      <c r="DY20" s="925" t="str">
        <f>IFERROR(IF($CB20&lt;&gt;"OK","",DJ20*'DATA TABLES_Project'!$B$290+IF(DQ20&lt;0,0,DQ20*'DATA TABLES_Project'!$B$291)),"")</f>
        <v/>
      </c>
      <c r="DZ20" s="925" t="str">
        <f t="shared" ref="DZ20" si="21">IFERROR(IF($CB20&lt;&gt;"OK","",AS20),"")</f>
        <v/>
      </c>
      <c r="EA20" s="925" t="str">
        <f>IFERROR(IF(CB20&lt;&gt;"OK","",CN20*'DATA TABLES_Project'!$B$250*CZ20*1.03),"")</f>
        <v/>
      </c>
      <c r="EB20" s="925" t="str">
        <f t="shared" ref="EB20" si="22">IFERROR(IF(CB20&lt;&gt;"OK","",CN20*CZ20*1.03),"")</f>
        <v/>
      </c>
      <c r="EC20" s="925" t="str">
        <f>IFERROR(IF(CB20&lt;&gt;"OK","",CZ20*DZ20*'DATA TABLES_Project'!$C$250*0.92),"")</f>
        <v/>
      </c>
      <c r="ED20" s="925" t="str">
        <f>IFERROR(IF(CB20&lt;&gt;"OK","",CZ20*DZ20*'DATA TABLES_Project'!$C$250*0.92),"")</f>
        <v/>
      </c>
      <c r="EE20" s="925" t="str">
        <f t="shared" ref="EE20" si="23">IFERROR(IF(CB20&lt;&gt;"OK","",CZ20*DZ20*0.92),"")</f>
        <v/>
      </c>
      <c r="EF20" s="925" t="str">
        <f t="shared" ref="EF20" si="24">IFERROR(IF(CB20&lt;&gt;"OK","",CZ20*DZ20*0.92),"")</f>
        <v/>
      </c>
      <c r="EG20" s="925" t="str">
        <f>IFERROR(IF($CB20&lt;&gt;"OK","",CM20*'DATA TABLES_Project'!$B$290+CO20*'DATA TABLES_Project'!$B$291),"")</f>
        <v/>
      </c>
      <c r="EH20" s="925" t="str">
        <f>IFERROR(IF($CB20&lt;&gt;"OK","",DD20*'DATA TABLES_Project'!$B$290+DK20*'DATA TABLES_Project'!$B$291),"")</f>
        <v/>
      </c>
      <c r="EI20" s="925" t="str">
        <f>IFERROR(IF($CB20&lt;&gt;"OK","",DE20*'DATA TABLES_Project'!$B$290+DL20*'DATA TABLES_Project'!$B$291),"")</f>
        <v/>
      </c>
      <c r="EJ20" s="925" t="str">
        <f>IFERROR(IF($CB20&lt;&gt;"OK","",DF20*'DATA TABLES_Project'!$B$290+DM20*'DATA TABLES_Project'!$B$291),"")</f>
        <v/>
      </c>
      <c r="EK20" s="925" t="str">
        <f>IFERROR(IF($CB20&lt;&gt;"OK","",DG20*'DATA TABLES_Project'!$B$290+DN20*'DATA TABLES_Project'!$B$291),"")</f>
        <v/>
      </c>
      <c r="EL20" s="925" t="str">
        <f>IFERROR(IF($CB20&lt;&gt;"OK","",DH20*'DATA TABLES_Project'!$B$290+DO20*'DATA TABLES_Project'!$B$291),"")</f>
        <v/>
      </c>
      <c r="EM20" s="925" t="str">
        <f>IFERROR(IF($CB20&lt;&gt;"OK","",DI20*'DATA TABLES_Project'!$B$290+DP20*'DATA TABLES_Project'!$B$291),"")</f>
        <v/>
      </c>
      <c r="EN20" s="925" t="str">
        <f>IFERROR(IF($CB20&lt;&gt;"OK","",DJ20*'DATA TABLES_Project'!$B$290+DQ20*'DATA TABLES_Project'!$B$291),"")</f>
        <v/>
      </c>
    </row>
    <row r="21" spans="1:144" ht="16.350000000000001" customHeight="1">
      <c r="A21" s="462"/>
      <c r="B21" s="994"/>
      <c r="C21" s="998"/>
      <c r="D21" s="999"/>
      <c r="E21" s="1000"/>
      <c r="F21" s="964"/>
      <c r="G21" s="965"/>
      <c r="H21" s="965"/>
      <c r="I21" s="965"/>
      <c r="J21" s="965"/>
      <c r="K21" s="966"/>
      <c r="L21" s="964"/>
      <c r="M21" s="965"/>
      <c r="N21" s="965"/>
      <c r="O21" s="965"/>
      <c r="P21" s="965"/>
      <c r="Q21" s="966"/>
      <c r="R21" s="1001"/>
      <c r="S21" s="1001"/>
      <c r="T21" s="1001"/>
      <c r="U21" s="1001"/>
      <c r="V21" s="1001"/>
      <c r="W21" s="1001"/>
      <c r="X21" s="958"/>
      <c r="Y21" s="959"/>
      <c r="Z21" s="960"/>
      <c r="AA21" s="958"/>
      <c r="AB21" s="959"/>
      <c r="AC21" s="960"/>
      <c r="AD21" s="964"/>
      <c r="AE21" s="965"/>
      <c r="AF21" s="965"/>
      <c r="AG21" s="965"/>
      <c r="AH21" s="965"/>
      <c r="AI21" s="966"/>
      <c r="AJ21" s="952"/>
      <c r="AK21" s="953"/>
      <c r="AL21" s="954"/>
      <c r="AM21" s="952"/>
      <c r="AN21" s="953"/>
      <c r="AO21" s="954"/>
      <c r="AP21" s="958"/>
      <c r="AQ21" s="959"/>
      <c r="AR21" s="960"/>
      <c r="AS21" s="958"/>
      <c r="AT21" s="959"/>
      <c r="AU21" s="960"/>
      <c r="AV21" s="968"/>
      <c r="AW21" s="969"/>
      <c r="AX21" s="969"/>
      <c r="AY21" s="969"/>
      <c r="AZ21" s="969"/>
      <c r="BA21" s="970"/>
      <c r="BB21" s="947"/>
      <c r="BC21" s="948"/>
      <c r="BD21" s="947"/>
      <c r="BE21" s="948"/>
      <c r="BF21" s="931"/>
      <c r="BG21" s="932"/>
      <c r="BH21" s="974"/>
      <c r="BI21" s="975"/>
      <c r="BJ21" s="976"/>
      <c r="BK21" s="936"/>
      <c r="BL21" s="937"/>
      <c r="BM21" s="938"/>
      <c r="BN21" s="942"/>
      <c r="BO21" s="943"/>
      <c r="BP21" s="944"/>
      <c r="BS21" s="967"/>
      <c r="BT21" s="967"/>
      <c r="BV21" s="926"/>
      <c r="BW21" s="926"/>
      <c r="BX21" s="926"/>
      <c r="BY21" s="927"/>
      <c r="BZ21" s="928"/>
      <c r="CB21" s="986"/>
      <c r="CC21" s="925"/>
      <c r="CD21" s="925"/>
      <c r="CE21" s="925"/>
      <c r="CF21" s="925"/>
      <c r="CG21" s="925"/>
      <c r="CH21" s="925"/>
      <c r="CI21" s="925"/>
      <c r="CJ21" s="977"/>
      <c r="CK21" s="977"/>
      <c r="CL21" s="977"/>
      <c r="CM21" s="977"/>
      <c r="CN21" s="977"/>
      <c r="CO21" s="977"/>
      <c r="CP21" s="977"/>
      <c r="CQ21" s="977"/>
      <c r="CR21" s="977"/>
      <c r="CS21" s="983"/>
      <c r="CT21" s="982"/>
      <c r="CU21" s="979"/>
      <c r="CV21" s="925"/>
      <c r="CW21" s="925"/>
      <c r="CX21" s="925"/>
      <c r="CY21" s="925"/>
      <c r="CZ21" s="925"/>
      <c r="DA21" s="98"/>
      <c r="DB21" s="98"/>
      <c r="DC21" s="98"/>
      <c r="DD21" s="981"/>
      <c r="DE21" s="925"/>
      <c r="DF21" s="981"/>
      <c r="DG21" s="925"/>
      <c r="DH21" s="925"/>
      <c r="DI21" s="925"/>
      <c r="DJ21" s="925"/>
      <c r="DK21" s="925"/>
      <c r="DL21" s="925"/>
      <c r="DM21" s="925"/>
      <c r="DN21" s="925"/>
      <c r="DO21" s="925"/>
      <c r="DP21" s="925"/>
      <c r="DQ21" s="925"/>
      <c r="DR21" s="981"/>
      <c r="DS21" s="981"/>
      <c r="DT21" s="981"/>
      <c r="DU21" s="981"/>
      <c r="DV21" s="981"/>
      <c r="DW21" s="981"/>
      <c r="DX21" s="981"/>
      <c r="DY21" s="925"/>
      <c r="DZ21" s="925"/>
      <c r="EA21" s="925"/>
      <c r="EB21" s="925"/>
      <c r="EC21" s="925"/>
      <c r="ED21" s="925"/>
      <c r="EE21" s="925"/>
      <c r="EF21" s="925"/>
      <c r="EG21" s="925"/>
      <c r="EH21" s="925"/>
      <c r="EI21" s="925"/>
      <c r="EJ21" s="925"/>
      <c r="EK21" s="925"/>
      <c r="EL21" s="925"/>
      <c r="EM21" s="925"/>
      <c r="EN21" s="925"/>
    </row>
    <row r="22" spans="1:144" ht="16.350000000000001" customHeight="1">
      <c r="A22" s="462"/>
      <c r="B22" s="994">
        <v>3</v>
      </c>
      <c r="C22" s="995"/>
      <c r="D22" s="996"/>
      <c r="E22" s="997"/>
      <c r="F22" s="961"/>
      <c r="G22" s="962"/>
      <c r="H22" s="962"/>
      <c r="I22" s="962"/>
      <c r="J22" s="962"/>
      <c r="K22" s="963"/>
      <c r="L22" s="961"/>
      <c r="M22" s="962"/>
      <c r="N22" s="962"/>
      <c r="O22" s="962"/>
      <c r="P22" s="962"/>
      <c r="Q22" s="963"/>
      <c r="R22" s="1001"/>
      <c r="S22" s="1001"/>
      <c r="T22" s="1001"/>
      <c r="U22" s="1001"/>
      <c r="V22" s="1001"/>
      <c r="W22" s="1001"/>
      <c r="X22" s="955"/>
      <c r="Y22" s="956"/>
      <c r="Z22" s="957"/>
      <c r="AA22" s="955"/>
      <c r="AB22" s="956"/>
      <c r="AC22" s="957"/>
      <c r="AD22" s="961"/>
      <c r="AE22" s="962"/>
      <c r="AF22" s="962"/>
      <c r="AG22" s="962"/>
      <c r="AH22" s="962"/>
      <c r="AI22" s="963"/>
      <c r="AJ22" s="949"/>
      <c r="AK22" s="950"/>
      <c r="AL22" s="951"/>
      <c r="AM22" s="949"/>
      <c r="AN22" s="950"/>
      <c r="AO22" s="951"/>
      <c r="AP22" s="955"/>
      <c r="AQ22" s="956"/>
      <c r="AR22" s="957"/>
      <c r="AS22" s="955"/>
      <c r="AT22" s="956"/>
      <c r="AU22" s="957"/>
      <c r="AV22" s="968"/>
      <c r="AW22" s="969"/>
      <c r="AX22" s="970"/>
      <c r="AY22" s="968"/>
      <c r="AZ22" s="969"/>
      <c r="BA22" s="970"/>
      <c r="BB22" s="945"/>
      <c r="BC22" s="946"/>
      <c r="BD22" s="945"/>
      <c r="BE22" s="946"/>
      <c r="BF22" s="929" t="str">
        <f>IF(CB22="OK",ROUND(BB22+BD22,2),"")</f>
        <v/>
      </c>
      <c r="BG22" s="930"/>
      <c r="BH22" s="971" t="str">
        <f t="shared" ref="BH22" si="25">IFERROR(IF(AND($CB22="OK",$CU22="OK"),$CI22,IF($CB22&lt;&gt;"OK",$CB22,$CU22)),"")</f>
        <v/>
      </c>
      <c r="BI22" s="972"/>
      <c r="BJ22" s="973"/>
      <c r="BK22" s="933" t="str">
        <f t="shared" ref="BK22" si="26">IF($CB22="OK",CM22,"")</f>
        <v/>
      </c>
      <c r="BL22" s="934"/>
      <c r="BM22" s="935"/>
      <c r="BN22" s="939" t="str">
        <f t="shared" ref="BN22" si="27">IF($CB22="OK",$CR22,"")</f>
        <v/>
      </c>
      <c r="BO22" s="940"/>
      <c r="BP22" s="941"/>
      <c r="BS22" s="967"/>
      <c r="BT22" s="967"/>
      <c r="BV22" s="926" t="str">
        <f t="shared" ref="BV22" si="28">IFERROR(ROUND(IF(AND(CB22="OK",CU22="OK"),CT22,""),0),"")</f>
        <v/>
      </c>
      <c r="BW22" s="926" t="str">
        <f t="shared" ref="BW22" si="29">IFERROR(ROUND(IF(AND(CB22="OK",CU22="OK"),BV22/3,""),0),"")</f>
        <v/>
      </c>
      <c r="BX22" s="926"/>
      <c r="BY22" s="927"/>
      <c r="BZ22" s="928"/>
      <c r="CB22" s="986" t="str">
        <f>IF(AND(C22="",F22="",R22="",AD22="",U22="",X22="",L22="",AJ22="",AV22="",AM22="",AP22="",AY22="",AV23="",BB22="",BD22="",AA22="",AS22=""),"",
IF(OR(C22="",F22="",R22="",AD22="",U22="",X22="",L22="",AJ22="",AV22="",AM22="",AP22="",AY22="",AV23="",BB22="",BD22="",AA22="",AS22=""),"Missing Fields",
IF(AND(M02S04F04disp="Required",M02S04F04=""),"TA Info Incomplete",
"OK")))</f>
        <v/>
      </c>
      <c r="CC22" s="925" t="str">
        <f>IF(AND($CB22="OK",$CU22="OK"),INDEX(Tbl_Cust_Light[Measure Number], MATCH(F22,Tbl_Cust_Light[Proj Desc 1],0)),"")</f>
        <v/>
      </c>
      <c r="CD22" s="925"/>
      <c r="CE22" s="925" t="str">
        <f t="shared" ref="CE22" si="30">IF(AND(CB22="OK",CU22="OK"),"Measure","")</f>
        <v/>
      </c>
      <c r="CF22" s="925" t="str">
        <f t="shared" ref="CF22" si="31">IF(AND(CB22="OK",CU22="OK"),1,"")</f>
        <v/>
      </c>
      <c r="CG22" s="978" t="str">
        <f t="shared" ref="CG22" si="32">IFERROR(CI22/CF22,"")</f>
        <v/>
      </c>
      <c r="CH22" s="978" t="str">
        <f>IF(AND(CB22="OK",CU22="OK"),IF(CM22&gt;0,CM22*Lighting_Only_rate,0)+IF(CO22&gt;0,CO22*Lighting_Only_rate,0),"")</f>
        <v/>
      </c>
      <c r="CI22" s="978" t="str">
        <f>IFERROR(IF(AND(CB22="OK",CU22="OK"),IF(INCENTTOCOST_CUST&gt;CostCap_Cust,
CH22*CostCap_Cust/INCENTTOCOST_CUST,CH22),""),"")</f>
        <v/>
      </c>
      <c r="CJ22" s="977">
        <f t="shared" ref="CJ22" si="33">CM22</f>
        <v>0</v>
      </c>
      <c r="CK22" s="977">
        <f t="shared" ref="CK22" si="34">CN22</f>
        <v>0</v>
      </c>
      <c r="CL22" s="977">
        <f t="shared" ref="CL22" si="35">CO22</f>
        <v>0</v>
      </c>
      <c r="CM22" s="977">
        <f>R22-AJ22</f>
        <v>0</v>
      </c>
      <c r="CN22" s="977">
        <f>U22-AM22</f>
        <v>0</v>
      </c>
      <c r="CO22" s="977">
        <f t="shared" ref="CO22" si="36">IF(CR22&gt;0,CR22,0)</f>
        <v>0</v>
      </c>
      <c r="CP22" s="977">
        <f t="shared" ref="CP22" si="37">CM22</f>
        <v>0</v>
      </c>
      <c r="CQ22" s="977">
        <f t="shared" ref="CQ22" si="38">CN22</f>
        <v>0</v>
      </c>
      <c r="CR22" s="977">
        <f>X22-AP22</f>
        <v>0</v>
      </c>
      <c r="CS22" s="983"/>
      <c r="CT22" s="982" t="str">
        <f>IF(CB22="OK",INDEX(Tbl_Cust_Light[EUL], MATCH(F22,Tbl_Cust_Light[Proj Desc 1],0)),"")</f>
        <v/>
      </c>
      <c r="CU22" s="979" t="str">
        <f t="shared" ref="CU22" si="39">IFERROR(IF(AND($CM22&lt;=0,$CN22&lt;=0,$CO22&lt;=0),"No Savings","OK"),"")</f>
        <v>No Savings</v>
      </c>
      <c r="CV22" s="925" t="str">
        <f t="shared" ref="CV22" si="40">IF(AND(CB22="OK",CU22="OK"),"1","")</f>
        <v/>
      </c>
      <c r="CW22" s="925" t="str">
        <f>IFERROR(IF($CB22="OK",ROUND($AQ$14*SUM(BB22:BE23)/SUM($BF$18:$BG$37),2),""),"")</f>
        <v/>
      </c>
      <c r="CX22" s="925" t="str">
        <f>IFERROR(IF(M02S04F04="Customer/Self-Installed",CW22,IF($CB22="OK",CW22+BD22,"")),"")</f>
        <v/>
      </c>
      <c r="CY22" s="925" t="str">
        <f>IFERROR(IF($CB22="OK",CX22+BB22,""),"")</f>
        <v/>
      </c>
      <c r="CZ22" s="925" t="str">
        <f>IF(CB22&lt;&gt;"OK","",INDEX(MEASURES3_M!$O$3:$O$12,MATCH(F22,MEASURES3_M!$C$2:$C$12,0)))</f>
        <v/>
      </c>
      <c r="DA22" s="98"/>
      <c r="DB22" s="98"/>
      <c r="DC22" s="98"/>
      <c r="DD22" s="980" t="str">
        <f>IFERROR(IF(CB22&lt;&gt;"OK","",CM22*VLOOKUP('DATA TABLES_Project'!$C$247,'DATA TABLES_Project'!$A$250:$B$285,2,FALSE)),"")</f>
        <v/>
      </c>
      <c r="DE22" s="925" t="str">
        <f t="shared" ref="DE22" si="41">IFERROR(IF(CB22&lt;&gt;"OK","",CM22*CZ22*0.92),"")</f>
        <v/>
      </c>
      <c r="DF22" s="980" t="str">
        <f>IFERROR(IF(CB22&lt;&gt;"OK","",CM22*CZ22*0.92*VLOOKUP('DATA TABLES_Project'!$C$247,'DATA TABLES_Project'!$A$250:$B$285,2,FALSE)),"")</f>
        <v/>
      </c>
      <c r="DG22" s="925" t="str">
        <f t="shared" ref="DG22" si="42">IFERROR(IF(CB22&lt;&gt;"OK","",CM22*BV22),IF(BX22="Dual",(CM22*BW22)+((BY22-AJ22)*(BV22-BW22)),""))</f>
        <v/>
      </c>
      <c r="DH22" s="925" t="str">
        <f ca="1">IFERROR(IF(CB22&lt;&gt;"OK","",IF(OR(BX22="Single",BX22=""), CM22*BV22*AVERAGE(INDEX('DATA TABLES_Project'!$B$250:$B$285, MATCH('DATA TABLES_Project'!$C$247,'DATA TABLES_Project'!$A$250:$A$285, 0)):OFFSET(INDEX('DATA TABLES_Project'!$B$250:$B$285, MATCH('DATA TABLES_Project'!$C$247,'DATA TABLES_Project'!$A$250:$A$285, 0)),BV22-1,0)),CM22*BW22*AVERAGE(INDEX('DATA TABLES_Project'!$B$250:$B$285, MATCH('DATA TABLES_Project'!$C$247,'DATA TABLES_Project'!$A$250:$A$285, 0)):OFFSET(INDEX('DATA TABLES_Project'!$B$250:$B$285, MATCH('DATA TABLES_Project'!$C$247,'DATA TABLES_Project'!$A$250:$A$285, 0)),BW22-1,0)) + ((BY22-AJ22)*(BV22-BW22)*AVERAGE(OFFSET(INDEX('DATA TABLES_Project'!$B$250:$B$285, MATCH('DATA TABLES_Project'!$C$247,'DATA TABLES_Project'!$A$250:$A$285, 0)),BW22,0):OFFSET(INDEX('DATA TABLES_Project'!$B$250:$B$285, MATCH('DATA TABLES_Project'!$C$247,'DATA TABLES_Project'!$A$250:$A$285, 0)),BV22-1,0))))), "")</f>
        <v/>
      </c>
      <c r="DI22" s="925" t="str">
        <f t="shared" ref="DI22" si="43">IFERROR(IF(CB22&lt;&gt;"OK","",IF(BX22="Dual",(CM22*BW22)+((BY22-AJ22)*(BV22-BW22))*CZ22*0.92,CM22*CZ22*BV22*0.92)),"")</f>
        <v/>
      </c>
      <c r="DJ22" s="925" t="str">
        <f ca="1">IFERROR(IF(CB22&lt;&gt;"OK","",IF(OR(BX22="Single",BX22=""),0.92*CZ22*CM22*BV22*AVERAGE(INDEX('DATA TABLES_Project'!$B$250:$B$285, MATCH('DATA TABLES_Project'!$C$247,'DATA TABLES_Project'!$A$250:$A$285, 0)):OFFSET(INDEX('DATA TABLES_Project'!$B$250:$B$285, MATCH('DATA TABLES_Project'!$C$247,'DATA TABLES_Project'!$A$250:$A$285, 0)),BV22-1,0)),0.92*CZ22*CM22*BW22*AVERAGE(INDEX('DATA TABLES_Project'!$B$250:$B$285, MATCH('DATA TABLES_Project'!$C$247,'DATA TABLES_Project'!$A$250:$A$285, 0)):OFFSET(INDEX('DATA TABLES_Project'!$B$250:$B$285, MATCH('DATA TABLES_Project'!$C$247,'DATA TABLES_Project'!$A$250:$A$285, 0)),BW22-1,0)) + (0.92*CZ22*(BY22-AJ22)*(BV22-BW22)*AVERAGE(OFFSET(INDEX('DATA TABLES_Project'!$B$250:$B$285, MATCH('DATA TABLES_Project'!$C$247,'DATA TABLES_Project'!$A$250:$A$285, 0)),BW22,0):OFFSET(INDEX('DATA TABLES_Project'!$B$250:$B$285, MATCH('DATA TABLES_Project'!$C$247,'DATA TABLES_Project'!$A$250:$A$285, 0)),BV22-1,0))))), "")</f>
        <v/>
      </c>
      <c r="DK22" s="925" t="str">
        <f>IFERROR(IF(CB22&lt;&gt;"OK","",CO22*'DATA TABLES_Project'!$C$250),"")</f>
        <v/>
      </c>
      <c r="DL22" s="925" t="str">
        <f t="shared" ref="DL22" si="44">IFERROR(IF(CB22&lt;&gt;"OK","",CO22*CZ22*0.92),"")</f>
        <v/>
      </c>
      <c r="DM22" s="925" t="str">
        <f>IFERROR(IF(CB22&lt;&gt;"OK","",CO22*'DATA TABLES_Project'!$C$250*CZ22*0.92),"")</f>
        <v/>
      </c>
      <c r="DN22" s="925" t="str">
        <f t="shared" ref="DN22" si="45">IFERROR(IF(CB22&lt;&gt;"OK","",CO22*BV22),IF(BX22="Dual",(CO22*BW22)+((BZ22-AP22)*(BV22-BW22)),""))</f>
        <v/>
      </c>
      <c r="DO22" s="925" t="str">
        <f ca="1">IFERROR(IF(CB22&lt;&gt;"OK","",CO22*BV22*AVERAGE('DATA TABLES_Project'!$C$250:OFFSET('DATA TABLES_Project'!$C$250,BV22,0))),IF(BX22="Dual",(CO22*BW22*AVERAGE('DATA TABLES_Project'!$C$251:$C$259))+((BZ22-AP22)*(BV22-BW22)*AVERAGE('DATA TABLES_Project'!$C$260:$C$279)),""))</f>
        <v/>
      </c>
      <c r="DP22" s="925" t="str">
        <f t="shared" ref="DP22" si="46">IFERROR(IF(CB22&lt;&gt;"OK","",IF(BX22="Dual",((CO22*BW22)+(BZ22-AP22)*(BV22-BW22))*CZ22*0.92,CO22*BV22*CZ22*0.92)),"")</f>
        <v/>
      </c>
      <c r="DQ22" s="925" t="str">
        <f ca="1">IFERROR(IF(CB22&lt;&gt;"OK","",IF(BX22="Dual",(0.92*CZ22*CO22*BW22*AVERAGE('DATA TABLES_Project'!$C$251:$C$259))+(0.92*CZ22*(BZ22-AP22)*(BV22-BW22)*AVERAGE('DATA TABLES_Project'!$C$260:$C$279)),0.92*CZ22*CO22*BV22*AVERAGE('DATA TABLES_Project'!$C$250:OFFSET('DATA TABLES_Project'!$C$250,BV22,0)))),"")</f>
        <v/>
      </c>
      <c r="DR22" s="980" t="str">
        <f>IFERROR(IF($CB22&lt;&gt;"OK","",CM22*'DATA TABLES_Project'!$B$290+IF(CO22&lt;0,0,CO22*'DATA TABLES_Project'!$B$291)),"")</f>
        <v/>
      </c>
      <c r="DS22" s="980" t="str">
        <f>IFERROR(IF($CB22&lt;&gt;"OK","",DD22*'DATA TABLES_Project'!$B$290+IF(DK22&lt;0,0,DK22*'DATA TABLES_Project'!$B$291)),"")</f>
        <v/>
      </c>
      <c r="DT22" s="980" t="str">
        <f>IFERROR(IF($CB22&lt;&gt;"OK","",DE22*'DATA TABLES_Project'!$B$290+IF(DL22&lt;0,0,DL22*'DATA TABLES_Project'!$B$291)),"")</f>
        <v/>
      </c>
      <c r="DU22" s="980" t="str">
        <f>IFERROR(IF($CB22&lt;&gt;"OK","",DF22*'DATA TABLES_Project'!$B$290+IF(DM22&lt;0,0,DM22*'DATA TABLES_Project'!$B$291)),"")</f>
        <v/>
      </c>
      <c r="DV22" s="980" t="str">
        <f>IFERROR(IF($CB22&lt;&gt;"OK","",DG22*'DATA TABLES_Project'!$B$290+IF(DN22&lt;0,0,DN22*'DATA TABLES_Project'!$B$291)),"")</f>
        <v/>
      </c>
      <c r="DW22" s="980" t="str">
        <f>IFERROR(IF($CB22&lt;&gt;"OK","",DH22*'DATA TABLES_Project'!$B$290+IF(DO22&lt;0,0,DO22*'DATA TABLES_Project'!$B$291)),"")</f>
        <v/>
      </c>
      <c r="DX22" s="980" t="str">
        <f>IFERROR(IF($CB22&lt;&gt;"OK","",DI22*'DATA TABLES_Project'!$B$290+IF(DP22&lt;0,0,DP22*'DATA TABLES_Project'!$B$291)),"")</f>
        <v/>
      </c>
      <c r="DY22" s="925" t="str">
        <f>IFERROR(IF($CB22&lt;&gt;"OK","",DJ22*'DATA TABLES_Project'!$B$290+IF(DQ22&lt;0,0,DQ22*'DATA TABLES_Project'!$B$291)),"")</f>
        <v/>
      </c>
      <c r="DZ22" s="925" t="str">
        <f t="shared" ref="DZ22" si="47">IFERROR(IF($CB22&lt;&gt;"OK","",AS22),"")</f>
        <v/>
      </c>
      <c r="EA22" s="925" t="str">
        <f>IFERROR(IF(CB22&lt;&gt;"OK","",CN22*'DATA TABLES_Project'!$B$250*CZ22*1.03),"")</f>
        <v/>
      </c>
      <c r="EB22" s="925" t="str">
        <f t="shared" ref="EB22" si="48">IFERROR(IF(CB22&lt;&gt;"OK","",CN22*CZ22*1.03),"")</f>
        <v/>
      </c>
      <c r="EC22" s="925" t="str">
        <f>IFERROR(IF(CB22&lt;&gt;"OK","",CZ22*DZ22*'DATA TABLES_Project'!$C$250*0.92),"")</f>
        <v/>
      </c>
      <c r="ED22" s="925" t="str">
        <f>IFERROR(IF(CB22&lt;&gt;"OK","",CZ22*DZ22*'DATA TABLES_Project'!$C$250*0.92),"")</f>
        <v/>
      </c>
      <c r="EE22" s="925" t="str">
        <f t="shared" ref="EE22" si="49">IFERROR(IF(CB22&lt;&gt;"OK","",CZ22*DZ22*0.92),"")</f>
        <v/>
      </c>
      <c r="EF22" s="925" t="str">
        <f t="shared" ref="EF22" si="50">IFERROR(IF(CB22&lt;&gt;"OK","",CZ22*DZ22*0.92),"")</f>
        <v/>
      </c>
      <c r="EG22" s="925" t="str">
        <f>IFERROR(IF($CB22&lt;&gt;"OK","",CM22*'DATA TABLES_Project'!$B$290+CO22*'DATA TABLES_Project'!$B$291),"")</f>
        <v/>
      </c>
      <c r="EH22" s="925" t="str">
        <f>IFERROR(IF($CB22&lt;&gt;"OK","",DD22*'DATA TABLES_Project'!$B$290+DK22*'DATA TABLES_Project'!$B$291),"")</f>
        <v/>
      </c>
      <c r="EI22" s="925" t="str">
        <f>IFERROR(IF($CB22&lt;&gt;"OK","",DE22*'DATA TABLES_Project'!$B$290+DL22*'DATA TABLES_Project'!$B$291),"")</f>
        <v/>
      </c>
      <c r="EJ22" s="925" t="str">
        <f>IFERROR(IF($CB22&lt;&gt;"OK","",DF22*'DATA TABLES_Project'!$B$290+DM22*'DATA TABLES_Project'!$B$291),"")</f>
        <v/>
      </c>
      <c r="EK22" s="925" t="str">
        <f>IFERROR(IF($CB22&lt;&gt;"OK","",DG22*'DATA TABLES_Project'!$B$290+DN22*'DATA TABLES_Project'!$B$291),"")</f>
        <v/>
      </c>
      <c r="EL22" s="925" t="str">
        <f>IFERROR(IF($CB22&lt;&gt;"OK","",DH22*'DATA TABLES_Project'!$B$290+DO22*'DATA TABLES_Project'!$B$291),"")</f>
        <v/>
      </c>
      <c r="EM22" s="925" t="str">
        <f>IFERROR(IF($CB22&lt;&gt;"OK","",DI22*'DATA TABLES_Project'!$B$290+DP22*'DATA TABLES_Project'!$B$291),"")</f>
        <v/>
      </c>
      <c r="EN22" s="925" t="str">
        <f>IFERROR(IF($CB22&lt;&gt;"OK","",DJ22*'DATA TABLES_Project'!$B$290+DQ22*'DATA TABLES_Project'!$B$291),"")</f>
        <v/>
      </c>
    </row>
    <row r="23" spans="1:144" ht="16.350000000000001" customHeight="1">
      <c r="A23" s="462"/>
      <c r="B23" s="994"/>
      <c r="C23" s="998"/>
      <c r="D23" s="999"/>
      <c r="E23" s="1000"/>
      <c r="F23" s="964"/>
      <c r="G23" s="965"/>
      <c r="H23" s="965"/>
      <c r="I23" s="965"/>
      <c r="J23" s="965"/>
      <c r="K23" s="966"/>
      <c r="L23" s="964"/>
      <c r="M23" s="965"/>
      <c r="N23" s="965"/>
      <c r="O23" s="965"/>
      <c r="P23" s="965"/>
      <c r="Q23" s="966"/>
      <c r="R23" s="1001"/>
      <c r="S23" s="1001"/>
      <c r="T23" s="1001"/>
      <c r="U23" s="1001"/>
      <c r="V23" s="1001"/>
      <c r="W23" s="1001"/>
      <c r="X23" s="958"/>
      <c r="Y23" s="959"/>
      <c r="Z23" s="960"/>
      <c r="AA23" s="958"/>
      <c r="AB23" s="959"/>
      <c r="AC23" s="960"/>
      <c r="AD23" s="964"/>
      <c r="AE23" s="965"/>
      <c r="AF23" s="965"/>
      <c r="AG23" s="965"/>
      <c r="AH23" s="965"/>
      <c r="AI23" s="966"/>
      <c r="AJ23" s="952"/>
      <c r="AK23" s="953"/>
      <c r="AL23" s="954"/>
      <c r="AM23" s="952"/>
      <c r="AN23" s="953"/>
      <c r="AO23" s="954"/>
      <c r="AP23" s="958"/>
      <c r="AQ23" s="959"/>
      <c r="AR23" s="960"/>
      <c r="AS23" s="958"/>
      <c r="AT23" s="959"/>
      <c r="AU23" s="960"/>
      <c r="AV23" s="968"/>
      <c r="AW23" s="969"/>
      <c r="AX23" s="969"/>
      <c r="AY23" s="969"/>
      <c r="AZ23" s="969"/>
      <c r="BA23" s="970"/>
      <c r="BB23" s="947"/>
      <c r="BC23" s="948"/>
      <c r="BD23" s="947"/>
      <c r="BE23" s="948"/>
      <c r="BF23" s="931"/>
      <c r="BG23" s="932"/>
      <c r="BH23" s="974"/>
      <c r="BI23" s="975"/>
      <c r="BJ23" s="976"/>
      <c r="BK23" s="936"/>
      <c r="BL23" s="937"/>
      <c r="BM23" s="938"/>
      <c r="BN23" s="942"/>
      <c r="BO23" s="943"/>
      <c r="BP23" s="944"/>
      <c r="BS23" s="967"/>
      <c r="BT23" s="967"/>
      <c r="BV23" s="926"/>
      <c r="BW23" s="926"/>
      <c r="BX23" s="926"/>
      <c r="BY23" s="927"/>
      <c r="BZ23" s="928"/>
      <c r="CB23" s="986"/>
      <c r="CC23" s="925"/>
      <c r="CD23" s="925"/>
      <c r="CE23" s="925"/>
      <c r="CF23" s="925"/>
      <c r="CG23" s="925"/>
      <c r="CH23" s="925"/>
      <c r="CI23" s="925"/>
      <c r="CJ23" s="977"/>
      <c r="CK23" s="977"/>
      <c r="CL23" s="977"/>
      <c r="CM23" s="977"/>
      <c r="CN23" s="977"/>
      <c r="CO23" s="977"/>
      <c r="CP23" s="977"/>
      <c r="CQ23" s="977"/>
      <c r="CR23" s="977"/>
      <c r="CS23" s="983"/>
      <c r="CT23" s="982"/>
      <c r="CU23" s="979"/>
      <c r="CV23" s="925"/>
      <c r="CW23" s="925"/>
      <c r="CX23" s="925"/>
      <c r="CY23" s="925"/>
      <c r="CZ23" s="925"/>
      <c r="DA23" s="98"/>
      <c r="DB23" s="98"/>
      <c r="DC23" s="98"/>
      <c r="DD23" s="981"/>
      <c r="DE23" s="925"/>
      <c r="DF23" s="981"/>
      <c r="DG23" s="925"/>
      <c r="DH23" s="925"/>
      <c r="DI23" s="925"/>
      <c r="DJ23" s="925"/>
      <c r="DK23" s="925"/>
      <c r="DL23" s="925"/>
      <c r="DM23" s="925"/>
      <c r="DN23" s="925"/>
      <c r="DO23" s="925"/>
      <c r="DP23" s="925"/>
      <c r="DQ23" s="925"/>
      <c r="DR23" s="981"/>
      <c r="DS23" s="981"/>
      <c r="DT23" s="981"/>
      <c r="DU23" s="981"/>
      <c r="DV23" s="981"/>
      <c r="DW23" s="981"/>
      <c r="DX23" s="981"/>
      <c r="DY23" s="925"/>
      <c r="DZ23" s="925"/>
      <c r="EA23" s="925"/>
      <c r="EB23" s="925"/>
      <c r="EC23" s="925"/>
      <c r="ED23" s="925"/>
      <c r="EE23" s="925"/>
      <c r="EF23" s="925"/>
      <c r="EG23" s="925"/>
      <c r="EH23" s="925"/>
      <c r="EI23" s="925"/>
      <c r="EJ23" s="925"/>
      <c r="EK23" s="925"/>
      <c r="EL23" s="925"/>
      <c r="EM23" s="925"/>
      <c r="EN23" s="925"/>
    </row>
    <row r="24" spans="1:144" ht="16.350000000000001" customHeight="1">
      <c r="A24" s="462"/>
      <c r="B24" s="994">
        <v>4</v>
      </c>
      <c r="C24" s="995"/>
      <c r="D24" s="996"/>
      <c r="E24" s="997"/>
      <c r="F24" s="961"/>
      <c r="G24" s="962"/>
      <c r="H24" s="962"/>
      <c r="I24" s="962"/>
      <c r="J24" s="962"/>
      <c r="K24" s="963"/>
      <c r="L24" s="961"/>
      <c r="M24" s="962"/>
      <c r="N24" s="962"/>
      <c r="O24" s="962"/>
      <c r="P24" s="962"/>
      <c r="Q24" s="963"/>
      <c r="R24" s="1001"/>
      <c r="S24" s="1001"/>
      <c r="T24" s="1001"/>
      <c r="U24" s="1001"/>
      <c r="V24" s="1001"/>
      <c r="W24" s="1001"/>
      <c r="X24" s="955"/>
      <c r="Y24" s="956"/>
      <c r="Z24" s="957"/>
      <c r="AA24" s="955"/>
      <c r="AB24" s="956"/>
      <c r="AC24" s="957"/>
      <c r="AD24" s="961"/>
      <c r="AE24" s="962"/>
      <c r="AF24" s="962"/>
      <c r="AG24" s="962"/>
      <c r="AH24" s="962"/>
      <c r="AI24" s="963"/>
      <c r="AJ24" s="949"/>
      <c r="AK24" s="950"/>
      <c r="AL24" s="951"/>
      <c r="AM24" s="949"/>
      <c r="AN24" s="950"/>
      <c r="AO24" s="951"/>
      <c r="AP24" s="955"/>
      <c r="AQ24" s="956"/>
      <c r="AR24" s="957"/>
      <c r="AS24" s="955"/>
      <c r="AT24" s="956"/>
      <c r="AU24" s="957"/>
      <c r="AV24" s="968"/>
      <c r="AW24" s="969"/>
      <c r="AX24" s="970"/>
      <c r="AY24" s="968"/>
      <c r="AZ24" s="969"/>
      <c r="BA24" s="970"/>
      <c r="BB24" s="945"/>
      <c r="BC24" s="946"/>
      <c r="BD24" s="945"/>
      <c r="BE24" s="946"/>
      <c r="BF24" s="929" t="str">
        <f>IF(CB24="OK",ROUND(BB24+BD24,2),"")</f>
        <v/>
      </c>
      <c r="BG24" s="930"/>
      <c r="BH24" s="971" t="str">
        <f t="shared" ref="BH24" si="51">IFERROR(IF(AND($CB24="OK",$CU24="OK"),$CI24,IF($CB24&lt;&gt;"OK",$CB24,$CU24)),"")</f>
        <v/>
      </c>
      <c r="BI24" s="972"/>
      <c r="BJ24" s="973"/>
      <c r="BK24" s="933" t="str">
        <f t="shared" ref="BK24" si="52">IF($CB24="OK",CM24,"")</f>
        <v/>
      </c>
      <c r="BL24" s="934"/>
      <c r="BM24" s="935"/>
      <c r="BN24" s="939" t="str">
        <f t="shared" ref="BN24" si="53">IF($CB24="OK",$CR24,"")</f>
        <v/>
      </c>
      <c r="BO24" s="940"/>
      <c r="BP24" s="941"/>
      <c r="BS24" s="967"/>
      <c r="BT24" s="967"/>
      <c r="BV24" s="926" t="str">
        <f t="shared" ref="BV24" si="54">IFERROR(ROUND(IF(AND(CB24="OK",CU24="OK"),CT24,""),0),"")</f>
        <v/>
      </c>
      <c r="BW24" s="926" t="str">
        <f t="shared" ref="BW24" si="55">IFERROR(ROUND(IF(AND(CB24="OK",CU24="OK"),BV24/3,""),0),"")</f>
        <v/>
      </c>
      <c r="BX24" s="926"/>
      <c r="BY24" s="927"/>
      <c r="BZ24" s="928"/>
      <c r="CB24" s="986" t="str">
        <f>IF(AND(C24="",F24="",R24="",AD24="",U24="",X24="",L24="",AJ24="",AV24="",AM24="",AP24="",AY24="",AV25="",BB24="",BD24="",AA24="",AS24=""),"",
IF(OR(C24="",F24="",R24="",AD24="",U24="",X24="",L24="",AJ24="",AV24="",AM24="",AP24="",AY24="",AV25="",BB24="",BD24="",AA24="",AS24=""),"Missing Fields",
IF(AND(M02S04F04disp="Required",M02S04F04=""),"TA Info Incomplete",
"OK")))</f>
        <v/>
      </c>
      <c r="CC24" s="925" t="str">
        <f>IF(AND($CB24="OK",$CU24="OK"),INDEX(Tbl_Cust_Light[Measure Number], MATCH(F24,Tbl_Cust_Light[Proj Desc 1],0)),"")</f>
        <v/>
      </c>
      <c r="CD24" s="925"/>
      <c r="CE24" s="925" t="str">
        <f t="shared" ref="CE24" si="56">IF(AND(CB24="OK",CU24="OK"),"Measure","")</f>
        <v/>
      </c>
      <c r="CF24" s="925" t="str">
        <f t="shared" ref="CF24" si="57">IF(AND(CB24="OK",CU24="OK"),1,"")</f>
        <v/>
      </c>
      <c r="CG24" s="978" t="str">
        <f t="shared" ref="CG24" si="58">IFERROR(CI24/CF24,"")</f>
        <v/>
      </c>
      <c r="CH24" s="978" t="str">
        <f>IF(AND(CB24="OK",CU24="OK"),IF(CM24&gt;0,CM24*Lighting_Only_rate,0)+IF(CO24&gt;0,CO24*Lighting_Only_rate,0),"")</f>
        <v/>
      </c>
      <c r="CI24" s="978" t="str">
        <f>IFERROR(IF(AND(CB24="OK",CU24="OK"),IF(INCENTTOCOST_CUST&gt;CostCap_Cust,
CH24*CostCap_Cust/INCENTTOCOST_CUST,CH24),""),"")</f>
        <v/>
      </c>
      <c r="CJ24" s="977">
        <f t="shared" ref="CJ24" si="59">CM24</f>
        <v>0</v>
      </c>
      <c r="CK24" s="977">
        <f t="shared" ref="CK24" si="60">CN24</f>
        <v>0</v>
      </c>
      <c r="CL24" s="977">
        <f t="shared" ref="CL24" si="61">CO24</f>
        <v>0</v>
      </c>
      <c r="CM24" s="977">
        <f>R24-AJ24</f>
        <v>0</v>
      </c>
      <c r="CN24" s="977">
        <f>U24-AM24</f>
        <v>0</v>
      </c>
      <c r="CO24" s="977">
        <f t="shared" ref="CO24" si="62">IF(CR24&gt;0,CR24,0)</f>
        <v>0</v>
      </c>
      <c r="CP24" s="977">
        <f t="shared" ref="CP24" si="63">CM24</f>
        <v>0</v>
      </c>
      <c r="CQ24" s="977">
        <f t="shared" ref="CQ24" si="64">CN24</f>
        <v>0</v>
      </c>
      <c r="CR24" s="977">
        <f>X24-AP24</f>
        <v>0</v>
      </c>
      <c r="CS24" s="983"/>
      <c r="CT24" s="982" t="str">
        <f>IF(CB24="OK",INDEX(Tbl_Cust_Light[EUL], MATCH(F24,Tbl_Cust_Light[Proj Desc 1],0)),"")</f>
        <v/>
      </c>
      <c r="CU24" s="979" t="str">
        <f t="shared" ref="CU24" si="65">IFERROR(IF(AND($CM24&lt;=0,$CN24&lt;=0,$CO24&lt;=0),"No Savings","OK"),"")</f>
        <v>No Savings</v>
      </c>
      <c r="CV24" s="925" t="str">
        <f t="shared" ref="CV24" si="66">IF(AND(CB24="OK",CU24="OK"),"1","")</f>
        <v/>
      </c>
      <c r="CW24" s="925" t="str">
        <f>IFERROR(IF($CB24="OK",ROUND($AQ$14*SUM(BB24:BE25)/SUM($BF$18:$BG$37),2),""),"")</f>
        <v/>
      </c>
      <c r="CX24" s="925" t="str">
        <f>IFERROR(IF(M02S04F04="Customer/Self-Installed",CW24,IF($CB24="OK",CW24+BD24,"")),"")</f>
        <v/>
      </c>
      <c r="CY24" s="925" t="str">
        <f>IFERROR(IF($CB24="OK",CX24+BB24,""),"")</f>
        <v/>
      </c>
      <c r="CZ24" s="925" t="str">
        <f>IF(CB24&lt;&gt;"OK","",INDEX(MEASURES3_M!$O$3:$O$12,MATCH(F24,MEASURES3_M!$C$2:$C$12,0)))</f>
        <v/>
      </c>
      <c r="DA24" s="98"/>
      <c r="DB24" s="98"/>
      <c r="DC24" s="98"/>
      <c r="DD24" s="980" t="str">
        <f>IFERROR(IF(CB24&lt;&gt;"OK","",CM24*VLOOKUP('DATA TABLES_Project'!$C$247,'DATA TABLES_Project'!$A$250:$B$285,2,FALSE)),"")</f>
        <v/>
      </c>
      <c r="DE24" s="925" t="str">
        <f t="shared" ref="DE24" si="67">IFERROR(IF(CB24&lt;&gt;"OK","",CM24*CZ24*0.92),"")</f>
        <v/>
      </c>
      <c r="DF24" s="980" t="str">
        <f>IFERROR(IF(CB24&lt;&gt;"OK","",CM24*CZ24*0.92*VLOOKUP('DATA TABLES_Project'!$C$247,'DATA TABLES_Project'!$A$250:$B$285,2,FALSE)),"")</f>
        <v/>
      </c>
      <c r="DG24" s="925" t="str">
        <f t="shared" ref="DG24" si="68">IFERROR(IF(CB24&lt;&gt;"OK","",CM24*BV24),IF(BX24="Dual",(CM24*BW24)+((BY24-AJ24)*(BV24-BW24)),""))</f>
        <v/>
      </c>
      <c r="DH24" s="925" t="str">
        <f ca="1">IFERROR(IF(CB24&lt;&gt;"OK","",IF(OR(BX24="Single",BX24=""), CM24*BV24*AVERAGE(INDEX('DATA TABLES_Project'!$B$250:$B$285, MATCH('DATA TABLES_Project'!$C$247,'DATA TABLES_Project'!$A$250:$A$285, 0)):OFFSET(INDEX('DATA TABLES_Project'!$B$250:$B$285, MATCH('DATA TABLES_Project'!$C$247,'DATA TABLES_Project'!$A$250:$A$285, 0)),BV24-1,0)),CM24*BW24*AVERAGE(INDEX('DATA TABLES_Project'!$B$250:$B$285, MATCH('DATA TABLES_Project'!$C$247,'DATA TABLES_Project'!$A$250:$A$285, 0)):OFFSET(INDEX('DATA TABLES_Project'!$B$250:$B$285, MATCH('DATA TABLES_Project'!$C$247,'DATA TABLES_Project'!$A$250:$A$285, 0)),BW24-1,0)) + ((BY24-AJ24)*(BV24-BW24)*AVERAGE(OFFSET(INDEX('DATA TABLES_Project'!$B$250:$B$285, MATCH('DATA TABLES_Project'!$C$247,'DATA TABLES_Project'!$A$250:$A$285, 0)),BW24,0):OFFSET(INDEX('DATA TABLES_Project'!$B$250:$B$285, MATCH('DATA TABLES_Project'!$C$247,'DATA TABLES_Project'!$A$250:$A$285, 0)),BV24-1,0))))), "")</f>
        <v/>
      </c>
      <c r="DI24" s="925" t="str">
        <f t="shared" ref="DI24" si="69">IFERROR(IF(CB24&lt;&gt;"OK","",IF(BX24="Dual",(CM24*BW24)+((BY24-AJ24)*(BV24-BW24))*CZ24*0.92,CM24*CZ24*BV24*0.92)),"")</f>
        <v/>
      </c>
      <c r="DJ24" s="925" t="str">
        <f ca="1">IFERROR(IF(CB24&lt;&gt;"OK","",IF(OR(BX24="Single",BX24=""),0.92*CZ24*CM24*BV24*AVERAGE(INDEX('DATA TABLES_Project'!$B$250:$B$285, MATCH('DATA TABLES_Project'!$C$247,'DATA TABLES_Project'!$A$250:$A$285, 0)):OFFSET(INDEX('DATA TABLES_Project'!$B$250:$B$285, MATCH('DATA TABLES_Project'!$C$247,'DATA TABLES_Project'!$A$250:$A$285, 0)),BV24-1,0)),0.92*CZ24*CM24*BW24*AVERAGE(INDEX('DATA TABLES_Project'!$B$250:$B$285, MATCH('DATA TABLES_Project'!$C$247,'DATA TABLES_Project'!$A$250:$A$285, 0)):OFFSET(INDEX('DATA TABLES_Project'!$B$250:$B$285, MATCH('DATA TABLES_Project'!$C$247,'DATA TABLES_Project'!$A$250:$A$285, 0)),BW24-1,0)) + (0.92*CZ24*(BY24-AJ24)*(BV24-BW24)*AVERAGE(OFFSET(INDEX('DATA TABLES_Project'!$B$250:$B$285, MATCH('DATA TABLES_Project'!$C$247,'DATA TABLES_Project'!$A$250:$A$285, 0)),BW24,0):OFFSET(INDEX('DATA TABLES_Project'!$B$250:$B$285, MATCH('DATA TABLES_Project'!$C$247,'DATA TABLES_Project'!$A$250:$A$285, 0)),BV24-1,0))))), "")</f>
        <v/>
      </c>
      <c r="DK24" s="925" t="str">
        <f>IFERROR(IF(CB24&lt;&gt;"OK","",CO24*'DATA TABLES_Project'!$C$250),"")</f>
        <v/>
      </c>
      <c r="DL24" s="925" t="str">
        <f t="shared" ref="DL24" si="70">IFERROR(IF(CB24&lt;&gt;"OK","",CO24*CZ24*0.92),"")</f>
        <v/>
      </c>
      <c r="DM24" s="925" t="str">
        <f>IFERROR(IF(CB24&lt;&gt;"OK","",CO24*'DATA TABLES_Project'!$C$250*CZ24*0.92),"")</f>
        <v/>
      </c>
      <c r="DN24" s="925" t="str">
        <f t="shared" ref="DN24" si="71">IFERROR(IF(CB24&lt;&gt;"OK","",CO24*BV24),IF(BX24="Dual",(CO24*BW24)+((BZ24-AP24)*(BV24-BW24)),""))</f>
        <v/>
      </c>
      <c r="DO24" s="925" t="str">
        <f ca="1">IFERROR(IF(CB24&lt;&gt;"OK","",CO24*BV24*AVERAGE('DATA TABLES_Project'!$C$250:OFFSET('DATA TABLES_Project'!$C$250,BV24,0))),IF(BX24="Dual",(CO24*BW24*AVERAGE('DATA TABLES_Project'!$C$251:$C$259))+((BZ24-AP24)*(BV24-BW24)*AVERAGE('DATA TABLES_Project'!$C$260:$C$279)),""))</f>
        <v/>
      </c>
      <c r="DP24" s="925" t="str">
        <f t="shared" ref="DP24" si="72">IFERROR(IF(CB24&lt;&gt;"OK","",IF(BX24="Dual",((CO24*BW24)+(BZ24-AP24)*(BV24-BW24))*CZ24*0.92,CO24*BV24*CZ24*0.92)),"")</f>
        <v/>
      </c>
      <c r="DQ24" s="925" t="str">
        <f ca="1">IFERROR(IF(CB24&lt;&gt;"OK","",IF(BX24="Dual",(0.92*CZ24*CO24*BW24*AVERAGE('DATA TABLES_Project'!$C$251:$C$259))+(0.92*CZ24*(BZ24-AP24)*(BV24-BW24)*AVERAGE('DATA TABLES_Project'!$C$260:$C$279)),0.92*CZ24*CO24*BV24*AVERAGE('DATA TABLES_Project'!$C$250:OFFSET('DATA TABLES_Project'!$C$250,BV24,0)))),"")</f>
        <v/>
      </c>
      <c r="DR24" s="980" t="str">
        <f>IFERROR(IF($CB24&lt;&gt;"OK","",CM24*'DATA TABLES_Project'!$B$290+IF(CO24&lt;0,0,CO24*'DATA TABLES_Project'!$B$291)),"")</f>
        <v/>
      </c>
      <c r="DS24" s="980" t="str">
        <f>IFERROR(IF($CB24&lt;&gt;"OK","",DD24*'DATA TABLES_Project'!$B$290+IF(DK24&lt;0,0,DK24*'DATA TABLES_Project'!$B$291)),"")</f>
        <v/>
      </c>
      <c r="DT24" s="980" t="str">
        <f>IFERROR(IF($CB24&lt;&gt;"OK","",DE24*'DATA TABLES_Project'!$B$290+IF(DL24&lt;0,0,DL24*'DATA TABLES_Project'!$B$291)),"")</f>
        <v/>
      </c>
      <c r="DU24" s="980" t="str">
        <f>IFERROR(IF($CB24&lt;&gt;"OK","",DF24*'DATA TABLES_Project'!$B$290+IF(DM24&lt;0,0,DM24*'DATA TABLES_Project'!$B$291)),"")</f>
        <v/>
      </c>
      <c r="DV24" s="980" t="str">
        <f>IFERROR(IF($CB24&lt;&gt;"OK","",DG24*'DATA TABLES_Project'!$B$290+IF(DN24&lt;0,0,DN24*'DATA TABLES_Project'!$B$291)),"")</f>
        <v/>
      </c>
      <c r="DW24" s="980" t="str">
        <f>IFERROR(IF($CB24&lt;&gt;"OK","",DH24*'DATA TABLES_Project'!$B$290+IF(DO24&lt;0,0,DO24*'DATA TABLES_Project'!$B$291)),"")</f>
        <v/>
      </c>
      <c r="DX24" s="980" t="str">
        <f>IFERROR(IF($CB24&lt;&gt;"OK","",DI24*'DATA TABLES_Project'!$B$290+IF(DP24&lt;0,0,DP24*'DATA TABLES_Project'!$B$291)),"")</f>
        <v/>
      </c>
      <c r="DY24" s="925" t="str">
        <f>IFERROR(IF($CB24&lt;&gt;"OK","",DJ24*'DATA TABLES_Project'!$B$290+IF(DQ24&lt;0,0,DQ24*'DATA TABLES_Project'!$B$291)),"")</f>
        <v/>
      </c>
      <c r="DZ24" s="925" t="str">
        <f t="shared" ref="DZ24" si="73">IFERROR(IF($CB24&lt;&gt;"OK","",AS24),"")</f>
        <v/>
      </c>
      <c r="EA24" s="925" t="str">
        <f>IFERROR(IF(CB24&lt;&gt;"OK","",CN24*'DATA TABLES_Project'!$B$250*CZ24*1.03),"")</f>
        <v/>
      </c>
      <c r="EB24" s="925" t="str">
        <f t="shared" ref="EB24" si="74">IFERROR(IF(CB24&lt;&gt;"OK","",CN24*CZ24*1.03),"")</f>
        <v/>
      </c>
      <c r="EC24" s="925" t="str">
        <f>IFERROR(IF(CB24&lt;&gt;"OK","",CZ24*DZ24*'DATA TABLES_Project'!$C$250*0.92),"")</f>
        <v/>
      </c>
      <c r="ED24" s="925" t="str">
        <f>IFERROR(IF(CB24&lt;&gt;"OK","",CZ24*DZ24*'DATA TABLES_Project'!$C$250*0.92),"")</f>
        <v/>
      </c>
      <c r="EE24" s="925" t="str">
        <f t="shared" ref="EE24" si="75">IFERROR(IF(CB24&lt;&gt;"OK","",CZ24*DZ24*0.92),"")</f>
        <v/>
      </c>
      <c r="EF24" s="925" t="str">
        <f t="shared" ref="EF24" si="76">IFERROR(IF(CB24&lt;&gt;"OK","",CZ24*DZ24*0.92),"")</f>
        <v/>
      </c>
      <c r="EG24" s="925" t="str">
        <f>IFERROR(IF($CB24&lt;&gt;"OK","",CM24*'DATA TABLES_Project'!$B$290+CO24*'DATA TABLES_Project'!$B$291),"")</f>
        <v/>
      </c>
      <c r="EH24" s="925" t="str">
        <f>IFERROR(IF($CB24&lt;&gt;"OK","",DD24*'DATA TABLES_Project'!$B$290+DK24*'DATA TABLES_Project'!$B$291),"")</f>
        <v/>
      </c>
      <c r="EI24" s="925" t="str">
        <f>IFERROR(IF($CB24&lt;&gt;"OK","",DE24*'DATA TABLES_Project'!$B$290+DL24*'DATA TABLES_Project'!$B$291),"")</f>
        <v/>
      </c>
      <c r="EJ24" s="925" t="str">
        <f>IFERROR(IF($CB24&lt;&gt;"OK","",DF24*'DATA TABLES_Project'!$B$290+DM24*'DATA TABLES_Project'!$B$291),"")</f>
        <v/>
      </c>
      <c r="EK24" s="925" t="str">
        <f>IFERROR(IF($CB24&lt;&gt;"OK","",DG24*'DATA TABLES_Project'!$B$290+DN24*'DATA TABLES_Project'!$B$291),"")</f>
        <v/>
      </c>
      <c r="EL24" s="925" t="str">
        <f>IFERROR(IF($CB24&lt;&gt;"OK","",DH24*'DATA TABLES_Project'!$B$290+DO24*'DATA TABLES_Project'!$B$291),"")</f>
        <v/>
      </c>
      <c r="EM24" s="925" t="str">
        <f>IFERROR(IF($CB24&lt;&gt;"OK","",DI24*'DATA TABLES_Project'!$B$290+DP24*'DATA TABLES_Project'!$B$291),"")</f>
        <v/>
      </c>
      <c r="EN24" s="925" t="str">
        <f>IFERROR(IF($CB24&lt;&gt;"OK","",DJ24*'DATA TABLES_Project'!$B$290+DQ24*'DATA TABLES_Project'!$B$291),"")</f>
        <v/>
      </c>
    </row>
    <row r="25" spans="1:144" ht="16.350000000000001" customHeight="1">
      <c r="A25" s="462"/>
      <c r="B25" s="994"/>
      <c r="C25" s="998"/>
      <c r="D25" s="999"/>
      <c r="E25" s="1000"/>
      <c r="F25" s="964"/>
      <c r="G25" s="965"/>
      <c r="H25" s="965"/>
      <c r="I25" s="965"/>
      <c r="J25" s="965"/>
      <c r="K25" s="966"/>
      <c r="L25" s="964"/>
      <c r="M25" s="965"/>
      <c r="N25" s="965"/>
      <c r="O25" s="965"/>
      <c r="P25" s="965"/>
      <c r="Q25" s="966"/>
      <c r="R25" s="1001"/>
      <c r="S25" s="1001"/>
      <c r="T25" s="1001"/>
      <c r="U25" s="1001"/>
      <c r="V25" s="1001"/>
      <c r="W25" s="1001"/>
      <c r="X25" s="958"/>
      <c r="Y25" s="959"/>
      <c r="Z25" s="960"/>
      <c r="AA25" s="958"/>
      <c r="AB25" s="959"/>
      <c r="AC25" s="960"/>
      <c r="AD25" s="964"/>
      <c r="AE25" s="965"/>
      <c r="AF25" s="965"/>
      <c r="AG25" s="965"/>
      <c r="AH25" s="965"/>
      <c r="AI25" s="966"/>
      <c r="AJ25" s="952"/>
      <c r="AK25" s="953"/>
      <c r="AL25" s="954"/>
      <c r="AM25" s="952"/>
      <c r="AN25" s="953"/>
      <c r="AO25" s="954"/>
      <c r="AP25" s="958"/>
      <c r="AQ25" s="959"/>
      <c r="AR25" s="960"/>
      <c r="AS25" s="958"/>
      <c r="AT25" s="959"/>
      <c r="AU25" s="960"/>
      <c r="AV25" s="968"/>
      <c r="AW25" s="969"/>
      <c r="AX25" s="969"/>
      <c r="AY25" s="969"/>
      <c r="AZ25" s="969"/>
      <c r="BA25" s="970"/>
      <c r="BB25" s="947"/>
      <c r="BC25" s="948"/>
      <c r="BD25" s="947"/>
      <c r="BE25" s="948"/>
      <c r="BF25" s="931"/>
      <c r="BG25" s="932"/>
      <c r="BH25" s="974"/>
      <c r="BI25" s="975"/>
      <c r="BJ25" s="976"/>
      <c r="BK25" s="936"/>
      <c r="BL25" s="937"/>
      <c r="BM25" s="938"/>
      <c r="BN25" s="942"/>
      <c r="BO25" s="943"/>
      <c r="BP25" s="944"/>
      <c r="BS25" s="967"/>
      <c r="BT25" s="967"/>
      <c r="BV25" s="926"/>
      <c r="BW25" s="926"/>
      <c r="BX25" s="926"/>
      <c r="BY25" s="927"/>
      <c r="BZ25" s="928"/>
      <c r="CB25" s="986"/>
      <c r="CC25" s="925"/>
      <c r="CD25" s="925"/>
      <c r="CE25" s="925"/>
      <c r="CF25" s="925"/>
      <c r="CG25" s="925"/>
      <c r="CH25" s="925"/>
      <c r="CI25" s="925"/>
      <c r="CJ25" s="977"/>
      <c r="CK25" s="977"/>
      <c r="CL25" s="977"/>
      <c r="CM25" s="977"/>
      <c r="CN25" s="977"/>
      <c r="CO25" s="977"/>
      <c r="CP25" s="977"/>
      <c r="CQ25" s="977"/>
      <c r="CR25" s="977"/>
      <c r="CS25" s="983"/>
      <c r="CT25" s="982"/>
      <c r="CU25" s="979"/>
      <c r="CV25" s="925"/>
      <c r="CW25" s="925"/>
      <c r="CX25" s="925"/>
      <c r="CY25" s="925"/>
      <c r="CZ25" s="925"/>
      <c r="DA25" s="98"/>
      <c r="DB25" s="98"/>
      <c r="DC25" s="98"/>
      <c r="DD25" s="981"/>
      <c r="DE25" s="925"/>
      <c r="DF25" s="981"/>
      <c r="DG25" s="925"/>
      <c r="DH25" s="925"/>
      <c r="DI25" s="925"/>
      <c r="DJ25" s="925"/>
      <c r="DK25" s="925"/>
      <c r="DL25" s="925"/>
      <c r="DM25" s="925"/>
      <c r="DN25" s="925"/>
      <c r="DO25" s="925"/>
      <c r="DP25" s="925"/>
      <c r="DQ25" s="925"/>
      <c r="DR25" s="981"/>
      <c r="DS25" s="981"/>
      <c r="DT25" s="981"/>
      <c r="DU25" s="981"/>
      <c r="DV25" s="981"/>
      <c r="DW25" s="981"/>
      <c r="DX25" s="981"/>
      <c r="DY25" s="925"/>
      <c r="DZ25" s="925"/>
      <c r="EA25" s="925"/>
      <c r="EB25" s="925"/>
      <c r="EC25" s="925"/>
      <c r="ED25" s="925"/>
      <c r="EE25" s="925"/>
      <c r="EF25" s="925"/>
      <c r="EG25" s="925"/>
      <c r="EH25" s="925"/>
      <c r="EI25" s="925"/>
      <c r="EJ25" s="925"/>
      <c r="EK25" s="925"/>
      <c r="EL25" s="925"/>
      <c r="EM25" s="925"/>
      <c r="EN25" s="925"/>
    </row>
    <row r="26" spans="1:144" ht="16.350000000000001" customHeight="1">
      <c r="A26" s="462"/>
      <c r="B26" s="994">
        <v>5</v>
      </c>
      <c r="C26" s="995"/>
      <c r="D26" s="996"/>
      <c r="E26" s="997"/>
      <c r="F26" s="961"/>
      <c r="G26" s="962"/>
      <c r="H26" s="962"/>
      <c r="I26" s="962"/>
      <c r="J26" s="962"/>
      <c r="K26" s="963"/>
      <c r="L26" s="961"/>
      <c r="M26" s="962"/>
      <c r="N26" s="962"/>
      <c r="O26" s="962"/>
      <c r="P26" s="962"/>
      <c r="Q26" s="963"/>
      <c r="R26" s="1001"/>
      <c r="S26" s="1001"/>
      <c r="T26" s="1001"/>
      <c r="U26" s="1001"/>
      <c r="V26" s="1001"/>
      <c r="W26" s="1001"/>
      <c r="X26" s="955"/>
      <c r="Y26" s="956"/>
      <c r="Z26" s="957"/>
      <c r="AA26" s="955"/>
      <c r="AB26" s="956"/>
      <c r="AC26" s="957"/>
      <c r="AD26" s="961"/>
      <c r="AE26" s="962"/>
      <c r="AF26" s="962"/>
      <c r="AG26" s="962"/>
      <c r="AH26" s="962"/>
      <c r="AI26" s="963"/>
      <c r="AJ26" s="949"/>
      <c r="AK26" s="950"/>
      <c r="AL26" s="951"/>
      <c r="AM26" s="949"/>
      <c r="AN26" s="950"/>
      <c r="AO26" s="951"/>
      <c r="AP26" s="955"/>
      <c r="AQ26" s="956"/>
      <c r="AR26" s="957"/>
      <c r="AS26" s="955"/>
      <c r="AT26" s="956"/>
      <c r="AU26" s="957"/>
      <c r="AV26" s="968"/>
      <c r="AW26" s="969"/>
      <c r="AX26" s="970"/>
      <c r="AY26" s="968"/>
      <c r="AZ26" s="969"/>
      <c r="BA26" s="970"/>
      <c r="BB26" s="945"/>
      <c r="BC26" s="946"/>
      <c r="BD26" s="945"/>
      <c r="BE26" s="946"/>
      <c r="BF26" s="929" t="str">
        <f>IF(CB26="OK",ROUND(BB26+BD26,2),"")</f>
        <v/>
      </c>
      <c r="BG26" s="930"/>
      <c r="BH26" s="971" t="str">
        <f t="shared" ref="BH26" si="77">IFERROR(IF(AND($CB26="OK",$CU26="OK"),$CI26,IF($CB26&lt;&gt;"OK",$CB26,$CU26)),"")</f>
        <v/>
      </c>
      <c r="BI26" s="972"/>
      <c r="BJ26" s="973"/>
      <c r="BK26" s="933" t="str">
        <f t="shared" ref="BK26" si="78">IF($CB26="OK",CM26,"")</f>
        <v/>
      </c>
      <c r="BL26" s="934"/>
      <c r="BM26" s="935"/>
      <c r="BN26" s="939" t="str">
        <f t="shared" ref="BN26" si="79">IF($CB26="OK",$CR26,"")</f>
        <v/>
      </c>
      <c r="BO26" s="940"/>
      <c r="BP26" s="941"/>
      <c r="BS26" s="967"/>
      <c r="BT26" s="967"/>
      <c r="BV26" s="926" t="str">
        <f t="shared" ref="BV26" si="80">IFERROR(ROUND(IF(AND(CB26="OK",CU26="OK"),CT26,""),0),"")</f>
        <v/>
      </c>
      <c r="BW26" s="926" t="str">
        <f t="shared" ref="BW26" si="81">IFERROR(ROUND(IF(AND(CB26="OK",CU26="OK"),BV26/3,""),0),"")</f>
        <v/>
      </c>
      <c r="BX26" s="926"/>
      <c r="BY26" s="927"/>
      <c r="BZ26" s="928"/>
      <c r="CB26" s="986" t="str">
        <f>IF(AND(C26="",F26="",R26="",AD26="",U26="",X26="",L26="",AJ26="",AV26="",AM26="",AP26="",AY26="",AV27="",BB26="",BD26="",AA26="",AS26=""),"",
IF(OR(C26="",F26="",R26="",AD26="",U26="",X26="",L26="",AJ26="",AV26="",AM26="",AP26="",AY26="",AV27="",BB26="",BD26="",AA26="",AS26=""),"Missing Fields",
IF(AND(M02S04F04disp="Required",M02S04F04=""),"TA Info Incomplete",
"OK")))</f>
        <v/>
      </c>
      <c r="CC26" s="925" t="str">
        <f>IF(AND($CB26="OK",$CU26="OK"),INDEX(Tbl_Cust_Light[Measure Number], MATCH(F26,Tbl_Cust_Light[Proj Desc 1],0)),"")</f>
        <v/>
      </c>
      <c r="CD26" s="925"/>
      <c r="CE26" s="925" t="str">
        <f t="shared" ref="CE26" si="82">IF(AND(CB26="OK",CU26="OK"),"Measure","")</f>
        <v/>
      </c>
      <c r="CF26" s="925" t="str">
        <f t="shared" ref="CF26" si="83">IF(AND(CB26="OK",CU26="OK"),1,"")</f>
        <v/>
      </c>
      <c r="CG26" s="978" t="str">
        <f t="shared" ref="CG26" si="84">IFERROR(CI26/CF26,"")</f>
        <v/>
      </c>
      <c r="CH26" s="978" t="str">
        <f>IF(AND(CB26="OK",CU26="OK"),IF(CM26&gt;0,CM26*Lighting_Only_rate,0)+IF(CO26&gt;0,CO26*Lighting_Only_rate,0),"")</f>
        <v/>
      </c>
      <c r="CI26" s="978" t="str">
        <f>IFERROR(IF(AND(CB26="OK",CU26="OK"),IF(INCENTTOCOST_CUST&gt;CostCap_Cust,
CH26*CostCap_Cust/INCENTTOCOST_CUST,CH26),""),"")</f>
        <v/>
      </c>
      <c r="CJ26" s="977">
        <f t="shared" ref="CJ26" si="85">CM26</f>
        <v>0</v>
      </c>
      <c r="CK26" s="977">
        <f t="shared" ref="CK26" si="86">CN26</f>
        <v>0</v>
      </c>
      <c r="CL26" s="977">
        <f t="shared" ref="CL26" si="87">CO26</f>
        <v>0</v>
      </c>
      <c r="CM26" s="977">
        <f>R26-AJ26</f>
        <v>0</v>
      </c>
      <c r="CN26" s="977">
        <f>U26-AM26</f>
        <v>0</v>
      </c>
      <c r="CO26" s="977">
        <f t="shared" ref="CO26" si="88">IF(CR26&gt;0,CR26,0)</f>
        <v>0</v>
      </c>
      <c r="CP26" s="977">
        <f t="shared" ref="CP26" si="89">CM26</f>
        <v>0</v>
      </c>
      <c r="CQ26" s="977">
        <f t="shared" ref="CQ26" si="90">CN26</f>
        <v>0</v>
      </c>
      <c r="CR26" s="977">
        <f>X26-AP26</f>
        <v>0</v>
      </c>
      <c r="CS26" s="983"/>
      <c r="CT26" s="982" t="str">
        <f>IF(CB26="OK",INDEX(Tbl_Cust_Light[EUL], MATCH(F26,Tbl_Cust_Light[Proj Desc 1],0)),"")</f>
        <v/>
      </c>
      <c r="CU26" s="979" t="str">
        <f t="shared" ref="CU26" si="91">IFERROR(IF(AND($CM26&lt;=0,$CN26&lt;=0,$CO26&lt;=0),"No Savings","OK"),"")</f>
        <v>No Savings</v>
      </c>
      <c r="CV26" s="925" t="str">
        <f t="shared" ref="CV26" si="92">IF(AND(CB26="OK",CU26="OK"),"1","")</f>
        <v/>
      </c>
      <c r="CW26" s="925" t="str">
        <f>IFERROR(IF($CB26="OK",ROUND($AQ$14*SUM(BB26:BE27)/SUM($BF$18:$BG$37),2),""),"")</f>
        <v/>
      </c>
      <c r="CX26" s="925" t="str">
        <f>IFERROR(IF(M02S04F04="Customer/Self-Installed",CW26,IF($CB26="OK",CW26+BD26,"")),"")</f>
        <v/>
      </c>
      <c r="CY26" s="925" t="str">
        <f>IFERROR(IF($CB26="OK",CX26+BB26,""),"")</f>
        <v/>
      </c>
      <c r="CZ26" s="925" t="str">
        <f>IF(CB26&lt;&gt;"OK","",INDEX(MEASURES3_M!$O$3:$O$12,MATCH(F26,MEASURES3_M!$C$2:$C$12,0)))</f>
        <v/>
      </c>
      <c r="DA26" s="98"/>
      <c r="DB26" s="98"/>
      <c r="DC26" s="98"/>
      <c r="DD26" s="980" t="str">
        <f>IFERROR(IF(CB26&lt;&gt;"OK","",CM26*VLOOKUP('DATA TABLES_Project'!$C$247,'DATA TABLES_Project'!$A$250:$B$285,2,FALSE)),"")</f>
        <v/>
      </c>
      <c r="DE26" s="925" t="str">
        <f t="shared" ref="DE26" si="93">IFERROR(IF(CB26&lt;&gt;"OK","",CM26*CZ26*0.92),"")</f>
        <v/>
      </c>
      <c r="DF26" s="980" t="str">
        <f>IFERROR(IF(CB26&lt;&gt;"OK","",CM26*CZ26*0.92*VLOOKUP('DATA TABLES_Project'!$C$247,'DATA TABLES_Project'!$A$250:$B$285,2,FALSE)),"")</f>
        <v/>
      </c>
      <c r="DG26" s="925" t="str">
        <f t="shared" ref="DG26" si="94">IFERROR(IF(CB26&lt;&gt;"OK","",CM26*BV26),IF(BX26="Dual",(CM26*BW26)+((BY26-AJ26)*(BV26-BW26)),""))</f>
        <v/>
      </c>
      <c r="DH26" s="925" t="str">
        <f ca="1">IFERROR(IF(CB26&lt;&gt;"OK","",IF(OR(BX26="Single",BX26=""), CM26*BV26*AVERAGE(INDEX('DATA TABLES_Project'!$B$250:$B$285, MATCH('DATA TABLES_Project'!$C$247,'DATA TABLES_Project'!$A$250:$A$285, 0)):OFFSET(INDEX('DATA TABLES_Project'!$B$250:$B$285, MATCH('DATA TABLES_Project'!$C$247,'DATA TABLES_Project'!$A$250:$A$285, 0)),BV26-1,0)),CM26*BW26*AVERAGE(INDEX('DATA TABLES_Project'!$B$250:$B$285, MATCH('DATA TABLES_Project'!$C$247,'DATA TABLES_Project'!$A$250:$A$285, 0)):OFFSET(INDEX('DATA TABLES_Project'!$B$250:$B$285, MATCH('DATA TABLES_Project'!$C$247,'DATA TABLES_Project'!$A$250:$A$285, 0)),BW26-1,0)) + ((BY26-AJ26)*(BV26-BW26)*AVERAGE(OFFSET(INDEX('DATA TABLES_Project'!$B$250:$B$285, MATCH('DATA TABLES_Project'!$C$247,'DATA TABLES_Project'!$A$250:$A$285, 0)),BW26,0):OFFSET(INDEX('DATA TABLES_Project'!$B$250:$B$285, MATCH('DATA TABLES_Project'!$C$247,'DATA TABLES_Project'!$A$250:$A$285, 0)),BV26-1,0))))), "")</f>
        <v/>
      </c>
      <c r="DI26" s="925" t="str">
        <f t="shared" ref="DI26" si="95">IFERROR(IF(CB26&lt;&gt;"OK","",IF(BX26="Dual",(CM26*BW26)+((BY26-AJ26)*(BV26-BW26))*CZ26*0.92,CM26*CZ26*BV26*0.92)),"")</f>
        <v/>
      </c>
      <c r="DJ26" s="925" t="str">
        <f ca="1">IFERROR(IF(CB26&lt;&gt;"OK","",IF(OR(BX26="Single",BX26=""),0.92*CZ26*CM26*BV26*AVERAGE(INDEX('DATA TABLES_Project'!$B$250:$B$285, MATCH('DATA TABLES_Project'!$C$247,'DATA TABLES_Project'!$A$250:$A$285, 0)):OFFSET(INDEX('DATA TABLES_Project'!$B$250:$B$285, MATCH('DATA TABLES_Project'!$C$247,'DATA TABLES_Project'!$A$250:$A$285, 0)),BV26-1,0)),0.92*CZ26*CM26*BW26*AVERAGE(INDEX('DATA TABLES_Project'!$B$250:$B$285, MATCH('DATA TABLES_Project'!$C$247,'DATA TABLES_Project'!$A$250:$A$285, 0)):OFFSET(INDEX('DATA TABLES_Project'!$B$250:$B$285, MATCH('DATA TABLES_Project'!$C$247,'DATA TABLES_Project'!$A$250:$A$285, 0)),BW26-1,0)) + (0.92*CZ26*(BY26-AJ26)*(BV26-BW26)*AVERAGE(OFFSET(INDEX('DATA TABLES_Project'!$B$250:$B$285, MATCH('DATA TABLES_Project'!$C$247,'DATA TABLES_Project'!$A$250:$A$285, 0)),BW26,0):OFFSET(INDEX('DATA TABLES_Project'!$B$250:$B$285, MATCH('DATA TABLES_Project'!$C$247,'DATA TABLES_Project'!$A$250:$A$285, 0)),BV26-1,0))))), "")</f>
        <v/>
      </c>
      <c r="DK26" s="925" t="str">
        <f>IFERROR(IF(CB26&lt;&gt;"OK","",CO26*'DATA TABLES_Project'!$C$250),"")</f>
        <v/>
      </c>
      <c r="DL26" s="925" t="str">
        <f t="shared" ref="DL26" si="96">IFERROR(IF(CB26&lt;&gt;"OK","",CO26*CZ26*0.92),"")</f>
        <v/>
      </c>
      <c r="DM26" s="925" t="str">
        <f>IFERROR(IF(CB26&lt;&gt;"OK","",CO26*'DATA TABLES_Project'!$C$250*CZ26*0.92),"")</f>
        <v/>
      </c>
      <c r="DN26" s="925" t="str">
        <f t="shared" ref="DN26" si="97">IFERROR(IF(CB26&lt;&gt;"OK","",CO26*BV26),IF(BX26="Dual",(CO26*BW26)+((BZ26-AP26)*(BV26-BW26)),""))</f>
        <v/>
      </c>
      <c r="DO26" s="925" t="str">
        <f ca="1">IFERROR(IF(CB26&lt;&gt;"OK","",CO26*BV26*AVERAGE('DATA TABLES_Project'!$C$250:OFFSET('DATA TABLES_Project'!$C$250,BV26,0))),IF(BX26="Dual",(CO26*BW26*AVERAGE('DATA TABLES_Project'!$C$251:$C$259))+((BZ26-AP26)*(BV26-BW26)*AVERAGE('DATA TABLES_Project'!$C$260:$C$279)),""))</f>
        <v/>
      </c>
      <c r="DP26" s="925" t="str">
        <f t="shared" ref="DP26" si="98">IFERROR(IF(CB26&lt;&gt;"OK","",IF(BX26="Dual",((CO26*BW26)+(BZ26-AP26)*(BV26-BW26))*CZ26*0.92,CO26*BV26*CZ26*0.92)),"")</f>
        <v/>
      </c>
      <c r="DQ26" s="925" t="str">
        <f ca="1">IFERROR(IF(CB26&lt;&gt;"OK","",IF(BX26="Dual",(0.92*CZ26*CO26*BW26*AVERAGE('DATA TABLES_Project'!$C$251:$C$259))+(0.92*CZ26*(BZ26-AP26)*(BV26-BW26)*AVERAGE('DATA TABLES_Project'!$C$260:$C$279)),0.92*CZ26*CO26*BV26*AVERAGE('DATA TABLES_Project'!$C$250:OFFSET('DATA TABLES_Project'!$C$250,BV26,0)))),"")</f>
        <v/>
      </c>
      <c r="DR26" s="980" t="str">
        <f>IFERROR(IF($CB26&lt;&gt;"OK","",CM26*'DATA TABLES_Project'!$B$290+IF(CO26&lt;0,0,CO26*'DATA TABLES_Project'!$B$291)),"")</f>
        <v/>
      </c>
      <c r="DS26" s="980" t="str">
        <f>IFERROR(IF($CB26&lt;&gt;"OK","",DD26*'DATA TABLES_Project'!$B$290+IF(DK26&lt;0,0,DK26*'DATA TABLES_Project'!$B$291)),"")</f>
        <v/>
      </c>
      <c r="DT26" s="980" t="str">
        <f>IFERROR(IF($CB26&lt;&gt;"OK","",DE26*'DATA TABLES_Project'!$B$290+IF(DL26&lt;0,0,DL26*'DATA TABLES_Project'!$B$291)),"")</f>
        <v/>
      </c>
      <c r="DU26" s="980" t="str">
        <f>IFERROR(IF($CB26&lt;&gt;"OK","",DF26*'DATA TABLES_Project'!$B$290+IF(DM26&lt;0,0,DM26*'DATA TABLES_Project'!$B$291)),"")</f>
        <v/>
      </c>
      <c r="DV26" s="980" t="str">
        <f>IFERROR(IF($CB26&lt;&gt;"OK","",DG26*'DATA TABLES_Project'!$B$290+IF(DN26&lt;0,0,DN26*'DATA TABLES_Project'!$B$291)),"")</f>
        <v/>
      </c>
      <c r="DW26" s="980" t="str">
        <f>IFERROR(IF($CB26&lt;&gt;"OK","",DH26*'DATA TABLES_Project'!$B$290+IF(DO26&lt;0,0,DO26*'DATA TABLES_Project'!$B$291)),"")</f>
        <v/>
      </c>
      <c r="DX26" s="980" t="str">
        <f>IFERROR(IF($CB26&lt;&gt;"OK","",DI26*'DATA TABLES_Project'!$B$290+IF(DP26&lt;0,0,DP26*'DATA TABLES_Project'!$B$291)),"")</f>
        <v/>
      </c>
      <c r="DY26" s="925" t="str">
        <f>IFERROR(IF($CB26&lt;&gt;"OK","",DJ26*'DATA TABLES_Project'!$B$290+IF(DQ26&lt;0,0,DQ26*'DATA TABLES_Project'!$B$291)),"")</f>
        <v/>
      </c>
      <c r="DZ26" s="925" t="str">
        <f t="shared" ref="DZ26" si="99">IFERROR(IF($CB26&lt;&gt;"OK","",AS26),"")</f>
        <v/>
      </c>
      <c r="EA26" s="925" t="str">
        <f>IFERROR(IF(CB26&lt;&gt;"OK","",CN26*'DATA TABLES_Project'!$B$250*CZ26*1.03),"")</f>
        <v/>
      </c>
      <c r="EB26" s="925" t="str">
        <f t="shared" ref="EB26" si="100">IFERROR(IF(CB26&lt;&gt;"OK","",CN26*CZ26*1.03),"")</f>
        <v/>
      </c>
      <c r="EC26" s="925" t="str">
        <f>IFERROR(IF(CB26&lt;&gt;"OK","",CZ26*DZ26*'DATA TABLES_Project'!$C$250*0.92),"")</f>
        <v/>
      </c>
      <c r="ED26" s="925" t="str">
        <f>IFERROR(IF(CB26&lt;&gt;"OK","",CZ26*DZ26*'DATA TABLES_Project'!$C$250*0.92),"")</f>
        <v/>
      </c>
      <c r="EE26" s="925" t="str">
        <f t="shared" ref="EE26" si="101">IFERROR(IF(CB26&lt;&gt;"OK","",CZ26*DZ26*0.92),"")</f>
        <v/>
      </c>
      <c r="EF26" s="925" t="str">
        <f t="shared" ref="EF26" si="102">IFERROR(IF(CB26&lt;&gt;"OK","",CZ26*DZ26*0.92),"")</f>
        <v/>
      </c>
      <c r="EG26" s="925" t="str">
        <f>IFERROR(IF($CB26&lt;&gt;"OK","",CM26*'DATA TABLES_Project'!$B$290+CO26*'DATA TABLES_Project'!$B$291),"")</f>
        <v/>
      </c>
      <c r="EH26" s="925" t="str">
        <f>IFERROR(IF($CB26&lt;&gt;"OK","",DD26*'DATA TABLES_Project'!$B$290+DK26*'DATA TABLES_Project'!$B$291),"")</f>
        <v/>
      </c>
      <c r="EI26" s="925" t="str">
        <f>IFERROR(IF($CB26&lt;&gt;"OK","",DE26*'DATA TABLES_Project'!$B$290+DL26*'DATA TABLES_Project'!$B$291),"")</f>
        <v/>
      </c>
      <c r="EJ26" s="925" t="str">
        <f>IFERROR(IF($CB26&lt;&gt;"OK","",DF26*'DATA TABLES_Project'!$B$290+DM26*'DATA TABLES_Project'!$B$291),"")</f>
        <v/>
      </c>
      <c r="EK26" s="925" t="str">
        <f>IFERROR(IF($CB26&lt;&gt;"OK","",DG26*'DATA TABLES_Project'!$B$290+DN26*'DATA TABLES_Project'!$B$291),"")</f>
        <v/>
      </c>
      <c r="EL26" s="925" t="str">
        <f>IFERROR(IF($CB26&lt;&gt;"OK","",DH26*'DATA TABLES_Project'!$B$290+DO26*'DATA TABLES_Project'!$B$291),"")</f>
        <v/>
      </c>
      <c r="EM26" s="925" t="str">
        <f>IFERROR(IF($CB26&lt;&gt;"OK","",DI26*'DATA TABLES_Project'!$B$290+DP26*'DATA TABLES_Project'!$B$291),"")</f>
        <v/>
      </c>
      <c r="EN26" s="925" t="str">
        <f>IFERROR(IF($CB26&lt;&gt;"OK","",DJ26*'DATA TABLES_Project'!$B$290+DQ26*'DATA TABLES_Project'!$B$291),"")</f>
        <v/>
      </c>
    </row>
    <row r="27" spans="1:144" ht="16.350000000000001" customHeight="1">
      <c r="A27" s="462"/>
      <c r="B27" s="994"/>
      <c r="C27" s="998"/>
      <c r="D27" s="999"/>
      <c r="E27" s="1000"/>
      <c r="F27" s="964"/>
      <c r="G27" s="965"/>
      <c r="H27" s="965"/>
      <c r="I27" s="965"/>
      <c r="J27" s="965"/>
      <c r="K27" s="966"/>
      <c r="L27" s="964"/>
      <c r="M27" s="965"/>
      <c r="N27" s="965"/>
      <c r="O27" s="965"/>
      <c r="P27" s="965"/>
      <c r="Q27" s="966"/>
      <c r="R27" s="1001"/>
      <c r="S27" s="1001"/>
      <c r="T27" s="1001"/>
      <c r="U27" s="1001"/>
      <c r="V27" s="1001"/>
      <c r="W27" s="1001"/>
      <c r="X27" s="958"/>
      <c r="Y27" s="959"/>
      <c r="Z27" s="960"/>
      <c r="AA27" s="958"/>
      <c r="AB27" s="959"/>
      <c r="AC27" s="960"/>
      <c r="AD27" s="964"/>
      <c r="AE27" s="965"/>
      <c r="AF27" s="965"/>
      <c r="AG27" s="965"/>
      <c r="AH27" s="965"/>
      <c r="AI27" s="966"/>
      <c r="AJ27" s="952"/>
      <c r="AK27" s="953"/>
      <c r="AL27" s="954"/>
      <c r="AM27" s="952"/>
      <c r="AN27" s="953"/>
      <c r="AO27" s="954"/>
      <c r="AP27" s="958"/>
      <c r="AQ27" s="959"/>
      <c r="AR27" s="960"/>
      <c r="AS27" s="958"/>
      <c r="AT27" s="959"/>
      <c r="AU27" s="960"/>
      <c r="AV27" s="968"/>
      <c r="AW27" s="969"/>
      <c r="AX27" s="969"/>
      <c r="AY27" s="969"/>
      <c r="AZ27" s="969"/>
      <c r="BA27" s="970"/>
      <c r="BB27" s="947"/>
      <c r="BC27" s="948"/>
      <c r="BD27" s="947"/>
      <c r="BE27" s="948"/>
      <c r="BF27" s="931"/>
      <c r="BG27" s="932"/>
      <c r="BH27" s="974"/>
      <c r="BI27" s="975"/>
      <c r="BJ27" s="976"/>
      <c r="BK27" s="936"/>
      <c r="BL27" s="937"/>
      <c r="BM27" s="938"/>
      <c r="BN27" s="942"/>
      <c r="BO27" s="943"/>
      <c r="BP27" s="944"/>
      <c r="BS27" s="967"/>
      <c r="BT27" s="967"/>
      <c r="BV27" s="926"/>
      <c r="BW27" s="926"/>
      <c r="BX27" s="926"/>
      <c r="BY27" s="927"/>
      <c r="BZ27" s="928"/>
      <c r="CB27" s="986"/>
      <c r="CC27" s="925"/>
      <c r="CD27" s="925"/>
      <c r="CE27" s="925"/>
      <c r="CF27" s="925"/>
      <c r="CG27" s="925"/>
      <c r="CH27" s="925"/>
      <c r="CI27" s="925"/>
      <c r="CJ27" s="977"/>
      <c r="CK27" s="977"/>
      <c r="CL27" s="977"/>
      <c r="CM27" s="977"/>
      <c r="CN27" s="977"/>
      <c r="CO27" s="977"/>
      <c r="CP27" s="977"/>
      <c r="CQ27" s="977"/>
      <c r="CR27" s="977"/>
      <c r="CS27" s="983"/>
      <c r="CT27" s="982"/>
      <c r="CU27" s="979"/>
      <c r="CV27" s="925"/>
      <c r="CW27" s="925"/>
      <c r="CX27" s="925"/>
      <c r="CY27" s="925"/>
      <c r="CZ27" s="925"/>
      <c r="DA27" s="98"/>
      <c r="DB27" s="98"/>
      <c r="DC27" s="98"/>
      <c r="DD27" s="981"/>
      <c r="DE27" s="925"/>
      <c r="DF27" s="981"/>
      <c r="DG27" s="925"/>
      <c r="DH27" s="925"/>
      <c r="DI27" s="925"/>
      <c r="DJ27" s="925"/>
      <c r="DK27" s="925"/>
      <c r="DL27" s="925"/>
      <c r="DM27" s="925"/>
      <c r="DN27" s="925"/>
      <c r="DO27" s="925"/>
      <c r="DP27" s="925"/>
      <c r="DQ27" s="925"/>
      <c r="DR27" s="981"/>
      <c r="DS27" s="981"/>
      <c r="DT27" s="981"/>
      <c r="DU27" s="981"/>
      <c r="DV27" s="981"/>
      <c r="DW27" s="981"/>
      <c r="DX27" s="981"/>
      <c r="DY27" s="925"/>
      <c r="DZ27" s="925"/>
      <c r="EA27" s="925"/>
      <c r="EB27" s="925"/>
      <c r="EC27" s="925"/>
      <c r="ED27" s="925"/>
      <c r="EE27" s="925"/>
      <c r="EF27" s="925"/>
      <c r="EG27" s="925"/>
      <c r="EH27" s="925"/>
      <c r="EI27" s="925"/>
      <c r="EJ27" s="925"/>
      <c r="EK27" s="925"/>
      <c r="EL27" s="925"/>
      <c r="EM27" s="925"/>
      <c r="EN27" s="925"/>
    </row>
    <row r="28" spans="1:144" ht="16.350000000000001" customHeight="1">
      <c r="A28" s="462"/>
      <c r="B28" s="994">
        <v>6</v>
      </c>
      <c r="C28" s="995"/>
      <c r="D28" s="996"/>
      <c r="E28" s="997"/>
      <c r="F28" s="961"/>
      <c r="G28" s="962"/>
      <c r="H28" s="962"/>
      <c r="I28" s="962"/>
      <c r="J28" s="962"/>
      <c r="K28" s="963"/>
      <c r="L28" s="961"/>
      <c r="M28" s="962"/>
      <c r="N28" s="962"/>
      <c r="O28" s="962"/>
      <c r="P28" s="962"/>
      <c r="Q28" s="963"/>
      <c r="R28" s="1001"/>
      <c r="S28" s="1001"/>
      <c r="T28" s="1001"/>
      <c r="U28" s="1001"/>
      <c r="V28" s="1001"/>
      <c r="W28" s="1001"/>
      <c r="X28" s="955"/>
      <c r="Y28" s="956"/>
      <c r="Z28" s="957"/>
      <c r="AA28" s="955"/>
      <c r="AB28" s="956"/>
      <c r="AC28" s="957"/>
      <c r="AD28" s="961"/>
      <c r="AE28" s="962"/>
      <c r="AF28" s="962"/>
      <c r="AG28" s="962"/>
      <c r="AH28" s="962"/>
      <c r="AI28" s="963"/>
      <c r="AJ28" s="949"/>
      <c r="AK28" s="950"/>
      <c r="AL28" s="951"/>
      <c r="AM28" s="949"/>
      <c r="AN28" s="950"/>
      <c r="AO28" s="951"/>
      <c r="AP28" s="955"/>
      <c r="AQ28" s="956"/>
      <c r="AR28" s="957"/>
      <c r="AS28" s="955"/>
      <c r="AT28" s="956"/>
      <c r="AU28" s="957"/>
      <c r="AV28" s="968"/>
      <c r="AW28" s="969"/>
      <c r="AX28" s="970"/>
      <c r="AY28" s="968"/>
      <c r="AZ28" s="969"/>
      <c r="BA28" s="970"/>
      <c r="BB28" s="945"/>
      <c r="BC28" s="946"/>
      <c r="BD28" s="945"/>
      <c r="BE28" s="946"/>
      <c r="BF28" s="929" t="str">
        <f>IF(CB28="OK",ROUND(BB28+BD28,2),"")</f>
        <v/>
      </c>
      <c r="BG28" s="930"/>
      <c r="BH28" s="971" t="str">
        <f t="shared" ref="BH28" si="103">IFERROR(IF(AND($CB28="OK",$CU28="OK"),$CI28,IF($CB28&lt;&gt;"OK",$CB28,$CU28)),"")</f>
        <v/>
      </c>
      <c r="BI28" s="972"/>
      <c r="BJ28" s="973"/>
      <c r="BK28" s="933" t="str">
        <f t="shared" ref="BK28" si="104">IF($CB28="OK",CM28,"")</f>
        <v/>
      </c>
      <c r="BL28" s="934"/>
      <c r="BM28" s="935"/>
      <c r="BN28" s="939" t="str">
        <f t="shared" ref="BN28" si="105">IF($CB28="OK",$CR28,"")</f>
        <v/>
      </c>
      <c r="BO28" s="940"/>
      <c r="BP28" s="941"/>
      <c r="BS28" s="967"/>
      <c r="BT28" s="967"/>
      <c r="BV28" s="926" t="str">
        <f t="shared" ref="BV28" si="106">IFERROR(ROUND(IF(AND(CB28="OK",CU28="OK"),CT28,""),0),"")</f>
        <v/>
      </c>
      <c r="BW28" s="926" t="str">
        <f t="shared" ref="BW28" si="107">IFERROR(ROUND(IF(AND(CB28="OK",CU28="OK"),BV28/3,""),0),"")</f>
        <v/>
      </c>
      <c r="BX28" s="926"/>
      <c r="BY28" s="927"/>
      <c r="BZ28" s="928"/>
      <c r="CB28" s="986" t="str">
        <f>IF(AND(C28="",F28="",R28="",AD28="",U28="",X28="",L28="",AJ28="",AV28="",AM28="",AP28="",AY28="",AV29="",BB28="",BD28="",AA28="",AS28=""),"",
IF(OR(C28="",F28="",R28="",AD28="",U28="",X28="",L28="",AJ28="",AV28="",AM28="",AP28="",AY28="",AV29="",BB28="",BD28="",AA28="",AS28=""),"Missing Fields",
IF(AND(M02S04F04disp="Required",M02S04F04=""),"TA Info Incomplete",
"OK")))</f>
        <v/>
      </c>
      <c r="CC28" s="925" t="str">
        <f>IF(AND($CB28="OK",$CU28="OK"),INDEX(Tbl_Cust_Light[Measure Number], MATCH(F28,Tbl_Cust_Light[Proj Desc 1],0)),"")</f>
        <v/>
      </c>
      <c r="CD28" s="925"/>
      <c r="CE28" s="925" t="str">
        <f t="shared" ref="CE28" si="108">IF(AND(CB28="OK",CU28="OK"),"Measure","")</f>
        <v/>
      </c>
      <c r="CF28" s="925" t="str">
        <f t="shared" ref="CF28" si="109">IF(AND(CB28="OK",CU28="OK"),1,"")</f>
        <v/>
      </c>
      <c r="CG28" s="978" t="str">
        <f t="shared" ref="CG28" si="110">IFERROR(CI28/CF28,"")</f>
        <v/>
      </c>
      <c r="CH28" s="978" t="str">
        <f>IF(AND(CB28="OK",CU28="OK"),IF(CM28&gt;0,CM28*Lighting_Only_rate,0)+IF(CO28&gt;0,CO28*Lighting_Only_rate,0),"")</f>
        <v/>
      </c>
      <c r="CI28" s="978" t="str">
        <f>IFERROR(IF(AND(CB28="OK",CU28="OK"),IF(INCENTTOCOST_CUST&gt;CostCap_Cust,
CH28*CostCap_Cust/INCENTTOCOST_CUST,CH28),""),"")</f>
        <v/>
      </c>
      <c r="CJ28" s="977">
        <f t="shared" ref="CJ28" si="111">CM28</f>
        <v>0</v>
      </c>
      <c r="CK28" s="977">
        <f t="shared" ref="CK28" si="112">CN28</f>
        <v>0</v>
      </c>
      <c r="CL28" s="977">
        <f t="shared" ref="CL28" si="113">CO28</f>
        <v>0</v>
      </c>
      <c r="CM28" s="977">
        <f>R28-AJ28</f>
        <v>0</v>
      </c>
      <c r="CN28" s="977">
        <f>U28-AM28</f>
        <v>0</v>
      </c>
      <c r="CO28" s="977">
        <f t="shared" ref="CO28" si="114">IF(CR28&gt;0,CR28,0)</f>
        <v>0</v>
      </c>
      <c r="CP28" s="977">
        <f t="shared" ref="CP28" si="115">CM28</f>
        <v>0</v>
      </c>
      <c r="CQ28" s="977">
        <f t="shared" ref="CQ28" si="116">CN28</f>
        <v>0</v>
      </c>
      <c r="CR28" s="977">
        <f>X28-AP28</f>
        <v>0</v>
      </c>
      <c r="CS28" s="983"/>
      <c r="CT28" s="982" t="str">
        <f>IF(CB28="OK",INDEX(Tbl_Cust_Light[EUL], MATCH(F28,Tbl_Cust_Light[Proj Desc 1],0)),"")</f>
        <v/>
      </c>
      <c r="CU28" s="979" t="str">
        <f t="shared" ref="CU28" si="117">IFERROR(IF(AND($CM28&lt;=0,$CN28&lt;=0,$CO28&lt;=0),"No Savings","OK"),"")</f>
        <v>No Savings</v>
      </c>
      <c r="CV28" s="925" t="str">
        <f t="shared" ref="CV28" si="118">IF(AND(CB28="OK",CU28="OK"),"1","")</f>
        <v/>
      </c>
      <c r="CW28" s="925" t="str">
        <f>IFERROR(IF($CB28="OK",ROUND($AQ$14*SUM(BB28:BE29)/SUM($BF$18:$BG$37),2),""),"")</f>
        <v/>
      </c>
      <c r="CX28" s="925" t="str">
        <f>IFERROR(IF(M02S04F04="Customer/Self-Installed",CW28,IF($CB28="OK",CW28+BD28,"")),"")</f>
        <v/>
      </c>
      <c r="CY28" s="925" t="str">
        <f>IFERROR(IF($CB28="OK",CX28+BB28,""),"")</f>
        <v/>
      </c>
      <c r="CZ28" s="925" t="str">
        <f>IF(CB28&lt;&gt;"OK","",INDEX(MEASURES3_M!$O$3:$O$12,MATCH(F28,MEASURES3_M!$C$2:$C$12,0)))</f>
        <v/>
      </c>
      <c r="DA28" s="98"/>
      <c r="DB28" s="98"/>
      <c r="DC28" s="98"/>
      <c r="DD28" s="980" t="str">
        <f>IFERROR(IF(CB28&lt;&gt;"OK","",CM28*VLOOKUP('DATA TABLES_Project'!$C$247,'DATA TABLES_Project'!$A$250:$B$285,2,FALSE)),"")</f>
        <v/>
      </c>
      <c r="DE28" s="925" t="str">
        <f t="shared" ref="DE28" si="119">IFERROR(IF(CB28&lt;&gt;"OK","",CM28*CZ28*0.92),"")</f>
        <v/>
      </c>
      <c r="DF28" s="980" t="str">
        <f>IFERROR(IF(CB28&lt;&gt;"OK","",CM28*CZ28*0.92*VLOOKUP('DATA TABLES_Project'!$C$247,'DATA TABLES_Project'!$A$250:$B$285,2,FALSE)),"")</f>
        <v/>
      </c>
      <c r="DG28" s="925" t="str">
        <f t="shared" ref="DG28" si="120">IFERROR(IF(CB28&lt;&gt;"OK","",CM28*BV28),IF(BX28="Dual",(CM28*BW28)+((BY28-AJ28)*(BV28-BW28)),""))</f>
        <v/>
      </c>
      <c r="DH28" s="925" t="str">
        <f ca="1">IFERROR(IF(CB28&lt;&gt;"OK","",IF(OR(BX28="Single",BX28=""), CM28*BV28*AVERAGE(INDEX('DATA TABLES_Project'!$B$250:$B$285, MATCH('DATA TABLES_Project'!$C$247,'DATA TABLES_Project'!$A$250:$A$285, 0)):OFFSET(INDEX('DATA TABLES_Project'!$B$250:$B$285, MATCH('DATA TABLES_Project'!$C$247,'DATA TABLES_Project'!$A$250:$A$285, 0)),BV28-1,0)),CM28*BW28*AVERAGE(INDEX('DATA TABLES_Project'!$B$250:$B$285, MATCH('DATA TABLES_Project'!$C$247,'DATA TABLES_Project'!$A$250:$A$285, 0)):OFFSET(INDEX('DATA TABLES_Project'!$B$250:$B$285, MATCH('DATA TABLES_Project'!$C$247,'DATA TABLES_Project'!$A$250:$A$285, 0)),BW28-1,0)) + ((BY28-AJ28)*(BV28-BW28)*AVERAGE(OFFSET(INDEX('DATA TABLES_Project'!$B$250:$B$285, MATCH('DATA TABLES_Project'!$C$247,'DATA TABLES_Project'!$A$250:$A$285, 0)),BW28,0):OFFSET(INDEX('DATA TABLES_Project'!$B$250:$B$285, MATCH('DATA TABLES_Project'!$C$247,'DATA TABLES_Project'!$A$250:$A$285, 0)),BV28-1,0))))), "")</f>
        <v/>
      </c>
      <c r="DI28" s="925" t="str">
        <f t="shared" ref="DI28" si="121">IFERROR(IF(CB28&lt;&gt;"OK","",IF(BX28="Dual",(CM28*BW28)+((BY28-AJ28)*(BV28-BW28))*CZ28*0.92,CM28*CZ28*BV28*0.92)),"")</f>
        <v/>
      </c>
      <c r="DJ28" s="925" t="str">
        <f ca="1">IFERROR(IF(CB28&lt;&gt;"OK","",IF(OR(BX28="Single",BX28=""),0.92*CZ28*CM28*BV28*AVERAGE(INDEX('DATA TABLES_Project'!$B$250:$B$285, MATCH('DATA TABLES_Project'!$C$247,'DATA TABLES_Project'!$A$250:$A$285, 0)):OFFSET(INDEX('DATA TABLES_Project'!$B$250:$B$285, MATCH('DATA TABLES_Project'!$C$247,'DATA TABLES_Project'!$A$250:$A$285, 0)),BV28-1,0)),0.92*CZ28*CM28*BW28*AVERAGE(INDEX('DATA TABLES_Project'!$B$250:$B$285, MATCH('DATA TABLES_Project'!$C$247,'DATA TABLES_Project'!$A$250:$A$285, 0)):OFFSET(INDEX('DATA TABLES_Project'!$B$250:$B$285, MATCH('DATA TABLES_Project'!$C$247,'DATA TABLES_Project'!$A$250:$A$285, 0)),BW28-1,0)) + (0.92*CZ28*(BY28-AJ28)*(BV28-BW28)*AVERAGE(OFFSET(INDEX('DATA TABLES_Project'!$B$250:$B$285, MATCH('DATA TABLES_Project'!$C$247,'DATA TABLES_Project'!$A$250:$A$285, 0)),BW28,0):OFFSET(INDEX('DATA TABLES_Project'!$B$250:$B$285, MATCH('DATA TABLES_Project'!$C$247,'DATA TABLES_Project'!$A$250:$A$285, 0)),BV28-1,0))))), "")</f>
        <v/>
      </c>
      <c r="DK28" s="925" t="str">
        <f>IFERROR(IF(CB28&lt;&gt;"OK","",CO28*'DATA TABLES_Project'!$C$250),"")</f>
        <v/>
      </c>
      <c r="DL28" s="925" t="str">
        <f t="shared" ref="DL28" si="122">IFERROR(IF(CB28&lt;&gt;"OK","",CO28*CZ28*0.92),"")</f>
        <v/>
      </c>
      <c r="DM28" s="925" t="str">
        <f>IFERROR(IF(CB28&lt;&gt;"OK","",CO28*'DATA TABLES_Project'!$C$250*CZ28*0.92),"")</f>
        <v/>
      </c>
      <c r="DN28" s="925" t="str">
        <f t="shared" ref="DN28" si="123">IFERROR(IF(CB28&lt;&gt;"OK","",CO28*BV28),IF(BX28="Dual",(CO28*BW28)+((BZ28-AP28)*(BV28-BW28)),""))</f>
        <v/>
      </c>
      <c r="DO28" s="925" t="str">
        <f ca="1">IFERROR(IF(CB28&lt;&gt;"OK","",CO28*BV28*AVERAGE('DATA TABLES_Project'!$C$250:OFFSET('DATA TABLES_Project'!$C$250,BV28,0))),IF(BX28="Dual",(CO28*BW28*AVERAGE('DATA TABLES_Project'!$C$251:$C$259))+((BZ28-AP28)*(BV28-BW28)*AVERAGE('DATA TABLES_Project'!$C$260:$C$279)),""))</f>
        <v/>
      </c>
      <c r="DP28" s="925" t="str">
        <f t="shared" ref="DP28" si="124">IFERROR(IF(CB28&lt;&gt;"OK","",IF(BX28="Dual",((CO28*BW28)+(BZ28-AP28)*(BV28-BW28))*CZ28*0.92,CO28*BV28*CZ28*0.92)),"")</f>
        <v/>
      </c>
      <c r="DQ28" s="925" t="str">
        <f ca="1">IFERROR(IF(CB28&lt;&gt;"OK","",IF(BX28="Dual",(0.92*CZ28*CO28*BW28*AVERAGE('DATA TABLES_Project'!$C$251:$C$259))+(0.92*CZ28*(BZ28-AP28)*(BV28-BW28)*AVERAGE('DATA TABLES_Project'!$C$260:$C$279)),0.92*CZ28*CO28*BV28*AVERAGE('DATA TABLES_Project'!$C$250:OFFSET('DATA TABLES_Project'!$C$250,BV28,0)))),"")</f>
        <v/>
      </c>
      <c r="DR28" s="980" t="str">
        <f>IFERROR(IF($CB28&lt;&gt;"OK","",CM28*'DATA TABLES_Project'!$B$290+IF(CO28&lt;0,0,CO28*'DATA TABLES_Project'!$B$291)),"")</f>
        <v/>
      </c>
      <c r="DS28" s="980" t="str">
        <f>IFERROR(IF($CB28&lt;&gt;"OK","",DD28*'DATA TABLES_Project'!$B$290+IF(DK28&lt;0,0,DK28*'DATA TABLES_Project'!$B$291)),"")</f>
        <v/>
      </c>
      <c r="DT28" s="980" t="str">
        <f>IFERROR(IF($CB28&lt;&gt;"OK","",DE28*'DATA TABLES_Project'!$B$290+IF(DL28&lt;0,0,DL28*'DATA TABLES_Project'!$B$291)),"")</f>
        <v/>
      </c>
      <c r="DU28" s="980" t="str">
        <f>IFERROR(IF($CB28&lt;&gt;"OK","",DF28*'DATA TABLES_Project'!$B$290+IF(DM28&lt;0,0,DM28*'DATA TABLES_Project'!$B$291)),"")</f>
        <v/>
      </c>
      <c r="DV28" s="980" t="str">
        <f>IFERROR(IF($CB28&lt;&gt;"OK","",DG28*'DATA TABLES_Project'!$B$290+IF(DN28&lt;0,0,DN28*'DATA TABLES_Project'!$B$291)),"")</f>
        <v/>
      </c>
      <c r="DW28" s="980" t="str">
        <f>IFERROR(IF($CB28&lt;&gt;"OK","",DH28*'DATA TABLES_Project'!$B$290+IF(DO28&lt;0,0,DO28*'DATA TABLES_Project'!$B$291)),"")</f>
        <v/>
      </c>
      <c r="DX28" s="980" t="str">
        <f>IFERROR(IF($CB28&lt;&gt;"OK","",DI28*'DATA TABLES_Project'!$B$290+IF(DP28&lt;0,0,DP28*'DATA TABLES_Project'!$B$291)),"")</f>
        <v/>
      </c>
      <c r="DY28" s="925" t="str">
        <f>IFERROR(IF($CB28&lt;&gt;"OK","",DJ28*'DATA TABLES_Project'!$B$290+IF(DQ28&lt;0,0,DQ28*'DATA TABLES_Project'!$B$291)),"")</f>
        <v/>
      </c>
      <c r="DZ28" s="925" t="str">
        <f t="shared" ref="DZ28" si="125">IFERROR(IF($CB28&lt;&gt;"OK","",AS28),"")</f>
        <v/>
      </c>
      <c r="EA28" s="925" t="str">
        <f>IFERROR(IF(CB28&lt;&gt;"OK","",CN28*'DATA TABLES_Project'!$B$250*CZ28*1.03),"")</f>
        <v/>
      </c>
      <c r="EB28" s="925" t="str">
        <f t="shared" ref="EB28" si="126">IFERROR(IF(CB28&lt;&gt;"OK","",CN28*CZ28*1.03),"")</f>
        <v/>
      </c>
      <c r="EC28" s="925" t="str">
        <f>IFERROR(IF(CB28&lt;&gt;"OK","",CZ28*DZ28*'DATA TABLES_Project'!$C$250*0.92),"")</f>
        <v/>
      </c>
      <c r="ED28" s="925" t="str">
        <f>IFERROR(IF(CB28&lt;&gt;"OK","",CZ28*DZ28*'DATA TABLES_Project'!$C$250*0.92),"")</f>
        <v/>
      </c>
      <c r="EE28" s="925" t="str">
        <f t="shared" ref="EE28" si="127">IFERROR(IF(CB28&lt;&gt;"OK","",CZ28*DZ28*0.92),"")</f>
        <v/>
      </c>
      <c r="EF28" s="925" t="str">
        <f t="shared" ref="EF28" si="128">IFERROR(IF(CB28&lt;&gt;"OK","",CZ28*DZ28*0.92),"")</f>
        <v/>
      </c>
      <c r="EG28" s="925" t="str">
        <f>IFERROR(IF($CB28&lt;&gt;"OK","",CM28*'DATA TABLES_Project'!$B$290+CO28*'DATA TABLES_Project'!$B$291),"")</f>
        <v/>
      </c>
      <c r="EH28" s="925" t="str">
        <f>IFERROR(IF($CB28&lt;&gt;"OK","",DD28*'DATA TABLES_Project'!$B$290+DK28*'DATA TABLES_Project'!$B$291),"")</f>
        <v/>
      </c>
      <c r="EI28" s="925" t="str">
        <f>IFERROR(IF($CB28&lt;&gt;"OK","",DE28*'DATA TABLES_Project'!$B$290+DL28*'DATA TABLES_Project'!$B$291),"")</f>
        <v/>
      </c>
      <c r="EJ28" s="925" t="str">
        <f>IFERROR(IF($CB28&lt;&gt;"OK","",DF28*'DATA TABLES_Project'!$B$290+DM28*'DATA TABLES_Project'!$B$291),"")</f>
        <v/>
      </c>
      <c r="EK28" s="925" t="str">
        <f>IFERROR(IF($CB28&lt;&gt;"OK","",DG28*'DATA TABLES_Project'!$B$290+DN28*'DATA TABLES_Project'!$B$291),"")</f>
        <v/>
      </c>
      <c r="EL28" s="925" t="str">
        <f>IFERROR(IF($CB28&lt;&gt;"OK","",DH28*'DATA TABLES_Project'!$B$290+DO28*'DATA TABLES_Project'!$B$291),"")</f>
        <v/>
      </c>
      <c r="EM28" s="925" t="str">
        <f>IFERROR(IF($CB28&lt;&gt;"OK","",DI28*'DATA TABLES_Project'!$B$290+DP28*'DATA TABLES_Project'!$B$291),"")</f>
        <v/>
      </c>
      <c r="EN28" s="925" t="str">
        <f>IFERROR(IF($CB28&lt;&gt;"OK","",DJ28*'DATA TABLES_Project'!$B$290+DQ28*'DATA TABLES_Project'!$B$291),"")</f>
        <v/>
      </c>
    </row>
    <row r="29" spans="1:144" ht="16.350000000000001" customHeight="1">
      <c r="A29" s="462"/>
      <c r="B29" s="994"/>
      <c r="C29" s="998"/>
      <c r="D29" s="999"/>
      <c r="E29" s="1000"/>
      <c r="F29" s="964"/>
      <c r="G29" s="965"/>
      <c r="H29" s="965"/>
      <c r="I29" s="965"/>
      <c r="J29" s="965"/>
      <c r="K29" s="966"/>
      <c r="L29" s="964"/>
      <c r="M29" s="965"/>
      <c r="N29" s="965"/>
      <c r="O29" s="965"/>
      <c r="P29" s="965"/>
      <c r="Q29" s="966"/>
      <c r="R29" s="1001"/>
      <c r="S29" s="1001"/>
      <c r="T29" s="1001"/>
      <c r="U29" s="1001"/>
      <c r="V29" s="1001"/>
      <c r="W29" s="1001"/>
      <c r="X29" s="958"/>
      <c r="Y29" s="959"/>
      <c r="Z29" s="960"/>
      <c r="AA29" s="958"/>
      <c r="AB29" s="959"/>
      <c r="AC29" s="960"/>
      <c r="AD29" s="964"/>
      <c r="AE29" s="965"/>
      <c r="AF29" s="965"/>
      <c r="AG29" s="965"/>
      <c r="AH29" s="965"/>
      <c r="AI29" s="966"/>
      <c r="AJ29" s="952"/>
      <c r="AK29" s="953"/>
      <c r="AL29" s="954"/>
      <c r="AM29" s="952"/>
      <c r="AN29" s="953"/>
      <c r="AO29" s="954"/>
      <c r="AP29" s="958"/>
      <c r="AQ29" s="959"/>
      <c r="AR29" s="960"/>
      <c r="AS29" s="958"/>
      <c r="AT29" s="959"/>
      <c r="AU29" s="960"/>
      <c r="AV29" s="968"/>
      <c r="AW29" s="969"/>
      <c r="AX29" s="969"/>
      <c r="AY29" s="969"/>
      <c r="AZ29" s="969"/>
      <c r="BA29" s="970"/>
      <c r="BB29" s="947"/>
      <c r="BC29" s="948"/>
      <c r="BD29" s="947"/>
      <c r="BE29" s="948"/>
      <c r="BF29" s="931"/>
      <c r="BG29" s="932"/>
      <c r="BH29" s="974"/>
      <c r="BI29" s="975"/>
      <c r="BJ29" s="976"/>
      <c r="BK29" s="936"/>
      <c r="BL29" s="937"/>
      <c r="BM29" s="938"/>
      <c r="BN29" s="942"/>
      <c r="BO29" s="943"/>
      <c r="BP29" s="944"/>
      <c r="BS29" s="967"/>
      <c r="BT29" s="967"/>
      <c r="BV29" s="926"/>
      <c r="BW29" s="926"/>
      <c r="BX29" s="926"/>
      <c r="BY29" s="927"/>
      <c r="BZ29" s="928"/>
      <c r="CB29" s="986"/>
      <c r="CC29" s="925"/>
      <c r="CD29" s="925"/>
      <c r="CE29" s="925"/>
      <c r="CF29" s="925"/>
      <c r="CG29" s="925"/>
      <c r="CH29" s="925"/>
      <c r="CI29" s="925"/>
      <c r="CJ29" s="977"/>
      <c r="CK29" s="977"/>
      <c r="CL29" s="977"/>
      <c r="CM29" s="977"/>
      <c r="CN29" s="977"/>
      <c r="CO29" s="977"/>
      <c r="CP29" s="977"/>
      <c r="CQ29" s="977"/>
      <c r="CR29" s="977"/>
      <c r="CS29" s="983"/>
      <c r="CT29" s="982"/>
      <c r="CU29" s="979"/>
      <c r="CV29" s="925"/>
      <c r="CW29" s="925"/>
      <c r="CX29" s="925"/>
      <c r="CY29" s="925"/>
      <c r="CZ29" s="925"/>
      <c r="DA29" s="98"/>
      <c r="DB29" s="98"/>
      <c r="DC29" s="98"/>
      <c r="DD29" s="981"/>
      <c r="DE29" s="925"/>
      <c r="DF29" s="981"/>
      <c r="DG29" s="925"/>
      <c r="DH29" s="925"/>
      <c r="DI29" s="925"/>
      <c r="DJ29" s="925"/>
      <c r="DK29" s="925"/>
      <c r="DL29" s="925"/>
      <c r="DM29" s="925"/>
      <c r="DN29" s="925"/>
      <c r="DO29" s="925"/>
      <c r="DP29" s="925"/>
      <c r="DQ29" s="925"/>
      <c r="DR29" s="981"/>
      <c r="DS29" s="981"/>
      <c r="DT29" s="981"/>
      <c r="DU29" s="981"/>
      <c r="DV29" s="981"/>
      <c r="DW29" s="981"/>
      <c r="DX29" s="981"/>
      <c r="DY29" s="925"/>
      <c r="DZ29" s="925"/>
      <c r="EA29" s="925"/>
      <c r="EB29" s="925"/>
      <c r="EC29" s="925"/>
      <c r="ED29" s="925"/>
      <c r="EE29" s="925"/>
      <c r="EF29" s="925"/>
      <c r="EG29" s="925"/>
      <c r="EH29" s="925"/>
      <c r="EI29" s="925"/>
      <c r="EJ29" s="925"/>
      <c r="EK29" s="925"/>
      <c r="EL29" s="925"/>
      <c r="EM29" s="925"/>
      <c r="EN29" s="925"/>
    </row>
    <row r="30" spans="1:144" ht="16.350000000000001" customHeight="1">
      <c r="A30" s="462"/>
      <c r="B30" s="994">
        <v>7</v>
      </c>
      <c r="C30" s="995"/>
      <c r="D30" s="996"/>
      <c r="E30" s="997"/>
      <c r="F30" s="961"/>
      <c r="G30" s="962"/>
      <c r="H30" s="962"/>
      <c r="I30" s="962"/>
      <c r="J30" s="962"/>
      <c r="K30" s="963"/>
      <c r="L30" s="961"/>
      <c r="M30" s="962"/>
      <c r="N30" s="962"/>
      <c r="O30" s="962"/>
      <c r="P30" s="962"/>
      <c r="Q30" s="963"/>
      <c r="R30" s="1001"/>
      <c r="S30" s="1001"/>
      <c r="T30" s="1001"/>
      <c r="U30" s="1001"/>
      <c r="V30" s="1001"/>
      <c r="W30" s="1001"/>
      <c r="X30" s="955"/>
      <c r="Y30" s="956"/>
      <c r="Z30" s="957"/>
      <c r="AA30" s="955"/>
      <c r="AB30" s="956"/>
      <c r="AC30" s="957"/>
      <c r="AD30" s="961"/>
      <c r="AE30" s="962"/>
      <c r="AF30" s="962"/>
      <c r="AG30" s="962"/>
      <c r="AH30" s="962"/>
      <c r="AI30" s="963"/>
      <c r="AJ30" s="949"/>
      <c r="AK30" s="950"/>
      <c r="AL30" s="951"/>
      <c r="AM30" s="949"/>
      <c r="AN30" s="950"/>
      <c r="AO30" s="951"/>
      <c r="AP30" s="955"/>
      <c r="AQ30" s="956"/>
      <c r="AR30" s="957"/>
      <c r="AS30" s="955"/>
      <c r="AT30" s="956"/>
      <c r="AU30" s="957"/>
      <c r="AV30" s="968"/>
      <c r="AW30" s="969"/>
      <c r="AX30" s="970"/>
      <c r="AY30" s="968"/>
      <c r="AZ30" s="969"/>
      <c r="BA30" s="970"/>
      <c r="BB30" s="945"/>
      <c r="BC30" s="946"/>
      <c r="BD30" s="945"/>
      <c r="BE30" s="946"/>
      <c r="BF30" s="929" t="str">
        <f>IF(CB30="OK",ROUND(BB30+BD30,2),"")</f>
        <v/>
      </c>
      <c r="BG30" s="930"/>
      <c r="BH30" s="971" t="str">
        <f t="shared" ref="BH30" si="129">IFERROR(IF(AND($CB30="OK",$CU30="OK"),$CI30,IF($CB30&lt;&gt;"OK",$CB30,$CU30)),"")</f>
        <v/>
      </c>
      <c r="BI30" s="972"/>
      <c r="BJ30" s="973"/>
      <c r="BK30" s="933" t="str">
        <f t="shared" ref="BK30" si="130">IF($CB30="OK",CM30,"")</f>
        <v/>
      </c>
      <c r="BL30" s="934"/>
      <c r="BM30" s="935"/>
      <c r="BN30" s="939" t="str">
        <f t="shared" ref="BN30" si="131">IF($CB30="OK",$CR30,"")</f>
        <v/>
      </c>
      <c r="BO30" s="940"/>
      <c r="BP30" s="941"/>
      <c r="BS30" s="967"/>
      <c r="BT30" s="967"/>
      <c r="BV30" s="926" t="str">
        <f t="shared" ref="BV30" si="132">IFERROR(ROUND(IF(AND(CB30="OK",CU30="OK"),CT30,""),0),"")</f>
        <v/>
      </c>
      <c r="BW30" s="926" t="str">
        <f t="shared" ref="BW30" si="133">IFERROR(ROUND(IF(AND(CB30="OK",CU30="OK"),BV30/3,""),0),"")</f>
        <v/>
      </c>
      <c r="BX30" s="926"/>
      <c r="BY30" s="927"/>
      <c r="BZ30" s="928"/>
      <c r="CB30" s="986" t="str">
        <f>IF(AND(C30="",F30="",R30="",AD30="",U30="",X30="",L30="",AJ30="",AV30="",AM30="",AP30="",AY30="",AV31="",BB30="",BD30="",AA30="",AS30=""),"",
IF(OR(C30="",F30="",R30="",AD30="",U30="",X30="",L30="",AJ30="",AV30="",AM30="",AP30="",AY30="",AV31="",BB30="",BD30="",AA30="",AS30=""),"Missing Fields",
IF(AND(M02S04F04disp="Required",M02S04F04=""),"TA Info Incomplete",
"OK")))</f>
        <v/>
      </c>
      <c r="CC30" s="925" t="str">
        <f>IF(AND($CB30="OK",$CU30="OK"),INDEX(Tbl_Cust_Light[Measure Number], MATCH(F30,Tbl_Cust_Light[Proj Desc 1],0)),"")</f>
        <v/>
      </c>
      <c r="CD30" s="925"/>
      <c r="CE30" s="925" t="str">
        <f t="shared" ref="CE30" si="134">IF(AND(CB30="OK",CU30="OK"),"Measure","")</f>
        <v/>
      </c>
      <c r="CF30" s="925" t="str">
        <f t="shared" ref="CF30" si="135">IF(AND(CB30="OK",CU30="OK"),1,"")</f>
        <v/>
      </c>
      <c r="CG30" s="978" t="str">
        <f t="shared" ref="CG30" si="136">IFERROR(CI30/CF30,"")</f>
        <v/>
      </c>
      <c r="CH30" s="978" t="str">
        <f>IF(AND(CB30="OK",CU30="OK"),IF(CM30&gt;0,CM30*Lighting_Only_rate,0)+IF(CO30&gt;0,CO30*Lighting_Only_rate,0),"")</f>
        <v/>
      </c>
      <c r="CI30" s="978" t="str">
        <f>IFERROR(IF(AND(CB30="OK",CU30="OK"),IF(INCENTTOCOST_CUST&gt;CostCap_Cust,
CH30*CostCap_Cust/INCENTTOCOST_CUST,CH30),""),"")</f>
        <v/>
      </c>
      <c r="CJ30" s="977">
        <f t="shared" ref="CJ30" si="137">CM30</f>
        <v>0</v>
      </c>
      <c r="CK30" s="977">
        <f t="shared" ref="CK30" si="138">CN30</f>
        <v>0</v>
      </c>
      <c r="CL30" s="977">
        <f t="shared" ref="CL30" si="139">CO30</f>
        <v>0</v>
      </c>
      <c r="CM30" s="977">
        <f>R30-AJ30</f>
        <v>0</v>
      </c>
      <c r="CN30" s="977">
        <f>U30-AM30</f>
        <v>0</v>
      </c>
      <c r="CO30" s="977">
        <f t="shared" ref="CO30" si="140">IF(CR30&gt;0,CR30,0)</f>
        <v>0</v>
      </c>
      <c r="CP30" s="977">
        <f t="shared" ref="CP30" si="141">CM30</f>
        <v>0</v>
      </c>
      <c r="CQ30" s="977">
        <f t="shared" ref="CQ30" si="142">CN30</f>
        <v>0</v>
      </c>
      <c r="CR30" s="977">
        <f>X30-AP30</f>
        <v>0</v>
      </c>
      <c r="CS30" s="983"/>
      <c r="CT30" s="982" t="str">
        <f>IF(CB30="OK",INDEX(Tbl_Cust_Light[EUL], MATCH(F30,Tbl_Cust_Light[Proj Desc 1],0)),"")</f>
        <v/>
      </c>
      <c r="CU30" s="979" t="str">
        <f t="shared" ref="CU30" si="143">IFERROR(IF(AND($CM30&lt;=0,$CN30&lt;=0,$CO30&lt;=0),"No Savings","OK"),"")</f>
        <v>No Savings</v>
      </c>
      <c r="CV30" s="925" t="str">
        <f t="shared" ref="CV30" si="144">IF(AND(CB30="OK",CU30="OK"),"1","")</f>
        <v/>
      </c>
      <c r="CW30" s="925" t="str">
        <f>IFERROR(IF($CB30="OK",ROUND($AQ$14*SUM(BB30:BE31)/SUM($BF$18:$BG$37),2),""),"")</f>
        <v/>
      </c>
      <c r="CX30" s="925" t="str">
        <f>IFERROR(IF(M02S04F04="Customer/Self-Installed",CW30,IF($CB30="OK",CW30+BD30,"")),"")</f>
        <v/>
      </c>
      <c r="CY30" s="925" t="str">
        <f>IFERROR(IF($CB30="OK",CX30+BB30,""),"")</f>
        <v/>
      </c>
      <c r="CZ30" s="925" t="str">
        <f>IF(CB30&lt;&gt;"OK","",INDEX(MEASURES3_M!$O$3:$O$12,MATCH(F30,MEASURES3_M!$C$2:$C$12,0)))</f>
        <v/>
      </c>
      <c r="DA30" s="98"/>
      <c r="DB30" s="98"/>
      <c r="DC30" s="98"/>
      <c r="DD30" s="980" t="str">
        <f>IFERROR(IF(CB30&lt;&gt;"OK","",CM30*VLOOKUP('DATA TABLES_Project'!$C$247,'DATA TABLES_Project'!$A$250:$B$285,2,FALSE)),"")</f>
        <v/>
      </c>
      <c r="DE30" s="925" t="str">
        <f t="shared" ref="DE30" si="145">IFERROR(IF(CB30&lt;&gt;"OK","",CM30*CZ30*0.92),"")</f>
        <v/>
      </c>
      <c r="DF30" s="980" t="str">
        <f>IFERROR(IF(CB30&lt;&gt;"OK","",CM30*CZ30*0.92*VLOOKUP('DATA TABLES_Project'!$C$247,'DATA TABLES_Project'!$A$250:$B$285,2,FALSE)),"")</f>
        <v/>
      </c>
      <c r="DG30" s="925" t="str">
        <f t="shared" ref="DG30" si="146">IFERROR(IF(CB30&lt;&gt;"OK","",CM30*BV30),IF(BX30="Dual",(CM30*BW30)+((BY30-AJ30)*(BV30-BW30)),""))</f>
        <v/>
      </c>
      <c r="DH30" s="925" t="str">
        <f ca="1">IFERROR(IF(CB30&lt;&gt;"OK","",IF(OR(BX30="Single",BX30=""), CM30*BV30*AVERAGE(INDEX('DATA TABLES_Project'!$B$250:$B$285, MATCH('DATA TABLES_Project'!$C$247,'DATA TABLES_Project'!$A$250:$A$285, 0)):OFFSET(INDEX('DATA TABLES_Project'!$B$250:$B$285, MATCH('DATA TABLES_Project'!$C$247,'DATA TABLES_Project'!$A$250:$A$285, 0)),BV30-1,0)),CM30*BW30*AVERAGE(INDEX('DATA TABLES_Project'!$B$250:$B$285, MATCH('DATA TABLES_Project'!$C$247,'DATA TABLES_Project'!$A$250:$A$285, 0)):OFFSET(INDEX('DATA TABLES_Project'!$B$250:$B$285, MATCH('DATA TABLES_Project'!$C$247,'DATA TABLES_Project'!$A$250:$A$285, 0)),BW30-1,0)) + ((BY30-AJ30)*(BV30-BW30)*AVERAGE(OFFSET(INDEX('DATA TABLES_Project'!$B$250:$B$285, MATCH('DATA TABLES_Project'!$C$247,'DATA TABLES_Project'!$A$250:$A$285, 0)),BW30,0):OFFSET(INDEX('DATA TABLES_Project'!$B$250:$B$285, MATCH('DATA TABLES_Project'!$C$247,'DATA TABLES_Project'!$A$250:$A$285, 0)),BV30-1,0))))), "")</f>
        <v/>
      </c>
      <c r="DI30" s="925" t="str">
        <f t="shared" ref="DI30" si="147">IFERROR(IF(CB30&lt;&gt;"OK","",IF(BX30="Dual",(CM30*BW30)+((BY30-AJ30)*(BV30-BW30))*CZ30*0.92,CM30*CZ30*BV30*0.92)),"")</f>
        <v/>
      </c>
      <c r="DJ30" s="925" t="str">
        <f ca="1">IFERROR(IF(CB30&lt;&gt;"OK","",IF(OR(BX30="Single",BX30=""),0.92*CZ30*CM30*BV30*AVERAGE(INDEX('DATA TABLES_Project'!$B$250:$B$285, MATCH('DATA TABLES_Project'!$C$247,'DATA TABLES_Project'!$A$250:$A$285, 0)):OFFSET(INDEX('DATA TABLES_Project'!$B$250:$B$285, MATCH('DATA TABLES_Project'!$C$247,'DATA TABLES_Project'!$A$250:$A$285, 0)),BV30-1,0)),0.92*CZ30*CM30*BW30*AVERAGE(INDEX('DATA TABLES_Project'!$B$250:$B$285, MATCH('DATA TABLES_Project'!$C$247,'DATA TABLES_Project'!$A$250:$A$285, 0)):OFFSET(INDEX('DATA TABLES_Project'!$B$250:$B$285, MATCH('DATA TABLES_Project'!$C$247,'DATA TABLES_Project'!$A$250:$A$285, 0)),BW30-1,0)) + (0.92*CZ30*(BY30-AJ30)*(BV30-BW30)*AVERAGE(OFFSET(INDEX('DATA TABLES_Project'!$B$250:$B$285, MATCH('DATA TABLES_Project'!$C$247,'DATA TABLES_Project'!$A$250:$A$285, 0)),BW30,0):OFFSET(INDEX('DATA TABLES_Project'!$B$250:$B$285, MATCH('DATA TABLES_Project'!$C$247,'DATA TABLES_Project'!$A$250:$A$285, 0)),BV30-1,0))))), "")</f>
        <v/>
      </c>
      <c r="DK30" s="925" t="str">
        <f>IFERROR(IF(CB30&lt;&gt;"OK","",CO30*'DATA TABLES_Project'!$C$250),"")</f>
        <v/>
      </c>
      <c r="DL30" s="925" t="str">
        <f t="shared" ref="DL30" si="148">IFERROR(IF(CB30&lt;&gt;"OK","",CO30*CZ30*0.92),"")</f>
        <v/>
      </c>
      <c r="DM30" s="925" t="str">
        <f>IFERROR(IF(CB30&lt;&gt;"OK","",CO30*'DATA TABLES_Project'!$C$250*CZ30*0.92),"")</f>
        <v/>
      </c>
      <c r="DN30" s="925" t="str">
        <f t="shared" ref="DN30" si="149">IFERROR(IF(CB30&lt;&gt;"OK","",CO30*BV30),IF(BX30="Dual",(CO30*BW30)+((BZ30-AP30)*(BV30-BW30)),""))</f>
        <v/>
      </c>
      <c r="DO30" s="925" t="str">
        <f ca="1">IFERROR(IF(CB30&lt;&gt;"OK","",CO30*BV30*AVERAGE('DATA TABLES_Project'!$C$250:OFFSET('DATA TABLES_Project'!$C$250,BV30,0))),IF(BX30="Dual",(CO30*BW30*AVERAGE('DATA TABLES_Project'!$C$251:$C$259))+((BZ30-AP30)*(BV30-BW30)*AVERAGE('DATA TABLES_Project'!$C$260:$C$279)),""))</f>
        <v/>
      </c>
      <c r="DP30" s="925" t="str">
        <f t="shared" ref="DP30" si="150">IFERROR(IF(CB30&lt;&gt;"OK","",IF(BX30="Dual",((CO30*BW30)+(BZ30-AP30)*(BV30-BW30))*CZ30*0.92,CO30*BV30*CZ30*0.92)),"")</f>
        <v/>
      </c>
      <c r="DQ30" s="925" t="str">
        <f ca="1">IFERROR(IF(CB30&lt;&gt;"OK","",IF(BX30="Dual",(0.92*CZ30*CO30*BW30*AVERAGE('DATA TABLES_Project'!$C$251:$C$259))+(0.92*CZ30*(BZ30-AP30)*(BV30-BW30)*AVERAGE('DATA TABLES_Project'!$C$260:$C$279)),0.92*CZ30*CO30*BV30*AVERAGE('DATA TABLES_Project'!$C$250:OFFSET('DATA TABLES_Project'!$C$250,BV30,0)))),"")</f>
        <v/>
      </c>
      <c r="DR30" s="980" t="str">
        <f>IFERROR(IF($CB30&lt;&gt;"OK","",CM30*'DATA TABLES_Project'!$B$290+IF(CO30&lt;0,0,CO30*'DATA TABLES_Project'!$B$291)),"")</f>
        <v/>
      </c>
      <c r="DS30" s="980" t="str">
        <f>IFERROR(IF($CB30&lt;&gt;"OK","",DD30*'DATA TABLES_Project'!$B$290+IF(DK30&lt;0,0,DK30*'DATA TABLES_Project'!$B$291)),"")</f>
        <v/>
      </c>
      <c r="DT30" s="980" t="str">
        <f>IFERROR(IF($CB30&lt;&gt;"OK","",DE30*'DATA TABLES_Project'!$B$290+IF(DL30&lt;0,0,DL30*'DATA TABLES_Project'!$B$291)),"")</f>
        <v/>
      </c>
      <c r="DU30" s="980" t="str">
        <f>IFERROR(IF($CB30&lt;&gt;"OK","",DF30*'DATA TABLES_Project'!$B$290+IF(DM30&lt;0,0,DM30*'DATA TABLES_Project'!$B$291)),"")</f>
        <v/>
      </c>
      <c r="DV30" s="980" t="str">
        <f>IFERROR(IF($CB30&lt;&gt;"OK","",DG30*'DATA TABLES_Project'!$B$290+IF(DN30&lt;0,0,DN30*'DATA TABLES_Project'!$B$291)),"")</f>
        <v/>
      </c>
      <c r="DW30" s="980" t="str">
        <f>IFERROR(IF($CB30&lt;&gt;"OK","",DH30*'DATA TABLES_Project'!$B$290+IF(DO30&lt;0,0,DO30*'DATA TABLES_Project'!$B$291)),"")</f>
        <v/>
      </c>
      <c r="DX30" s="980" t="str">
        <f>IFERROR(IF($CB30&lt;&gt;"OK","",DI30*'DATA TABLES_Project'!$B$290+IF(DP30&lt;0,0,DP30*'DATA TABLES_Project'!$B$291)),"")</f>
        <v/>
      </c>
      <c r="DY30" s="925" t="str">
        <f>IFERROR(IF($CB30&lt;&gt;"OK","",DJ30*'DATA TABLES_Project'!$B$290+IF(DQ30&lt;0,0,DQ30*'DATA TABLES_Project'!$B$291)),"")</f>
        <v/>
      </c>
      <c r="DZ30" s="925" t="str">
        <f t="shared" ref="DZ30" si="151">IFERROR(IF($CB30&lt;&gt;"OK","",AS30),"")</f>
        <v/>
      </c>
      <c r="EA30" s="925" t="str">
        <f>IFERROR(IF(CB30&lt;&gt;"OK","",CN30*'DATA TABLES_Project'!$B$250*CZ30*1.03),"")</f>
        <v/>
      </c>
      <c r="EB30" s="925" t="str">
        <f t="shared" ref="EB30" si="152">IFERROR(IF(CB30&lt;&gt;"OK","",CN30*CZ30*1.03),"")</f>
        <v/>
      </c>
      <c r="EC30" s="925" t="str">
        <f>IFERROR(IF(CB30&lt;&gt;"OK","",CZ30*DZ30*'DATA TABLES_Project'!$C$250*0.92),"")</f>
        <v/>
      </c>
      <c r="ED30" s="925" t="str">
        <f>IFERROR(IF(CB30&lt;&gt;"OK","",CZ30*DZ30*'DATA TABLES_Project'!$C$250*0.92),"")</f>
        <v/>
      </c>
      <c r="EE30" s="925" t="str">
        <f t="shared" ref="EE30" si="153">IFERROR(IF(CB30&lt;&gt;"OK","",CZ30*DZ30*0.92),"")</f>
        <v/>
      </c>
      <c r="EF30" s="925" t="str">
        <f t="shared" ref="EF30" si="154">IFERROR(IF(CB30&lt;&gt;"OK","",CZ30*DZ30*0.92),"")</f>
        <v/>
      </c>
      <c r="EG30" s="925" t="str">
        <f>IFERROR(IF($CB30&lt;&gt;"OK","",CM30*'DATA TABLES_Project'!$B$290+CO30*'DATA TABLES_Project'!$B$291),"")</f>
        <v/>
      </c>
      <c r="EH30" s="925" t="str">
        <f>IFERROR(IF($CB30&lt;&gt;"OK","",DD30*'DATA TABLES_Project'!$B$290+DK30*'DATA TABLES_Project'!$B$291),"")</f>
        <v/>
      </c>
      <c r="EI30" s="925" t="str">
        <f>IFERROR(IF($CB30&lt;&gt;"OK","",DE30*'DATA TABLES_Project'!$B$290+DL30*'DATA TABLES_Project'!$B$291),"")</f>
        <v/>
      </c>
      <c r="EJ30" s="925" t="str">
        <f>IFERROR(IF($CB30&lt;&gt;"OK","",DF30*'DATA TABLES_Project'!$B$290+DM30*'DATA TABLES_Project'!$B$291),"")</f>
        <v/>
      </c>
      <c r="EK30" s="925" t="str">
        <f>IFERROR(IF($CB30&lt;&gt;"OK","",DG30*'DATA TABLES_Project'!$B$290+DN30*'DATA TABLES_Project'!$B$291),"")</f>
        <v/>
      </c>
      <c r="EL30" s="925" t="str">
        <f>IFERROR(IF($CB30&lt;&gt;"OK","",DH30*'DATA TABLES_Project'!$B$290+DO30*'DATA TABLES_Project'!$B$291),"")</f>
        <v/>
      </c>
      <c r="EM30" s="925" t="str">
        <f>IFERROR(IF($CB30&lt;&gt;"OK","",DI30*'DATA TABLES_Project'!$B$290+DP30*'DATA TABLES_Project'!$B$291),"")</f>
        <v/>
      </c>
      <c r="EN30" s="925" t="str">
        <f>IFERROR(IF($CB30&lt;&gt;"OK","",DJ30*'DATA TABLES_Project'!$B$290+DQ30*'DATA TABLES_Project'!$B$291),"")</f>
        <v/>
      </c>
    </row>
    <row r="31" spans="1:144" ht="16.350000000000001" customHeight="1">
      <c r="A31" s="462"/>
      <c r="B31" s="994"/>
      <c r="C31" s="998"/>
      <c r="D31" s="999"/>
      <c r="E31" s="1000"/>
      <c r="F31" s="964"/>
      <c r="G31" s="965"/>
      <c r="H31" s="965"/>
      <c r="I31" s="965"/>
      <c r="J31" s="965"/>
      <c r="K31" s="966"/>
      <c r="L31" s="964"/>
      <c r="M31" s="965"/>
      <c r="N31" s="965"/>
      <c r="O31" s="965"/>
      <c r="P31" s="965"/>
      <c r="Q31" s="966"/>
      <c r="R31" s="1001"/>
      <c r="S31" s="1001"/>
      <c r="T31" s="1001"/>
      <c r="U31" s="1001"/>
      <c r="V31" s="1001"/>
      <c r="W31" s="1001"/>
      <c r="X31" s="958"/>
      <c r="Y31" s="959"/>
      <c r="Z31" s="960"/>
      <c r="AA31" s="958"/>
      <c r="AB31" s="959"/>
      <c r="AC31" s="960"/>
      <c r="AD31" s="964"/>
      <c r="AE31" s="965"/>
      <c r="AF31" s="965"/>
      <c r="AG31" s="965"/>
      <c r="AH31" s="965"/>
      <c r="AI31" s="966"/>
      <c r="AJ31" s="952"/>
      <c r="AK31" s="953"/>
      <c r="AL31" s="954"/>
      <c r="AM31" s="952"/>
      <c r="AN31" s="953"/>
      <c r="AO31" s="954"/>
      <c r="AP31" s="958"/>
      <c r="AQ31" s="959"/>
      <c r="AR31" s="960"/>
      <c r="AS31" s="958"/>
      <c r="AT31" s="959"/>
      <c r="AU31" s="960"/>
      <c r="AV31" s="968"/>
      <c r="AW31" s="969"/>
      <c r="AX31" s="969"/>
      <c r="AY31" s="969"/>
      <c r="AZ31" s="969"/>
      <c r="BA31" s="970"/>
      <c r="BB31" s="947"/>
      <c r="BC31" s="948"/>
      <c r="BD31" s="947"/>
      <c r="BE31" s="948"/>
      <c r="BF31" s="931"/>
      <c r="BG31" s="932"/>
      <c r="BH31" s="974"/>
      <c r="BI31" s="975"/>
      <c r="BJ31" s="976"/>
      <c r="BK31" s="936"/>
      <c r="BL31" s="937"/>
      <c r="BM31" s="938"/>
      <c r="BN31" s="942"/>
      <c r="BO31" s="943"/>
      <c r="BP31" s="944"/>
      <c r="BS31" s="967"/>
      <c r="BT31" s="967"/>
      <c r="BV31" s="926"/>
      <c r="BW31" s="926"/>
      <c r="BX31" s="926"/>
      <c r="BY31" s="927"/>
      <c r="BZ31" s="928"/>
      <c r="CB31" s="986"/>
      <c r="CC31" s="925"/>
      <c r="CD31" s="925"/>
      <c r="CE31" s="925"/>
      <c r="CF31" s="925"/>
      <c r="CG31" s="925"/>
      <c r="CH31" s="925"/>
      <c r="CI31" s="925"/>
      <c r="CJ31" s="977"/>
      <c r="CK31" s="977"/>
      <c r="CL31" s="977"/>
      <c r="CM31" s="977"/>
      <c r="CN31" s="977"/>
      <c r="CO31" s="977"/>
      <c r="CP31" s="977"/>
      <c r="CQ31" s="977"/>
      <c r="CR31" s="977"/>
      <c r="CS31" s="983"/>
      <c r="CT31" s="982"/>
      <c r="CU31" s="979"/>
      <c r="CV31" s="925"/>
      <c r="CW31" s="925"/>
      <c r="CX31" s="925"/>
      <c r="CY31" s="925"/>
      <c r="CZ31" s="925"/>
      <c r="DA31" s="98"/>
      <c r="DB31" s="98"/>
      <c r="DC31" s="98"/>
      <c r="DD31" s="981"/>
      <c r="DE31" s="925"/>
      <c r="DF31" s="981"/>
      <c r="DG31" s="925"/>
      <c r="DH31" s="925"/>
      <c r="DI31" s="925"/>
      <c r="DJ31" s="925"/>
      <c r="DK31" s="925"/>
      <c r="DL31" s="925"/>
      <c r="DM31" s="925"/>
      <c r="DN31" s="925"/>
      <c r="DO31" s="925"/>
      <c r="DP31" s="925"/>
      <c r="DQ31" s="925"/>
      <c r="DR31" s="981"/>
      <c r="DS31" s="981"/>
      <c r="DT31" s="981"/>
      <c r="DU31" s="981"/>
      <c r="DV31" s="981"/>
      <c r="DW31" s="981"/>
      <c r="DX31" s="981"/>
      <c r="DY31" s="925"/>
      <c r="DZ31" s="925"/>
      <c r="EA31" s="925"/>
      <c r="EB31" s="925"/>
      <c r="EC31" s="925"/>
      <c r="ED31" s="925"/>
      <c r="EE31" s="925"/>
      <c r="EF31" s="925"/>
      <c r="EG31" s="925"/>
      <c r="EH31" s="925"/>
      <c r="EI31" s="925"/>
      <c r="EJ31" s="925"/>
      <c r="EK31" s="925"/>
      <c r="EL31" s="925"/>
      <c r="EM31" s="925"/>
      <c r="EN31" s="925"/>
    </row>
    <row r="32" spans="1:144" ht="16.350000000000001" customHeight="1">
      <c r="A32" s="462"/>
      <c r="B32" s="994">
        <v>8</v>
      </c>
      <c r="C32" s="995"/>
      <c r="D32" s="996"/>
      <c r="E32" s="997"/>
      <c r="F32" s="961"/>
      <c r="G32" s="962"/>
      <c r="H32" s="962"/>
      <c r="I32" s="962"/>
      <c r="J32" s="962"/>
      <c r="K32" s="963"/>
      <c r="L32" s="961"/>
      <c r="M32" s="962"/>
      <c r="N32" s="962"/>
      <c r="O32" s="962"/>
      <c r="P32" s="962"/>
      <c r="Q32" s="963"/>
      <c r="R32" s="1001"/>
      <c r="S32" s="1001"/>
      <c r="T32" s="1001"/>
      <c r="U32" s="1001"/>
      <c r="V32" s="1001"/>
      <c r="W32" s="1001"/>
      <c r="X32" s="955"/>
      <c r="Y32" s="956"/>
      <c r="Z32" s="957"/>
      <c r="AA32" s="955"/>
      <c r="AB32" s="956"/>
      <c r="AC32" s="957"/>
      <c r="AD32" s="961"/>
      <c r="AE32" s="962"/>
      <c r="AF32" s="962"/>
      <c r="AG32" s="962"/>
      <c r="AH32" s="962"/>
      <c r="AI32" s="963"/>
      <c r="AJ32" s="949"/>
      <c r="AK32" s="950"/>
      <c r="AL32" s="951"/>
      <c r="AM32" s="949"/>
      <c r="AN32" s="950"/>
      <c r="AO32" s="951"/>
      <c r="AP32" s="955"/>
      <c r="AQ32" s="956"/>
      <c r="AR32" s="957"/>
      <c r="AS32" s="955"/>
      <c r="AT32" s="956"/>
      <c r="AU32" s="957"/>
      <c r="AV32" s="968"/>
      <c r="AW32" s="969"/>
      <c r="AX32" s="970"/>
      <c r="AY32" s="968"/>
      <c r="AZ32" s="969"/>
      <c r="BA32" s="970"/>
      <c r="BB32" s="945"/>
      <c r="BC32" s="946"/>
      <c r="BD32" s="945"/>
      <c r="BE32" s="946"/>
      <c r="BF32" s="929" t="str">
        <f>IF(CB32="OK",ROUND(BB32+BD32,2),"")</f>
        <v/>
      </c>
      <c r="BG32" s="930"/>
      <c r="BH32" s="971" t="str">
        <f t="shared" ref="BH32" si="155">IFERROR(IF(AND($CB32="OK",$CU32="OK"),$CI32,IF($CB32&lt;&gt;"OK",$CB32,$CU32)),"")</f>
        <v/>
      </c>
      <c r="BI32" s="972"/>
      <c r="BJ32" s="973"/>
      <c r="BK32" s="933" t="str">
        <f t="shared" ref="BK32" si="156">IF($CB32="OK",CM32,"")</f>
        <v/>
      </c>
      <c r="BL32" s="934"/>
      <c r="BM32" s="935"/>
      <c r="BN32" s="939" t="str">
        <f t="shared" ref="BN32" si="157">IF($CB32="OK",$CR32,"")</f>
        <v/>
      </c>
      <c r="BO32" s="940"/>
      <c r="BP32" s="941"/>
      <c r="BS32" s="967"/>
      <c r="BT32" s="967"/>
      <c r="BV32" s="926" t="str">
        <f t="shared" ref="BV32" si="158">IFERROR(ROUND(IF(AND(CB32="OK",CU32="OK"),CT32,""),0),"")</f>
        <v/>
      </c>
      <c r="BW32" s="926" t="str">
        <f t="shared" ref="BW32" si="159">IFERROR(ROUND(IF(AND(CB32="OK",CU32="OK"),BV32/3,""),0),"")</f>
        <v/>
      </c>
      <c r="BX32" s="926"/>
      <c r="BY32" s="927"/>
      <c r="BZ32" s="928"/>
      <c r="CB32" s="986" t="str">
        <f>IF(AND(C32="",F32="",R32="",AD32="",U32="",X32="",L32="",AJ32="",AV32="",AM32="",AP32="",AY32="",AV33="",BB32="",BD32="",AA32="",AS32=""),"",
IF(OR(C32="",F32="",R32="",AD32="",U32="",X32="",L32="",AJ32="",AV32="",AM32="",AP32="",AY32="",AV33="",BB32="",BD32="",AA32="",AS32=""),"Missing Fields",
IF(AND(M02S04F04disp="Required",M02S04F04=""),"TA Info Incomplete",
"OK")))</f>
        <v/>
      </c>
      <c r="CC32" s="925" t="str">
        <f>IF(AND($CB32="OK",$CU32="OK"),INDEX(Tbl_Cust_Light[Measure Number], MATCH(F32,Tbl_Cust_Light[Proj Desc 1],0)),"")</f>
        <v/>
      </c>
      <c r="CD32" s="925"/>
      <c r="CE32" s="925" t="str">
        <f t="shared" ref="CE32" si="160">IF(AND(CB32="OK",CU32="OK"),"Measure","")</f>
        <v/>
      </c>
      <c r="CF32" s="925" t="str">
        <f t="shared" ref="CF32" si="161">IF(AND(CB32="OK",CU32="OK"),1,"")</f>
        <v/>
      </c>
      <c r="CG32" s="978" t="str">
        <f t="shared" ref="CG32" si="162">IFERROR(CI32/CF32,"")</f>
        <v/>
      </c>
      <c r="CH32" s="978" t="str">
        <f>IF(AND(CB32="OK",CU32="OK"),IF(CM32&gt;0,CM32*Lighting_Only_rate,0)+IF(CO32&gt;0,CO32*Lighting_Only_rate,0),"")</f>
        <v/>
      </c>
      <c r="CI32" s="978" t="str">
        <f>IFERROR(IF(AND(CB32="OK",CU32="OK"),IF(INCENTTOCOST_CUST&gt;CostCap_Cust,
CH32*CostCap_Cust/INCENTTOCOST_CUST,CH32),""),"")</f>
        <v/>
      </c>
      <c r="CJ32" s="977">
        <f t="shared" ref="CJ32" si="163">CM32</f>
        <v>0</v>
      </c>
      <c r="CK32" s="977">
        <f t="shared" ref="CK32" si="164">CN32</f>
        <v>0</v>
      </c>
      <c r="CL32" s="977">
        <f t="shared" ref="CL32" si="165">CO32</f>
        <v>0</v>
      </c>
      <c r="CM32" s="977">
        <f>R32-AJ32</f>
        <v>0</v>
      </c>
      <c r="CN32" s="977">
        <f>U32-AM32</f>
        <v>0</v>
      </c>
      <c r="CO32" s="977">
        <f t="shared" ref="CO32" si="166">IF(CR32&gt;0,CR32,0)</f>
        <v>0</v>
      </c>
      <c r="CP32" s="977">
        <f t="shared" ref="CP32" si="167">CM32</f>
        <v>0</v>
      </c>
      <c r="CQ32" s="977">
        <f t="shared" ref="CQ32" si="168">CN32</f>
        <v>0</v>
      </c>
      <c r="CR32" s="977">
        <f>X32-AP32</f>
        <v>0</v>
      </c>
      <c r="CS32" s="983"/>
      <c r="CT32" s="982" t="str">
        <f>IF(CB32="OK",INDEX(Tbl_Cust_Light[EUL], MATCH(F32,Tbl_Cust_Light[Proj Desc 1],0)),"")</f>
        <v/>
      </c>
      <c r="CU32" s="979" t="str">
        <f t="shared" ref="CU32" si="169">IFERROR(IF(AND($CM32&lt;=0,$CN32&lt;=0,$CO32&lt;=0),"No Savings","OK"),"")</f>
        <v>No Savings</v>
      </c>
      <c r="CV32" s="925" t="str">
        <f t="shared" ref="CV32" si="170">IF(AND(CB32="OK",CU32="OK"),"1","")</f>
        <v/>
      </c>
      <c r="CW32" s="925" t="str">
        <f>IFERROR(IF($CB32="OK",ROUND($AQ$14*SUM(BB32:BE33)/SUM($BF$18:$BG$37),2),""),"")</f>
        <v/>
      </c>
      <c r="CX32" s="925" t="str">
        <f>IFERROR(IF(M02S04F04="Customer/Self-Installed",CW32,IF($CB32="OK",CW32+BD32,"")),"")</f>
        <v/>
      </c>
      <c r="CY32" s="925" t="str">
        <f>IFERROR(IF($CB32="OK",CX32+BB32,""),"")</f>
        <v/>
      </c>
      <c r="CZ32" s="925" t="str">
        <f>IF(CB32&lt;&gt;"OK","",INDEX(MEASURES3_M!$O$3:$O$12,MATCH(F32,MEASURES3_M!$C$2:$C$12,0)))</f>
        <v/>
      </c>
      <c r="DA32" s="98"/>
      <c r="DB32" s="98"/>
      <c r="DC32" s="98"/>
      <c r="DD32" s="980" t="str">
        <f>IFERROR(IF(CB32&lt;&gt;"OK","",CM32*VLOOKUP('DATA TABLES_Project'!$C$247,'DATA TABLES_Project'!$A$250:$B$285,2,FALSE)),"")</f>
        <v/>
      </c>
      <c r="DE32" s="925" t="str">
        <f t="shared" ref="DE32" si="171">IFERROR(IF(CB32&lt;&gt;"OK","",CM32*CZ32*0.92),"")</f>
        <v/>
      </c>
      <c r="DF32" s="980" t="str">
        <f>IFERROR(IF(CB32&lt;&gt;"OK","",CM32*CZ32*0.92*VLOOKUP('DATA TABLES_Project'!$C$247,'DATA TABLES_Project'!$A$250:$B$285,2,FALSE)),"")</f>
        <v/>
      </c>
      <c r="DG32" s="925" t="str">
        <f t="shared" ref="DG32" si="172">IFERROR(IF(CB32&lt;&gt;"OK","",CM32*BV32),IF(BX32="Dual",(CM32*BW32)+((BY32-AJ32)*(BV32-BW32)),""))</f>
        <v/>
      </c>
      <c r="DH32" s="925" t="str">
        <f ca="1">IFERROR(IF(CB32&lt;&gt;"OK","",IF(OR(BX32="Single",BX32=""), CM32*BV32*AVERAGE(INDEX('DATA TABLES_Project'!$B$250:$B$285, MATCH('DATA TABLES_Project'!$C$247,'DATA TABLES_Project'!$A$250:$A$285, 0)):OFFSET(INDEX('DATA TABLES_Project'!$B$250:$B$285, MATCH('DATA TABLES_Project'!$C$247,'DATA TABLES_Project'!$A$250:$A$285, 0)),BV32-1,0)),CM32*BW32*AVERAGE(INDEX('DATA TABLES_Project'!$B$250:$B$285, MATCH('DATA TABLES_Project'!$C$247,'DATA TABLES_Project'!$A$250:$A$285, 0)):OFFSET(INDEX('DATA TABLES_Project'!$B$250:$B$285, MATCH('DATA TABLES_Project'!$C$247,'DATA TABLES_Project'!$A$250:$A$285, 0)),BW32-1,0)) + ((BY32-AJ32)*(BV32-BW32)*AVERAGE(OFFSET(INDEX('DATA TABLES_Project'!$B$250:$B$285, MATCH('DATA TABLES_Project'!$C$247,'DATA TABLES_Project'!$A$250:$A$285, 0)),BW32,0):OFFSET(INDEX('DATA TABLES_Project'!$B$250:$B$285, MATCH('DATA TABLES_Project'!$C$247,'DATA TABLES_Project'!$A$250:$A$285, 0)),BV32-1,0))))), "")</f>
        <v/>
      </c>
      <c r="DI32" s="925" t="str">
        <f t="shared" ref="DI32" si="173">IFERROR(IF(CB32&lt;&gt;"OK","",IF(BX32="Dual",(CM32*BW32)+((BY32-AJ32)*(BV32-BW32))*CZ32*0.92,CM32*CZ32*BV32*0.92)),"")</f>
        <v/>
      </c>
      <c r="DJ32" s="925" t="str">
        <f ca="1">IFERROR(IF(CB32&lt;&gt;"OK","",IF(OR(BX32="Single",BX32=""),0.92*CZ32*CM32*BV32*AVERAGE(INDEX('DATA TABLES_Project'!$B$250:$B$285, MATCH('DATA TABLES_Project'!$C$247,'DATA TABLES_Project'!$A$250:$A$285, 0)):OFFSET(INDEX('DATA TABLES_Project'!$B$250:$B$285, MATCH('DATA TABLES_Project'!$C$247,'DATA TABLES_Project'!$A$250:$A$285, 0)),BV32-1,0)),0.92*CZ32*CM32*BW32*AVERAGE(INDEX('DATA TABLES_Project'!$B$250:$B$285, MATCH('DATA TABLES_Project'!$C$247,'DATA TABLES_Project'!$A$250:$A$285, 0)):OFFSET(INDEX('DATA TABLES_Project'!$B$250:$B$285, MATCH('DATA TABLES_Project'!$C$247,'DATA TABLES_Project'!$A$250:$A$285, 0)),BW32-1,0)) + (0.92*CZ32*(BY32-AJ32)*(BV32-BW32)*AVERAGE(OFFSET(INDEX('DATA TABLES_Project'!$B$250:$B$285, MATCH('DATA TABLES_Project'!$C$247,'DATA TABLES_Project'!$A$250:$A$285, 0)),BW32,0):OFFSET(INDEX('DATA TABLES_Project'!$B$250:$B$285, MATCH('DATA TABLES_Project'!$C$247,'DATA TABLES_Project'!$A$250:$A$285, 0)),BV32-1,0))))), "")</f>
        <v/>
      </c>
      <c r="DK32" s="925" t="str">
        <f>IFERROR(IF(CB32&lt;&gt;"OK","",CO32*'DATA TABLES_Project'!$C$250),"")</f>
        <v/>
      </c>
      <c r="DL32" s="925" t="str">
        <f t="shared" ref="DL32" si="174">IFERROR(IF(CB32&lt;&gt;"OK","",CO32*CZ32*0.92),"")</f>
        <v/>
      </c>
      <c r="DM32" s="925" t="str">
        <f>IFERROR(IF(CB32&lt;&gt;"OK","",CO32*'DATA TABLES_Project'!$C$250*CZ32*0.92),"")</f>
        <v/>
      </c>
      <c r="DN32" s="925" t="str">
        <f t="shared" ref="DN32" si="175">IFERROR(IF(CB32&lt;&gt;"OK","",CO32*BV32),IF(BX32="Dual",(CO32*BW32)+((BZ32-AP32)*(BV32-BW32)),""))</f>
        <v/>
      </c>
      <c r="DO32" s="925" t="str">
        <f ca="1">IFERROR(IF(CB32&lt;&gt;"OK","",CO32*BV32*AVERAGE('DATA TABLES_Project'!$C$250:OFFSET('DATA TABLES_Project'!$C$250,BV32,0))),IF(BX32="Dual",(CO32*BW32*AVERAGE('DATA TABLES_Project'!$C$251:$C$259))+((BZ32-AP32)*(BV32-BW32)*AVERAGE('DATA TABLES_Project'!$C$260:$C$279)),""))</f>
        <v/>
      </c>
      <c r="DP32" s="925" t="str">
        <f t="shared" ref="DP32" si="176">IFERROR(IF(CB32&lt;&gt;"OK","",IF(BX32="Dual",((CO32*BW32)+(BZ32-AP32)*(BV32-BW32))*CZ32*0.92,CO32*BV32*CZ32*0.92)),"")</f>
        <v/>
      </c>
      <c r="DQ32" s="925" t="str">
        <f ca="1">IFERROR(IF(CB32&lt;&gt;"OK","",IF(BX32="Dual",(0.92*CZ32*CO32*BW32*AVERAGE('DATA TABLES_Project'!$C$251:$C$259))+(0.92*CZ32*(BZ32-AP32)*(BV32-BW32)*AVERAGE('DATA TABLES_Project'!$C$260:$C$279)),0.92*CZ32*CO32*BV32*AVERAGE('DATA TABLES_Project'!$C$250:OFFSET('DATA TABLES_Project'!$C$250,BV32,0)))),"")</f>
        <v/>
      </c>
      <c r="DR32" s="980" t="str">
        <f>IFERROR(IF($CB32&lt;&gt;"OK","",CM32*'DATA TABLES_Project'!$B$290+IF(CO32&lt;0,0,CO32*'DATA TABLES_Project'!$B$291)),"")</f>
        <v/>
      </c>
      <c r="DS32" s="980" t="str">
        <f>IFERROR(IF($CB32&lt;&gt;"OK","",DD32*'DATA TABLES_Project'!$B$290+IF(DK32&lt;0,0,DK32*'DATA TABLES_Project'!$B$291)),"")</f>
        <v/>
      </c>
      <c r="DT32" s="980" t="str">
        <f>IFERROR(IF($CB32&lt;&gt;"OK","",DE32*'DATA TABLES_Project'!$B$290+IF(DL32&lt;0,0,DL32*'DATA TABLES_Project'!$B$291)),"")</f>
        <v/>
      </c>
      <c r="DU32" s="980" t="str">
        <f>IFERROR(IF($CB32&lt;&gt;"OK","",DF32*'DATA TABLES_Project'!$B$290+IF(DM32&lt;0,0,DM32*'DATA TABLES_Project'!$B$291)),"")</f>
        <v/>
      </c>
      <c r="DV32" s="980" t="str">
        <f>IFERROR(IF($CB32&lt;&gt;"OK","",DG32*'DATA TABLES_Project'!$B$290+IF(DN32&lt;0,0,DN32*'DATA TABLES_Project'!$B$291)),"")</f>
        <v/>
      </c>
      <c r="DW32" s="980" t="str">
        <f>IFERROR(IF($CB32&lt;&gt;"OK","",DH32*'DATA TABLES_Project'!$B$290+IF(DO32&lt;0,0,DO32*'DATA TABLES_Project'!$B$291)),"")</f>
        <v/>
      </c>
      <c r="DX32" s="980" t="str">
        <f>IFERROR(IF($CB32&lt;&gt;"OK","",DI32*'DATA TABLES_Project'!$B$290+IF(DP32&lt;0,0,DP32*'DATA TABLES_Project'!$B$291)),"")</f>
        <v/>
      </c>
      <c r="DY32" s="925" t="str">
        <f>IFERROR(IF($CB32&lt;&gt;"OK","",DJ32*'DATA TABLES_Project'!$B$290+IF(DQ32&lt;0,0,DQ32*'DATA TABLES_Project'!$B$291)),"")</f>
        <v/>
      </c>
      <c r="DZ32" s="925" t="str">
        <f t="shared" ref="DZ32" si="177">IFERROR(IF($CB32&lt;&gt;"OK","",AS32),"")</f>
        <v/>
      </c>
      <c r="EA32" s="925" t="str">
        <f>IFERROR(IF(CB32&lt;&gt;"OK","",CN32*'DATA TABLES_Project'!$B$250*CZ32*1.03),"")</f>
        <v/>
      </c>
      <c r="EB32" s="925" t="str">
        <f t="shared" ref="EB32" si="178">IFERROR(IF(CB32&lt;&gt;"OK","",CN32*CZ32*1.03),"")</f>
        <v/>
      </c>
      <c r="EC32" s="925" t="str">
        <f>IFERROR(IF(CB32&lt;&gt;"OK","",CZ32*DZ32*'DATA TABLES_Project'!$C$250*0.92),"")</f>
        <v/>
      </c>
      <c r="ED32" s="925" t="str">
        <f>IFERROR(IF(CB32&lt;&gt;"OK","",CZ32*DZ32*'DATA TABLES_Project'!$C$250*0.92),"")</f>
        <v/>
      </c>
      <c r="EE32" s="925" t="str">
        <f t="shared" ref="EE32" si="179">IFERROR(IF(CB32&lt;&gt;"OK","",CZ32*DZ32*0.92),"")</f>
        <v/>
      </c>
      <c r="EF32" s="925" t="str">
        <f t="shared" ref="EF32" si="180">IFERROR(IF(CB32&lt;&gt;"OK","",CZ32*DZ32*0.92),"")</f>
        <v/>
      </c>
      <c r="EG32" s="925" t="str">
        <f>IFERROR(IF($CB32&lt;&gt;"OK","",CM32*'DATA TABLES_Project'!$B$290+CO32*'DATA TABLES_Project'!$B$291),"")</f>
        <v/>
      </c>
      <c r="EH32" s="925" t="str">
        <f>IFERROR(IF($CB32&lt;&gt;"OK","",DD32*'DATA TABLES_Project'!$B$290+DK32*'DATA TABLES_Project'!$B$291),"")</f>
        <v/>
      </c>
      <c r="EI32" s="925" t="str">
        <f>IFERROR(IF($CB32&lt;&gt;"OK","",DE32*'DATA TABLES_Project'!$B$290+DL32*'DATA TABLES_Project'!$B$291),"")</f>
        <v/>
      </c>
      <c r="EJ32" s="925" t="str">
        <f>IFERROR(IF($CB32&lt;&gt;"OK","",DF32*'DATA TABLES_Project'!$B$290+DM32*'DATA TABLES_Project'!$B$291),"")</f>
        <v/>
      </c>
      <c r="EK32" s="925" t="str">
        <f>IFERROR(IF($CB32&lt;&gt;"OK","",DG32*'DATA TABLES_Project'!$B$290+DN32*'DATA TABLES_Project'!$B$291),"")</f>
        <v/>
      </c>
      <c r="EL32" s="925" t="str">
        <f>IFERROR(IF($CB32&lt;&gt;"OK","",DH32*'DATA TABLES_Project'!$B$290+DO32*'DATA TABLES_Project'!$B$291),"")</f>
        <v/>
      </c>
      <c r="EM32" s="925" t="str">
        <f>IFERROR(IF($CB32&lt;&gt;"OK","",DI32*'DATA TABLES_Project'!$B$290+DP32*'DATA TABLES_Project'!$B$291),"")</f>
        <v/>
      </c>
      <c r="EN32" s="925" t="str">
        <f>IFERROR(IF($CB32&lt;&gt;"OK","",DJ32*'DATA TABLES_Project'!$B$290+DQ32*'DATA TABLES_Project'!$B$291),"")</f>
        <v/>
      </c>
    </row>
    <row r="33" spans="1:144" ht="16.350000000000001" customHeight="1">
      <c r="A33" s="462"/>
      <c r="B33" s="994"/>
      <c r="C33" s="998"/>
      <c r="D33" s="999"/>
      <c r="E33" s="1000"/>
      <c r="F33" s="964"/>
      <c r="G33" s="965"/>
      <c r="H33" s="965"/>
      <c r="I33" s="965"/>
      <c r="J33" s="965"/>
      <c r="K33" s="966"/>
      <c r="L33" s="964"/>
      <c r="M33" s="965"/>
      <c r="N33" s="965"/>
      <c r="O33" s="965"/>
      <c r="P33" s="965"/>
      <c r="Q33" s="966"/>
      <c r="R33" s="1001"/>
      <c r="S33" s="1001"/>
      <c r="T33" s="1001"/>
      <c r="U33" s="1001"/>
      <c r="V33" s="1001"/>
      <c r="W33" s="1001"/>
      <c r="X33" s="958"/>
      <c r="Y33" s="959"/>
      <c r="Z33" s="960"/>
      <c r="AA33" s="958"/>
      <c r="AB33" s="959"/>
      <c r="AC33" s="960"/>
      <c r="AD33" s="964"/>
      <c r="AE33" s="965"/>
      <c r="AF33" s="965"/>
      <c r="AG33" s="965"/>
      <c r="AH33" s="965"/>
      <c r="AI33" s="966"/>
      <c r="AJ33" s="952"/>
      <c r="AK33" s="953"/>
      <c r="AL33" s="954"/>
      <c r="AM33" s="952"/>
      <c r="AN33" s="953"/>
      <c r="AO33" s="954"/>
      <c r="AP33" s="958"/>
      <c r="AQ33" s="959"/>
      <c r="AR33" s="960"/>
      <c r="AS33" s="958"/>
      <c r="AT33" s="959"/>
      <c r="AU33" s="960"/>
      <c r="AV33" s="968"/>
      <c r="AW33" s="969"/>
      <c r="AX33" s="969"/>
      <c r="AY33" s="969"/>
      <c r="AZ33" s="969"/>
      <c r="BA33" s="970"/>
      <c r="BB33" s="947"/>
      <c r="BC33" s="948"/>
      <c r="BD33" s="947"/>
      <c r="BE33" s="948"/>
      <c r="BF33" s="931"/>
      <c r="BG33" s="932"/>
      <c r="BH33" s="974"/>
      <c r="BI33" s="975"/>
      <c r="BJ33" s="976"/>
      <c r="BK33" s="936"/>
      <c r="BL33" s="937"/>
      <c r="BM33" s="938"/>
      <c r="BN33" s="942"/>
      <c r="BO33" s="943"/>
      <c r="BP33" s="944"/>
      <c r="BS33" s="967"/>
      <c r="BT33" s="967"/>
      <c r="BV33" s="926"/>
      <c r="BW33" s="926"/>
      <c r="BX33" s="926"/>
      <c r="BY33" s="927"/>
      <c r="BZ33" s="928"/>
      <c r="CB33" s="986"/>
      <c r="CC33" s="925"/>
      <c r="CD33" s="925"/>
      <c r="CE33" s="925"/>
      <c r="CF33" s="925"/>
      <c r="CG33" s="925"/>
      <c r="CH33" s="925"/>
      <c r="CI33" s="925"/>
      <c r="CJ33" s="977"/>
      <c r="CK33" s="977"/>
      <c r="CL33" s="977"/>
      <c r="CM33" s="977"/>
      <c r="CN33" s="977"/>
      <c r="CO33" s="977"/>
      <c r="CP33" s="977"/>
      <c r="CQ33" s="977"/>
      <c r="CR33" s="977"/>
      <c r="CS33" s="983"/>
      <c r="CT33" s="982"/>
      <c r="CU33" s="979"/>
      <c r="CV33" s="925"/>
      <c r="CW33" s="925"/>
      <c r="CX33" s="925"/>
      <c r="CY33" s="925"/>
      <c r="CZ33" s="925"/>
      <c r="DA33" s="98"/>
      <c r="DB33" s="98"/>
      <c r="DC33" s="98"/>
      <c r="DD33" s="981"/>
      <c r="DE33" s="925"/>
      <c r="DF33" s="981"/>
      <c r="DG33" s="925"/>
      <c r="DH33" s="925"/>
      <c r="DI33" s="925"/>
      <c r="DJ33" s="925"/>
      <c r="DK33" s="925"/>
      <c r="DL33" s="925"/>
      <c r="DM33" s="925"/>
      <c r="DN33" s="925"/>
      <c r="DO33" s="925"/>
      <c r="DP33" s="925"/>
      <c r="DQ33" s="925"/>
      <c r="DR33" s="981"/>
      <c r="DS33" s="981"/>
      <c r="DT33" s="981"/>
      <c r="DU33" s="981"/>
      <c r="DV33" s="981"/>
      <c r="DW33" s="981"/>
      <c r="DX33" s="981"/>
      <c r="DY33" s="925"/>
      <c r="DZ33" s="925"/>
      <c r="EA33" s="925"/>
      <c r="EB33" s="925"/>
      <c r="EC33" s="925"/>
      <c r="ED33" s="925"/>
      <c r="EE33" s="925"/>
      <c r="EF33" s="925"/>
      <c r="EG33" s="925"/>
      <c r="EH33" s="925"/>
      <c r="EI33" s="925"/>
      <c r="EJ33" s="925"/>
      <c r="EK33" s="925"/>
      <c r="EL33" s="925"/>
      <c r="EM33" s="925"/>
      <c r="EN33" s="925"/>
    </row>
    <row r="34" spans="1:144" ht="16.350000000000001" customHeight="1">
      <c r="A34" s="462"/>
      <c r="B34" s="994">
        <v>9</v>
      </c>
      <c r="C34" s="995"/>
      <c r="D34" s="996"/>
      <c r="E34" s="997"/>
      <c r="F34" s="961"/>
      <c r="G34" s="962"/>
      <c r="H34" s="962"/>
      <c r="I34" s="962"/>
      <c r="J34" s="962"/>
      <c r="K34" s="963"/>
      <c r="L34" s="961"/>
      <c r="M34" s="962"/>
      <c r="N34" s="962"/>
      <c r="O34" s="962"/>
      <c r="P34" s="962"/>
      <c r="Q34" s="963"/>
      <c r="R34" s="1001"/>
      <c r="S34" s="1001"/>
      <c r="T34" s="1001"/>
      <c r="U34" s="1001"/>
      <c r="V34" s="1001"/>
      <c r="W34" s="1001"/>
      <c r="X34" s="955"/>
      <c r="Y34" s="956"/>
      <c r="Z34" s="957"/>
      <c r="AA34" s="955"/>
      <c r="AB34" s="956"/>
      <c r="AC34" s="957"/>
      <c r="AD34" s="961"/>
      <c r="AE34" s="962"/>
      <c r="AF34" s="962"/>
      <c r="AG34" s="962"/>
      <c r="AH34" s="962"/>
      <c r="AI34" s="963"/>
      <c r="AJ34" s="949"/>
      <c r="AK34" s="950"/>
      <c r="AL34" s="951"/>
      <c r="AM34" s="949"/>
      <c r="AN34" s="950"/>
      <c r="AO34" s="951"/>
      <c r="AP34" s="955"/>
      <c r="AQ34" s="956"/>
      <c r="AR34" s="957"/>
      <c r="AS34" s="955"/>
      <c r="AT34" s="956"/>
      <c r="AU34" s="957"/>
      <c r="AV34" s="968"/>
      <c r="AW34" s="969"/>
      <c r="AX34" s="970"/>
      <c r="AY34" s="968"/>
      <c r="AZ34" s="969"/>
      <c r="BA34" s="970"/>
      <c r="BB34" s="945"/>
      <c r="BC34" s="946"/>
      <c r="BD34" s="945"/>
      <c r="BE34" s="946"/>
      <c r="BF34" s="929" t="str">
        <f>IF(CB34="OK",ROUND(BB34+BD34,2),"")</f>
        <v/>
      </c>
      <c r="BG34" s="930"/>
      <c r="BH34" s="971" t="str">
        <f t="shared" ref="BH34" si="181">IFERROR(IF(AND($CB34="OK",$CU34="OK"),$CI34,IF($CB34&lt;&gt;"OK",$CB34,$CU34)),"")</f>
        <v/>
      </c>
      <c r="BI34" s="972"/>
      <c r="BJ34" s="973"/>
      <c r="BK34" s="933" t="str">
        <f t="shared" ref="BK34" si="182">IF($CB34="OK",CM34,"")</f>
        <v/>
      </c>
      <c r="BL34" s="934"/>
      <c r="BM34" s="935"/>
      <c r="BN34" s="939" t="str">
        <f t="shared" ref="BN34" si="183">IF($CB34="OK",$CR34,"")</f>
        <v/>
      </c>
      <c r="BO34" s="940"/>
      <c r="BP34" s="941"/>
      <c r="BS34" s="967"/>
      <c r="BT34" s="967"/>
      <c r="BV34" s="926" t="str">
        <f t="shared" ref="BV34" si="184">IFERROR(ROUND(IF(AND(CB34="OK",CU34="OK"),CT34,""),0),"")</f>
        <v/>
      </c>
      <c r="BW34" s="926" t="str">
        <f t="shared" ref="BW34" si="185">IFERROR(ROUND(IF(AND(CB34="OK",CU34="OK"),BV34/3,""),0),"")</f>
        <v/>
      </c>
      <c r="BX34" s="926"/>
      <c r="BY34" s="927"/>
      <c r="BZ34" s="928"/>
      <c r="CB34" s="986" t="str">
        <f>IF(AND(C34="",F34="",R34="",AD34="",U34="",X34="",L34="",AJ34="",AV34="",AM34="",AP34="",AY34="",AV35="",BB34="",BD34="",AA34="",AS34=""),"",
IF(OR(C34="",F34="",R34="",AD34="",U34="",X34="",L34="",AJ34="",AV34="",AM34="",AP34="",AY34="",AV35="",BB34="",BD34="",AA34="",AS34=""),"Missing Fields",
IF(AND(M02S04F04disp="Required",M02S04F04=""),"TA Info Incomplete",
"OK")))</f>
        <v/>
      </c>
      <c r="CC34" s="925" t="str">
        <f>IF(AND($CB34="OK",$CU34="OK"),INDEX(Tbl_Cust_Light[Measure Number], MATCH(F34,Tbl_Cust_Light[Proj Desc 1],0)),"")</f>
        <v/>
      </c>
      <c r="CD34" s="925"/>
      <c r="CE34" s="925" t="str">
        <f t="shared" ref="CE34" si="186">IF(AND(CB34="OK",CU34="OK"),"Measure","")</f>
        <v/>
      </c>
      <c r="CF34" s="925" t="str">
        <f t="shared" ref="CF34" si="187">IF(AND(CB34="OK",CU34="OK"),1,"")</f>
        <v/>
      </c>
      <c r="CG34" s="978" t="str">
        <f t="shared" ref="CG34" si="188">IFERROR(CI34/CF34,"")</f>
        <v/>
      </c>
      <c r="CH34" s="978" t="str">
        <f>IF(AND(CB34="OK",CU34="OK"),IF(CM34&gt;0,CM34*Lighting_Only_rate,0)+IF(CO34&gt;0,CO34*Lighting_Only_rate,0),"")</f>
        <v/>
      </c>
      <c r="CI34" s="978" t="str">
        <f>IFERROR(IF(AND(CB34="OK",CU34="OK"),IF(INCENTTOCOST_CUST&gt;CostCap_Cust,
CH34*CostCap_Cust/INCENTTOCOST_CUST,CH34),""),"")</f>
        <v/>
      </c>
      <c r="CJ34" s="977">
        <f t="shared" ref="CJ34" si="189">CM34</f>
        <v>0</v>
      </c>
      <c r="CK34" s="977">
        <f t="shared" ref="CK34" si="190">CN34</f>
        <v>0</v>
      </c>
      <c r="CL34" s="977">
        <f t="shared" ref="CL34" si="191">CO34</f>
        <v>0</v>
      </c>
      <c r="CM34" s="977">
        <f>R34-AJ34</f>
        <v>0</v>
      </c>
      <c r="CN34" s="977">
        <f>U34-AM34</f>
        <v>0</v>
      </c>
      <c r="CO34" s="977">
        <f t="shared" ref="CO34" si="192">IF(CR34&gt;0,CR34,0)</f>
        <v>0</v>
      </c>
      <c r="CP34" s="977">
        <f t="shared" ref="CP34" si="193">CM34</f>
        <v>0</v>
      </c>
      <c r="CQ34" s="977">
        <f t="shared" ref="CQ34" si="194">CN34</f>
        <v>0</v>
      </c>
      <c r="CR34" s="977">
        <f>X34-AP34</f>
        <v>0</v>
      </c>
      <c r="CS34" s="983"/>
      <c r="CT34" s="982" t="str">
        <f>IF(CB34="OK",INDEX(Tbl_Cust_Light[EUL], MATCH(F34,Tbl_Cust_Light[Proj Desc 1],0)),"")</f>
        <v/>
      </c>
      <c r="CU34" s="979" t="str">
        <f t="shared" ref="CU34" si="195">IFERROR(IF(AND($CM34&lt;=0,$CN34&lt;=0,$CO34&lt;=0),"No Savings","OK"),"")</f>
        <v>No Savings</v>
      </c>
      <c r="CV34" s="925" t="str">
        <f t="shared" ref="CV34" si="196">IF(AND(CB34="OK",CU34="OK"),"1","")</f>
        <v/>
      </c>
      <c r="CW34" s="925" t="str">
        <f>IFERROR(IF($CB34="OK",ROUND($AQ$14*SUM(BB34:BE35)/SUM($BF$18:$BG$37),2),""),"")</f>
        <v/>
      </c>
      <c r="CX34" s="925" t="str">
        <f>IFERROR(IF(M02S04F04="Customer/Self-Installed",CW34,IF($CB34="OK",CW34+BD34,"")),"")</f>
        <v/>
      </c>
      <c r="CY34" s="925" t="str">
        <f>IFERROR(IF($CB34="OK",CX34+BB34,""),"")</f>
        <v/>
      </c>
      <c r="CZ34" s="925" t="str">
        <f>IF(CB34&lt;&gt;"OK","",INDEX(MEASURES3_M!$O$3:$O$12,MATCH(F34,MEASURES3_M!$C$2:$C$12,0)))</f>
        <v/>
      </c>
      <c r="DA34" s="98"/>
      <c r="DB34" s="98"/>
      <c r="DC34" s="98"/>
      <c r="DD34" s="980" t="str">
        <f>IFERROR(IF(CB34&lt;&gt;"OK","",CM34*VLOOKUP('DATA TABLES_Project'!$C$247,'DATA TABLES_Project'!$A$250:$B$285,2,FALSE)),"")</f>
        <v/>
      </c>
      <c r="DE34" s="925" t="str">
        <f t="shared" ref="DE34" si="197">IFERROR(IF(CB34&lt;&gt;"OK","",CM34*CZ34*0.92),"")</f>
        <v/>
      </c>
      <c r="DF34" s="980" t="str">
        <f>IFERROR(IF(CB34&lt;&gt;"OK","",CM34*CZ34*0.92*VLOOKUP('DATA TABLES_Project'!$C$247,'DATA TABLES_Project'!$A$250:$B$285,2,FALSE)),"")</f>
        <v/>
      </c>
      <c r="DG34" s="925" t="str">
        <f t="shared" ref="DG34" si="198">IFERROR(IF(CB34&lt;&gt;"OK","",CM34*BV34),IF(BX34="Dual",(CM34*BW34)+((BY34-AJ34)*(BV34-BW34)),""))</f>
        <v/>
      </c>
      <c r="DH34" s="925" t="str">
        <f ca="1">IFERROR(IF(CB34&lt;&gt;"OK","",IF(OR(BX34="Single",BX34=""), CM34*BV34*AVERAGE(INDEX('DATA TABLES_Project'!$B$250:$B$285, MATCH('DATA TABLES_Project'!$C$247,'DATA TABLES_Project'!$A$250:$A$285, 0)):OFFSET(INDEX('DATA TABLES_Project'!$B$250:$B$285, MATCH('DATA TABLES_Project'!$C$247,'DATA TABLES_Project'!$A$250:$A$285, 0)),BV34-1,0)),CM34*BW34*AVERAGE(INDEX('DATA TABLES_Project'!$B$250:$B$285, MATCH('DATA TABLES_Project'!$C$247,'DATA TABLES_Project'!$A$250:$A$285, 0)):OFFSET(INDEX('DATA TABLES_Project'!$B$250:$B$285, MATCH('DATA TABLES_Project'!$C$247,'DATA TABLES_Project'!$A$250:$A$285, 0)),BW34-1,0)) + ((BY34-AJ34)*(BV34-BW34)*AVERAGE(OFFSET(INDEX('DATA TABLES_Project'!$B$250:$B$285, MATCH('DATA TABLES_Project'!$C$247,'DATA TABLES_Project'!$A$250:$A$285, 0)),BW34,0):OFFSET(INDEX('DATA TABLES_Project'!$B$250:$B$285, MATCH('DATA TABLES_Project'!$C$247,'DATA TABLES_Project'!$A$250:$A$285, 0)),BV34-1,0))))), "")</f>
        <v/>
      </c>
      <c r="DI34" s="925" t="str">
        <f t="shared" ref="DI34" si="199">IFERROR(IF(CB34&lt;&gt;"OK","",IF(BX34="Dual",(CM34*BW34)+((BY34-AJ34)*(BV34-BW34))*CZ34*0.92,CM34*CZ34*BV34*0.92)),"")</f>
        <v/>
      </c>
      <c r="DJ34" s="925" t="str">
        <f ca="1">IFERROR(IF(CB34&lt;&gt;"OK","",IF(OR(BX34="Single",BX34=""),0.92*CZ34*CM34*BV34*AVERAGE(INDEX('DATA TABLES_Project'!$B$250:$B$285, MATCH('DATA TABLES_Project'!$C$247,'DATA TABLES_Project'!$A$250:$A$285, 0)):OFFSET(INDEX('DATA TABLES_Project'!$B$250:$B$285, MATCH('DATA TABLES_Project'!$C$247,'DATA TABLES_Project'!$A$250:$A$285, 0)),BV34-1,0)),0.92*CZ34*CM34*BW34*AVERAGE(INDEX('DATA TABLES_Project'!$B$250:$B$285, MATCH('DATA TABLES_Project'!$C$247,'DATA TABLES_Project'!$A$250:$A$285, 0)):OFFSET(INDEX('DATA TABLES_Project'!$B$250:$B$285, MATCH('DATA TABLES_Project'!$C$247,'DATA TABLES_Project'!$A$250:$A$285, 0)),BW34-1,0)) + (0.92*CZ34*(BY34-AJ34)*(BV34-BW34)*AVERAGE(OFFSET(INDEX('DATA TABLES_Project'!$B$250:$B$285, MATCH('DATA TABLES_Project'!$C$247,'DATA TABLES_Project'!$A$250:$A$285, 0)),BW34,0):OFFSET(INDEX('DATA TABLES_Project'!$B$250:$B$285, MATCH('DATA TABLES_Project'!$C$247,'DATA TABLES_Project'!$A$250:$A$285, 0)),BV34-1,0))))), "")</f>
        <v/>
      </c>
      <c r="DK34" s="925" t="str">
        <f>IFERROR(IF(CB34&lt;&gt;"OK","",CO34*'DATA TABLES_Project'!$C$250),"")</f>
        <v/>
      </c>
      <c r="DL34" s="925" t="str">
        <f t="shared" ref="DL34" si="200">IFERROR(IF(CB34&lt;&gt;"OK","",CO34*CZ34*0.92),"")</f>
        <v/>
      </c>
      <c r="DM34" s="925" t="str">
        <f>IFERROR(IF(CB34&lt;&gt;"OK","",CO34*'DATA TABLES_Project'!$C$250*CZ34*0.92),"")</f>
        <v/>
      </c>
      <c r="DN34" s="925" t="str">
        <f t="shared" ref="DN34" si="201">IFERROR(IF(CB34&lt;&gt;"OK","",CO34*BV34),IF(BX34="Dual",(CO34*BW34)+((BZ34-AP34)*(BV34-BW34)),""))</f>
        <v/>
      </c>
      <c r="DO34" s="925" t="str">
        <f ca="1">IFERROR(IF(CB34&lt;&gt;"OK","",CO34*BV34*AVERAGE('DATA TABLES_Project'!$C$250:OFFSET('DATA TABLES_Project'!$C$250,BV34,0))),IF(BX34="Dual",(CO34*BW34*AVERAGE('DATA TABLES_Project'!$C$251:$C$259))+((BZ34-AP34)*(BV34-BW34)*AVERAGE('DATA TABLES_Project'!$C$260:$C$279)),""))</f>
        <v/>
      </c>
      <c r="DP34" s="925" t="str">
        <f t="shared" ref="DP34" si="202">IFERROR(IF(CB34&lt;&gt;"OK","",IF(BX34="Dual",((CO34*BW34)+(BZ34-AP34)*(BV34-BW34))*CZ34*0.92,CO34*BV34*CZ34*0.92)),"")</f>
        <v/>
      </c>
      <c r="DQ34" s="925" t="str">
        <f ca="1">IFERROR(IF(CB34&lt;&gt;"OK","",IF(BX34="Dual",(0.92*CZ34*CO34*BW34*AVERAGE('DATA TABLES_Project'!$C$251:$C$259))+(0.92*CZ34*(BZ34-AP34)*(BV34-BW34)*AVERAGE('DATA TABLES_Project'!$C$260:$C$279)),0.92*CZ34*CO34*BV34*AVERAGE('DATA TABLES_Project'!$C$250:OFFSET('DATA TABLES_Project'!$C$250,BV34,0)))),"")</f>
        <v/>
      </c>
      <c r="DR34" s="980" t="str">
        <f>IFERROR(IF($CB34&lt;&gt;"OK","",CM34*'DATA TABLES_Project'!$B$290+IF(CO34&lt;0,0,CO34*'DATA TABLES_Project'!$B$291)),"")</f>
        <v/>
      </c>
      <c r="DS34" s="980" t="str">
        <f>IFERROR(IF($CB34&lt;&gt;"OK","",DD34*'DATA TABLES_Project'!$B$290+IF(DK34&lt;0,0,DK34*'DATA TABLES_Project'!$B$291)),"")</f>
        <v/>
      </c>
      <c r="DT34" s="980" t="str">
        <f>IFERROR(IF($CB34&lt;&gt;"OK","",DE34*'DATA TABLES_Project'!$B$290+IF(DL34&lt;0,0,DL34*'DATA TABLES_Project'!$B$291)),"")</f>
        <v/>
      </c>
      <c r="DU34" s="980" t="str">
        <f>IFERROR(IF($CB34&lt;&gt;"OK","",DF34*'DATA TABLES_Project'!$B$290+IF(DM34&lt;0,0,DM34*'DATA TABLES_Project'!$B$291)),"")</f>
        <v/>
      </c>
      <c r="DV34" s="980" t="str">
        <f>IFERROR(IF($CB34&lt;&gt;"OK","",DG34*'DATA TABLES_Project'!$B$290+IF(DN34&lt;0,0,DN34*'DATA TABLES_Project'!$B$291)),"")</f>
        <v/>
      </c>
      <c r="DW34" s="980" t="str">
        <f>IFERROR(IF($CB34&lt;&gt;"OK","",DH34*'DATA TABLES_Project'!$B$290+IF(DO34&lt;0,0,DO34*'DATA TABLES_Project'!$B$291)),"")</f>
        <v/>
      </c>
      <c r="DX34" s="980" t="str">
        <f>IFERROR(IF($CB34&lt;&gt;"OK","",DI34*'DATA TABLES_Project'!$B$290+IF(DP34&lt;0,0,DP34*'DATA TABLES_Project'!$B$291)),"")</f>
        <v/>
      </c>
      <c r="DY34" s="925" t="str">
        <f>IFERROR(IF($CB34&lt;&gt;"OK","",DJ34*'DATA TABLES_Project'!$B$290+IF(DQ34&lt;0,0,DQ34*'DATA TABLES_Project'!$B$291)),"")</f>
        <v/>
      </c>
      <c r="DZ34" s="925" t="str">
        <f t="shared" ref="DZ34" si="203">IFERROR(IF($CB34&lt;&gt;"OK","",AS34),"")</f>
        <v/>
      </c>
      <c r="EA34" s="925" t="str">
        <f>IFERROR(IF(CB34&lt;&gt;"OK","",CN34*'DATA TABLES_Project'!$B$250*CZ34*1.03),"")</f>
        <v/>
      </c>
      <c r="EB34" s="925" t="str">
        <f t="shared" ref="EB34" si="204">IFERROR(IF(CB34&lt;&gt;"OK","",CN34*CZ34*1.03),"")</f>
        <v/>
      </c>
      <c r="EC34" s="925" t="str">
        <f>IFERROR(IF(CB34&lt;&gt;"OK","",CZ34*DZ34*'DATA TABLES_Project'!$C$250*0.92),"")</f>
        <v/>
      </c>
      <c r="ED34" s="925" t="str">
        <f>IFERROR(IF(CB34&lt;&gt;"OK","",CZ34*DZ34*'DATA TABLES_Project'!$C$250*0.92),"")</f>
        <v/>
      </c>
      <c r="EE34" s="925" t="str">
        <f t="shared" ref="EE34" si="205">IFERROR(IF(CB34&lt;&gt;"OK","",CZ34*DZ34*0.92),"")</f>
        <v/>
      </c>
      <c r="EF34" s="925" t="str">
        <f t="shared" ref="EF34" si="206">IFERROR(IF(CB34&lt;&gt;"OK","",CZ34*DZ34*0.92),"")</f>
        <v/>
      </c>
      <c r="EG34" s="925" t="str">
        <f>IFERROR(IF($CB34&lt;&gt;"OK","",CM34*'DATA TABLES_Project'!$B$290+CO34*'DATA TABLES_Project'!$B$291),"")</f>
        <v/>
      </c>
      <c r="EH34" s="925" t="str">
        <f>IFERROR(IF($CB34&lt;&gt;"OK","",DD34*'DATA TABLES_Project'!$B$290+DK34*'DATA TABLES_Project'!$B$291),"")</f>
        <v/>
      </c>
      <c r="EI34" s="925" t="str">
        <f>IFERROR(IF($CB34&lt;&gt;"OK","",DE34*'DATA TABLES_Project'!$B$290+DL34*'DATA TABLES_Project'!$B$291),"")</f>
        <v/>
      </c>
      <c r="EJ34" s="925" t="str">
        <f>IFERROR(IF($CB34&lt;&gt;"OK","",DF34*'DATA TABLES_Project'!$B$290+DM34*'DATA TABLES_Project'!$B$291),"")</f>
        <v/>
      </c>
      <c r="EK34" s="925" t="str">
        <f>IFERROR(IF($CB34&lt;&gt;"OK","",DG34*'DATA TABLES_Project'!$B$290+DN34*'DATA TABLES_Project'!$B$291),"")</f>
        <v/>
      </c>
      <c r="EL34" s="925" t="str">
        <f>IFERROR(IF($CB34&lt;&gt;"OK","",DH34*'DATA TABLES_Project'!$B$290+DO34*'DATA TABLES_Project'!$B$291),"")</f>
        <v/>
      </c>
      <c r="EM34" s="925" t="str">
        <f>IFERROR(IF($CB34&lt;&gt;"OK","",DI34*'DATA TABLES_Project'!$B$290+DP34*'DATA TABLES_Project'!$B$291),"")</f>
        <v/>
      </c>
      <c r="EN34" s="925" t="str">
        <f>IFERROR(IF($CB34&lt;&gt;"OK","",DJ34*'DATA TABLES_Project'!$B$290+DQ34*'DATA TABLES_Project'!$B$291),"")</f>
        <v/>
      </c>
    </row>
    <row r="35" spans="1:144" ht="16.350000000000001" customHeight="1">
      <c r="A35" s="462"/>
      <c r="B35" s="994"/>
      <c r="C35" s="998"/>
      <c r="D35" s="999"/>
      <c r="E35" s="1000"/>
      <c r="F35" s="964"/>
      <c r="G35" s="965"/>
      <c r="H35" s="965"/>
      <c r="I35" s="965"/>
      <c r="J35" s="965"/>
      <c r="K35" s="966"/>
      <c r="L35" s="964"/>
      <c r="M35" s="965"/>
      <c r="N35" s="965"/>
      <c r="O35" s="965"/>
      <c r="P35" s="965"/>
      <c r="Q35" s="966"/>
      <c r="R35" s="1001"/>
      <c r="S35" s="1001"/>
      <c r="T35" s="1001"/>
      <c r="U35" s="1001"/>
      <c r="V35" s="1001"/>
      <c r="W35" s="1001"/>
      <c r="X35" s="958"/>
      <c r="Y35" s="959"/>
      <c r="Z35" s="960"/>
      <c r="AA35" s="958"/>
      <c r="AB35" s="959"/>
      <c r="AC35" s="960"/>
      <c r="AD35" s="964"/>
      <c r="AE35" s="965"/>
      <c r="AF35" s="965"/>
      <c r="AG35" s="965"/>
      <c r="AH35" s="965"/>
      <c r="AI35" s="966"/>
      <c r="AJ35" s="952"/>
      <c r="AK35" s="953"/>
      <c r="AL35" s="954"/>
      <c r="AM35" s="952"/>
      <c r="AN35" s="953"/>
      <c r="AO35" s="954"/>
      <c r="AP35" s="958"/>
      <c r="AQ35" s="959"/>
      <c r="AR35" s="960"/>
      <c r="AS35" s="958"/>
      <c r="AT35" s="959"/>
      <c r="AU35" s="960"/>
      <c r="AV35" s="968"/>
      <c r="AW35" s="969"/>
      <c r="AX35" s="969"/>
      <c r="AY35" s="969"/>
      <c r="AZ35" s="969"/>
      <c r="BA35" s="970"/>
      <c r="BB35" s="947"/>
      <c r="BC35" s="948"/>
      <c r="BD35" s="947"/>
      <c r="BE35" s="948"/>
      <c r="BF35" s="931"/>
      <c r="BG35" s="932"/>
      <c r="BH35" s="974"/>
      <c r="BI35" s="975"/>
      <c r="BJ35" s="976"/>
      <c r="BK35" s="936"/>
      <c r="BL35" s="937"/>
      <c r="BM35" s="938"/>
      <c r="BN35" s="942"/>
      <c r="BO35" s="943"/>
      <c r="BP35" s="944"/>
      <c r="BS35" s="967"/>
      <c r="BT35" s="967"/>
      <c r="BV35" s="926"/>
      <c r="BW35" s="926"/>
      <c r="BX35" s="926"/>
      <c r="BY35" s="927"/>
      <c r="BZ35" s="928"/>
      <c r="CB35" s="986"/>
      <c r="CC35" s="925"/>
      <c r="CD35" s="925"/>
      <c r="CE35" s="925"/>
      <c r="CF35" s="925"/>
      <c r="CG35" s="925"/>
      <c r="CH35" s="925"/>
      <c r="CI35" s="925"/>
      <c r="CJ35" s="977"/>
      <c r="CK35" s="977"/>
      <c r="CL35" s="977"/>
      <c r="CM35" s="977"/>
      <c r="CN35" s="977"/>
      <c r="CO35" s="977"/>
      <c r="CP35" s="977"/>
      <c r="CQ35" s="977"/>
      <c r="CR35" s="977"/>
      <c r="CS35" s="983"/>
      <c r="CT35" s="982"/>
      <c r="CU35" s="979"/>
      <c r="CV35" s="925"/>
      <c r="CW35" s="925"/>
      <c r="CX35" s="925"/>
      <c r="CY35" s="925"/>
      <c r="CZ35" s="925"/>
      <c r="DA35" s="98"/>
      <c r="DB35" s="98"/>
      <c r="DC35" s="98"/>
      <c r="DD35" s="981"/>
      <c r="DE35" s="925"/>
      <c r="DF35" s="981"/>
      <c r="DG35" s="925"/>
      <c r="DH35" s="925"/>
      <c r="DI35" s="925"/>
      <c r="DJ35" s="925"/>
      <c r="DK35" s="925"/>
      <c r="DL35" s="925"/>
      <c r="DM35" s="925"/>
      <c r="DN35" s="925"/>
      <c r="DO35" s="925"/>
      <c r="DP35" s="925"/>
      <c r="DQ35" s="925"/>
      <c r="DR35" s="981"/>
      <c r="DS35" s="981"/>
      <c r="DT35" s="981"/>
      <c r="DU35" s="981"/>
      <c r="DV35" s="981"/>
      <c r="DW35" s="981"/>
      <c r="DX35" s="981"/>
      <c r="DY35" s="925"/>
      <c r="DZ35" s="925"/>
      <c r="EA35" s="925"/>
      <c r="EB35" s="925"/>
      <c r="EC35" s="925"/>
      <c r="ED35" s="925"/>
      <c r="EE35" s="925"/>
      <c r="EF35" s="925"/>
      <c r="EG35" s="925"/>
      <c r="EH35" s="925"/>
      <c r="EI35" s="925"/>
      <c r="EJ35" s="925"/>
      <c r="EK35" s="925"/>
      <c r="EL35" s="925"/>
      <c r="EM35" s="925"/>
      <c r="EN35" s="925"/>
    </row>
    <row r="36" spans="1:144" ht="16.350000000000001" customHeight="1">
      <c r="A36" s="462"/>
      <c r="B36" s="994">
        <v>10</v>
      </c>
      <c r="C36" s="995"/>
      <c r="D36" s="996"/>
      <c r="E36" s="997"/>
      <c r="F36" s="961"/>
      <c r="G36" s="962"/>
      <c r="H36" s="962"/>
      <c r="I36" s="962"/>
      <c r="J36" s="962"/>
      <c r="K36" s="963"/>
      <c r="L36" s="961"/>
      <c r="M36" s="962"/>
      <c r="N36" s="962"/>
      <c r="O36" s="962"/>
      <c r="P36" s="962"/>
      <c r="Q36" s="963"/>
      <c r="R36" s="1001"/>
      <c r="S36" s="1001"/>
      <c r="T36" s="1001"/>
      <c r="U36" s="1001"/>
      <c r="V36" s="1001"/>
      <c r="W36" s="1001"/>
      <c r="X36" s="955"/>
      <c r="Y36" s="956"/>
      <c r="Z36" s="957"/>
      <c r="AA36" s="955"/>
      <c r="AB36" s="956"/>
      <c r="AC36" s="957"/>
      <c r="AD36" s="961"/>
      <c r="AE36" s="962"/>
      <c r="AF36" s="962"/>
      <c r="AG36" s="962"/>
      <c r="AH36" s="962"/>
      <c r="AI36" s="963"/>
      <c r="AJ36" s="949"/>
      <c r="AK36" s="950"/>
      <c r="AL36" s="951"/>
      <c r="AM36" s="949"/>
      <c r="AN36" s="950"/>
      <c r="AO36" s="951"/>
      <c r="AP36" s="955"/>
      <c r="AQ36" s="956"/>
      <c r="AR36" s="957"/>
      <c r="AS36" s="955"/>
      <c r="AT36" s="956"/>
      <c r="AU36" s="957"/>
      <c r="AV36" s="968"/>
      <c r="AW36" s="969"/>
      <c r="AX36" s="970"/>
      <c r="AY36" s="968"/>
      <c r="AZ36" s="969"/>
      <c r="BA36" s="970"/>
      <c r="BB36" s="945"/>
      <c r="BC36" s="946"/>
      <c r="BD36" s="945"/>
      <c r="BE36" s="946"/>
      <c r="BF36" s="929" t="str">
        <f>IF(CB36="OK",ROUND(BB36+BD36,2),"")</f>
        <v/>
      </c>
      <c r="BG36" s="930"/>
      <c r="BH36" s="971" t="str">
        <f t="shared" ref="BH36" si="207">IFERROR(IF(AND($CB36="OK",$CU36="OK"),$CI36,IF($CB36&lt;&gt;"OK",$CB36,$CU36)),"")</f>
        <v/>
      </c>
      <c r="BI36" s="972"/>
      <c r="BJ36" s="973"/>
      <c r="BK36" s="933" t="str">
        <f t="shared" ref="BK36" si="208">IF($CB36="OK",CM36,"")</f>
        <v/>
      </c>
      <c r="BL36" s="934"/>
      <c r="BM36" s="935"/>
      <c r="BN36" s="939" t="str">
        <f t="shared" ref="BN36" si="209">IF($CB36="OK",$CR36,"")</f>
        <v/>
      </c>
      <c r="BO36" s="940"/>
      <c r="BP36" s="941"/>
      <c r="BS36" s="967"/>
      <c r="BT36" s="967"/>
      <c r="BV36" s="926" t="str">
        <f t="shared" ref="BV36" si="210">IFERROR(ROUND(IF(AND(CB36="OK",CU36="OK"),CT36,""),0),"")</f>
        <v/>
      </c>
      <c r="BW36" s="926" t="str">
        <f t="shared" ref="BW36" si="211">IFERROR(ROUND(IF(AND(CB36="OK",CU36="OK"),BV36/3,""),0),"")</f>
        <v/>
      </c>
      <c r="BX36" s="926"/>
      <c r="BY36" s="927"/>
      <c r="BZ36" s="928"/>
      <c r="CB36" s="986" t="str">
        <f>IF(AND(C36="",F36="",R36="",AD36="",U36="",X36="",L36="",AJ36="",AV36="",AM36="",AP36="",AY36="",AV37="",BB36="",BD36="",AA36="",AS36=""),"",
IF(OR(C36="",F36="",R36="",AD36="",U36="",X36="",L36="",AJ36="",AV36="",AM36="",AP36="",AY36="",AV37="",BB36="",BD36="",AA36="",AS36=""),"Missing Fields",
IF(AND(M02S04F04disp="Required",M02S04F04=""),"TA Info Incomplete",
"OK")))</f>
        <v/>
      </c>
      <c r="CC36" s="925" t="str">
        <f>IF(AND($CB36="OK",$CU36="OK"),INDEX(Tbl_Cust_Light[Measure Number], MATCH(F36,Tbl_Cust_Light[Proj Desc 1],0)),"")</f>
        <v/>
      </c>
      <c r="CD36" s="925"/>
      <c r="CE36" s="925" t="str">
        <f t="shared" ref="CE36" si="212">IF(AND(CB36="OK",CU36="OK"),"Measure","")</f>
        <v/>
      </c>
      <c r="CF36" s="925" t="str">
        <f t="shared" ref="CF36" si="213">IF(AND(CB36="OK",CU36="OK"),1,"")</f>
        <v/>
      </c>
      <c r="CG36" s="978" t="str">
        <f t="shared" ref="CG36" si="214">IFERROR(CI36/CF36,"")</f>
        <v/>
      </c>
      <c r="CH36" s="978" t="str">
        <f>IF(AND(CB36="OK",CU36="OK"),IF(CM36&gt;0,CM36*Lighting_Only_rate,0)+IF(CO36&gt;0,CO36*Lighting_Only_rate,0),"")</f>
        <v/>
      </c>
      <c r="CI36" s="978" t="str">
        <f>IFERROR(IF(AND(CB36="OK",CU36="OK"),IF(INCENTTOCOST_CUST&gt;CostCap_Cust,
CH36*CostCap_Cust/INCENTTOCOST_CUST,CH36),""),"")</f>
        <v/>
      </c>
      <c r="CJ36" s="977">
        <f t="shared" ref="CJ36" si="215">CM36</f>
        <v>0</v>
      </c>
      <c r="CK36" s="977">
        <f t="shared" ref="CK36" si="216">CN36</f>
        <v>0</v>
      </c>
      <c r="CL36" s="977">
        <f t="shared" ref="CL36" si="217">CO36</f>
        <v>0</v>
      </c>
      <c r="CM36" s="977">
        <f>R36-AJ36</f>
        <v>0</v>
      </c>
      <c r="CN36" s="977">
        <f>U36-AM36</f>
        <v>0</v>
      </c>
      <c r="CO36" s="977">
        <f t="shared" ref="CO36" si="218">IF(CR36&gt;0,CR36,0)</f>
        <v>0</v>
      </c>
      <c r="CP36" s="977">
        <f t="shared" ref="CP36" si="219">CM36</f>
        <v>0</v>
      </c>
      <c r="CQ36" s="977">
        <f t="shared" ref="CQ36" si="220">CN36</f>
        <v>0</v>
      </c>
      <c r="CR36" s="977">
        <f>X36-AP36</f>
        <v>0</v>
      </c>
      <c r="CS36" s="983"/>
      <c r="CT36" s="982" t="str">
        <f>IF(CB36="OK",INDEX(Tbl_Cust_Light[EUL], MATCH(F36,Tbl_Cust_Light[Proj Desc 1],0)),"")</f>
        <v/>
      </c>
      <c r="CU36" s="979" t="str">
        <f t="shared" ref="CU36" si="221">IFERROR(IF(AND($CM36&lt;=0,$CN36&lt;=0,$CO36&lt;=0),"No Savings","OK"),"")</f>
        <v>No Savings</v>
      </c>
      <c r="CV36" s="925" t="str">
        <f t="shared" ref="CV36" si="222">IF(AND(CB36="OK",CU36="OK"),"1","")</f>
        <v/>
      </c>
      <c r="CW36" s="925" t="str">
        <f>IFERROR(IF($CB36="OK",ROUND($AQ$14*SUM(BB36:BE37)/SUM($BF$18:$BG$37),2),""),"")</f>
        <v/>
      </c>
      <c r="CX36" s="925" t="str">
        <f>IFERROR(IF(M02S04F04="Customer/Self-Installed",CW36,IF($CB36="OK",CW36+BD36,"")),"")</f>
        <v/>
      </c>
      <c r="CY36" s="925" t="str">
        <f>IFERROR(IF($CB36="OK",CX36+BB36,""),"")</f>
        <v/>
      </c>
      <c r="CZ36" s="925" t="str">
        <f>IF(CB36&lt;&gt;"OK","",INDEX(MEASURES3_M!$O$3:$O$12,MATCH(F36,MEASURES3_M!$C$2:$C$12,0)))</f>
        <v/>
      </c>
      <c r="DA36" s="98"/>
      <c r="DB36" s="98"/>
      <c r="DC36" s="98"/>
      <c r="DD36" s="980" t="str">
        <f>IFERROR(IF(CB36&lt;&gt;"OK","",CM36*VLOOKUP('DATA TABLES_Project'!$C$247,'DATA TABLES_Project'!$A$250:$B$285,2,FALSE)),"")</f>
        <v/>
      </c>
      <c r="DE36" s="925" t="str">
        <f t="shared" ref="DE36" si="223">IFERROR(IF(CB36&lt;&gt;"OK","",CM36*CZ36*0.92),"")</f>
        <v/>
      </c>
      <c r="DF36" s="980" t="str">
        <f>IFERROR(IF(CB36&lt;&gt;"OK","",CM36*CZ36*0.92*VLOOKUP('DATA TABLES_Project'!$C$247,'DATA TABLES_Project'!$A$250:$B$285,2,FALSE)),"")</f>
        <v/>
      </c>
      <c r="DG36" s="925" t="str">
        <f t="shared" ref="DG36" si="224">IFERROR(IF(CB36&lt;&gt;"OK","",CM36*BV36),IF(BX36="Dual",(CM36*BW36)+((BY36-AJ36)*(BV36-BW36)),""))</f>
        <v/>
      </c>
      <c r="DH36" s="925" t="str">
        <f ca="1">IFERROR(IF(CB36&lt;&gt;"OK","",IF(OR(BX36="Single",BX36=""), CM36*BV36*AVERAGE(INDEX('DATA TABLES_Project'!$B$250:$B$285, MATCH('DATA TABLES_Project'!$C$247,'DATA TABLES_Project'!$A$250:$A$285, 0)):OFFSET(INDEX('DATA TABLES_Project'!$B$250:$B$285, MATCH('DATA TABLES_Project'!$C$247,'DATA TABLES_Project'!$A$250:$A$285, 0)),BV36-1,0)),CM36*BW36*AVERAGE(INDEX('DATA TABLES_Project'!$B$250:$B$285, MATCH('DATA TABLES_Project'!$C$247,'DATA TABLES_Project'!$A$250:$A$285, 0)):OFFSET(INDEX('DATA TABLES_Project'!$B$250:$B$285, MATCH('DATA TABLES_Project'!$C$247,'DATA TABLES_Project'!$A$250:$A$285, 0)),BW36-1,0)) + ((BY36-AJ36)*(BV36-BW36)*AVERAGE(OFFSET(INDEX('DATA TABLES_Project'!$B$250:$B$285, MATCH('DATA TABLES_Project'!$C$247,'DATA TABLES_Project'!$A$250:$A$285, 0)),BW36,0):OFFSET(INDEX('DATA TABLES_Project'!$B$250:$B$285, MATCH('DATA TABLES_Project'!$C$247,'DATA TABLES_Project'!$A$250:$A$285, 0)),BV36-1,0))))), "")</f>
        <v/>
      </c>
      <c r="DI36" s="925" t="str">
        <f t="shared" ref="DI36" si="225">IFERROR(IF(CB36&lt;&gt;"OK","",IF(BX36="Dual",(CM36*BW36)+((BY36-AJ36)*(BV36-BW36))*CZ36*0.92,CM36*CZ36*BV36*0.92)),"")</f>
        <v/>
      </c>
      <c r="DJ36" s="925" t="str">
        <f ca="1">IFERROR(IF(CB36&lt;&gt;"OK","",IF(OR(BX36="Single",BX36=""),0.92*CZ36*CM36*BV36*AVERAGE(INDEX('DATA TABLES_Project'!$B$250:$B$285, MATCH('DATA TABLES_Project'!$C$247,'DATA TABLES_Project'!$A$250:$A$285, 0)):OFFSET(INDEX('DATA TABLES_Project'!$B$250:$B$285, MATCH('DATA TABLES_Project'!$C$247,'DATA TABLES_Project'!$A$250:$A$285, 0)),BV36-1,0)),0.92*CZ36*CM36*BW36*AVERAGE(INDEX('DATA TABLES_Project'!$B$250:$B$285, MATCH('DATA TABLES_Project'!$C$247,'DATA TABLES_Project'!$A$250:$A$285, 0)):OFFSET(INDEX('DATA TABLES_Project'!$B$250:$B$285, MATCH('DATA TABLES_Project'!$C$247,'DATA TABLES_Project'!$A$250:$A$285, 0)),BW36-1,0)) + (0.92*CZ36*(BY36-AJ36)*(BV36-BW36)*AVERAGE(OFFSET(INDEX('DATA TABLES_Project'!$B$250:$B$285, MATCH('DATA TABLES_Project'!$C$247,'DATA TABLES_Project'!$A$250:$A$285, 0)),BW36,0):OFFSET(INDEX('DATA TABLES_Project'!$B$250:$B$285, MATCH('DATA TABLES_Project'!$C$247,'DATA TABLES_Project'!$A$250:$A$285, 0)),BV36-1,0))))), "")</f>
        <v/>
      </c>
      <c r="DK36" s="925" t="str">
        <f>IFERROR(IF(CB36&lt;&gt;"OK","",CO36*'DATA TABLES_Project'!$C$250),"")</f>
        <v/>
      </c>
      <c r="DL36" s="925" t="str">
        <f t="shared" ref="DL36" si="226">IFERROR(IF(CB36&lt;&gt;"OK","",CO36*CZ36*0.92),"")</f>
        <v/>
      </c>
      <c r="DM36" s="925" t="str">
        <f>IFERROR(IF(CB36&lt;&gt;"OK","",CO36*'DATA TABLES_Project'!$C$250*CZ36*0.92),"")</f>
        <v/>
      </c>
      <c r="DN36" s="925" t="str">
        <f t="shared" ref="DN36" si="227">IFERROR(IF(CB36&lt;&gt;"OK","",CO36*BV36),IF(BX36="Dual",(CO36*BW36)+((BZ36-AP36)*(BV36-BW36)),""))</f>
        <v/>
      </c>
      <c r="DO36" s="925" t="str">
        <f ca="1">IFERROR(IF(CB36&lt;&gt;"OK","",CO36*BV36*AVERAGE('DATA TABLES_Project'!$C$250:OFFSET('DATA TABLES_Project'!$C$250,BV36,0))),IF(BX36="Dual",(CO36*BW36*AVERAGE('DATA TABLES_Project'!$C$251:$C$259))+((BZ36-AP36)*(BV36-BW36)*AVERAGE('DATA TABLES_Project'!$C$260:$C$279)),""))</f>
        <v/>
      </c>
      <c r="DP36" s="925" t="str">
        <f t="shared" ref="DP36" si="228">IFERROR(IF(CB36&lt;&gt;"OK","",IF(BX36="Dual",((CO36*BW36)+(BZ36-AP36)*(BV36-BW36))*CZ36*0.92,CO36*BV36*CZ36*0.92)),"")</f>
        <v/>
      </c>
      <c r="DQ36" s="925" t="str">
        <f ca="1">IFERROR(IF(CB36&lt;&gt;"OK","",IF(BX36="Dual",(0.92*CZ36*CO36*BW36*AVERAGE('DATA TABLES_Project'!$C$251:$C$259))+(0.92*CZ36*(BZ36-AP36)*(BV36-BW36)*AVERAGE('DATA TABLES_Project'!$C$260:$C$279)),0.92*CZ36*CO36*BV36*AVERAGE('DATA TABLES_Project'!$C$250:OFFSET('DATA TABLES_Project'!$C$250,BV36,0)))),"")</f>
        <v/>
      </c>
      <c r="DR36" s="980" t="str">
        <f>IFERROR(IF($CB36&lt;&gt;"OK","",CM36*'DATA TABLES_Project'!$B$290+IF(CO36&lt;0,0,CO36*'DATA TABLES_Project'!$B$291)),"")</f>
        <v/>
      </c>
      <c r="DS36" s="980" t="str">
        <f>IFERROR(IF($CB36&lt;&gt;"OK","",DD36*'DATA TABLES_Project'!$B$290+IF(DK36&lt;0,0,DK36*'DATA TABLES_Project'!$B$291)),"")</f>
        <v/>
      </c>
      <c r="DT36" s="980" t="str">
        <f>IFERROR(IF($CB36&lt;&gt;"OK","",DE36*'DATA TABLES_Project'!$B$290+IF(DL36&lt;0,0,DL36*'DATA TABLES_Project'!$B$291)),"")</f>
        <v/>
      </c>
      <c r="DU36" s="980" t="str">
        <f>IFERROR(IF($CB36&lt;&gt;"OK","",DF36*'DATA TABLES_Project'!$B$290+IF(DM36&lt;0,0,DM36*'DATA TABLES_Project'!$B$291)),"")</f>
        <v/>
      </c>
      <c r="DV36" s="980" t="str">
        <f>IFERROR(IF($CB36&lt;&gt;"OK","",DG36*'DATA TABLES_Project'!$B$290+IF(DN36&lt;0,0,DN36*'DATA TABLES_Project'!$B$291)),"")</f>
        <v/>
      </c>
      <c r="DW36" s="980" t="str">
        <f>IFERROR(IF($CB36&lt;&gt;"OK","",DH36*'DATA TABLES_Project'!$B$290+IF(DO36&lt;0,0,DO36*'DATA TABLES_Project'!$B$291)),"")</f>
        <v/>
      </c>
      <c r="DX36" s="980" t="str">
        <f>IFERROR(IF($CB36&lt;&gt;"OK","",DI36*'DATA TABLES_Project'!$B$290+IF(DP36&lt;0,0,DP36*'DATA TABLES_Project'!$B$291)),"")</f>
        <v/>
      </c>
      <c r="DY36" s="925" t="str">
        <f>IFERROR(IF($CB36&lt;&gt;"OK","",DJ36*'DATA TABLES_Project'!$B$290+IF(DQ36&lt;0,0,DQ36*'DATA TABLES_Project'!$B$291)),"")</f>
        <v/>
      </c>
      <c r="DZ36" s="925" t="str">
        <f t="shared" ref="DZ36" si="229">IFERROR(IF($CB36&lt;&gt;"OK","",AS36),"")</f>
        <v/>
      </c>
      <c r="EA36" s="925" t="str">
        <f>IFERROR(IF(CB36&lt;&gt;"OK","",CN36*'DATA TABLES_Project'!$B$250*CZ36*1.03),"")</f>
        <v/>
      </c>
      <c r="EB36" s="925" t="str">
        <f t="shared" ref="EB36" si="230">IFERROR(IF(CB36&lt;&gt;"OK","",CN36*CZ36*1.03),"")</f>
        <v/>
      </c>
      <c r="EC36" s="925" t="str">
        <f>IFERROR(IF(CB36&lt;&gt;"OK","",CZ36*DZ36*'DATA TABLES_Project'!$C$250*0.92),"")</f>
        <v/>
      </c>
      <c r="ED36" s="925" t="str">
        <f>IFERROR(IF(CB36&lt;&gt;"OK","",CZ36*DZ36*'DATA TABLES_Project'!$C$250*0.92),"")</f>
        <v/>
      </c>
      <c r="EE36" s="925" t="str">
        <f t="shared" ref="EE36" si="231">IFERROR(IF(CB36&lt;&gt;"OK","",CZ36*DZ36*0.92),"")</f>
        <v/>
      </c>
      <c r="EF36" s="925" t="str">
        <f t="shared" ref="EF36" si="232">IFERROR(IF(CB36&lt;&gt;"OK","",CZ36*DZ36*0.92),"")</f>
        <v/>
      </c>
      <c r="EG36" s="925" t="str">
        <f>IFERROR(IF($CB36&lt;&gt;"OK","",CM36*'DATA TABLES_Project'!$B$290+CO36*'DATA TABLES_Project'!$B$291),"")</f>
        <v/>
      </c>
      <c r="EH36" s="925" t="str">
        <f>IFERROR(IF($CB36&lt;&gt;"OK","",DD36*'DATA TABLES_Project'!$B$290+DK36*'DATA TABLES_Project'!$B$291),"")</f>
        <v/>
      </c>
      <c r="EI36" s="925" t="str">
        <f>IFERROR(IF($CB36&lt;&gt;"OK","",DE36*'DATA TABLES_Project'!$B$290+DL36*'DATA TABLES_Project'!$B$291),"")</f>
        <v/>
      </c>
      <c r="EJ36" s="925" t="str">
        <f>IFERROR(IF($CB36&lt;&gt;"OK","",DF36*'DATA TABLES_Project'!$B$290+DM36*'DATA TABLES_Project'!$B$291),"")</f>
        <v/>
      </c>
      <c r="EK36" s="925" t="str">
        <f>IFERROR(IF($CB36&lt;&gt;"OK","",DG36*'DATA TABLES_Project'!$B$290+DN36*'DATA TABLES_Project'!$B$291),"")</f>
        <v/>
      </c>
      <c r="EL36" s="925" t="str">
        <f>IFERROR(IF($CB36&lt;&gt;"OK","",DH36*'DATA TABLES_Project'!$B$290+DO36*'DATA TABLES_Project'!$B$291),"")</f>
        <v/>
      </c>
      <c r="EM36" s="925" t="str">
        <f>IFERROR(IF($CB36&lt;&gt;"OK","",DI36*'DATA TABLES_Project'!$B$290+DP36*'DATA TABLES_Project'!$B$291),"")</f>
        <v/>
      </c>
      <c r="EN36" s="925" t="str">
        <f>IFERROR(IF($CB36&lt;&gt;"OK","",DJ36*'DATA TABLES_Project'!$B$290+DQ36*'DATA TABLES_Project'!$B$291),"")</f>
        <v/>
      </c>
    </row>
    <row r="37" spans="1:144" ht="16.350000000000001" customHeight="1">
      <c r="A37" s="462"/>
      <c r="B37" s="994"/>
      <c r="C37" s="998"/>
      <c r="D37" s="999"/>
      <c r="E37" s="1000"/>
      <c r="F37" s="964"/>
      <c r="G37" s="965"/>
      <c r="H37" s="965"/>
      <c r="I37" s="965"/>
      <c r="J37" s="965"/>
      <c r="K37" s="966"/>
      <c r="L37" s="964"/>
      <c r="M37" s="965"/>
      <c r="N37" s="965"/>
      <c r="O37" s="965"/>
      <c r="P37" s="965"/>
      <c r="Q37" s="966"/>
      <c r="R37" s="1001"/>
      <c r="S37" s="1001"/>
      <c r="T37" s="1001"/>
      <c r="U37" s="1001"/>
      <c r="V37" s="1001"/>
      <c r="W37" s="1001"/>
      <c r="X37" s="958"/>
      <c r="Y37" s="959"/>
      <c r="Z37" s="960"/>
      <c r="AA37" s="958"/>
      <c r="AB37" s="959"/>
      <c r="AC37" s="960"/>
      <c r="AD37" s="964"/>
      <c r="AE37" s="965"/>
      <c r="AF37" s="965"/>
      <c r="AG37" s="965"/>
      <c r="AH37" s="965"/>
      <c r="AI37" s="966"/>
      <c r="AJ37" s="952"/>
      <c r="AK37" s="953"/>
      <c r="AL37" s="954"/>
      <c r="AM37" s="952"/>
      <c r="AN37" s="953"/>
      <c r="AO37" s="954"/>
      <c r="AP37" s="958"/>
      <c r="AQ37" s="959"/>
      <c r="AR37" s="960"/>
      <c r="AS37" s="958"/>
      <c r="AT37" s="959"/>
      <c r="AU37" s="960"/>
      <c r="AV37" s="968"/>
      <c r="AW37" s="969"/>
      <c r="AX37" s="969"/>
      <c r="AY37" s="969"/>
      <c r="AZ37" s="969"/>
      <c r="BA37" s="970"/>
      <c r="BB37" s="947"/>
      <c r="BC37" s="948"/>
      <c r="BD37" s="947"/>
      <c r="BE37" s="948"/>
      <c r="BF37" s="931"/>
      <c r="BG37" s="932"/>
      <c r="BH37" s="974"/>
      <c r="BI37" s="975"/>
      <c r="BJ37" s="976"/>
      <c r="BK37" s="936"/>
      <c r="BL37" s="937"/>
      <c r="BM37" s="938"/>
      <c r="BN37" s="942"/>
      <c r="BO37" s="943"/>
      <c r="BP37" s="944"/>
      <c r="BS37" s="967"/>
      <c r="BT37" s="967"/>
      <c r="BV37" s="926"/>
      <c r="BW37" s="926"/>
      <c r="BX37" s="926"/>
      <c r="BY37" s="927"/>
      <c r="BZ37" s="928"/>
      <c r="CB37" s="986"/>
      <c r="CC37" s="925"/>
      <c r="CD37" s="925"/>
      <c r="CE37" s="925"/>
      <c r="CF37" s="925"/>
      <c r="CG37" s="925"/>
      <c r="CH37" s="925"/>
      <c r="CI37" s="925"/>
      <c r="CJ37" s="977"/>
      <c r="CK37" s="977"/>
      <c r="CL37" s="977"/>
      <c r="CM37" s="977"/>
      <c r="CN37" s="977"/>
      <c r="CO37" s="977"/>
      <c r="CP37" s="977"/>
      <c r="CQ37" s="977"/>
      <c r="CR37" s="977"/>
      <c r="CS37" s="983"/>
      <c r="CT37" s="982"/>
      <c r="CU37" s="979"/>
      <c r="CV37" s="925"/>
      <c r="CW37" s="925"/>
      <c r="CX37" s="925"/>
      <c r="CY37" s="925"/>
      <c r="CZ37" s="925"/>
      <c r="DA37" s="98"/>
      <c r="DB37" s="98"/>
      <c r="DC37" s="98"/>
      <c r="DD37" s="981"/>
      <c r="DE37" s="925"/>
      <c r="DF37" s="981"/>
      <c r="DG37" s="925"/>
      <c r="DH37" s="925"/>
      <c r="DI37" s="925"/>
      <c r="DJ37" s="925"/>
      <c r="DK37" s="925"/>
      <c r="DL37" s="925"/>
      <c r="DM37" s="925"/>
      <c r="DN37" s="925"/>
      <c r="DO37" s="925"/>
      <c r="DP37" s="925"/>
      <c r="DQ37" s="925"/>
      <c r="DR37" s="981"/>
      <c r="DS37" s="981"/>
      <c r="DT37" s="981"/>
      <c r="DU37" s="981"/>
      <c r="DV37" s="981"/>
      <c r="DW37" s="981"/>
      <c r="DX37" s="981"/>
      <c r="DY37" s="925"/>
      <c r="DZ37" s="925"/>
      <c r="EA37" s="925"/>
      <c r="EB37" s="925"/>
      <c r="EC37" s="925"/>
      <c r="ED37" s="925"/>
      <c r="EE37" s="925"/>
      <c r="EF37" s="925"/>
      <c r="EG37" s="925"/>
      <c r="EH37" s="925"/>
      <c r="EI37" s="925"/>
      <c r="EJ37" s="925"/>
      <c r="EK37" s="925"/>
      <c r="EL37" s="925"/>
      <c r="EM37" s="925"/>
      <c r="EN37" s="925"/>
    </row>
    <row r="38" spans="1:144" ht="16.350000000000001" customHeight="1">
      <c r="A38" s="462"/>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462"/>
      <c r="BD38" s="462"/>
      <c r="BE38" s="462"/>
      <c r="BF38" s="462"/>
      <c r="BG38" s="462"/>
      <c r="BH38" s="462"/>
      <c r="BI38" s="462"/>
      <c r="BJ38" s="462"/>
    </row>
    <row r="39" spans="1:144" ht="16.350000000000001" hidden="1"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462"/>
      <c r="BD39" s="462"/>
      <c r="BE39" s="462"/>
      <c r="BF39" s="462"/>
      <c r="BG39" s="462"/>
      <c r="BH39" s="462"/>
      <c r="BI39" s="462"/>
      <c r="BJ39" s="462"/>
    </row>
    <row r="40" spans="1:144" ht="16.350000000000001" hidden="1" customHeight="1">
      <c r="A40" s="462"/>
      <c r="B40" s="462"/>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row>
    <row r="41" spans="1:144" ht="16.350000000000001" hidden="1" customHeight="1">
      <c r="A41" s="462"/>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462"/>
      <c r="AE41" s="462"/>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row>
    <row r="42" spans="1:144" ht="16.350000000000001" hidden="1" customHeight="1">
      <c r="A42" s="462"/>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row>
    <row r="43" spans="1:144" ht="16.350000000000001" hidden="1" customHeight="1">
      <c r="A43" s="462"/>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2"/>
      <c r="AE43" s="462"/>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row>
    <row r="44" spans="1:144" ht="16.350000000000001" hidden="1" customHeight="1">
      <c r="A44" s="462"/>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2"/>
      <c r="AN44" s="462"/>
      <c r="AO44" s="462"/>
      <c r="AP44" s="462"/>
      <c r="AQ44" s="462"/>
      <c r="AR44" s="462"/>
      <c r="AS44" s="462"/>
      <c r="AT44" s="462"/>
      <c r="AU44" s="462"/>
      <c r="AV44" s="462"/>
      <c r="AW44" s="462"/>
      <c r="AX44" s="462"/>
      <c r="AY44" s="462"/>
      <c r="AZ44" s="462"/>
      <c r="BA44" s="462"/>
      <c r="BB44" s="462"/>
      <c r="BC44" s="462"/>
      <c r="BD44" s="462"/>
      <c r="BE44" s="462"/>
      <c r="BF44" s="462"/>
      <c r="BG44" s="462"/>
      <c r="BH44" s="462"/>
      <c r="BI44" s="462"/>
      <c r="BJ44" s="462"/>
    </row>
    <row r="45" spans="1:144" ht="16.350000000000001" hidden="1" customHeight="1">
      <c r="A45" s="462"/>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c r="AM45" s="462"/>
      <c r="AN45" s="462"/>
      <c r="AO45" s="462"/>
      <c r="AP45" s="462"/>
      <c r="AQ45" s="462"/>
      <c r="AR45" s="462"/>
      <c r="AS45" s="462"/>
      <c r="AT45" s="462"/>
      <c r="AU45" s="462"/>
      <c r="AV45" s="462"/>
      <c r="AW45" s="462"/>
      <c r="AX45" s="462"/>
      <c r="AY45" s="462"/>
      <c r="AZ45" s="462"/>
      <c r="BA45" s="462"/>
      <c r="BB45" s="462"/>
      <c r="BC45" s="462"/>
      <c r="BD45" s="462"/>
      <c r="BE45" s="462"/>
      <c r="BF45" s="462"/>
      <c r="BG45" s="462"/>
      <c r="BH45" s="462"/>
      <c r="BI45" s="462"/>
      <c r="BJ45" s="462"/>
    </row>
    <row r="46" spans="1:144" ht="16.350000000000001" hidden="1" customHeight="1">
      <c r="A46" s="462"/>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c r="AD46" s="462"/>
      <c r="AE46" s="462"/>
      <c r="AF46" s="462"/>
      <c r="AG46" s="462"/>
      <c r="AH46" s="462"/>
      <c r="AI46" s="462"/>
      <c r="AJ46" s="462"/>
      <c r="AK46" s="462"/>
      <c r="AL46" s="462"/>
      <c r="AM46" s="462"/>
      <c r="AN46" s="462"/>
      <c r="AO46" s="462"/>
      <c r="AP46" s="462"/>
      <c r="AQ46" s="462"/>
      <c r="AR46" s="462"/>
      <c r="AS46" s="462"/>
      <c r="AT46" s="462"/>
      <c r="AU46" s="462"/>
      <c r="AV46" s="462"/>
      <c r="AW46" s="462"/>
      <c r="AX46" s="462"/>
      <c r="AY46" s="462"/>
      <c r="AZ46" s="462"/>
      <c r="BA46" s="462"/>
      <c r="BB46" s="462"/>
      <c r="BC46" s="462"/>
      <c r="BD46" s="462"/>
      <c r="BE46" s="462"/>
      <c r="BF46" s="462"/>
      <c r="BG46" s="462"/>
      <c r="BH46" s="462"/>
      <c r="BI46" s="462"/>
      <c r="BJ46" s="462"/>
    </row>
    <row r="47" spans="1:144" ht="16.350000000000001" hidden="1" customHeight="1">
      <c r="A47" s="462"/>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2"/>
      <c r="AL47" s="462"/>
      <c r="AM47" s="462"/>
      <c r="AN47" s="462"/>
      <c r="AO47" s="462"/>
      <c r="AP47" s="462"/>
      <c r="AQ47" s="462"/>
      <c r="AR47" s="462"/>
      <c r="AS47" s="462"/>
      <c r="AT47" s="462"/>
      <c r="AU47" s="462"/>
      <c r="AV47" s="462"/>
      <c r="AW47" s="462"/>
      <c r="AX47" s="462"/>
      <c r="AY47" s="462"/>
      <c r="AZ47" s="462"/>
      <c r="BA47" s="462"/>
      <c r="BB47" s="462"/>
      <c r="BC47" s="462"/>
      <c r="BD47" s="462"/>
      <c r="BE47" s="462"/>
      <c r="BF47" s="462"/>
      <c r="BG47" s="462"/>
      <c r="BH47" s="462"/>
      <c r="BI47" s="462"/>
      <c r="BJ47" s="462"/>
    </row>
    <row r="48" spans="1:144" ht="16.350000000000001" hidden="1" customHeight="1">
      <c r="A48" s="462"/>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c r="AQ48" s="462"/>
      <c r="AR48" s="462"/>
      <c r="AS48" s="462"/>
      <c r="AT48" s="462"/>
      <c r="AU48" s="462"/>
      <c r="AV48" s="462"/>
      <c r="AW48" s="462"/>
      <c r="AX48" s="462"/>
      <c r="AY48" s="462"/>
      <c r="AZ48" s="462"/>
      <c r="BA48" s="462"/>
      <c r="BB48" s="462"/>
      <c r="BC48" s="462"/>
      <c r="BD48" s="462"/>
      <c r="BE48" s="462"/>
      <c r="BF48" s="462"/>
      <c r="BG48" s="462"/>
      <c r="BH48" s="462"/>
      <c r="BI48" s="462"/>
      <c r="BJ48" s="462"/>
    </row>
    <row r="49" spans="1:62" ht="16.350000000000001" hidden="1" customHeight="1">
      <c r="A49" s="462"/>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462"/>
      <c r="AK49" s="462"/>
      <c r="AL49" s="462"/>
      <c r="AM49" s="462"/>
      <c r="AN49" s="462"/>
      <c r="AO49" s="462"/>
      <c r="AP49" s="462"/>
      <c r="AQ49" s="462"/>
      <c r="AR49" s="462"/>
      <c r="AS49" s="462"/>
      <c r="AT49" s="462"/>
      <c r="AU49" s="462"/>
      <c r="AV49" s="462"/>
      <c r="AW49" s="462"/>
      <c r="AX49" s="462"/>
      <c r="AY49" s="462"/>
      <c r="AZ49" s="462"/>
      <c r="BA49" s="462"/>
      <c r="BB49" s="462"/>
      <c r="BC49" s="462"/>
      <c r="BD49" s="462"/>
      <c r="BE49" s="462"/>
      <c r="BF49" s="462"/>
      <c r="BG49" s="462"/>
      <c r="BH49" s="462"/>
      <c r="BI49" s="462"/>
      <c r="BJ49" s="462"/>
    </row>
    <row r="50" spans="1:62" ht="16.350000000000001" hidden="1" customHeight="1">
      <c r="A50" s="462"/>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c r="AM50" s="462"/>
      <c r="AN50" s="462"/>
      <c r="AO50" s="462"/>
      <c r="AP50" s="462"/>
      <c r="AQ50" s="462"/>
      <c r="AR50" s="462"/>
      <c r="AS50" s="462"/>
      <c r="AT50" s="462"/>
      <c r="AU50" s="462"/>
      <c r="AV50" s="462"/>
      <c r="AW50" s="462"/>
      <c r="AX50" s="462"/>
      <c r="AY50" s="462"/>
      <c r="AZ50" s="462"/>
      <c r="BA50" s="462"/>
      <c r="BB50" s="462"/>
      <c r="BC50" s="462"/>
      <c r="BD50" s="462"/>
      <c r="BE50" s="462"/>
      <c r="BF50" s="462"/>
      <c r="BG50" s="462"/>
      <c r="BH50" s="462"/>
      <c r="BI50" s="462"/>
      <c r="BJ50" s="462"/>
    </row>
    <row r="51" spans="1:62" ht="16.350000000000001" hidden="1" customHeight="1">
      <c r="A51" s="462"/>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c r="AA51" s="462"/>
      <c r="AB51" s="462"/>
      <c r="AC51" s="462"/>
      <c r="AD51" s="462"/>
      <c r="AE51" s="462"/>
      <c r="AF51" s="462"/>
      <c r="AG51" s="462"/>
      <c r="AH51" s="462"/>
      <c r="AI51" s="462"/>
      <c r="AJ51" s="462"/>
      <c r="AK51" s="462"/>
      <c r="AL51" s="462"/>
      <c r="AM51" s="462"/>
      <c r="AN51" s="462"/>
      <c r="AO51" s="462"/>
      <c r="AP51" s="462"/>
      <c r="AQ51" s="462"/>
      <c r="AR51" s="462"/>
      <c r="AS51" s="462"/>
      <c r="AT51" s="462"/>
      <c r="AU51" s="462"/>
      <c r="AV51" s="462"/>
      <c r="AW51" s="462"/>
      <c r="AX51" s="462"/>
      <c r="AY51" s="462"/>
      <c r="AZ51" s="462"/>
      <c r="BA51" s="462"/>
      <c r="BB51" s="462"/>
      <c r="BC51" s="462"/>
      <c r="BD51" s="462"/>
      <c r="BE51" s="462"/>
      <c r="BF51" s="462"/>
      <c r="BG51" s="462"/>
      <c r="BH51" s="462"/>
      <c r="BI51" s="462"/>
      <c r="BJ51" s="462"/>
    </row>
    <row r="52" spans="1:62" ht="16.350000000000001" hidden="1" customHeight="1">
      <c r="A52" s="462"/>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c r="AA52" s="462"/>
      <c r="AB52" s="462"/>
      <c r="AC52" s="462"/>
      <c r="AD52" s="462"/>
      <c r="AE52" s="462"/>
      <c r="AF52" s="462"/>
      <c r="AG52" s="462"/>
      <c r="AH52" s="462"/>
      <c r="AI52" s="462"/>
      <c r="AJ52" s="462"/>
      <c r="AK52" s="462"/>
      <c r="AL52" s="462"/>
      <c r="AM52" s="462"/>
      <c r="AN52" s="462"/>
      <c r="AO52" s="462"/>
      <c r="AP52" s="462"/>
      <c r="AQ52" s="462"/>
      <c r="AR52" s="462"/>
      <c r="AS52" s="462"/>
      <c r="AT52" s="462"/>
      <c r="AU52" s="462"/>
      <c r="AV52" s="462"/>
      <c r="AW52" s="462"/>
      <c r="AX52" s="462"/>
      <c r="AY52" s="462"/>
      <c r="AZ52" s="462"/>
      <c r="BA52" s="462"/>
      <c r="BB52" s="462"/>
      <c r="BC52" s="462"/>
      <c r="BD52" s="462"/>
      <c r="BE52" s="462"/>
      <c r="BF52" s="462"/>
      <c r="BG52" s="462"/>
      <c r="BH52" s="462"/>
      <c r="BI52" s="462"/>
      <c r="BJ52" s="462"/>
    </row>
    <row r="53" spans="1:62" ht="16.350000000000001" hidden="1" customHeight="1">
      <c r="A53" s="462"/>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462"/>
      <c r="AK53" s="462"/>
      <c r="AL53" s="462"/>
      <c r="AM53" s="462"/>
      <c r="AN53" s="462"/>
      <c r="AO53" s="462"/>
      <c r="AP53" s="462"/>
      <c r="AQ53" s="462"/>
      <c r="AR53" s="462"/>
      <c r="AS53" s="462"/>
      <c r="AT53" s="462"/>
      <c r="AU53" s="462"/>
      <c r="AV53" s="462"/>
      <c r="AW53" s="462"/>
      <c r="AX53" s="462"/>
      <c r="AY53" s="462"/>
      <c r="AZ53" s="462"/>
      <c r="BA53" s="462"/>
      <c r="BB53" s="462"/>
      <c r="BC53" s="462"/>
      <c r="BD53" s="462"/>
      <c r="BE53" s="462"/>
      <c r="BF53" s="462"/>
      <c r="BG53" s="462"/>
      <c r="BH53" s="462"/>
      <c r="BI53" s="462"/>
      <c r="BJ53" s="462"/>
    </row>
    <row r="54" spans="1:62" ht="16.350000000000001" hidden="1" customHeight="1">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c r="AA54" s="462"/>
      <c r="AB54" s="462"/>
      <c r="AC54" s="462"/>
      <c r="AD54" s="462"/>
      <c r="AE54" s="462"/>
      <c r="AF54" s="462"/>
      <c r="AG54" s="462"/>
      <c r="AH54" s="462"/>
      <c r="AI54" s="462"/>
      <c r="AJ54" s="462"/>
      <c r="AK54" s="462"/>
      <c r="AL54" s="462"/>
      <c r="AM54" s="462"/>
      <c r="AN54" s="462"/>
      <c r="AO54" s="462"/>
      <c r="AP54" s="462"/>
      <c r="AQ54" s="462"/>
      <c r="AR54" s="462"/>
      <c r="AS54" s="462"/>
      <c r="AT54" s="462"/>
      <c r="AU54" s="462"/>
      <c r="AV54" s="462"/>
      <c r="AW54" s="462"/>
      <c r="AX54" s="462"/>
      <c r="AY54" s="462"/>
      <c r="AZ54" s="462"/>
      <c r="BA54" s="462"/>
      <c r="BB54" s="462"/>
      <c r="BC54" s="462"/>
      <c r="BD54" s="462"/>
      <c r="BE54" s="462"/>
      <c r="BF54" s="462"/>
      <c r="BG54" s="462"/>
      <c r="BH54" s="462"/>
      <c r="BI54" s="462"/>
      <c r="BJ54" s="462"/>
    </row>
    <row r="55" spans="1:62" ht="16.350000000000001" hidden="1" customHeight="1">
      <c r="A55" s="462"/>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c r="AA55" s="462"/>
      <c r="AB55" s="462"/>
      <c r="AC55" s="462"/>
      <c r="AD55" s="462"/>
      <c r="AE55" s="462"/>
      <c r="AF55" s="462"/>
      <c r="AG55" s="462"/>
      <c r="AH55" s="462"/>
      <c r="AI55" s="462"/>
      <c r="AJ55" s="462"/>
      <c r="AK55" s="462"/>
      <c r="AL55" s="462"/>
      <c r="AM55" s="462"/>
      <c r="AN55" s="462"/>
      <c r="AO55" s="462"/>
      <c r="AP55" s="462"/>
      <c r="AQ55" s="462"/>
      <c r="AR55" s="462"/>
      <c r="AS55" s="462"/>
      <c r="AT55" s="462"/>
      <c r="AU55" s="462"/>
      <c r="AV55" s="462"/>
      <c r="AW55" s="462"/>
      <c r="AX55" s="462"/>
      <c r="AY55" s="462"/>
      <c r="AZ55" s="462"/>
      <c r="BA55" s="462"/>
      <c r="BB55" s="462"/>
      <c r="BC55" s="462"/>
      <c r="BD55" s="462"/>
      <c r="BE55" s="462"/>
      <c r="BF55" s="462"/>
      <c r="BG55" s="462"/>
      <c r="BH55" s="462"/>
      <c r="BI55" s="462"/>
      <c r="BJ55" s="462"/>
    </row>
    <row r="56" spans="1:62" ht="16.350000000000001" hidden="1" customHeight="1">
      <c r="A56" s="462"/>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c r="AA56" s="462"/>
      <c r="AB56" s="462"/>
      <c r="AC56" s="462"/>
      <c r="AD56" s="462"/>
      <c r="AE56" s="462"/>
      <c r="AF56" s="462"/>
      <c r="AG56" s="462"/>
      <c r="AH56" s="462"/>
      <c r="AI56" s="462"/>
      <c r="AJ56" s="462"/>
      <c r="AK56" s="462"/>
      <c r="AL56" s="462"/>
      <c r="AM56" s="462"/>
      <c r="AN56" s="462"/>
      <c r="AO56" s="462"/>
      <c r="AP56" s="462"/>
      <c r="AQ56" s="462"/>
      <c r="AR56" s="462"/>
      <c r="AS56" s="462"/>
      <c r="AT56" s="462"/>
      <c r="AU56" s="462"/>
      <c r="AV56" s="462"/>
      <c r="AW56" s="462"/>
      <c r="AX56" s="462"/>
      <c r="AY56" s="462"/>
      <c r="AZ56" s="462"/>
      <c r="BA56" s="462"/>
      <c r="BB56" s="462"/>
      <c r="BC56" s="462"/>
      <c r="BD56" s="462"/>
      <c r="BE56" s="462"/>
      <c r="BF56" s="462"/>
      <c r="BG56" s="462"/>
      <c r="BH56" s="462"/>
      <c r="BI56" s="462"/>
      <c r="BJ56" s="462"/>
    </row>
    <row r="57" spans="1:62" ht="16.350000000000001" hidden="1" customHeight="1">
      <c r="A57" s="462"/>
      <c r="B57" s="462"/>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c r="AA57" s="462"/>
      <c r="AB57" s="462"/>
      <c r="AC57" s="462"/>
      <c r="AD57" s="462"/>
      <c r="AE57" s="462"/>
      <c r="AF57" s="462"/>
      <c r="AG57" s="462"/>
      <c r="AH57" s="462"/>
      <c r="AI57" s="462"/>
      <c r="AJ57" s="462"/>
      <c r="AK57" s="462"/>
      <c r="AL57" s="462"/>
      <c r="AM57" s="462"/>
      <c r="AN57" s="462"/>
      <c r="AO57" s="462"/>
      <c r="AP57" s="462"/>
      <c r="AQ57" s="462"/>
      <c r="AR57" s="462"/>
      <c r="AS57" s="462"/>
      <c r="AT57" s="462"/>
      <c r="AU57" s="462"/>
      <c r="AV57" s="462"/>
      <c r="AW57" s="462"/>
      <c r="AX57" s="462"/>
      <c r="AY57" s="462"/>
      <c r="AZ57" s="462"/>
      <c r="BA57" s="462"/>
      <c r="BB57" s="462"/>
      <c r="BC57" s="462"/>
      <c r="BD57" s="462"/>
      <c r="BE57" s="462"/>
      <c r="BF57" s="462"/>
      <c r="BG57" s="462"/>
      <c r="BH57" s="462"/>
      <c r="BI57" s="462"/>
      <c r="BJ57" s="462"/>
    </row>
    <row r="58" spans="1:62" ht="16.350000000000001" hidden="1" customHeight="1">
      <c r="A58" s="462"/>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c r="AA58" s="462"/>
      <c r="AB58" s="462"/>
      <c r="AC58" s="462"/>
      <c r="AD58" s="462"/>
      <c r="AE58" s="462"/>
      <c r="AF58" s="462"/>
      <c r="AG58" s="462"/>
      <c r="AH58" s="462"/>
      <c r="AI58" s="462"/>
      <c r="AJ58" s="462"/>
      <c r="AK58" s="462"/>
      <c r="AL58" s="462"/>
      <c r="AM58" s="462"/>
      <c r="AN58" s="462"/>
      <c r="AO58" s="462"/>
      <c r="AP58" s="462"/>
      <c r="AQ58" s="462"/>
      <c r="AR58" s="462"/>
      <c r="AS58" s="462"/>
      <c r="AT58" s="462"/>
      <c r="AU58" s="462"/>
      <c r="AV58" s="462"/>
      <c r="AW58" s="462"/>
      <c r="AX58" s="462"/>
      <c r="AY58" s="462"/>
      <c r="AZ58" s="462"/>
      <c r="BA58" s="462"/>
      <c r="BB58" s="462"/>
      <c r="BC58" s="462"/>
      <c r="BD58" s="462"/>
      <c r="BE58" s="462"/>
      <c r="BF58" s="462"/>
      <c r="BG58" s="462"/>
      <c r="BH58" s="462"/>
      <c r="BI58" s="462"/>
      <c r="BJ58" s="462"/>
    </row>
    <row r="59" spans="1:62" ht="16.350000000000001" hidden="1" customHeight="1">
      <c r="A59" s="462"/>
      <c r="B59" s="462"/>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c r="AA59" s="462"/>
      <c r="AB59" s="462"/>
      <c r="AC59" s="462"/>
      <c r="AD59" s="462"/>
      <c r="AE59" s="462"/>
      <c r="AF59" s="462"/>
      <c r="AG59" s="462"/>
      <c r="AH59" s="462"/>
      <c r="AI59" s="462"/>
      <c r="AJ59" s="462"/>
      <c r="AK59" s="462"/>
      <c r="AL59" s="462"/>
      <c r="AM59" s="462"/>
      <c r="AN59" s="462"/>
      <c r="AO59" s="462"/>
      <c r="AP59" s="462"/>
      <c r="AQ59" s="462"/>
      <c r="AR59" s="462"/>
      <c r="AS59" s="462"/>
      <c r="AT59" s="462"/>
      <c r="AU59" s="462"/>
      <c r="AV59" s="462"/>
      <c r="AW59" s="462"/>
      <c r="AX59" s="462"/>
      <c r="AY59" s="462"/>
      <c r="AZ59" s="462"/>
      <c r="BA59" s="462"/>
      <c r="BB59" s="462"/>
      <c r="BC59" s="462"/>
      <c r="BD59" s="462"/>
      <c r="BE59" s="462"/>
      <c r="BF59" s="462"/>
      <c r="BG59" s="462"/>
      <c r="BH59" s="462"/>
      <c r="BI59" s="462"/>
      <c r="BJ59" s="462"/>
    </row>
    <row r="60" spans="1:62" ht="16.350000000000001" hidden="1" customHeight="1">
      <c r="A60" s="462"/>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2"/>
      <c r="AG60" s="462"/>
      <c r="AH60" s="462"/>
      <c r="AI60" s="462"/>
      <c r="AJ60" s="462"/>
      <c r="AK60" s="462"/>
      <c r="AL60" s="462"/>
      <c r="AM60" s="462"/>
      <c r="AN60" s="462"/>
      <c r="AO60" s="462"/>
      <c r="AP60" s="462"/>
      <c r="AQ60" s="462"/>
      <c r="AR60" s="462"/>
      <c r="AS60" s="462"/>
      <c r="AT60" s="462"/>
      <c r="AU60" s="462"/>
      <c r="AV60" s="462"/>
      <c r="AW60" s="462"/>
      <c r="AX60" s="462"/>
      <c r="AY60" s="462"/>
      <c r="AZ60" s="462"/>
      <c r="BA60" s="462"/>
      <c r="BB60" s="462"/>
      <c r="BC60" s="462"/>
      <c r="BD60" s="462"/>
      <c r="BE60" s="462"/>
      <c r="BF60" s="462"/>
      <c r="BG60" s="462"/>
      <c r="BH60" s="462"/>
      <c r="BI60" s="462"/>
      <c r="BJ60" s="462"/>
    </row>
    <row r="61" spans="1:62" ht="16.350000000000001" hidden="1" customHeight="1">
      <c r="A61" s="462"/>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2"/>
      <c r="AJ61" s="462"/>
      <c r="AK61" s="462"/>
      <c r="AL61" s="462"/>
      <c r="AM61" s="462"/>
      <c r="AN61" s="462"/>
      <c r="AO61" s="462"/>
      <c r="AP61" s="462"/>
      <c r="AQ61" s="462"/>
      <c r="AR61" s="462"/>
      <c r="AS61" s="462"/>
      <c r="AT61" s="462"/>
      <c r="AU61" s="462"/>
      <c r="AV61" s="462"/>
      <c r="AW61" s="462"/>
      <c r="AX61" s="462"/>
      <c r="AY61" s="462"/>
      <c r="AZ61" s="462"/>
      <c r="BA61" s="462"/>
      <c r="BB61" s="462"/>
      <c r="BC61" s="462"/>
      <c r="BD61" s="462"/>
      <c r="BE61" s="462"/>
      <c r="BF61" s="462"/>
      <c r="BG61" s="462"/>
      <c r="BH61" s="462"/>
      <c r="BI61" s="462"/>
      <c r="BJ61" s="462"/>
    </row>
    <row r="62" spans="1:62" ht="16.350000000000001" hidden="1" customHeight="1">
      <c r="A62" s="462"/>
      <c r="B62" s="462"/>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c r="AA62" s="462"/>
      <c r="AB62" s="462"/>
      <c r="AC62" s="462"/>
      <c r="AD62" s="462"/>
      <c r="AE62" s="462"/>
      <c r="AF62" s="462"/>
      <c r="AG62" s="462"/>
      <c r="AH62" s="462"/>
      <c r="AI62" s="462"/>
      <c r="AJ62" s="462"/>
      <c r="AK62" s="462"/>
      <c r="AL62" s="462"/>
      <c r="AM62" s="462"/>
      <c r="AN62" s="462"/>
      <c r="AO62" s="462"/>
      <c r="AP62" s="462"/>
      <c r="AQ62" s="462"/>
      <c r="AR62" s="462"/>
      <c r="AS62" s="462"/>
      <c r="AT62" s="462"/>
      <c r="AU62" s="462"/>
      <c r="AV62" s="462"/>
      <c r="AW62" s="462"/>
      <c r="AX62" s="462"/>
      <c r="AY62" s="462"/>
      <c r="AZ62" s="462"/>
      <c r="BA62" s="462"/>
      <c r="BB62" s="462"/>
      <c r="BC62" s="462"/>
      <c r="BD62" s="462"/>
      <c r="BE62" s="462"/>
      <c r="BF62" s="462"/>
      <c r="BG62" s="462"/>
      <c r="BH62" s="462"/>
      <c r="BI62" s="462"/>
      <c r="BJ62" s="462"/>
    </row>
    <row r="63" spans="1:62" ht="16.350000000000001" hidden="1" customHeight="1">
      <c r="A63" s="462"/>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2"/>
      <c r="AG63" s="462"/>
      <c r="AH63" s="462"/>
      <c r="AI63" s="462"/>
      <c r="AJ63" s="462"/>
      <c r="AK63" s="462"/>
      <c r="AL63" s="462"/>
      <c r="AM63" s="462"/>
      <c r="AN63" s="462"/>
      <c r="AO63" s="462"/>
      <c r="AP63" s="462"/>
      <c r="AQ63" s="462"/>
      <c r="AR63" s="462"/>
      <c r="AS63" s="462"/>
      <c r="AT63" s="462"/>
      <c r="AU63" s="462"/>
      <c r="AV63" s="462"/>
      <c r="AW63" s="462"/>
      <c r="AX63" s="462"/>
      <c r="AY63" s="462"/>
      <c r="AZ63" s="462"/>
      <c r="BA63" s="462"/>
      <c r="BB63" s="462"/>
      <c r="BC63" s="462"/>
      <c r="BD63" s="462"/>
      <c r="BE63" s="462"/>
      <c r="BF63" s="462"/>
      <c r="BG63" s="462"/>
      <c r="BH63" s="462"/>
      <c r="BI63" s="462"/>
      <c r="BJ63" s="462"/>
    </row>
    <row r="64" spans="1:62" ht="16.350000000000001" hidden="1" customHeight="1">
      <c r="A64" s="46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c r="AA64" s="462"/>
      <c r="AB64" s="462"/>
      <c r="AC64" s="462"/>
      <c r="AD64" s="462"/>
      <c r="AE64" s="462"/>
      <c r="AF64" s="462"/>
      <c r="AG64" s="462"/>
      <c r="AH64" s="462"/>
      <c r="AI64" s="462"/>
      <c r="AJ64" s="462"/>
      <c r="AK64" s="462"/>
      <c r="AL64" s="462"/>
      <c r="AM64" s="462"/>
      <c r="AN64" s="462"/>
      <c r="AO64" s="462"/>
      <c r="AP64" s="462"/>
      <c r="AQ64" s="462"/>
      <c r="AR64" s="462"/>
      <c r="AS64" s="462"/>
      <c r="AT64" s="462"/>
      <c r="AU64" s="462"/>
      <c r="AV64" s="462"/>
      <c r="AW64" s="462"/>
      <c r="AX64" s="462"/>
      <c r="AY64" s="462"/>
      <c r="AZ64" s="462"/>
      <c r="BA64" s="462"/>
      <c r="BB64" s="462"/>
      <c r="BC64" s="462"/>
      <c r="BD64" s="462"/>
      <c r="BE64" s="462"/>
      <c r="BF64" s="462"/>
      <c r="BG64" s="462"/>
      <c r="BH64" s="462"/>
      <c r="BI64" s="462"/>
      <c r="BJ64" s="462"/>
    </row>
    <row r="65" spans="1:62" ht="16.350000000000001" hidden="1" customHeight="1">
      <c r="A65" s="462"/>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c r="AA65" s="462"/>
      <c r="AB65" s="462"/>
      <c r="AC65" s="462"/>
      <c r="AD65" s="462"/>
      <c r="AE65" s="462"/>
      <c r="AF65" s="462"/>
      <c r="AG65" s="462"/>
      <c r="AH65" s="462"/>
      <c r="AI65" s="462"/>
      <c r="AJ65" s="462"/>
      <c r="AK65" s="462"/>
      <c r="AL65" s="462"/>
      <c r="AM65" s="462"/>
      <c r="AN65" s="462"/>
      <c r="AO65" s="462"/>
      <c r="AP65" s="462"/>
      <c r="AQ65" s="462"/>
      <c r="AR65" s="462"/>
      <c r="AS65" s="462"/>
      <c r="AT65" s="462"/>
      <c r="AU65" s="462"/>
      <c r="AV65" s="462"/>
      <c r="AW65" s="462"/>
      <c r="AX65" s="462"/>
      <c r="AY65" s="462"/>
      <c r="AZ65" s="462"/>
      <c r="BA65" s="462"/>
      <c r="BB65" s="462"/>
      <c r="BC65" s="462"/>
      <c r="BD65" s="462"/>
      <c r="BE65" s="462"/>
      <c r="BF65" s="462"/>
      <c r="BG65" s="462"/>
      <c r="BH65" s="462"/>
      <c r="BI65" s="462"/>
      <c r="BJ65" s="462"/>
    </row>
    <row r="66" spans="1:62" ht="16.350000000000001" hidden="1" customHeight="1">
      <c r="A66" s="462"/>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c r="AA66" s="462"/>
      <c r="AB66" s="462"/>
      <c r="AC66" s="462"/>
      <c r="AD66" s="462"/>
      <c r="AE66" s="462"/>
      <c r="AF66" s="462"/>
      <c r="AG66" s="462"/>
      <c r="AH66" s="462"/>
      <c r="AI66" s="462"/>
      <c r="AJ66" s="462"/>
      <c r="AK66" s="462"/>
      <c r="AL66" s="462"/>
      <c r="AM66" s="462"/>
      <c r="AN66" s="462"/>
      <c r="AO66" s="462"/>
      <c r="AP66" s="462"/>
      <c r="AQ66" s="462"/>
      <c r="AR66" s="462"/>
      <c r="AS66" s="462"/>
      <c r="AT66" s="462"/>
      <c r="AU66" s="462"/>
      <c r="AV66" s="462"/>
      <c r="AW66" s="462"/>
      <c r="AX66" s="462"/>
      <c r="AY66" s="462"/>
      <c r="AZ66" s="462"/>
      <c r="BA66" s="462"/>
      <c r="BB66" s="462"/>
      <c r="BC66" s="462"/>
      <c r="BD66" s="462"/>
      <c r="BE66" s="462"/>
      <c r="BF66" s="462"/>
      <c r="BG66" s="462"/>
      <c r="BH66" s="462"/>
      <c r="BI66" s="462"/>
      <c r="BJ66" s="462"/>
    </row>
    <row r="67" spans="1:62" ht="16.350000000000001" hidden="1" customHeight="1">
      <c r="A67" s="462"/>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2"/>
      <c r="AG67" s="462"/>
      <c r="AH67" s="462"/>
      <c r="AI67" s="462"/>
      <c r="AJ67" s="462"/>
      <c r="AK67" s="462"/>
      <c r="AL67" s="462"/>
      <c r="AM67" s="462"/>
      <c r="AN67" s="462"/>
      <c r="AO67" s="462"/>
      <c r="AP67" s="462"/>
      <c r="AQ67" s="462"/>
      <c r="AR67" s="462"/>
      <c r="AS67" s="462"/>
      <c r="AT67" s="462"/>
      <c r="AU67" s="462"/>
      <c r="AV67" s="462"/>
      <c r="AW67" s="462"/>
      <c r="AX67" s="462"/>
      <c r="AY67" s="462"/>
      <c r="AZ67" s="462"/>
      <c r="BA67" s="462"/>
      <c r="BB67" s="462"/>
      <c r="BC67" s="462"/>
      <c r="BD67" s="462"/>
      <c r="BE67" s="462"/>
      <c r="BF67" s="462"/>
      <c r="BG67" s="462"/>
      <c r="BH67" s="462"/>
      <c r="BI67" s="462"/>
      <c r="BJ67" s="462"/>
    </row>
    <row r="68" spans="1:62" ht="16.350000000000001" hidden="1" customHeight="1">
      <c r="A68" s="462"/>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c r="AA68" s="462"/>
      <c r="AB68" s="462"/>
      <c r="AC68" s="462"/>
      <c r="AD68" s="462"/>
      <c r="AE68" s="462"/>
      <c r="AF68" s="462"/>
      <c r="AG68" s="462"/>
      <c r="AH68" s="462"/>
      <c r="AI68" s="462"/>
      <c r="AJ68" s="462"/>
      <c r="AK68" s="462"/>
      <c r="AL68" s="462"/>
      <c r="AM68" s="462"/>
      <c r="AN68" s="462"/>
      <c r="AO68" s="462"/>
      <c r="AP68" s="462"/>
      <c r="AQ68" s="462"/>
      <c r="AR68" s="462"/>
      <c r="AS68" s="462"/>
      <c r="AT68" s="462"/>
      <c r="AU68" s="462"/>
      <c r="AV68" s="462"/>
      <c r="AW68" s="462"/>
      <c r="AX68" s="462"/>
      <c r="AY68" s="462"/>
      <c r="AZ68" s="462"/>
      <c r="BA68" s="462"/>
      <c r="BB68" s="462"/>
      <c r="BC68" s="462"/>
      <c r="BD68" s="462"/>
      <c r="BE68" s="462"/>
      <c r="BF68" s="462"/>
      <c r="BG68" s="462"/>
      <c r="BH68" s="462"/>
      <c r="BI68" s="462"/>
      <c r="BJ68" s="462"/>
    </row>
    <row r="69" spans="1:62" ht="16.350000000000001" hidden="1" customHeight="1">
      <c r="A69" s="46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c r="AA69" s="462"/>
      <c r="AB69" s="462"/>
      <c r="AC69" s="462"/>
      <c r="AD69" s="462"/>
      <c r="AE69" s="462"/>
      <c r="AF69" s="462"/>
      <c r="AG69" s="462"/>
      <c r="AH69" s="462"/>
      <c r="AI69" s="462"/>
      <c r="AJ69" s="462"/>
      <c r="AK69" s="462"/>
      <c r="AL69" s="462"/>
      <c r="AM69" s="462"/>
      <c r="AN69" s="462"/>
      <c r="AO69" s="462"/>
      <c r="AP69" s="462"/>
      <c r="AQ69" s="462"/>
      <c r="AR69" s="462"/>
      <c r="AS69" s="462"/>
      <c r="AT69" s="462"/>
      <c r="AU69" s="462"/>
      <c r="AV69" s="462"/>
      <c r="AW69" s="462"/>
      <c r="AX69" s="462"/>
      <c r="AY69" s="462"/>
      <c r="AZ69" s="462"/>
      <c r="BA69" s="462"/>
      <c r="BB69" s="462"/>
      <c r="BC69" s="462"/>
      <c r="BD69" s="462"/>
      <c r="BE69" s="462"/>
      <c r="BF69" s="462"/>
      <c r="BG69" s="462"/>
      <c r="BH69" s="462"/>
      <c r="BI69" s="462"/>
      <c r="BJ69" s="462"/>
    </row>
    <row r="70" spans="1:62" ht="16.350000000000001" hidden="1" customHeight="1">
      <c r="A70" s="462"/>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c r="AA70" s="462"/>
      <c r="AB70" s="462"/>
      <c r="AC70" s="462"/>
      <c r="AD70" s="462"/>
      <c r="AE70" s="462"/>
      <c r="AF70" s="462"/>
      <c r="AG70" s="462"/>
      <c r="AH70" s="462"/>
      <c r="AI70" s="462"/>
      <c r="AJ70" s="462"/>
      <c r="AK70" s="462"/>
      <c r="AL70" s="462"/>
      <c r="AM70" s="462"/>
      <c r="AN70" s="462"/>
      <c r="AO70" s="462"/>
      <c r="AP70" s="462"/>
      <c r="AQ70" s="462"/>
      <c r="AR70" s="462"/>
      <c r="AS70" s="462"/>
      <c r="AT70" s="462"/>
      <c r="AU70" s="462"/>
      <c r="AV70" s="462"/>
      <c r="AW70" s="462"/>
      <c r="AX70" s="462"/>
      <c r="AY70" s="462"/>
      <c r="AZ70" s="462"/>
      <c r="BA70" s="462"/>
      <c r="BB70" s="462"/>
      <c r="BC70" s="462"/>
      <c r="BD70" s="462"/>
      <c r="BE70" s="462"/>
      <c r="BF70" s="462"/>
      <c r="BG70" s="462"/>
      <c r="BH70" s="462"/>
      <c r="BI70" s="462"/>
      <c r="BJ70" s="462"/>
    </row>
    <row r="71" spans="1:62" ht="16.350000000000001" hidden="1" customHeight="1">
      <c r="A71" s="462"/>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c r="AA71" s="462"/>
      <c r="AB71" s="462"/>
      <c r="AC71" s="462"/>
      <c r="AD71" s="462"/>
      <c r="AE71" s="462"/>
      <c r="AF71" s="462"/>
      <c r="AG71" s="462"/>
      <c r="AH71" s="462"/>
      <c r="AI71" s="462"/>
      <c r="AJ71" s="462"/>
      <c r="AK71" s="462"/>
      <c r="AL71" s="462"/>
      <c r="AM71" s="462"/>
      <c r="AN71" s="462"/>
      <c r="AO71" s="462"/>
      <c r="AP71" s="462"/>
      <c r="AQ71" s="462"/>
      <c r="AR71" s="462"/>
      <c r="AS71" s="462"/>
      <c r="AT71" s="462"/>
      <c r="AU71" s="462"/>
      <c r="AV71" s="462"/>
      <c r="AW71" s="462"/>
      <c r="AX71" s="462"/>
      <c r="AY71" s="462"/>
      <c r="AZ71" s="462"/>
      <c r="BA71" s="462"/>
      <c r="BB71" s="462"/>
      <c r="BC71" s="462"/>
      <c r="BD71" s="462"/>
      <c r="BE71" s="462"/>
      <c r="BF71" s="462"/>
      <c r="BG71" s="462"/>
      <c r="BH71" s="462"/>
      <c r="BI71" s="462"/>
      <c r="BJ71" s="462"/>
    </row>
    <row r="72" spans="1:62" ht="16.350000000000001" hidden="1" customHeight="1">
      <c r="A72" s="46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462"/>
      <c r="AQ72" s="462"/>
      <c r="AR72" s="462"/>
      <c r="AS72" s="462"/>
      <c r="AT72" s="462"/>
      <c r="AU72" s="462"/>
      <c r="AV72" s="462"/>
      <c r="AW72" s="462"/>
      <c r="AX72" s="462"/>
      <c r="AY72" s="462"/>
      <c r="AZ72" s="462"/>
      <c r="BA72" s="462"/>
      <c r="BB72" s="462"/>
      <c r="BC72" s="462"/>
      <c r="BD72" s="462"/>
      <c r="BE72" s="462"/>
      <c r="BF72" s="462"/>
      <c r="BG72" s="462"/>
      <c r="BH72" s="462"/>
      <c r="BI72" s="462"/>
      <c r="BJ72" s="462"/>
    </row>
    <row r="73" spans="1:62" ht="16.350000000000001" hidden="1" customHeight="1">
      <c r="A73" s="462"/>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462"/>
      <c r="AQ73" s="462"/>
      <c r="AR73" s="462"/>
      <c r="AS73" s="462"/>
      <c r="AT73" s="462"/>
      <c r="AU73" s="462"/>
      <c r="AV73" s="462"/>
      <c r="AW73" s="462"/>
      <c r="AX73" s="462"/>
      <c r="AY73" s="462"/>
      <c r="AZ73" s="462"/>
      <c r="BA73" s="462"/>
      <c r="BB73" s="462"/>
      <c r="BC73" s="462"/>
      <c r="BD73" s="462"/>
      <c r="BE73" s="462"/>
      <c r="BF73" s="462"/>
      <c r="BG73" s="462"/>
      <c r="BH73" s="462"/>
      <c r="BI73" s="462"/>
      <c r="BJ73" s="462"/>
    </row>
    <row r="74" spans="1:62" ht="16.350000000000001" hidden="1" customHeight="1">
      <c r="A74" s="462"/>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462"/>
      <c r="AB74" s="462"/>
      <c r="AC74" s="462"/>
      <c r="AD74" s="462"/>
      <c r="AE74" s="462"/>
      <c r="AF74" s="462"/>
      <c r="AG74" s="462"/>
      <c r="AH74" s="462"/>
      <c r="AI74" s="462"/>
      <c r="AJ74" s="462"/>
      <c r="AK74" s="462"/>
      <c r="AL74" s="462"/>
      <c r="AM74" s="462"/>
      <c r="AN74" s="462"/>
      <c r="AO74" s="462"/>
      <c r="AP74" s="462"/>
      <c r="AQ74" s="462"/>
      <c r="AR74" s="462"/>
      <c r="AS74" s="462"/>
      <c r="AT74" s="462"/>
      <c r="AU74" s="462"/>
      <c r="AV74" s="462"/>
      <c r="AW74" s="462"/>
      <c r="AX74" s="462"/>
      <c r="AY74" s="462"/>
      <c r="AZ74" s="462"/>
      <c r="BA74" s="462"/>
      <c r="BB74" s="462"/>
      <c r="BC74" s="462"/>
      <c r="BD74" s="462"/>
      <c r="BE74" s="462"/>
      <c r="BF74" s="462"/>
      <c r="BG74" s="462"/>
      <c r="BH74" s="462"/>
      <c r="BI74" s="462"/>
      <c r="BJ74" s="462"/>
    </row>
    <row r="75" spans="1:62" ht="16.350000000000001" hidden="1" customHeight="1">
      <c r="A75" s="462"/>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c r="AA75" s="462"/>
      <c r="AB75" s="462"/>
      <c r="AC75" s="462"/>
      <c r="AD75" s="462"/>
      <c r="AE75" s="462"/>
      <c r="AF75" s="462"/>
      <c r="AG75" s="462"/>
      <c r="AH75" s="462"/>
      <c r="AI75" s="462"/>
      <c r="AJ75" s="462"/>
      <c r="AK75" s="462"/>
      <c r="AL75" s="462"/>
      <c r="AM75" s="462"/>
      <c r="AN75" s="462"/>
      <c r="AO75" s="462"/>
      <c r="AP75" s="462"/>
      <c r="AQ75" s="462"/>
      <c r="AR75" s="462"/>
      <c r="AS75" s="462"/>
      <c r="AT75" s="462"/>
      <c r="AU75" s="462"/>
      <c r="AV75" s="462"/>
      <c r="AW75" s="462"/>
      <c r="AX75" s="462"/>
      <c r="AY75" s="462"/>
      <c r="AZ75" s="462"/>
      <c r="BA75" s="462"/>
      <c r="BB75" s="462"/>
      <c r="BC75" s="462"/>
      <c r="BD75" s="462"/>
      <c r="BE75" s="462"/>
      <c r="BF75" s="462"/>
      <c r="BG75" s="462"/>
      <c r="BH75" s="462"/>
      <c r="BI75" s="462"/>
      <c r="BJ75" s="462"/>
    </row>
    <row r="76" spans="1:62" ht="16.350000000000001" hidden="1" customHeight="1">
      <c r="A76" s="46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c r="AA76" s="462"/>
      <c r="AB76" s="462"/>
      <c r="AC76" s="462"/>
      <c r="AD76" s="462"/>
      <c r="AE76" s="462"/>
      <c r="AF76" s="462"/>
      <c r="AG76" s="462"/>
      <c r="AH76" s="462"/>
      <c r="AI76" s="462"/>
      <c r="AJ76" s="462"/>
      <c r="AK76" s="462"/>
      <c r="AL76" s="462"/>
      <c r="AM76" s="462"/>
      <c r="AN76" s="462"/>
      <c r="AO76" s="462"/>
      <c r="AP76" s="462"/>
      <c r="AQ76" s="462"/>
      <c r="AR76" s="462"/>
      <c r="AS76" s="462"/>
      <c r="AT76" s="462"/>
      <c r="AU76" s="462"/>
      <c r="AV76" s="462"/>
      <c r="AW76" s="462"/>
      <c r="AX76" s="462"/>
      <c r="AY76" s="462"/>
      <c r="AZ76" s="462"/>
      <c r="BA76" s="462"/>
      <c r="BB76" s="462"/>
      <c r="BC76" s="462"/>
      <c r="BD76" s="462"/>
      <c r="BE76" s="462"/>
      <c r="BF76" s="462"/>
      <c r="BG76" s="462"/>
      <c r="BH76" s="462"/>
      <c r="BI76" s="462"/>
      <c r="BJ76" s="462"/>
    </row>
    <row r="77" spans="1:62" ht="16.350000000000001" hidden="1" customHeight="1">
      <c r="A77" s="46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c r="AA77" s="462"/>
      <c r="AB77" s="462"/>
      <c r="AC77" s="462"/>
      <c r="AD77" s="462"/>
      <c r="AE77" s="462"/>
      <c r="AF77" s="462"/>
      <c r="AG77" s="462"/>
      <c r="AH77" s="462"/>
      <c r="AI77" s="462"/>
      <c r="AJ77" s="462"/>
      <c r="AK77" s="462"/>
      <c r="AL77" s="462"/>
      <c r="AM77" s="462"/>
      <c r="AN77" s="462"/>
      <c r="AO77" s="462"/>
      <c r="AP77" s="462"/>
      <c r="AQ77" s="462"/>
      <c r="AR77" s="462"/>
      <c r="AS77" s="462"/>
      <c r="AT77" s="462"/>
      <c r="AU77" s="462"/>
      <c r="AV77" s="462"/>
      <c r="AW77" s="462"/>
      <c r="AX77" s="462"/>
      <c r="AY77" s="462"/>
      <c r="AZ77" s="462"/>
      <c r="BA77" s="462"/>
      <c r="BB77" s="462"/>
      <c r="BC77" s="462"/>
      <c r="BD77" s="462"/>
      <c r="BE77" s="462"/>
      <c r="BF77" s="462"/>
      <c r="BG77" s="462"/>
      <c r="BH77" s="462"/>
      <c r="BI77" s="462"/>
      <c r="BJ77" s="462"/>
    </row>
    <row r="78" spans="1:62" ht="16.350000000000001" hidden="1" customHeight="1">
      <c r="A78" s="46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c r="AA78" s="462"/>
      <c r="AB78" s="462"/>
      <c r="AC78" s="462"/>
      <c r="AD78" s="462"/>
      <c r="AE78" s="462"/>
      <c r="AF78" s="462"/>
      <c r="AG78" s="462"/>
      <c r="AH78" s="462"/>
      <c r="AI78" s="462"/>
      <c r="AJ78" s="462"/>
      <c r="AK78" s="462"/>
      <c r="AL78" s="462"/>
      <c r="AM78" s="462"/>
      <c r="AN78" s="462"/>
      <c r="AO78" s="462"/>
      <c r="AP78" s="462"/>
      <c r="AQ78" s="462"/>
      <c r="AR78" s="462"/>
      <c r="AS78" s="462"/>
      <c r="AT78" s="462"/>
      <c r="AU78" s="462"/>
      <c r="AV78" s="462"/>
      <c r="AW78" s="462"/>
      <c r="AX78" s="462"/>
      <c r="AY78" s="462"/>
      <c r="AZ78" s="462"/>
      <c r="BA78" s="462"/>
      <c r="BB78" s="462"/>
      <c r="BC78" s="462"/>
      <c r="BD78" s="462"/>
      <c r="BE78" s="462"/>
      <c r="BF78" s="462"/>
      <c r="BG78" s="462"/>
      <c r="BH78" s="462"/>
      <c r="BI78" s="462"/>
      <c r="BJ78" s="462"/>
    </row>
    <row r="79" spans="1:62" ht="16.350000000000001" hidden="1" customHeight="1">
      <c r="A79" s="46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c r="AA79" s="462"/>
      <c r="AB79" s="462"/>
      <c r="AC79" s="462"/>
      <c r="AD79" s="462"/>
      <c r="AE79" s="462"/>
      <c r="AF79" s="462"/>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row>
    <row r="80" spans="1:62" ht="16.350000000000001" hidden="1" customHeight="1">
      <c r="A80" s="462"/>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c r="AA80" s="462"/>
      <c r="AB80" s="462"/>
      <c r="AC80" s="462"/>
      <c r="AD80" s="462"/>
      <c r="AE80" s="462"/>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row>
    <row r="81" spans="1:62" ht="16.350000000000001" hidden="1" customHeight="1">
      <c r="A81" s="462"/>
      <c r="B81" s="462"/>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c r="AA81" s="462"/>
      <c r="AB81" s="462"/>
      <c r="AC81" s="462"/>
      <c r="AD81" s="462"/>
      <c r="AE81" s="462"/>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row>
    <row r="82" spans="1:62" ht="16.350000000000001" hidden="1" customHeight="1">
      <c r="A82" s="46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c r="AA82" s="462"/>
      <c r="AB82" s="462"/>
      <c r="AC82" s="462"/>
      <c r="AD82" s="462"/>
      <c r="AE82" s="462"/>
      <c r="AF82" s="462"/>
      <c r="AG82" s="462"/>
      <c r="AH82" s="462"/>
      <c r="AI82" s="462"/>
      <c r="AJ82" s="462"/>
      <c r="AK82" s="462"/>
      <c r="AL82" s="462"/>
      <c r="AM82" s="462"/>
      <c r="AN82" s="462"/>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row>
    <row r="83" spans="1:62" ht="16.350000000000001" hidden="1" customHeight="1">
      <c r="A83" s="462"/>
      <c r="B83" s="462"/>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2"/>
      <c r="AJ83" s="462"/>
      <c r="AK83" s="462"/>
      <c r="AL83" s="462"/>
      <c r="AM83" s="462"/>
      <c r="AN83" s="462"/>
      <c r="AO83" s="462"/>
      <c r="AP83" s="462"/>
      <c r="AQ83" s="462"/>
      <c r="AR83" s="462"/>
      <c r="AS83" s="462"/>
      <c r="AT83" s="462"/>
      <c r="AU83" s="462"/>
      <c r="AV83" s="462"/>
      <c r="AW83" s="462"/>
      <c r="AX83" s="462"/>
      <c r="AY83" s="462"/>
      <c r="AZ83" s="462"/>
      <c r="BA83" s="462"/>
      <c r="BB83" s="462"/>
      <c r="BC83" s="462"/>
      <c r="BD83" s="462"/>
      <c r="BE83" s="462"/>
      <c r="BF83" s="462"/>
      <c r="BG83" s="462"/>
      <c r="BH83" s="462"/>
      <c r="BI83" s="462"/>
      <c r="BJ83" s="462"/>
    </row>
    <row r="84" spans="1:62" ht="16.350000000000001" hidden="1" customHeight="1">
      <c r="A84" s="462"/>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c r="AA84" s="462"/>
      <c r="AB84" s="462"/>
      <c r="AC84" s="462"/>
      <c r="AD84" s="462"/>
      <c r="AE84" s="462"/>
      <c r="AF84" s="462"/>
      <c r="AG84" s="462"/>
      <c r="AH84" s="462"/>
      <c r="AI84" s="462"/>
      <c r="AJ84" s="462"/>
      <c r="AK84" s="462"/>
      <c r="AL84" s="462"/>
      <c r="AM84" s="462"/>
      <c r="AN84" s="462"/>
      <c r="AO84" s="462"/>
      <c r="AP84" s="462"/>
      <c r="AQ84" s="462"/>
      <c r="AR84" s="462"/>
      <c r="AS84" s="462"/>
      <c r="AT84" s="462"/>
      <c r="AU84" s="462"/>
      <c r="AV84" s="462"/>
      <c r="AW84" s="462"/>
      <c r="AX84" s="462"/>
      <c r="AY84" s="462"/>
      <c r="AZ84" s="462"/>
      <c r="BA84" s="462"/>
      <c r="BB84" s="462"/>
      <c r="BC84" s="462"/>
      <c r="BD84" s="462"/>
      <c r="BE84" s="462"/>
      <c r="BF84" s="462"/>
      <c r="BG84" s="462"/>
      <c r="BH84" s="462"/>
      <c r="BI84" s="462"/>
      <c r="BJ84" s="462"/>
    </row>
    <row r="85" spans="1:62" ht="16.350000000000001" hidden="1" customHeight="1">
      <c r="A85" s="462"/>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c r="AA85" s="462"/>
      <c r="AB85" s="462"/>
      <c r="AC85" s="462"/>
      <c r="AD85" s="462"/>
      <c r="AE85" s="462"/>
      <c r="AF85" s="462"/>
      <c r="AG85" s="462"/>
      <c r="AH85" s="462"/>
      <c r="AI85" s="462"/>
      <c r="AJ85" s="462"/>
      <c r="AK85" s="462"/>
      <c r="AL85" s="462"/>
      <c r="AM85" s="462"/>
      <c r="AN85" s="462"/>
      <c r="AO85" s="462"/>
      <c r="AP85" s="462"/>
      <c r="AQ85" s="462"/>
      <c r="AR85" s="462"/>
      <c r="AS85" s="462"/>
      <c r="AT85" s="462"/>
      <c r="AU85" s="462"/>
      <c r="AV85" s="462"/>
      <c r="AW85" s="462"/>
      <c r="AX85" s="462"/>
      <c r="AY85" s="462"/>
      <c r="AZ85" s="462"/>
      <c r="BA85" s="462"/>
      <c r="BB85" s="462"/>
      <c r="BC85" s="462"/>
      <c r="BD85" s="462"/>
      <c r="BE85" s="462"/>
      <c r="BF85" s="462"/>
      <c r="BG85" s="462"/>
      <c r="BH85" s="462"/>
      <c r="BI85" s="462"/>
      <c r="BJ85" s="462"/>
    </row>
    <row r="86" spans="1:62" ht="16.350000000000001" hidden="1" customHeight="1">
      <c r="A86" s="462"/>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c r="AA86" s="462"/>
      <c r="AB86" s="462"/>
      <c r="AC86" s="462"/>
      <c r="AD86" s="462"/>
      <c r="AE86" s="462"/>
      <c r="AF86" s="462"/>
      <c r="AG86" s="462"/>
      <c r="AH86" s="462"/>
      <c r="AI86" s="462"/>
      <c r="AJ86" s="462"/>
      <c r="AK86" s="462"/>
      <c r="AL86" s="462"/>
      <c r="AM86" s="462"/>
      <c r="AN86" s="462"/>
      <c r="AO86" s="462"/>
      <c r="AP86" s="462"/>
      <c r="AQ86" s="462"/>
      <c r="AR86" s="462"/>
      <c r="AS86" s="462"/>
      <c r="AT86" s="462"/>
      <c r="AU86" s="462"/>
      <c r="AV86" s="462"/>
      <c r="AW86" s="462"/>
      <c r="AX86" s="462"/>
      <c r="AY86" s="462"/>
      <c r="AZ86" s="462"/>
      <c r="BA86" s="462"/>
      <c r="BB86" s="462"/>
      <c r="BC86" s="462"/>
      <c r="BD86" s="462"/>
      <c r="BE86" s="462"/>
      <c r="BF86" s="462"/>
      <c r="BG86" s="462"/>
      <c r="BH86" s="462"/>
      <c r="BI86" s="462"/>
      <c r="BJ86" s="462"/>
    </row>
    <row r="87" spans="1:62" ht="16.350000000000001" hidden="1" customHeight="1">
      <c r="A87" s="462"/>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c r="AA87" s="462"/>
      <c r="AB87" s="462"/>
      <c r="AC87" s="462"/>
      <c r="AD87" s="462"/>
      <c r="AE87" s="462"/>
      <c r="AF87" s="462"/>
      <c r="AG87" s="462"/>
      <c r="AH87" s="462"/>
      <c r="AI87" s="462"/>
      <c r="AJ87" s="462"/>
      <c r="AK87" s="462"/>
      <c r="AL87" s="462"/>
      <c r="AM87" s="462"/>
      <c r="AN87" s="462"/>
      <c r="AO87" s="462"/>
      <c r="AP87" s="462"/>
      <c r="AQ87" s="462"/>
      <c r="AR87" s="462"/>
      <c r="AS87" s="462"/>
      <c r="AT87" s="462"/>
      <c r="AU87" s="462"/>
      <c r="AV87" s="462"/>
      <c r="AW87" s="462"/>
      <c r="AX87" s="462"/>
      <c r="AY87" s="462"/>
      <c r="AZ87" s="462"/>
      <c r="BA87" s="462"/>
      <c r="BB87" s="462"/>
      <c r="BC87" s="462"/>
      <c r="BD87" s="462"/>
      <c r="BE87" s="462"/>
      <c r="BF87" s="462"/>
      <c r="BG87" s="462"/>
      <c r="BH87" s="462"/>
      <c r="BI87" s="462"/>
      <c r="BJ87" s="462"/>
    </row>
    <row r="88" spans="1:62" ht="16.350000000000001" hidden="1" customHeight="1">
      <c r="A88" s="462"/>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462"/>
      <c r="AE88" s="462"/>
      <c r="AF88" s="462"/>
      <c r="AG88" s="462"/>
      <c r="AH88" s="462"/>
      <c r="AI88" s="462"/>
      <c r="AJ88" s="462"/>
      <c r="AK88" s="462"/>
      <c r="AL88" s="462"/>
      <c r="AM88" s="462"/>
      <c r="AN88" s="462"/>
      <c r="AO88" s="462"/>
      <c r="AP88" s="462"/>
      <c r="AQ88" s="462"/>
      <c r="AR88" s="462"/>
      <c r="AS88" s="462"/>
      <c r="AT88" s="462"/>
      <c r="AU88" s="462"/>
      <c r="AV88" s="462"/>
      <c r="AW88" s="462"/>
      <c r="AX88" s="462"/>
      <c r="AY88" s="462"/>
      <c r="AZ88" s="462"/>
      <c r="BA88" s="462"/>
      <c r="BB88" s="462"/>
      <c r="BC88" s="462"/>
      <c r="BD88" s="462"/>
      <c r="BE88" s="462"/>
      <c r="BF88" s="462"/>
      <c r="BG88" s="462"/>
      <c r="BH88" s="462"/>
      <c r="BI88" s="462"/>
      <c r="BJ88" s="462"/>
    </row>
    <row r="89" spans="1:62" ht="16.350000000000001" hidden="1" customHeight="1">
      <c r="A89" s="462"/>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2"/>
      <c r="AE89" s="462"/>
      <c r="AF89" s="462"/>
      <c r="AG89" s="462"/>
      <c r="AH89" s="462"/>
      <c r="AI89" s="462"/>
      <c r="AJ89" s="462"/>
      <c r="AK89" s="462"/>
      <c r="AL89" s="462"/>
      <c r="AM89" s="462"/>
      <c r="AN89" s="462"/>
      <c r="AO89" s="462"/>
      <c r="AP89" s="462"/>
      <c r="AQ89" s="462"/>
      <c r="AR89" s="462"/>
      <c r="AS89" s="462"/>
      <c r="AT89" s="462"/>
      <c r="AU89" s="462"/>
      <c r="AV89" s="462"/>
      <c r="AW89" s="462"/>
      <c r="AX89" s="462"/>
      <c r="AY89" s="462"/>
      <c r="AZ89" s="462"/>
      <c r="BA89" s="462"/>
      <c r="BB89" s="462"/>
      <c r="BC89" s="462"/>
      <c r="BD89" s="462"/>
      <c r="BE89" s="462"/>
      <c r="BF89" s="462"/>
      <c r="BG89" s="462"/>
      <c r="BH89" s="462"/>
      <c r="BI89" s="462"/>
      <c r="BJ89" s="462"/>
    </row>
    <row r="90" spans="1:62" ht="16.350000000000001" hidden="1" customHeight="1">
      <c r="A90" s="462"/>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c r="AD90" s="462"/>
      <c r="AE90" s="462"/>
      <c r="AF90" s="462"/>
      <c r="AG90" s="462"/>
      <c r="AH90" s="462"/>
      <c r="AI90" s="462"/>
      <c r="AJ90" s="462"/>
      <c r="AK90" s="462"/>
      <c r="AL90" s="462"/>
      <c r="AM90" s="462"/>
      <c r="AN90" s="462"/>
      <c r="AO90" s="462"/>
      <c r="AP90" s="462"/>
      <c r="AQ90" s="462"/>
      <c r="AR90" s="462"/>
      <c r="AS90" s="462"/>
      <c r="AT90" s="462"/>
      <c r="AU90" s="462"/>
      <c r="AV90" s="462"/>
      <c r="AW90" s="462"/>
      <c r="AX90" s="462"/>
      <c r="AY90" s="462"/>
      <c r="AZ90" s="462"/>
      <c r="BA90" s="462"/>
      <c r="BB90" s="462"/>
      <c r="BC90" s="462"/>
      <c r="BD90" s="462"/>
      <c r="BE90" s="462"/>
      <c r="BF90" s="462"/>
      <c r="BG90" s="462"/>
      <c r="BH90" s="462"/>
      <c r="BI90" s="462"/>
      <c r="BJ90" s="462"/>
    </row>
    <row r="91" spans="1:62" ht="16.350000000000001" hidden="1" customHeight="1">
      <c r="A91" s="46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c r="AA91" s="462"/>
      <c r="AB91" s="462"/>
      <c r="AC91" s="462"/>
      <c r="AD91" s="462"/>
      <c r="AE91" s="462"/>
      <c r="AF91" s="462"/>
      <c r="AG91" s="462"/>
      <c r="AH91" s="462"/>
      <c r="AI91" s="462"/>
      <c r="AJ91" s="462"/>
      <c r="AK91" s="462"/>
      <c r="AL91" s="462"/>
      <c r="AM91" s="462"/>
      <c r="AN91" s="462"/>
      <c r="AO91" s="462"/>
      <c r="AP91" s="462"/>
      <c r="AQ91" s="462"/>
      <c r="AR91" s="462"/>
      <c r="AS91" s="462"/>
      <c r="AT91" s="462"/>
      <c r="AU91" s="462"/>
      <c r="AV91" s="462"/>
      <c r="AW91" s="462"/>
      <c r="AX91" s="462"/>
      <c r="AY91" s="462"/>
      <c r="AZ91" s="462"/>
      <c r="BA91" s="462"/>
      <c r="BB91" s="462"/>
      <c r="BC91" s="462"/>
      <c r="BD91" s="462"/>
      <c r="BE91" s="462"/>
      <c r="BF91" s="462"/>
      <c r="BG91" s="462"/>
      <c r="BH91" s="462"/>
      <c r="BI91" s="462"/>
      <c r="BJ91" s="462"/>
    </row>
    <row r="92" spans="1:62" ht="16.350000000000001" hidden="1" customHeight="1">
      <c r="A92" s="462"/>
      <c r="B92" s="462"/>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c r="AA92" s="462"/>
      <c r="AB92" s="462"/>
      <c r="AC92" s="462"/>
      <c r="AD92" s="462"/>
      <c r="AE92" s="462"/>
      <c r="AF92" s="462"/>
      <c r="AG92" s="462"/>
      <c r="AH92" s="462"/>
      <c r="AI92" s="462"/>
      <c r="AJ92" s="462"/>
      <c r="AK92" s="462"/>
      <c r="AL92" s="462"/>
      <c r="AM92" s="462"/>
      <c r="AN92" s="462"/>
      <c r="AO92" s="462"/>
      <c r="AP92" s="462"/>
      <c r="AQ92" s="462"/>
      <c r="AR92" s="462"/>
      <c r="AS92" s="462"/>
      <c r="AT92" s="462"/>
      <c r="AU92" s="462"/>
      <c r="AV92" s="462"/>
      <c r="AW92" s="462"/>
      <c r="AX92" s="462"/>
      <c r="AY92" s="462"/>
      <c r="AZ92" s="462"/>
      <c r="BA92" s="462"/>
      <c r="BB92" s="462"/>
      <c r="BC92" s="462"/>
      <c r="BD92" s="462"/>
      <c r="BE92" s="462"/>
      <c r="BF92" s="462"/>
      <c r="BG92" s="462"/>
      <c r="BH92" s="462"/>
      <c r="BI92" s="462"/>
      <c r="BJ92" s="462"/>
    </row>
    <row r="93" spans="1:62" ht="16.350000000000001" hidden="1" customHeight="1">
      <c r="A93" s="462"/>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c r="AA93" s="462"/>
      <c r="AB93" s="462"/>
      <c r="AC93" s="462"/>
      <c r="AD93" s="462"/>
      <c r="AE93" s="462"/>
      <c r="AF93" s="462"/>
      <c r="AG93" s="462"/>
      <c r="AH93" s="462"/>
      <c r="AI93" s="462"/>
      <c r="AJ93" s="462"/>
      <c r="AK93" s="462"/>
      <c r="AL93" s="462"/>
      <c r="AM93" s="462"/>
      <c r="AN93" s="462"/>
      <c r="AO93" s="462"/>
      <c r="AP93" s="462"/>
      <c r="AQ93" s="462"/>
      <c r="AR93" s="462"/>
      <c r="AS93" s="462"/>
      <c r="AT93" s="462"/>
      <c r="AU93" s="462"/>
      <c r="AV93" s="462"/>
      <c r="AW93" s="462"/>
      <c r="AX93" s="462"/>
      <c r="AY93" s="462"/>
      <c r="AZ93" s="462"/>
      <c r="BA93" s="462"/>
      <c r="BB93" s="462"/>
      <c r="BC93" s="462"/>
      <c r="BD93" s="462"/>
      <c r="BE93" s="462"/>
      <c r="BF93" s="462"/>
      <c r="BG93" s="462"/>
      <c r="BH93" s="462"/>
      <c r="BI93" s="462"/>
      <c r="BJ93" s="462"/>
    </row>
    <row r="94" spans="1:62" ht="16.350000000000001" hidden="1" customHeight="1">
      <c r="A94" s="462"/>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c r="AC94" s="462"/>
      <c r="AD94" s="462"/>
      <c r="AE94" s="462"/>
      <c r="AF94" s="462"/>
      <c r="AG94" s="462"/>
      <c r="AH94" s="462"/>
      <c r="AI94" s="462"/>
      <c r="AJ94" s="462"/>
      <c r="AK94" s="462"/>
      <c r="AL94" s="462"/>
      <c r="AM94" s="462"/>
      <c r="AN94" s="462"/>
      <c r="AO94" s="462"/>
      <c r="AP94" s="462"/>
      <c r="AQ94" s="462"/>
      <c r="AR94" s="462"/>
      <c r="AS94" s="462"/>
      <c r="AT94" s="462"/>
      <c r="AU94" s="462"/>
      <c r="AV94" s="462"/>
      <c r="AW94" s="462"/>
      <c r="AX94" s="462"/>
      <c r="AY94" s="462"/>
      <c r="AZ94" s="462"/>
      <c r="BA94" s="462"/>
      <c r="BB94" s="462"/>
      <c r="BC94" s="462"/>
      <c r="BD94" s="462"/>
      <c r="BE94" s="462"/>
      <c r="BF94" s="462"/>
      <c r="BG94" s="462"/>
      <c r="BH94" s="462"/>
      <c r="BI94" s="462"/>
      <c r="BJ94" s="462"/>
    </row>
    <row r="95" spans="1:62" ht="16.350000000000001" hidden="1" customHeight="1">
      <c r="A95" s="462"/>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c r="AB95" s="462"/>
      <c r="AC95" s="462"/>
      <c r="AD95" s="462"/>
      <c r="AE95" s="462"/>
      <c r="AF95" s="462"/>
      <c r="AG95" s="462"/>
      <c r="AH95" s="462"/>
      <c r="AI95" s="462"/>
      <c r="AJ95" s="462"/>
      <c r="AK95" s="462"/>
      <c r="AL95" s="462"/>
      <c r="AM95" s="462"/>
      <c r="AN95" s="462"/>
      <c r="AO95" s="462"/>
      <c r="AP95" s="462"/>
      <c r="AQ95" s="462"/>
      <c r="AR95" s="462"/>
      <c r="AS95" s="462"/>
      <c r="AT95" s="462"/>
      <c r="AU95" s="462"/>
      <c r="AV95" s="462"/>
      <c r="AW95" s="462"/>
      <c r="AX95" s="462"/>
      <c r="AY95" s="462"/>
      <c r="AZ95" s="462"/>
      <c r="BA95" s="462"/>
      <c r="BB95" s="462"/>
      <c r="BC95" s="462"/>
      <c r="BD95" s="462"/>
      <c r="BE95" s="462"/>
      <c r="BF95" s="462"/>
      <c r="BG95" s="462"/>
      <c r="BH95" s="462"/>
      <c r="BI95" s="462"/>
      <c r="BJ95" s="462"/>
    </row>
    <row r="96" spans="1:62" ht="16.350000000000001" hidden="1" customHeight="1">
      <c r="A96" s="462"/>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462"/>
      <c r="AP96" s="462"/>
      <c r="AQ96" s="462"/>
      <c r="AR96" s="462"/>
      <c r="AS96" s="462"/>
      <c r="AT96" s="462"/>
      <c r="AU96" s="462"/>
      <c r="AV96" s="462"/>
      <c r="AW96" s="462"/>
      <c r="AX96" s="462"/>
      <c r="AY96" s="462"/>
      <c r="AZ96" s="462"/>
      <c r="BA96" s="462"/>
      <c r="BB96" s="462"/>
      <c r="BC96" s="462"/>
      <c r="BD96" s="462"/>
      <c r="BE96" s="462"/>
      <c r="BF96" s="462"/>
      <c r="BG96" s="462"/>
      <c r="BH96" s="462"/>
      <c r="BI96" s="462"/>
      <c r="BJ96" s="462"/>
    </row>
    <row r="97" spans="1:62" ht="16.350000000000001" hidden="1" customHeight="1">
      <c r="A97" s="462"/>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c r="AA97" s="462"/>
      <c r="AB97" s="462"/>
      <c r="AC97" s="462"/>
      <c r="AD97" s="462"/>
      <c r="AE97" s="462"/>
      <c r="AF97" s="462"/>
      <c r="AG97" s="462"/>
      <c r="AH97" s="462"/>
      <c r="AI97" s="462"/>
      <c r="AJ97" s="462"/>
      <c r="AK97" s="462"/>
      <c r="AL97" s="462"/>
      <c r="AM97" s="462"/>
      <c r="AN97" s="462"/>
      <c r="AO97" s="462"/>
      <c r="AP97" s="462"/>
      <c r="AQ97" s="462"/>
      <c r="AR97" s="462"/>
      <c r="AS97" s="462"/>
      <c r="AT97" s="462"/>
      <c r="AU97" s="462"/>
      <c r="AV97" s="462"/>
      <c r="AW97" s="462"/>
      <c r="AX97" s="462"/>
      <c r="AY97" s="462"/>
      <c r="AZ97" s="462"/>
      <c r="BA97" s="462"/>
      <c r="BB97" s="462"/>
      <c r="BC97" s="462"/>
      <c r="BD97" s="462"/>
      <c r="BE97" s="462"/>
      <c r="BF97" s="462"/>
      <c r="BG97" s="462"/>
      <c r="BH97" s="462"/>
      <c r="BI97" s="462"/>
      <c r="BJ97" s="462"/>
    </row>
    <row r="98" spans="1:62" ht="16.350000000000001" hidden="1" customHeight="1">
      <c r="A98" s="462"/>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c r="AB98" s="462"/>
      <c r="AC98" s="462"/>
      <c r="AD98" s="462"/>
      <c r="AE98" s="462"/>
      <c r="AF98" s="462"/>
      <c r="AG98" s="462"/>
      <c r="AH98" s="462"/>
      <c r="AI98" s="462"/>
      <c r="AJ98" s="462"/>
      <c r="AK98" s="462"/>
      <c r="AL98" s="462"/>
      <c r="AM98" s="462"/>
      <c r="AN98" s="462"/>
      <c r="AO98" s="462"/>
      <c r="AP98" s="462"/>
      <c r="AQ98" s="462"/>
      <c r="AR98" s="462"/>
      <c r="AS98" s="462"/>
      <c r="AT98" s="462"/>
      <c r="AU98" s="462"/>
      <c r="AV98" s="462"/>
      <c r="AW98" s="462"/>
      <c r="AX98" s="462"/>
      <c r="AY98" s="462"/>
      <c r="AZ98" s="462"/>
      <c r="BA98" s="462"/>
      <c r="BB98" s="462"/>
      <c r="BC98" s="462"/>
      <c r="BD98" s="462"/>
      <c r="BE98" s="462"/>
      <c r="BF98" s="462"/>
      <c r="BG98" s="462"/>
      <c r="BH98" s="462"/>
      <c r="BI98" s="462"/>
      <c r="BJ98" s="462"/>
    </row>
    <row r="99" spans="1:62" ht="16.350000000000001" hidden="1" customHeight="1">
      <c r="A99" s="462"/>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c r="AA99" s="462"/>
      <c r="AB99" s="462"/>
      <c r="AC99" s="462"/>
      <c r="AD99" s="462"/>
      <c r="AE99" s="462"/>
      <c r="AF99" s="462"/>
      <c r="AG99" s="462"/>
      <c r="AH99" s="462"/>
      <c r="AI99" s="462"/>
      <c r="AJ99" s="462"/>
      <c r="AK99" s="462"/>
      <c r="AL99" s="462"/>
      <c r="AM99" s="462"/>
      <c r="AN99" s="462"/>
      <c r="AO99" s="462"/>
      <c r="AP99" s="462"/>
      <c r="AQ99" s="462"/>
      <c r="AR99" s="462"/>
      <c r="AS99" s="462"/>
      <c r="AT99" s="462"/>
      <c r="AU99" s="462"/>
      <c r="AV99" s="462"/>
      <c r="AW99" s="462"/>
      <c r="AX99" s="462"/>
      <c r="AY99" s="462"/>
      <c r="AZ99" s="462"/>
      <c r="BA99" s="462"/>
      <c r="BB99" s="462"/>
      <c r="BC99" s="462"/>
      <c r="BD99" s="462"/>
      <c r="BE99" s="462"/>
      <c r="BF99" s="462"/>
      <c r="BG99" s="462"/>
      <c r="BH99" s="462"/>
      <c r="BI99" s="462"/>
      <c r="BJ99" s="462"/>
    </row>
    <row r="100" spans="1:62" ht="16.350000000000001" hidden="1" customHeight="1">
      <c r="A100" s="462"/>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c r="AV100" s="462"/>
      <c r="AW100" s="462"/>
      <c r="AX100" s="462"/>
      <c r="AY100" s="462"/>
      <c r="AZ100" s="462"/>
      <c r="BA100" s="462"/>
      <c r="BB100" s="462"/>
      <c r="BC100" s="462"/>
      <c r="BD100" s="462"/>
      <c r="BE100" s="462"/>
      <c r="BF100" s="462"/>
      <c r="BG100" s="462"/>
      <c r="BH100" s="462"/>
      <c r="BI100" s="462"/>
      <c r="BJ100" s="462"/>
    </row>
    <row r="101" spans="1:62" ht="16.350000000000001" hidden="1" customHeight="1">
      <c r="A101" s="462"/>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c r="AO101" s="462"/>
      <c r="AP101" s="462"/>
      <c r="AQ101" s="462"/>
      <c r="AR101" s="462"/>
      <c r="AS101" s="462"/>
      <c r="AT101" s="462"/>
      <c r="AU101" s="462"/>
      <c r="AV101" s="462"/>
      <c r="AW101" s="462"/>
      <c r="AX101" s="462"/>
      <c r="AY101" s="462"/>
      <c r="AZ101" s="462"/>
      <c r="BA101" s="462"/>
      <c r="BB101" s="462"/>
      <c r="BC101" s="462"/>
      <c r="BD101" s="462"/>
      <c r="BE101" s="462"/>
      <c r="BF101" s="462"/>
      <c r="BG101" s="462"/>
      <c r="BH101" s="462"/>
      <c r="BI101" s="462"/>
      <c r="BJ101" s="462"/>
    </row>
    <row r="102" spans="1:62" ht="16.350000000000001" hidden="1" customHeight="1">
      <c r="A102" s="462"/>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462"/>
      <c r="AH102" s="462"/>
      <c r="AI102" s="462"/>
      <c r="AJ102" s="462"/>
      <c r="AK102" s="462"/>
      <c r="AL102" s="462"/>
      <c r="AM102" s="462"/>
      <c r="AN102" s="462"/>
      <c r="AO102" s="462"/>
      <c r="AP102" s="462"/>
      <c r="AQ102" s="462"/>
      <c r="AR102" s="462"/>
      <c r="AS102" s="462"/>
      <c r="AT102" s="462"/>
      <c r="AU102" s="462"/>
      <c r="AV102" s="462"/>
      <c r="AW102" s="462"/>
      <c r="AX102" s="462"/>
      <c r="AY102" s="462"/>
      <c r="AZ102" s="462"/>
      <c r="BA102" s="462"/>
      <c r="BB102" s="462"/>
      <c r="BC102" s="462"/>
      <c r="BD102" s="462"/>
      <c r="BE102" s="462"/>
      <c r="BF102" s="462"/>
      <c r="BG102" s="462"/>
      <c r="BH102" s="462"/>
      <c r="BI102" s="462"/>
      <c r="BJ102" s="462"/>
    </row>
    <row r="103" spans="1:62" ht="16.350000000000001" hidden="1" customHeight="1">
      <c r="A103" s="462"/>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c r="AO103" s="462"/>
      <c r="AP103" s="462"/>
      <c r="AQ103" s="462"/>
      <c r="AR103" s="462"/>
      <c r="AS103" s="462"/>
      <c r="AT103" s="462"/>
      <c r="AU103" s="462"/>
      <c r="AV103" s="462"/>
      <c r="AW103" s="462"/>
      <c r="AX103" s="462"/>
      <c r="AY103" s="462"/>
      <c r="AZ103" s="462"/>
      <c r="BA103" s="462"/>
      <c r="BB103" s="462"/>
      <c r="BC103" s="462"/>
      <c r="BD103" s="462"/>
      <c r="BE103" s="462"/>
      <c r="BF103" s="462"/>
      <c r="BG103" s="462"/>
      <c r="BH103" s="462"/>
      <c r="BI103" s="462"/>
      <c r="BJ103" s="462"/>
    </row>
    <row r="104" spans="1:62" ht="16.350000000000001" hidden="1" customHeight="1">
      <c r="A104" s="462"/>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c r="AO104" s="462"/>
      <c r="AP104" s="462"/>
      <c r="AQ104" s="462"/>
      <c r="AR104" s="462"/>
      <c r="AS104" s="462"/>
      <c r="AT104" s="462"/>
      <c r="AU104" s="462"/>
      <c r="AV104" s="462"/>
      <c r="AW104" s="462"/>
      <c r="AX104" s="462"/>
      <c r="AY104" s="462"/>
      <c r="AZ104" s="462"/>
      <c r="BA104" s="462"/>
      <c r="BB104" s="462"/>
      <c r="BC104" s="462"/>
      <c r="BD104" s="462"/>
      <c r="BE104" s="462"/>
      <c r="BF104" s="462"/>
      <c r="BG104" s="462"/>
      <c r="BH104" s="462"/>
      <c r="BI104" s="462"/>
      <c r="BJ104" s="462"/>
    </row>
    <row r="105" spans="1:62" ht="16.350000000000001" hidden="1" customHeight="1">
      <c r="A105" s="462"/>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c r="AO105" s="462"/>
      <c r="AP105" s="462"/>
      <c r="AQ105" s="462"/>
      <c r="AR105" s="462"/>
      <c r="AS105" s="462"/>
      <c r="AT105" s="462"/>
      <c r="AU105" s="462"/>
      <c r="AV105" s="462"/>
      <c r="AW105" s="462"/>
      <c r="AX105" s="462"/>
      <c r="AY105" s="462"/>
      <c r="AZ105" s="462"/>
      <c r="BA105" s="462"/>
      <c r="BB105" s="462"/>
      <c r="BC105" s="462"/>
      <c r="BD105" s="462"/>
      <c r="BE105" s="462"/>
      <c r="BF105" s="462"/>
      <c r="BG105" s="462"/>
      <c r="BH105" s="462"/>
      <c r="BI105" s="462"/>
      <c r="BJ105" s="462"/>
    </row>
    <row r="106" spans="1:62" ht="16.350000000000001" hidden="1" customHeight="1">
      <c r="A106" s="462"/>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c r="AM106" s="462"/>
      <c r="AN106" s="462"/>
      <c r="AO106" s="462"/>
      <c r="AP106" s="462"/>
      <c r="AQ106" s="462"/>
      <c r="AR106" s="462"/>
      <c r="AS106" s="462"/>
      <c r="AT106" s="462"/>
      <c r="AU106" s="462"/>
      <c r="AV106" s="462"/>
      <c r="AW106" s="462"/>
      <c r="AX106" s="462"/>
      <c r="AY106" s="462"/>
      <c r="AZ106" s="462"/>
      <c r="BA106" s="462"/>
      <c r="BB106" s="462"/>
      <c r="BC106" s="462"/>
      <c r="BD106" s="462"/>
      <c r="BE106" s="462"/>
      <c r="BF106" s="462"/>
      <c r="BG106" s="462"/>
      <c r="BH106" s="462"/>
      <c r="BI106" s="462"/>
      <c r="BJ106" s="462"/>
    </row>
    <row r="107" spans="1:62" ht="16.350000000000001" hidden="1" customHeight="1">
      <c r="A107" s="462"/>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c r="AM107" s="462"/>
      <c r="AN107" s="462"/>
      <c r="AO107" s="462"/>
      <c r="AP107" s="462"/>
      <c r="AQ107" s="462"/>
      <c r="AR107" s="462"/>
      <c r="AS107" s="462"/>
      <c r="AT107" s="462"/>
      <c r="AU107" s="462"/>
      <c r="AV107" s="462"/>
      <c r="AW107" s="462"/>
      <c r="AX107" s="462"/>
      <c r="AY107" s="462"/>
      <c r="AZ107" s="462"/>
      <c r="BA107" s="462"/>
      <c r="BB107" s="462"/>
      <c r="BC107" s="462"/>
      <c r="BD107" s="462"/>
      <c r="BE107" s="462"/>
      <c r="BF107" s="462"/>
      <c r="BG107" s="462"/>
      <c r="BH107" s="462"/>
      <c r="BI107" s="462"/>
      <c r="BJ107" s="462"/>
    </row>
    <row r="108" spans="1:62" ht="16.350000000000001" hidden="1" customHeight="1">
      <c r="A108" s="462"/>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c r="AM108" s="462"/>
      <c r="AN108" s="462"/>
      <c r="AO108" s="462"/>
      <c r="AP108" s="462"/>
      <c r="AQ108" s="462"/>
      <c r="AR108" s="462"/>
      <c r="AS108" s="462"/>
      <c r="AT108" s="462"/>
      <c r="AU108" s="462"/>
      <c r="AV108" s="462"/>
      <c r="AW108" s="462"/>
      <c r="AX108" s="462"/>
      <c r="AY108" s="462"/>
      <c r="AZ108" s="462"/>
      <c r="BA108" s="462"/>
      <c r="BB108" s="462"/>
      <c r="BC108" s="462"/>
      <c r="BD108" s="462"/>
      <c r="BE108" s="462"/>
      <c r="BF108" s="462"/>
      <c r="BG108" s="462"/>
      <c r="BH108" s="462"/>
      <c r="BI108" s="462"/>
      <c r="BJ108" s="462"/>
    </row>
    <row r="109" spans="1:62" ht="16.350000000000001" hidden="1" customHeight="1">
      <c r="A109" s="462"/>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c r="AM109" s="462"/>
      <c r="AN109" s="462"/>
      <c r="AO109" s="462"/>
      <c r="AP109" s="462"/>
      <c r="AQ109" s="462"/>
      <c r="AR109" s="462"/>
      <c r="AS109" s="462"/>
      <c r="AT109" s="462"/>
      <c r="AU109" s="462"/>
      <c r="AV109" s="462"/>
      <c r="AW109" s="462"/>
      <c r="AX109" s="462"/>
      <c r="AY109" s="462"/>
      <c r="AZ109" s="462"/>
      <c r="BA109" s="462"/>
      <c r="BB109" s="462"/>
      <c r="BC109" s="462"/>
      <c r="BD109" s="462"/>
      <c r="BE109" s="462"/>
      <c r="BF109" s="462"/>
      <c r="BG109" s="462"/>
      <c r="BH109" s="462"/>
      <c r="BI109" s="462"/>
      <c r="BJ109" s="462"/>
    </row>
    <row r="110" spans="1:62" ht="16.350000000000001" hidden="1" customHeight="1">
      <c r="A110" s="462"/>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c r="AM110" s="462"/>
      <c r="AN110" s="462"/>
      <c r="AO110" s="462"/>
      <c r="AP110" s="462"/>
      <c r="AQ110" s="462"/>
      <c r="AR110" s="462"/>
      <c r="AS110" s="462"/>
      <c r="AT110" s="462"/>
      <c r="AU110" s="462"/>
      <c r="AV110" s="462"/>
      <c r="AW110" s="462"/>
      <c r="AX110" s="462"/>
      <c r="AY110" s="462"/>
      <c r="AZ110" s="462"/>
      <c r="BA110" s="462"/>
      <c r="BB110" s="462"/>
      <c r="BC110" s="462"/>
      <c r="BD110" s="462"/>
      <c r="BE110" s="462"/>
      <c r="BF110" s="462"/>
      <c r="BG110" s="462"/>
      <c r="BH110" s="462"/>
      <c r="BI110" s="462"/>
      <c r="BJ110" s="462"/>
    </row>
    <row r="111" spans="1:62" ht="16.350000000000001" hidden="1" customHeight="1">
      <c r="A111" s="462"/>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c r="AM111" s="462"/>
      <c r="AN111" s="462"/>
      <c r="AO111" s="462"/>
      <c r="AP111" s="462"/>
      <c r="AQ111" s="462"/>
      <c r="AR111" s="462"/>
      <c r="AS111" s="462"/>
      <c r="AT111" s="462"/>
      <c r="AU111" s="462"/>
      <c r="AV111" s="462"/>
      <c r="AW111" s="462"/>
      <c r="AX111" s="462"/>
      <c r="AY111" s="462"/>
      <c r="AZ111" s="462"/>
      <c r="BA111" s="462"/>
      <c r="BB111" s="462"/>
      <c r="BC111" s="462"/>
      <c r="BD111" s="462"/>
      <c r="BE111" s="462"/>
      <c r="BF111" s="462"/>
      <c r="BG111" s="462"/>
      <c r="BH111" s="462"/>
      <c r="BI111" s="462"/>
      <c r="BJ111" s="462"/>
    </row>
    <row r="112" spans="1:62" ht="16.350000000000001" hidden="1" customHeight="1">
      <c r="A112" s="462"/>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c r="AM112" s="462"/>
      <c r="AN112" s="462"/>
      <c r="AO112" s="462"/>
      <c r="AP112" s="462"/>
      <c r="AQ112" s="462"/>
      <c r="AR112" s="462"/>
      <c r="AS112" s="462"/>
      <c r="AT112" s="462"/>
      <c r="AU112" s="462"/>
      <c r="AV112" s="462"/>
      <c r="AW112" s="462"/>
      <c r="AX112" s="462"/>
      <c r="AY112" s="462"/>
      <c r="AZ112" s="462"/>
      <c r="BA112" s="462"/>
      <c r="BB112" s="462"/>
      <c r="BC112" s="462"/>
      <c r="BD112" s="462"/>
      <c r="BE112" s="462"/>
      <c r="BF112" s="462"/>
      <c r="BG112" s="462"/>
      <c r="BH112" s="462"/>
      <c r="BI112" s="462"/>
      <c r="BJ112" s="462"/>
    </row>
    <row r="113" spans="1:62" ht="16.350000000000001" hidden="1" customHeight="1">
      <c r="A113" s="462"/>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c r="AM113" s="462"/>
      <c r="AN113" s="462"/>
      <c r="AO113" s="462"/>
      <c r="AP113" s="462"/>
      <c r="AQ113" s="462"/>
      <c r="AR113" s="462"/>
      <c r="AS113" s="462"/>
      <c r="AT113" s="462"/>
      <c r="AU113" s="462"/>
      <c r="AV113" s="462"/>
      <c r="AW113" s="462"/>
      <c r="AX113" s="462"/>
      <c r="AY113" s="462"/>
      <c r="AZ113" s="462"/>
      <c r="BA113" s="462"/>
      <c r="BB113" s="462"/>
      <c r="BC113" s="462"/>
      <c r="BD113" s="462"/>
      <c r="BE113" s="462"/>
      <c r="BF113" s="462"/>
      <c r="BG113" s="462"/>
      <c r="BH113" s="462"/>
      <c r="BI113" s="462"/>
      <c r="BJ113" s="462"/>
    </row>
    <row r="114" spans="1:62" ht="16.350000000000001" hidden="1" customHeight="1">
      <c r="A114" s="462"/>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c r="AM114" s="462"/>
      <c r="AN114" s="462"/>
      <c r="AO114" s="462"/>
      <c r="AP114" s="462"/>
      <c r="AQ114" s="462"/>
      <c r="AR114" s="462"/>
      <c r="AS114" s="462"/>
      <c r="AT114" s="462"/>
      <c r="AU114" s="462"/>
      <c r="AV114" s="462"/>
      <c r="AW114" s="462"/>
      <c r="AX114" s="462"/>
      <c r="AY114" s="462"/>
      <c r="AZ114" s="462"/>
      <c r="BA114" s="462"/>
      <c r="BB114" s="462"/>
      <c r="BC114" s="462"/>
      <c r="BD114" s="462"/>
      <c r="BE114" s="462"/>
      <c r="BF114" s="462"/>
      <c r="BG114" s="462"/>
      <c r="BH114" s="462"/>
      <c r="BI114" s="462"/>
      <c r="BJ114" s="462"/>
    </row>
    <row r="115" spans="1:62" ht="16.350000000000001" hidden="1" customHeight="1">
      <c r="A115" s="462"/>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c r="AM115" s="462"/>
      <c r="AN115" s="462"/>
      <c r="AO115" s="462"/>
      <c r="AP115" s="462"/>
      <c r="AQ115" s="462"/>
      <c r="AR115" s="462"/>
      <c r="AS115" s="462"/>
      <c r="AT115" s="462"/>
      <c r="AU115" s="462"/>
      <c r="AV115" s="462"/>
      <c r="AW115" s="462"/>
      <c r="AX115" s="462"/>
      <c r="AY115" s="462"/>
      <c r="AZ115" s="462"/>
      <c r="BA115" s="462"/>
      <c r="BB115" s="462"/>
      <c r="BC115" s="462"/>
      <c r="BD115" s="462"/>
      <c r="BE115" s="462"/>
      <c r="BF115" s="462"/>
      <c r="BG115" s="462"/>
      <c r="BH115" s="462"/>
      <c r="BI115" s="462"/>
      <c r="BJ115" s="462"/>
    </row>
    <row r="116" spans="1:62" ht="16.350000000000001" hidden="1" customHeight="1">
      <c r="A116" s="462"/>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c r="AM116" s="462"/>
      <c r="AN116" s="462"/>
      <c r="AO116" s="462"/>
      <c r="AP116" s="462"/>
      <c r="AQ116" s="462"/>
      <c r="AR116" s="462"/>
      <c r="AS116" s="462"/>
      <c r="AT116" s="462"/>
      <c r="AU116" s="462"/>
      <c r="AV116" s="462"/>
      <c r="AW116" s="462"/>
      <c r="AX116" s="462"/>
      <c r="AY116" s="462"/>
      <c r="AZ116" s="462"/>
      <c r="BA116" s="462"/>
      <c r="BB116" s="462"/>
      <c r="BC116" s="462"/>
      <c r="BD116" s="462"/>
      <c r="BE116" s="462"/>
      <c r="BF116" s="462"/>
      <c r="BG116" s="462"/>
      <c r="BH116" s="462"/>
      <c r="BI116" s="462"/>
      <c r="BJ116" s="462"/>
    </row>
    <row r="117" spans="1:62" ht="16.350000000000001" hidden="1" customHeight="1">
      <c r="A117" s="46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M117" s="462"/>
      <c r="AN117" s="462"/>
      <c r="AO117" s="462"/>
      <c r="AP117" s="462"/>
      <c r="AQ117" s="462"/>
      <c r="AR117" s="462"/>
      <c r="AS117" s="462"/>
      <c r="AT117" s="462"/>
      <c r="AU117" s="462"/>
      <c r="AV117" s="462"/>
      <c r="AW117" s="462"/>
      <c r="AX117" s="462"/>
      <c r="AY117" s="462"/>
      <c r="AZ117" s="462"/>
      <c r="BA117" s="462"/>
      <c r="BB117" s="462"/>
      <c r="BC117" s="462"/>
      <c r="BD117" s="462"/>
      <c r="BE117" s="462"/>
      <c r="BF117" s="462"/>
      <c r="BG117" s="462"/>
      <c r="BH117" s="462"/>
      <c r="BI117" s="462"/>
      <c r="BJ117" s="462"/>
    </row>
    <row r="118" spans="1:62" ht="16.350000000000001" hidden="1" customHeight="1">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row>
    <row r="119" spans="1:62" ht="16.350000000000001" hidden="1" customHeight="1">
      <c r="A119" s="462"/>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row>
    <row r="120" spans="1:62" ht="16.350000000000001" hidden="1" customHeight="1">
      <c r="A120" s="462"/>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c r="AD120" s="462"/>
      <c r="AE120" s="462"/>
      <c r="AF120" s="462"/>
      <c r="AG120" s="462"/>
      <c r="AH120" s="462"/>
      <c r="AI120" s="462"/>
      <c r="AJ120" s="462"/>
      <c r="AK120" s="462"/>
      <c r="AL120" s="462"/>
      <c r="AM120" s="462"/>
      <c r="AN120" s="462"/>
      <c r="AO120" s="462"/>
      <c r="AP120" s="462"/>
      <c r="AQ120" s="462"/>
      <c r="AR120" s="462"/>
      <c r="AS120" s="462"/>
      <c r="AT120" s="462"/>
      <c r="AU120" s="462"/>
      <c r="AV120" s="462"/>
      <c r="AW120" s="462"/>
      <c r="AX120" s="462"/>
      <c r="AY120" s="463"/>
      <c r="AZ120" s="464"/>
      <c r="BA120" s="464"/>
      <c r="BB120" s="464"/>
      <c r="BC120" s="463"/>
      <c r="BD120" s="463"/>
      <c r="BE120" s="463"/>
      <c r="BF120" s="464"/>
      <c r="BG120" s="462"/>
      <c r="BH120" s="462"/>
      <c r="BI120" s="462"/>
      <c r="BJ120" s="462"/>
    </row>
    <row r="121" spans="1:62" ht="16.350000000000001" hidden="1" customHeight="1">
      <c r="A121" s="462"/>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L121" s="462"/>
      <c r="AM121" s="462"/>
      <c r="AN121" s="462"/>
      <c r="AO121" s="462"/>
      <c r="AP121" s="462"/>
      <c r="AQ121" s="462"/>
      <c r="AR121" s="462"/>
      <c r="AS121" s="462"/>
      <c r="AT121" s="462"/>
      <c r="AU121" s="462"/>
      <c r="AV121" s="462"/>
      <c r="AW121" s="462"/>
      <c r="AX121" s="462"/>
      <c r="AY121" s="463"/>
      <c r="AZ121" s="464"/>
      <c r="BA121" s="464"/>
      <c r="BB121" s="464"/>
      <c r="BC121" s="463"/>
      <c r="BD121" s="463"/>
      <c r="BE121" s="463"/>
      <c r="BF121" s="464"/>
      <c r="BG121" s="462"/>
      <c r="BH121" s="462"/>
      <c r="BI121" s="462"/>
      <c r="BJ121" s="462"/>
    </row>
    <row r="122" spans="1:62" ht="16.350000000000001" hidden="1" customHeight="1">
      <c r="A122" s="462"/>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c r="AM122" s="462"/>
      <c r="AN122" s="462"/>
      <c r="AO122" s="462"/>
      <c r="AP122" s="462"/>
      <c r="AQ122" s="462"/>
      <c r="AR122" s="462"/>
      <c r="AS122" s="462"/>
      <c r="AT122" s="462"/>
      <c r="AU122" s="462"/>
      <c r="AV122" s="462"/>
      <c r="AW122" s="462"/>
      <c r="AX122" s="462"/>
      <c r="AY122" s="463"/>
      <c r="AZ122" s="464"/>
      <c r="BA122" s="464"/>
      <c r="BB122" s="464"/>
      <c r="BC122" s="463"/>
      <c r="BD122" s="463"/>
      <c r="BE122" s="463"/>
      <c r="BF122" s="464"/>
      <c r="BG122" s="462"/>
      <c r="BH122" s="462"/>
      <c r="BI122" s="462"/>
      <c r="BJ122" s="462"/>
    </row>
    <row r="123" spans="1:62" ht="16.350000000000001" hidden="1" customHeight="1">
      <c r="A123" s="462"/>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462"/>
      <c r="AH123" s="462"/>
      <c r="AI123" s="462"/>
      <c r="AJ123" s="462"/>
      <c r="AK123" s="462"/>
      <c r="AL123" s="462"/>
      <c r="AM123" s="462"/>
      <c r="AN123" s="462"/>
      <c r="AO123" s="462"/>
      <c r="AP123" s="462"/>
      <c r="AQ123" s="462"/>
      <c r="AR123" s="462"/>
      <c r="AS123" s="462"/>
      <c r="AT123" s="462"/>
      <c r="AU123" s="462"/>
      <c r="AV123" s="462"/>
      <c r="AW123" s="462"/>
      <c r="AX123" s="462"/>
      <c r="AY123" s="463"/>
      <c r="AZ123" s="464"/>
      <c r="BA123" s="464"/>
      <c r="BB123" s="464"/>
      <c r="BC123" s="463"/>
      <c r="BD123" s="463"/>
      <c r="BE123" s="463"/>
      <c r="BF123" s="464"/>
      <c r="BG123" s="462"/>
      <c r="BH123" s="462"/>
      <c r="BI123" s="462"/>
      <c r="BJ123" s="462"/>
    </row>
    <row r="124" spans="1:62" ht="16.350000000000001" hidden="1" customHeight="1">
      <c r="A124" s="462"/>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c r="AI124" s="462"/>
      <c r="AJ124" s="462"/>
      <c r="AK124" s="462"/>
      <c r="AL124" s="462"/>
      <c r="AM124" s="462"/>
      <c r="AN124" s="462"/>
      <c r="AO124" s="462"/>
      <c r="AP124" s="462"/>
      <c r="AQ124" s="462"/>
      <c r="AR124" s="462"/>
      <c r="AS124" s="462"/>
      <c r="AT124" s="462"/>
      <c r="AU124" s="462"/>
      <c r="AV124" s="462"/>
      <c r="AW124" s="462"/>
      <c r="AX124" s="462"/>
      <c r="AY124" s="463"/>
      <c r="AZ124" s="464"/>
      <c r="BA124" s="464"/>
      <c r="BB124" s="464"/>
      <c r="BC124" s="463"/>
      <c r="BD124" s="463"/>
      <c r="BE124" s="463"/>
      <c r="BF124" s="464"/>
      <c r="BG124" s="462"/>
      <c r="BH124" s="462"/>
      <c r="BI124" s="462"/>
      <c r="BJ124" s="462"/>
    </row>
    <row r="125" spans="1:62" ht="16.350000000000001" hidden="1" customHeight="1">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c r="AG125" s="462"/>
      <c r="AH125" s="462"/>
      <c r="AI125" s="462"/>
      <c r="AJ125" s="462"/>
      <c r="AK125" s="462"/>
      <c r="AL125" s="462"/>
      <c r="AM125" s="462"/>
      <c r="AN125" s="462"/>
      <c r="AO125" s="462"/>
      <c r="AP125" s="462"/>
      <c r="AQ125" s="462"/>
      <c r="AR125" s="462"/>
      <c r="AS125" s="462"/>
      <c r="AT125" s="462"/>
      <c r="AU125" s="462"/>
      <c r="AV125" s="462"/>
      <c r="AW125" s="462"/>
      <c r="AX125" s="462"/>
      <c r="AY125" s="463"/>
      <c r="AZ125" s="464"/>
      <c r="BA125" s="464"/>
      <c r="BB125" s="464"/>
      <c r="BC125" s="463"/>
      <c r="BD125" s="463"/>
      <c r="BE125" s="463"/>
      <c r="BF125" s="464"/>
      <c r="BG125" s="462"/>
      <c r="BH125" s="462"/>
      <c r="BI125" s="462"/>
      <c r="BJ125" s="462"/>
    </row>
    <row r="126" spans="1:62" ht="16.350000000000001" hidden="1" customHeight="1">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c r="AM126" s="462"/>
      <c r="AN126" s="462"/>
      <c r="AO126" s="462"/>
      <c r="AP126" s="462"/>
      <c r="AQ126" s="462"/>
      <c r="AR126" s="462"/>
      <c r="AS126" s="462"/>
      <c r="AT126" s="462"/>
      <c r="AU126" s="462"/>
      <c r="AV126" s="462"/>
      <c r="AW126" s="462"/>
      <c r="AX126" s="462"/>
      <c r="AY126" s="463"/>
      <c r="AZ126" s="464"/>
      <c r="BA126" s="464"/>
      <c r="BB126" s="464"/>
      <c r="BC126" s="463"/>
      <c r="BD126" s="463"/>
      <c r="BE126" s="463"/>
      <c r="BF126" s="464"/>
      <c r="BG126" s="462"/>
      <c r="BH126" s="462"/>
      <c r="BI126" s="462"/>
      <c r="BJ126" s="462"/>
    </row>
    <row r="127" spans="1:62" ht="16.350000000000001" hidden="1" customHeight="1">
      <c r="A127" s="462"/>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c r="AM127" s="462"/>
      <c r="AN127" s="462"/>
      <c r="AO127" s="462"/>
      <c r="AP127" s="462"/>
      <c r="AQ127" s="462"/>
      <c r="AR127" s="462"/>
      <c r="AS127" s="462"/>
      <c r="AT127" s="462"/>
      <c r="AU127" s="462"/>
      <c r="AV127" s="462"/>
      <c r="AW127" s="462"/>
      <c r="AX127" s="462"/>
      <c r="AY127" s="463"/>
      <c r="AZ127" s="464"/>
      <c r="BA127" s="464"/>
      <c r="BB127" s="464"/>
      <c r="BC127" s="463"/>
      <c r="BD127" s="463"/>
      <c r="BE127" s="463"/>
      <c r="BF127" s="464"/>
      <c r="BG127" s="462"/>
      <c r="BH127" s="462"/>
      <c r="BI127" s="462"/>
      <c r="BJ127" s="462"/>
    </row>
    <row r="128" spans="1:62" ht="16.350000000000001" hidden="1" customHeight="1">
      <c r="A128" s="46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c r="AM128" s="462"/>
      <c r="AN128" s="462"/>
      <c r="AO128" s="462"/>
      <c r="AP128" s="462"/>
      <c r="AQ128" s="462"/>
      <c r="AR128" s="462"/>
      <c r="AS128" s="462"/>
      <c r="AT128" s="462"/>
      <c r="AU128" s="462"/>
      <c r="AV128" s="462"/>
      <c r="AW128" s="462"/>
      <c r="AX128" s="462"/>
      <c r="AY128" s="463"/>
      <c r="AZ128" s="464"/>
      <c r="BA128" s="464"/>
      <c r="BB128" s="464"/>
      <c r="BC128" s="463"/>
      <c r="BD128" s="463"/>
      <c r="BE128" s="463"/>
      <c r="BF128" s="464"/>
      <c r="BG128" s="462"/>
      <c r="BH128" s="462"/>
      <c r="BI128" s="462"/>
      <c r="BJ128" s="462"/>
    </row>
    <row r="129" spans="1:62" ht="16.350000000000001" hidden="1" customHeight="1">
      <c r="A129" s="462"/>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c r="AL129" s="462"/>
      <c r="AM129" s="462"/>
      <c r="AN129" s="462"/>
      <c r="AO129" s="462"/>
      <c r="AP129" s="462"/>
      <c r="AQ129" s="462"/>
      <c r="AR129" s="462"/>
      <c r="AS129" s="462"/>
      <c r="AT129" s="462"/>
      <c r="AU129" s="462"/>
      <c r="AV129" s="462"/>
      <c r="AW129" s="462"/>
      <c r="AX129" s="462"/>
      <c r="AY129" s="463"/>
      <c r="AZ129" s="464"/>
      <c r="BA129" s="464"/>
      <c r="BB129" s="464"/>
      <c r="BC129" s="463"/>
      <c r="BD129" s="463"/>
      <c r="BE129" s="463"/>
      <c r="BF129" s="464"/>
      <c r="BG129" s="462"/>
      <c r="BH129" s="462"/>
      <c r="BI129" s="462"/>
      <c r="BJ129" s="462"/>
    </row>
    <row r="130" spans="1:62" ht="16.350000000000001" hidden="1" customHeight="1">
      <c r="A130" s="462"/>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c r="AL130" s="462"/>
      <c r="AM130" s="462"/>
      <c r="AN130" s="462"/>
      <c r="AO130" s="462"/>
      <c r="AP130" s="462"/>
      <c r="AQ130" s="462"/>
      <c r="AR130" s="462"/>
      <c r="AS130" s="462"/>
      <c r="AT130" s="462"/>
      <c r="AU130" s="462"/>
      <c r="AV130" s="462"/>
      <c r="AW130" s="462"/>
      <c r="AX130" s="462"/>
      <c r="AY130" s="463"/>
      <c r="AZ130" s="464"/>
      <c r="BA130" s="464"/>
      <c r="BB130" s="464"/>
      <c r="BC130" s="463"/>
      <c r="BD130" s="463"/>
      <c r="BE130" s="463"/>
      <c r="BF130" s="464"/>
      <c r="BG130" s="462"/>
      <c r="BH130" s="462"/>
      <c r="BI130" s="462"/>
      <c r="BJ130" s="462"/>
    </row>
    <row r="131" spans="1:62" ht="16.350000000000001" hidden="1" customHeight="1">
      <c r="A131" s="462"/>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c r="AL131" s="462"/>
      <c r="AM131" s="462"/>
      <c r="AN131" s="462"/>
      <c r="AO131" s="462"/>
      <c r="AP131" s="462"/>
      <c r="AQ131" s="462"/>
      <c r="AR131" s="462"/>
      <c r="AS131" s="462"/>
      <c r="AT131" s="462"/>
      <c r="AU131" s="462"/>
      <c r="AV131" s="462"/>
      <c r="AW131" s="462"/>
      <c r="AX131" s="462"/>
      <c r="AY131" s="463"/>
      <c r="AZ131" s="464"/>
      <c r="BA131" s="464"/>
      <c r="BB131" s="464"/>
      <c r="BC131" s="463"/>
      <c r="BD131" s="463"/>
      <c r="BE131" s="463"/>
      <c r="BF131" s="464"/>
      <c r="BG131" s="462"/>
      <c r="BH131" s="462"/>
      <c r="BI131" s="462"/>
      <c r="BJ131" s="462"/>
    </row>
    <row r="132" spans="1:62" ht="16.350000000000001" hidden="1" customHeight="1">
      <c r="A132" s="462"/>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c r="AB132" s="462"/>
      <c r="AC132" s="462"/>
      <c r="AD132" s="462"/>
      <c r="AE132" s="462"/>
      <c r="AF132" s="462"/>
      <c r="AG132" s="462"/>
      <c r="AH132" s="462"/>
      <c r="AI132" s="462"/>
      <c r="AJ132" s="462"/>
      <c r="AK132" s="462"/>
      <c r="AL132" s="462"/>
      <c r="AM132" s="462"/>
      <c r="AN132" s="462"/>
      <c r="AO132" s="462"/>
      <c r="AP132" s="462"/>
      <c r="AQ132" s="462"/>
      <c r="AR132" s="462"/>
      <c r="AS132" s="462"/>
      <c r="AT132" s="462"/>
      <c r="AU132" s="462"/>
      <c r="AV132" s="462"/>
      <c r="AW132" s="462"/>
      <c r="AX132" s="462"/>
      <c r="AY132" s="463"/>
      <c r="AZ132" s="464"/>
      <c r="BA132" s="464"/>
      <c r="BB132" s="464"/>
      <c r="BC132" s="463"/>
      <c r="BD132" s="463"/>
      <c r="BE132" s="463"/>
      <c r="BF132" s="464"/>
      <c r="BG132" s="462"/>
      <c r="BH132" s="462"/>
      <c r="BI132" s="462"/>
      <c r="BJ132" s="462"/>
    </row>
    <row r="133" spans="1:62" ht="16.350000000000001" hidden="1" customHeight="1">
      <c r="A133" s="462"/>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c r="AA133" s="462"/>
      <c r="AB133" s="462"/>
      <c r="AC133" s="462"/>
      <c r="AD133" s="462"/>
      <c r="AE133" s="462"/>
      <c r="AF133" s="462"/>
      <c r="AG133" s="462"/>
      <c r="AH133" s="462"/>
      <c r="AI133" s="462"/>
      <c r="AJ133" s="462"/>
      <c r="AK133" s="462"/>
      <c r="AL133" s="462"/>
      <c r="AM133" s="462"/>
      <c r="AN133" s="462"/>
      <c r="AO133" s="462"/>
      <c r="AP133" s="462"/>
      <c r="AQ133" s="462"/>
      <c r="AR133" s="462"/>
      <c r="AS133" s="462"/>
      <c r="AT133" s="462"/>
      <c r="AU133" s="462"/>
      <c r="AV133" s="462"/>
      <c r="AW133" s="462"/>
      <c r="AX133" s="462"/>
      <c r="AY133" s="463"/>
      <c r="AZ133" s="464"/>
      <c r="BA133" s="464"/>
      <c r="BB133" s="464"/>
      <c r="BC133" s="463"/>
      <c r="BD133" s="463"/>
      <c r="BE133" s="463"/>
      <c r="BF133" s="464"/>
      <c r="BG133" s="462"/>
      <c r="BH133" s="462"/>
      <c r="BI133" s="462"/>
      <c r="BJ133" s="462"/>
    </row>
    <row r="134" spans="1:62" ht="16.350000000000001" hidden="1" customHeight="1">
      <c r="A134" s="462"/>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c r="AB134" s="462"/>
      <c r="AC134" s="462"/>
      <c r="AD134" s="462"/>
      <c r="AE134" s="462"/>
      <c r="AF134" s="462"/>
      <c r="AG134" s="462"/>
      <c r="AH134" s="462"/>
      <c r="AI134" s="462"/>
      <c r="AJ134" s="462"/>
      <c r="AK134" s="462"/>
      <c r="AL134" s="462"/>
      <c r="AM134" s="462"/>
      <c r="AN134" s="462"/>
      <c r="AO134" s="462"/>
      <c r="AP134" s="462"/>
      <c r="AQ134" s="462"/>
      <c r="AR134" s="462"/>
      <c r="AS134" s="462"/>
      <c r="AT134" s="462"/>
      <c r="AU134" s="462"/>
      <c r="AV134" s="462"/>
      <c r="AW134" s="462"/>
      <c r="AX134" s="462"/>
      <c r="AY134" s="463"/>
      <c r="AZ134" s="464"/>
      <c r="BA134" s="464"/>
      <c r="BB134" s="464"/>
      <c r="BC134" s="463"/>
      <c r="BD134" s="463"/>
      <c r="BE134" s="463"/>
      <c r="BF134" s="464"/>
      <c r="BG134" s="462"/>
      <c r="BH134" s="462"/>
      <c r="BI134" s="462"/>
      <c r="BJ134" s="462"/>
    </row>
    <row r="135" spans="1:62" ht="16.350000000000001" hidden="1" customHeight="1">
      <c r="A135" s="462"/>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c r="AB135" s="462"/>
      <c r="AC135" s="462"/>
      <c r="AD135" s="462"/>
      <c r="AE135" s="462"/>
      <c r="AF135" s="462"/>
      <c r="AG135" s="462"/>
      <c r="AH135" s="462"/>
      <c r="AI135" s="462"/>
      <c r="AJ135" s="462"/>
      <c r="AK135" s="462"/>
      <c r="AL135" s="462"/>
      <c r="AM135" s="462"/>
      <c r="AN135" s="462"/>
      <c r="AO135" s="462"/>
      <c r="AP135" s="462"/>
      <c r="AQ135" s="462"/>
      <c r="AR135" s="462"/>
      <c r="AS135" s="462"/>
      <c r="AT135" s="462"/>
      <c r="AU135" s="462"/>
      <c r="AV135" s="462"/>
      <c r="AW135" s="462"/>
      <c r="AX135" s="462"/>
      <c r="AY135" s="463"/>
      <c r="AZ135" s="464"/>
      <c r="BA135" s="464"/>
      <c r="BB135" s="464"/>
      <c r="BC135" s="463"/>
      <c r="BD135" s="463"/>
      <c r="BE135" s="463"/>
      <c r="BF135" s="464"/>
      <c r="BG135" s="462"/>
      <c r="BH135" s="462"/>
      <c r="BI135" s="462"/>
      <c r="BJ135" s="462"/>
    </row>
    <row r="136" spans="1:62" ht="16.350000000000001" hidden="1" customHeight="1">
      <c r="A136" s="462"/>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c r="AL136" s="462"/>
      <c r="AM136" s="462"/>
      <c r="AN136" s="462"/>
      <c r="AO136" s="462"/>
      <c r="AP136" s="462"/>
      <c r="AQ136" s="462"/>
      <c r="AR136" s="462"/>
      <c r="AS136" s="462"/>
      <c r="AT136" s="462"/>
      <c r="AU136" s="462"/>
      <c r="AV136" s="462"/>
      <c r="AW136" s="462"/>
      <c r="AX136" s="462"/>
      <c r="AY136" s="463"/>
      <c r="AZ136" s="464"/>
      <c r="BA136" s="464"/>
      <c r="BB136" s="464"/>
      <c r="BC136" s="463"/>
      <c r="BD136" s="463"/>
      <c r="BE136" s="463"/>
      <c r="BF136" s="464"/>
      <c r="BG136" s="462"/>
      <c r="BH136" s="462"/>
      <c r="BI136" s="462"/>
      <c r="BJ136" s="462"/>
    </row>
    <row r="137" spans="1:62" ht="16.350000000000001" hidden="1" customHeight="1">
      <c r="A137" s="462"/>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c r="AL137" s="462"/>
      <c r="AM137" s="462"/>
      <c r="AN137" s="462"/>
      <c r="AO137" s="462"/>
      <c r="AP137" s="462"/>
      <c r="AQ137" s="462"/>
      <c r="AR137" s="462"/>
      <c r="AS137" s="462"/>
      <c r="AT137" s="462"/>
      <c r="AU137" s="462"/>
      <c r="AV137" s="462"/>
      <c r="AW137" s="462"/>
      <c r="AX137" s="462"/>
      <c r="AY137" s="463"/>
      <c r="AZ137" s="464"/>
      <c r="BA137" s="464"/>
      <c r="BB137" s="464"/>
      <c r="BC137" s="463"/>
      <c r="BD137" s="463"/>
      <c r="BE137" s="463"/>
      <c r="BF137" s="464"/>
      <c r="BG137" s="462"/>
      <c r="BH137" s="462"/>
      <c r="BI137" s="462"/>
      <c r="BJ137" s="462"/>
    </row>
    <row r="138" spans="1:62" ht="16.350000000000001" hidden="1" customHeight="1">
      <c r="A138" s="462"/>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c r="AL138" s="462"/>
      <c r="AM138" s="462"/>
      <c r="AN138" s="462"/>
      <c r="AO138" s="462"/>
      <c r="AP138" s="462"/>
      <c r="AQ138" s="462"/>
      <c r="AR138" s="462"/>
      <c r="AS138" s="462"/>
      <c r="AT138" s="462"/>
      <c r="AU138" s="462"/>
      <c r="AV138" s="462"/>
      <c r="AW138" s="462"/>
      <c r="AX138" s="462"/>
      <c r="AY138" s="463"/>
      <c r="AZ138" s="464"/>
      <c r="BA138" s="464"/>
      <c r="BB138" s="464"/>
      <c r="BC138" s="463"/>
      <c r="BD138" s="463"/>
      <c r="BE138" s="463"/>
      <c r="BF138" s="464"/>
      <c r="BG138" s="462"/>
      <c r="BH138" s="462"/>
      <c r="BI138" s="462"/>
      <c r="BJ138" s="462"/>
    </row>
    <row r="139" spans="1:62" ht="16.350000000000001" hidden="1" customHeight="1">
      <c r="A139" s="462"/>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c r="AL139" s="462"/>
      <c r="AM139" s="462"/>
      <c r="AN139" s="462"/>
      <c r="AO139" s="462"/>
      <c r="AP139" s="462"/>
      <c r="AQ139" s="462"/>
      <c r="AR139" s="462"/>
      <c r="AS139" s="462"/>
      <c r="AT139" s="462"/>
      <c r="AU139" s="462"/>
      <c r="AV139" s="462"/>
      <c r="AW139" s="462"/>
      <c r="AX139" s="462"/>
      <c r="AY139" s="463"/>
      <c r="AZ139" s="464"/>
      <c r="BA139" s="464"/>
      <c r="BB139" s="464"/>
      <c r="BC139" s="463"/>
      <c r="BD139" s="463"/>
      <c r="BE139" s="463"/>
      <c r="BF139" s="464"/>
      <c r="BG139" s="462"/>
      <c r="BH139" s="462"/>
      <c r="BI139" s="462"/>
      <c r="BJ139" s="462"/>
    </row>
    <row r="140" spans="1:62" ht="16.350000000000001" hidden="1" customHeight="1">
      <c r="A140" s="462"/>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c r="AL140" s="462"/>
      <c r="AM140" s="462"/>
      <c r="AN140" s="462"/>
      <c r="AO140" s="462"/>
      <c r="AP140" s="462"/>
      <c r="AQ140" s="462"/>
      <c r="AR140" s="462"/>
      <c r="AS140" s="462"/>
      <c r="AT140" s="462"/>
      <c r="AU140" s="462"/>
      <c r="AV140" s="462"/>
      <c r="AW140" s="462"/>
      <c r="AX140" s="462"/>
      <c r="AY140" s="463"/>
      <c r="AZ140" s="464"/>
      <c r="BA140" s="464"/>
      <c r="BB140" s="464"/>
      <c r="BC140" s="463"/>
      <c r="BD140" s="463"/>
      <c r="BE140" s="463"/>
      <c r="BF140" s="464"/>
      <c r="BG140" s="462"/>
      <c r="BH140" s="462"/>
      <c r="BI140" s="462"/>
      <c r="BJ140" s="462"/>
    </row>
    <row r="141" spans="1:62" ht="16.350000000000001" hidden="1" customHeight="1">
      <c r="A141" s="462"/>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c r="AL141" s="462"/>
      <c r="AM141" s="462"/>
      <c r="AN141" s="462"/>
      <c r="AO141" s="462"/>
      <c r="AP141" s="462"/>
      <c r="AQ141" s="462"/>
      <c r="AR141" s="462"/>
      <c r="AS141" s="462"/>
      <c r="AT141" s="462"/>
      <c r="AU141" s="462"/>
      <c r="AV141" s="462"/>
      <c r="AW141" s="462"/>
      <c r="AX141" s="462"/>
      <c r="AY141" s="463"/>
      <c r="AZ141" s="464"/>
      <c r="BA141" s="464"/>
      <c r="BB141" s="464"/>
      <c r="BC141" s="463"/>
      <c r="BD141" s="463"/>
      <c r="BE141" s="463"/>
      <c r="BF141" s="464"/>
      <c r="BG141" s="462"/>
      <c r="BH141" s="462"/>
      <c r="BI141" s="462"/>
      <c r="BJ141" s="462"/>
    </row>
    <row r="142" spans="1:62" ht="16.350000000000001" hidden="1" customHeight="1">
      <c r="A142" s="462"/>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c r="AL142" s="462"/>
      <c r="AM142" s="462"/>
      <c r="AN142" s="462"/>
      <c r="AO142" s="462"/>
      <c r="AP142" s="462"/>
      <c r="AQ142" s="462"/>
      <c r="AR142" s="462"/>
      <c r="AS142" s="462"/>
      <c r="AT142" s="462"/>
      <c r="AU142" s="462"/>
      <c r="AV142" s="462"/>
      <c r="AW142" s="462"/>
      <c r="AX142" s="462"/>
      <c r="AY142" s="463"/>
      <c r="AZ142" s="464"/>
      <c r="BA142" s="464"/>
      <c r="BB142" s="464"/>
      <c r="BC142" s="463"/>
      <c r="BD142" s="463"/>
      <c r="BE142" s="463"/>
      <c r="BF142" s="464"/>
      <c r="BG142" s="462"/>
      <c r="BH142" s="462"/>
      <c r="BI142" s="462"/>
      <c r="BJ142" s="462"/>
    </row>
    <row r="143" spans="1:62" ht="16.350000000000001" hidden="1" customHeight="1">
      <c r="A143" s="462"/>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c r="AL143" s="462"/>
      <c r="AM143" s="462"/>
      <c r="AN143" s="462"/>
      <c r="AO143" s="462"/>
      <c r="AP143" s="462"/>
      <c r="AQ143" s="462"/>
      <c r="AR143" s="462"/>
      <c r="AS143" s="462"/>
      <c r="AT143" s="462"/>
      <c r="AU143" s="462"/>
      <c r="AV143" s="462"/>
      <c r="AW143" s="462"/>
      <c r="AX143" s="462"/>
      <c r="AY143" s="463"/>
      <c r="AZ143" s="464"/>
      <c r="BA143" s="464"/>
      <c r="BB143" s="464"/>
      <c r="BC143" s="463"/>
      <c r="BD143" s="463"/>
      <c r="BE143" s="463"/>
      <c r="BF143" s="464"/>
      <c r="BG143" s="462"/>
      <c r="BH143" s="462"/>
      <c r="BI143" s="462"/>
      <c r="BJ143" s="462"/>
    </row>
    <row r="144" spans="1:62" ht="16.350000000000001" hidden="1" customHeight="1">
      <c r="A144" s="462"/>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c r="AL144" s="462"/>
      <c r="AM144" s="462"/>
      <c r="AN144" s="462"/>
      <c r="AO144" s="462"/>
      <c r="AP144" s="462"/>
      <c r="AQ144" s="462"/>
      <c r="AR144" s="462"/>
      <c r="AS144" s="462"/>
      <c r="AT144" s="462"/>
      <c r="AU144" s="462"/>
      <c r="AV144" s="462"/>
      <c r="AW144" s="462"/>
      <c r="AX144" s="462"/>
      <c r="AY144" s="463"/>
      <c r="AZ144" s="464"/>
      <c r="BA144" s="464"/>
      <c r="BB144" s="464"/>
      <c r="BC144" s="463"/>
      <c r="BD144" s="463"/>
      <c r="BE144" s="463"/>
      <c r="BF144" s="464"/>
      <c r="BG144" s="462"/>
      <c r="BH144" s="462"/>
      <c r="BI144" s="462"/>
      <c r="BJ144" s="462"/>
    </row>
    <row r="145" spans="1:62" ht="16.350000000000001" hidden="1" customHeight="1">
      <c r="A145" s="462"/>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c r="AA145" s="462"/>
      <c r="AB145" s="462"/>
      <c r="AC145" s="462"/>
      <c r="AD145" s="462"/>
      <c r="AE145" s="462"/>
      <c r="AF145" s="462"/>
      <c r="AG145" s="462"/>
      <c r="AH145" s="462"/>
      <c r="AI145" s="462"/>
      <c r="AJ145" s="462"/>
      <c r="AK145" s="462"/>
      <c r="AL145" s="462"/>
      <c r="AM145" s="462"/>
      <c r="AN145" s="462"/>
      <c r="AO145" s="462"/>
      <c r="AP145" s="462"/>
      <c r="AQ145" s="462"/>
      <c r="AR145" s="462"/>
      <c r="AS145" s="462"/>
      <c r="AT145" s="462"/>
      <c r="AU145" s="462"/>
      <c r="AV145" s="462"/>
      <c r="AW145" s="462"/>
      <c r="AX145" s="462"/>
      <c r="AY145" s="463"/>
      <c r="AZ145" s="464"/>
      <c r="BA145" s="464"/>
      <c r="BB145" s="464"/>
      <c r="BC145" s="463"/>
      <c r="BD145" s="463"/>
      <c r="BE145" s="463"/>
      <c r="BF145" s="464"/>
      <c r="BG145" s="462"/>
      <c r="BH145" s="462"/>
      <c r="BI145" s="462"/>
      <c r="BJ145" s="462"/>
    </row>
    <row r="146" spans="1:62" ht="16.350000000000001" hidden="1" customHeight="1">
      <c r="A146" s="462"/>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c r="AA146" s="462"/>
      <c r="AB146" s="462"/>
      <c r="AC146" s="462"/>
      <c r="AD146" s="462"/>
      <c r="AE146" s="462"/>
      <c r="AF146" s="462"/>
      <c r="AG146" s="462"/>
      <c r="AH146" s="462"/>
      <c r="AI146" s="462"/>
      <c r="AJ146" s="462"/>
      <c r="AK146" s="462"/>
      <c r="AL146" s="462"/>
      <c r="AM146" s="462"/>
      <c r="AN146" s="462"/>
      <c r="AO146" s="462"/>
      <c r="AP146" s="462"/>
      <c r="AQ146" s="462"/>
      <c r="AR146" s="462"/>
      <c r="AS146" s="462"/>
      <c r="AT146" s="462"/>
      <c r="AU146" s="462"/>
      <c r="AV146" s="462"/>
      <c r="AW146" s="462"/>
      <c r="AX146" s="462"/>
      <c r="AY146" s="463"/>
      <c r="AZ146" s="464"/>
      <c r="BA146" s="464"/>
      <c r="BB146" s="464"/>
      <c r="BC146" s="463"/>
      <c r="BD146" s="463"/>
      <c r="BE146" s="463"/>
      <c r="BF146" s="464"/>
      <c r="BG146" s="462"/>
      <c r="BH146" s="462"/>
      <c r="BI146" s="462"/>
      <c r="BJ146" s="462"/>
    </row>
    <row r="147" spans="1:62" ht="16.350000000000001" hidden="1" customHeight="1">
      <c r="A147" s="462"/>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c r="AA147" s="462"/>
      <c r="AB147" s="462"/>
      <c r="AC147" s="462"/>
      <c r="AD147" s="462"/>
      <c r="AE147" s="462"/>
      <c r="AF147" s="462"/>
      <c r="AG147" s="462"/>
      <c r="AH147" s="462"/>
      <c r="AI147" s="462"/>
      <c r="AJ147" s="462"/>
      <c r="AK147" s="462"/>
      <c r="AL147" s="462"/>
      <c r="AM147" s="462"/>
      <c r="AN147" s="462"/>
      <c r="AO147" s="462"/>
      <c r="AP147" s="462"/>
      <c r="AQ147" s="462"/>
      <c r="AR147" s="462"/>
      <c r="AS147" s="462"/>
      <c r="AT147" s="462"/>
      <c r="AU147" s="462"/>
      <c r="AV147" s="462"/>
      <c r="AW147" s="462"/>
      <c r="AX147" s="462"/>
      <c r="AY147" s="463"/>
      <c r="AZ147" s="464"/>
      <c r="BA147" s="464"/>
      <c r="BB147" s="464"/>
      <c r="BC147" s="463"/>
      <c r="BD147" s="463"/>
      <c r="BE147" s="463"/>
      <c r="BF147" s="464"/>
      <c r="BG147" s="462"/>
      <c r="BH147" s="462"/>
      <c r="BI147" s="462"/>
      <c r="BJ147" s="462"/>
    </row>
    <row r="148" spans="1:62" ht="16.350000000000001" hidden="1" customHeight="1">
      <c r="A148" s="462"/>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c r="AA148" s="462"/>
      <c r="AB148" s="462"/>
      <c r="AC148" s="462"/>
      <c r="AD148" s="462"/>
      <c r="AE148" s="462"/>
      <c r="AF148" s="462"/>
      <c r="AG148" s="462"/>
      <c r="AH148" s="462"/>
      <c r="AI148" s="462"/>
      <c r="AJ148" s="462"/>
      <c r="AK148" s="462"/>
      <c r="AL148" s="462"/>
      <c r="AM148" s="462"/>
      <c r="AN148" s="462"/>
      <c r="AO148" s="462"/>
      <c r="AP148" s="462"/>
      <c r="AQ148" s="462"/>
      <c r="AR148" s="462"/>
      <c r="AS148" s="462"/>
      <c r="AT148" s="462"/>
      <c r="AU148" s="462"/>
      <c r="AV148" s="462"/>
      <c r="AW148" s="462"/>
      <c r="AX148" s="462"/>
      <c r="AY148" s="463"/>
      <c r="AZ148" s="464"/>
      <c r="BA148" s="464"/>
      <c r="BB148" s="464"/>
      <c r="BC148" s="463"/>
      <c r="BD148" s="463"/>
      <c r="BE148" s="463"/>
      <c r="BF148" s="464"/>
      <c r="BG148" s="462"/>
      <c r="BH148" s="462"/>
      <c r="BI148" s="462"/>
      <c r="BJ148" s="462"/>
    </row>
    <row r="149" spans="1:62" ht="16.350000000000001" hidden="1" customHeight="1">
      <c r="A149" s="462"/>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c r="AC149" s="462"/>
      <c r="AD149" s="462"/>
      <c r="AE149" s="462"/>
      <c r="AF149" s="462"/>
      <c r="AG149" s="462"/>
      <c r="AH149" s="462"/>
      <c r="AI149" s="462"/>
      <c r="AJ149" s="462"/>
      <c r="AK149" s="462"/>
      <c r="AL149" s="462"/>
      <c r="AM149" s="462"/>
      <c r="AN149" s="462"/>
      <c r="AO149" s="462"/>
      <c r="AP149" s="462"/>
      <c r="AQ149" s="462"/>
      <c r="AR149" s="462"/>
      <c r="AS149" s="462"/>
      <c r="AT149" s="462"/>
      <c r="AU149" s="462"/>
      <c r="AV149" s="462"/>
      <c r="AW149" s="462"/>
      <c r="AX149" s="462"/>
      <c r="AY149" s="463"/>
      <c r="AZ149" s="464"/>
      <c r="BA149" s="464"/>
      <c r="BB149" s="464"/>
      <c r="BC149" s="463"/>
      <c r="BD149" s="463"/>
      <c r="BE149" s="463"/>
      <c r="BF149" s="464"/>
      <c r="BG149" s="462"/>
      <c r="BH149" s="462"/>
      <c r="BI149" s="462"/>
      <c r="BJ149" s="462"/>
    </row>
    <row r="150" spans="1:62" ht="16.350000000000001" hidden="1" customHeight="1">
      <c r="A150" s="462"/>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c r="AA150" s="462"/>
      <c r="AB150" s="462"/>
      <c r="AC150" s="462"/>
      <c r="AD150" s="462"/>
      <c r="AE150" s="462"/>
      <c r="AF150" s="462"/>
      <c r="AG150" s="462"/>
      <c r="AH150" s="462"/>
      <c r="AI150" s="462"/>
      <c r="AJ150" s="462"/>
      <c r="AK150" s="462"/>
      <c r="AL150" s="462"/>
      <c r="AM150" s="462"/>
      <c r="AN150" s="462"/>
      <c r="AO150" s="462"/>
      <c r="AP150" s="462"/>
      <c r="AQ150" s="462"/>
      <c r="AR150" s="462"/>
      <c r="AS150" s="462"/>
      <c r="AT150" s="462"/>
      <c r="AU150" s="462"/>
      <c r="AV150" s="462"/>
      <c r="AW150" s="462"/>
      <c r="AX150" s="462"/>
      <c r="AY150" s="463"/>
      <c r="AZ150" s="464"/>
      <c r="BA150" s="464"/>
      <c r="BB150" s="464"/>
      <c r="BC150" s="463"/>
      <c r="BD150" s="463"/>
      <c r="BE150" s="463"/>
      <c r="BF150" s="464"/>
      <c r="BG150" s="462"/>
      <c r="BH150" s="462"/>
      <c r="BI150" s="462"/>
      <c r="BJ150" s="462"/>
    </row>
    <row r="151" spans="1:62" ht="16.350000000000001" hidden="1" customHeight="1">
      <c r="A151" s="462"/>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c r="AA151" s="462"/>
      <c r="AB151" s="462"/>
      <c r="AC151" s="462"/>
      <c r="AD151" s="462"/>
      <c r="AE151" s="462"/>
      <c r="AF151" s="462"/>
      <c r="AG151" s="462"/>
      <c r="AH151" s="462"/>
      <c r="AI151" s="462"/>
      <c r="AJ151" s="462"/>
      <c r="AK151" s="462"/>
      <c r="AL151" s="462"/>
      <c r="AM151" s="462"/>
      <c r="AN151" s="462"/>
      <c r="AO151" s="462"/>
      <c r="AP151" s="462"/>
      <c r="AQ151" s="462"/>
      <c r="AR151" s="462"/>
      <c r="AS151" s="462"/>
      <c r="AT151" s="462"/>
      <c r="AU151" s="462"/>
      <c r="AV151" s="462"/>
      <c r="AW151" s="462"/>
      <c r="AX151" s="462"/>
      <c r="AY151" s="463"/>
      <c r="AZ151" s="464"/>
      <c r="BA151" s="464"/>
      <c r="BB151" s="464"/>
      <c r="BC151" s="463"/>
      <c r="BD151" s="463"/>
      <c r="BE151" s="463"/>
      <c r="BF151" s="464"/>
      <c r="BG151" s="462"/>
      <c r="BH151" s="462"/>
      <c r="BI151" s="462"/>
      <c r="BJ151" s="462"/>
    </row>
    <row r="152" spans="1:62" ht="16.350000000000001" hidden="1" customHeight="1">
      <c r="A152" s="462"/>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c r="AA152" s="462"/>
      <c r="AB152" s="462"/>
      <c r="AC152" s="462"/>
      <c r="AD152" s="462"/>
      <c r="AE152" s="462"/>
      <c r="AF152" s="462"/>
      <c r="AG152" s="462"/>
      <c r="AH152" s="462"/>
      <c r="AI152" s="462"/>
      <c r="AJ152" s="462"/>
      <c r="AK152" s="462"/>
      <c r="AL152" s="462"/>
      <c r="AM152" s="462"/>
      <c r="AN152" s="462"/>
      <c r="AO152" s="462"/>
      <c r="AP152" s="462"/>
      <c r="AQ152" s="462"/>
      <c r="AR152" s="462"/>
      <c r="AS152" s="462"/>
      <c r="AT152" s="462"/>
      <c r="AU152" s="462"/>
      <c r="AV152" s="462"/>
      <c r="AW152" s="462"/>
      <c r="AX152" s="462"/>
      <c r="AY152" s="463"/>
      <c r="AZ152" s="464"/>
      <c r="BA152" s="464"/>
      <c r="BB152" s="464"/>
      <c r="BC152" s="463"/>
      <c r="BD152" s="463"/>
      <c r="BE152" s="463"/>
      <c r="BF152" s="464"/>
      <c r="BG152" s="462"/>
      <c r="BH152" s="462"/>
      <c r="BI152" s="462"/>
      <c r="BJ152" s="462"/>
    </row>
    <row r="153" spans="1:62" ht="16.350000000000001" hidden="1" customHeight="1">
      <c r="A153" s="46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c r="AA153" s="462"/>
      <c r="AB153" s="462"/>
      <c r="AC153" s="462"/>
      <c r="AD153" s="462"/>
      <c r="AE153" s="462"/>
      <c r="AF153" s="462"/>
      <c r="AG153" s="462"/>
      <c r="AH153" s="462"/>
      <c r="AI153" s="462"/>
      <c r="AJ153" s="462"/>
      <c r="AK153" s="462"/>
      <c r="AL153" s="462"/>
      <c r="AM153" s="462"/>
      <c r="AN153" s="462"/>
      <c r="AO153" s="462"/>
      <c r="AP153" s="462"/>
      <c r="AQ153" s="462"/>
      <c r="AR153" s="462"/>
      <c r="AS153" s="462"/>
      <c r="AT153" s="462"/>
      <c r="AU153" s="462"/>
      <c r="AV153" s="462"/>
      <c r="AW153" s="462"/>
      <c r="AX153" s="462"/>
      <c r="AY153" s="463"/>
      <c r="AZ153" s="464"/>
      <c r="BA153" s="464"/>
      <c r="BB153" s="464"/>
      <c r="BC153" s="463"/>
      <c r="BD153" s="463"/>
      <c r="BE153" s="463"/>
      <c r="BF153" s="464"/>
      <c r="BG153" s="462"/>
      <c r="BH153" s="462"/>
      <c r="BI153" s="462"/>
      <c r="BJ153" s="462"/>
    </row>
    <row r="154" spans="1:62" ht="16.350000000000001" hidden="1" customHeight="1">
      <c r="A154" s="462"/>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c r="AA154" s="462"/>
      <c r="AB154" s="462"/>
      <c r="AC154" s="462"/>
      <c r="AD154" s="462"/>
      <c r="AE154" s="462"/>
      <c r="AF154" s="462"/>
      <c r="AG154" s="462"/>
      <c r="AH154" s="462"/>
      <c r="AI154" s="462"/>
      <c r="AJ154" s="462"/>
      <c r="AK154" s="462"/>
      <c r="AL154" s="462"/>
      <c r="AM154" s="462"/>
      <c r="AN154" s="462"/>
      <c r="AO154" s="462"/>
      <c r="AP154" s="462"/>
      <c r="AQ154" s="462"/>
      <c r="AR154" s="462"/>
      <c r="AS154" s="462"/>
      <c r="AT154" s="462"/>
      <c r="AU154" s="462"/>
      <c r="AV154" s="462"/>
      <c r="AW154" s="462"/>
      <c r="AX154" s="462"/>
      <c r="AY154" s="463"/>
      <c r="AZ154" s="464"/>
      <c r="BA154" s="464"/>
      <c r="BB154" s="464"/>
      <c r="BC154" s="463"/>
      <c r="BD154" s="463"/>
      <c r="BE154" s="463"/>
      <c r="BF154" s="464"/>
      <c r="BG154" s="462"/>
      <c r="BH154" s="462"/>
      <c r="BI154" s="462"/>
      <c r="BJ154" s="462"/>
    </row>
    <row r="155" spans="1:62" ht="16.350000000000001" hidden="1" customHeight="1">
      <c r="A155" s="462"/>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c r="AA155" s="462"/>
      <c r="AB155" s="462"/>
      <c r="AC155" s="462"/>
      <c r="AD155" s="462"/>
      <c r="AE155" s="462"/>
      <c r="AF155" s="462"/>
      <c r="AG155" s="462"/>
      <c r="AH155" s="462"/>
      <c r="AI155" s="462"/>
      <c r="AJ155" s="462"/>
      <c r="AK155" s="462"/>
      <c r="AL155" s="462"/>
      <c r="AM155" s="462"/>
      <c r="AN155" s="462"/>
      <c r="AO155" s="462"/>
      <c r="AP155" s="462"/>
      <c r="AQ155" s="462"/>
      <c r="AR155" s="462"/>
      <c r="AS155" s="462"/>
      <c r="AT155" s="462"/>
      <c r="AU155" s="462"/>
      <c r="AV155" s="462"/>
      <c r="AW155" s="462"/>
      <c r="AX155" s="462"/>
      <c r="AY155" s="463"/>
      <c r="AZ155" s="464"/>
      <c r="BA155" s="464"/>
      <c r="BB155" s="464"/>
      <c r="BC155" s="463"/>
      <c r="BD155" s="463"/>
      <c r="BE155" s="463"/>
      <c r="BF155" s="464"/>
      <c r="BG155" s="462"/>
      <c r="BH155" s="462"/>
      <c r="BI155" s="462"/>
      <c r="BJ155" s="462"/>
    </row>
    <row r="156" spans="1:62" ht="16.350000000000001" hidden="1" customHeight="1">
      <c r="A156" s="462"/>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c r="AA156" s="462"/>
      <c r="AB156" s="462"/>
      <c r="AC156" s="462"/>
      <c r="AD156" s="462"/>
      <c r="AE156" s="462"/>
      <c r="AF156" s="462"/>
      <c r="AG156" s="462"/>
      <c r="AH156" s="462"/>
      <c r="AI156" s="462"/>
      <c r="AJ156" s="462"/>
      <c r="AK156" s="462"/>
      <c r="AL156" s="462"/>
      <c r="AM156" s="462"/>
      <c r="AN156" s="462"/>
      <c r="AO156" s="462"/>
      <c r="AP156" s="462"/>
      <c r="AQ156" s="462"/>
      <c r="AR156" s="462"/>
      <c r="AS156" s="462"/>
      <c r="AT156" s="462"/>
      <c r="AU156" s="462"/>
      <c r="AV156" s="462"/>
      <c r="AW156" s="462"/>
      <c r="AX156" s="462"/>
      <c r="AY156" s="463"/>
      <c r="AZ156" s="464"/>
      <c r="BA156" s="464"/>
      <c r="BB156" s="464"/>
      <c r="BC156" s="463"/>
      <c r="BD156" s="463"/>
      <c r="BE156" s="463"/>
      <c r="BF156" s="464"/>
      <c r="BG156" s="462"/>
      <c r="BH156" s="462"/>
      <c r="BI156" s="462"/>
      <c r="BJ156" s="462"/>
    </row>
    <row r="157" spans="1:62" ht="16.350000000000001" hidden="1" customHeight="1">
      <c r="A157" s="462"/>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c r="AS157" s="462"/>
      <c r="AT157" s="462"/>
      <c r="AU157" s="462"/>
      <c r="AV157" s="462"/>
      <c r="AW157" s="462"/>
      <c r="AX157" s="462"/>
      <c r="AY157" s="463"/>
      <c r="AZ157" s="464"/>
      <c r="BA157" s="464"/>
      <c r="BB157" s="464"/>
      <c r="BC157" s="463"/>
      <c r="BD157" s="463"/>
      <c r="BE157" s="463"/>
      <c r="BF157" s="464"/>
      <c r="BG157" s="462"/>
      <c r="BH157" s="462"/>
      <c r="BI157" s="462"/>
      <c r="BJ157" s="462"/>
    </row>
    <row r="158" spans="1:62" ht="16.350000000000001" hidden="1" customHeight="1">
      <c r="A158" s="462"/>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c r="AB158" s="462"/>
      <c r="AC158" s="462"/>
      <c r="AD158" s="462"/>
      <c r="AE158" s="462"/>
      <c r="AF158" s="462"/>
      <c r="AG158" s="462"/>
      <c r="AH158" s="462"/>
      <c r="AI158" s="462"/>
      <c r="AJ158" s="462"/>
      <c r="AK158" s="462"/>
      <c r="AL158" s="462"/>
      <c r="AM158" s="462"/>
      <c r="AN158" s="462"/>
      <c r="AO158" s="462"/>
      <c r="AP158" s="462"/>
      <c r="AQ158" s="462"/>
      <c r="AR158" s="462"/>
      <c r="AS158" s="462"/>
      <c r="AT158" s="462"/>
      <c r="AU158" s="462"/>
      <c r="AV158" s="462"/>
      <c r="AW158" s="462"/>
      <c r="AX158" s="462"/>
      <c r="AY158" s="463"/>
      <c r="AZ158" s="464"/>
      <c r="BA158" s="464"/>
      <c r="BB158" s="464"/>
      <c r="BC158" s="463"/>
      <c r="BD158" s="463"/>
      <c r="BE158" s="463"/>
      <c r="BF158" s="464"/>
      <c r="BG158" s="462"/>
      <c r="BH158" s="462"/>
      <c r="BI158" s="462"/>
      <c r="BJ158" s="462"/>
    </row>
    <row r="159" spans="1:62" ht="16.350000000000001" hidden="1" customHeight="1">
      <c r="A159" s="462"/>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2"/>
      <c r="AN159" s="462"/>
      <c r="AO159" s="462"/>
      <c r="AP159" s="462"/>
      <c r="AQ159" s="462"/>
      <c r="AR159" s="462"/>
      <c r="AS159" s="462"/>
      <c r="AT159" s="462"/>
      <c r="AU159" s="462"/>
      <c r="AV159" s="462"/>
      <c r="AW159" s="462"/>
      <c r="AX159" s="462"/>
      <c r="AY159" s="463"/>
      <c r="AZ159" s="464"/>
      <c r="BA159" s="464"/>
      <c r="BB159" s="464"/>
      <c r="BC159" s="463"/>
      <c r="BD159" s="463"/>
      <c r="BE159" s="463"/>
      <c r="BF159" s="464"/>
      <c r="BG159" s="462"/>
      <c r="BH159" s="462"/>
      <c r="BI159" s="462"/>
      <c r="BJ159" s="462"/>
    </row>
    <row r="160" spans="1:62" ht="16.350000000000001" hidden="1" customHeight="1">
      <c r="A160" s="462"/>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c r="AA160" s="462"/>
      <c r="AB160" s="462"/>
      <c r="AC160" s="462"/>
      <c r="AD160" s="462"/>
      <c r="AE160" s="462"/>
      <c r="AF160" s="462"/>
      <c r="AG160" s="462"/>
      <c r="AH160" s="462"/>
      <c r="AI160" s="462"/>
      <c r="AJ160" s="462"/>
      <c r="AK160" s="462"/>
      <c r="AL160" s="462"/>
      <c r="AM160" s="462"/>
      <c r="AN160" s="462"/>
      <c r="AO160" s="462"/>
      <c r="AP160" s="462"/>
      <c r="AQ160" s="462"/>
      <c r="AR160" s="462"/>
      <c r="AS160" s="462"/>
      <c r="AT160" s="462"/>
      <c r="AU160" s="462"/>
      <c r="AV160" s="462"/>
      <c r="AW160" s="462"/>
      <c r="AX160" s="462"/>
      <c r="AY160" s="463"/>
      <c r="AZ160" s="464"/>
      <c r="BA160" s="464"/>
      <c r="BB160" s="464"/>
      <c r="BC160" s="463"/>
      <c r="BD160" s="463"/>
      <c r="BE160" s="463"/>
      <c r="BF160" s="464"/>
      <c r="BG160" s="462"/>
      <c r="BH160" s="462"/>
      <c r="BI160" s="462"/>
      <c r="BJ160" s="462"/>
    </row>
    <row r="161" spans="1:62" ht="16.350000000000001" hidden="1" customHeight="1">
      <c r="A161" s="462"/>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c r="AA161" s="462"/>
      <c r="AB161" s="462"/>
      <c r="AC161" s="462"/>
      <c r="AD161" s="462"/>
      <c r="AE161" s="462"/>
      <c r="AF161" s="462"/>
      <c r="AG161" s="462"/>
      <c r="AH161" s="462"/>
      <c r="AI161" s="462"/>
      <c r="AJ161" s="462"/>
      <c r="AK161" s="462"/>
      <c r="AL161" s="462"/>
      <c r="AM161" s="462"/>
      <c r="AN161" s="462"/>
      <c r="AO161" s="462"/>
      <c r="AP161" s="462"/>
      <c r="AQ161" s="462"/>
      <c r="AR161" s="462"/>
      <c r="AS161" s="462"/>
      <c r="AT161" s="462"/>
      <c r="AU161" s="462"/>
      <c r="AV161" s="462"/>
      <c r="AW161" s="462"/>
      <c r="AX161" s="462"/>
      <c r="AY161" s="463"/>
      <c r="AZ161" s="464"/>
      <c r="BA161" s="464"/>
      <c r="BB161" s="464"/>
      <c r="BC161" s="463"/>
      <c r="BD161" s="463"/>
      <c r="BE161" s="463"/>
      <c r="BF161" s="464"/>
      <c r="BG161" s="462"/>
      <c r="BH161" s="462"/>
      <c r="BI161" s="462"/>
      <c r="BJ161" s="462"/>
    </row>
    <row r="162" spans="1:62" ht="16.350000000000001" hidden="1" customHeight="1">
      <c r="A162" s="462"/>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c r="AB162" s="462"/>
      <c r="AC162" s="462"/>
      <c r="AD162" s="462"/>
      <c r="AE162" s="462"/>
      <c r="AF162" s="462"/>
      <c r="AG162" s="462"/>
      <c r="AH162" s="462"/>
      <c r="AI162" s="462"/>
      <c r="AJ162" s="462"/>
      <c r="AK162" s="462"/>
      <c r="AL162" s="462"/>
      <c r="AM162" s="462"/>
      <c r="AN162" s="462"/>
      <c r="AO162" s="462"/>
      <c r="AP162" s="462"/>
      <c r="AQ162" s="462"/>
      <c r="AR162" s="462"/>
      <c r="AS162" s="462"/>
      <c r="AT162" s="462"/>
      <c r="AU162" s="462"/>
      <c r="AV162" s="462"/>
      <c r="AW162" s="462"/>
      <c r="AX162" s="462"/>
      <c r="AY162" s="463"/>
      <c r="AZ162" s="464"/>
      <c r="BA162" s="464"/>
      <c r="BB162" s="464"/>
      <c r="BC162" s="463"/>
      <c r="BD162" s="463"/>
      <c r="BE162" s="463"/>
      <c r="BF162" s="464"/>
      <c r="BG162" s="462"/>
      <c r="BH162" s="462"/>
      <c r="BI162" s="462"/>
      <c r="BJ162" s="462"/>
    </row>
    <row r="163" spans="1:62" ht="16.350000000000001" hidden="1" customHeight="1">
      <c r="A163" s="462"/>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c r="AA163" s="462"/>
      <c r="AB163" s="462"/>
      <c r="AC163" s="462"/>
      <c r="AD163" s="462"/>
      <c r="AE163" s="462"/>
      <c r="AF163" s="462"/>
      <c r="AG163" s="462"/>
      <c r="AH163" s="462"/>
      <c r="AI163" s="462"/>
      <c r="AJ163" s="462"/>
      <c r="AK163" s="462"/>
      <c r="AL163" s="462"/>
      <c r="AM163" s="462"/>
      <c r="AN163" s="462"/>
      <c r="AO163" s="462"/>
      <c r="AP163" s="462"/>
      <c r="AQ163" s="462"/>
      <c r="AR163" s="462"/>
      <c r="AS163" s="462"/>
      <c r="AT163" s="462"/>
      <c r="AU163" s="462"/>
      <c r="AV163" s="462"/>
      <c r="AW163" s="462"/>
      <c r="AX163" s="462"/>
      <c r="AY163" s="463"/>
      <c r="AZ163" s="464"/>
      <c r="BA163" s="464"/>
      <c r="BB163" s="464"/>
      <c r="BC163" s="463"/>
      <c r="BD163" s="463"/>
      <c r="BE163" s="463"/>
      <c r="BF163" s="464"/>
      <c r="BG163" s="462"/>
      <c r="BH163" s="462"/>
      <c r="BI163" s="462"/>
      <c r="BJ163" s="462"/>
    </row>
    <row r="164" spans="1:62" ht="16.350000000000001" hidden="1" customHeight="1">
      <c r="A164" s="462"/>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c r="AA164" s="462"/>
      <c r="AB164" s="462"/>
      <c r="AC164" s="462"/>
      <c r="AD164" s="462"/>
      <c r="AE164" s="462"/>
      <c r="AF164" s="462"/>
      <c r="AG164" s="462"/>
      <c r="AH164" s="462"/>
      <c r="AI164" s="462"/>
      <c r="AJ164" s="462"/>
      <c r="AK164" s="462"/>
      <c r="AL164" s="462"/>
      <c r="AM164" s="462"/>
      <c r="AN164" s="462"/>
      <c r="AO164" s="462"/>
      <c r="AP164" s="462"/>
      <c r="AQ164" s="462"/>
      <c r="AR164" s="462"/>
      <c r="AS164" s="462"/>
      <c r="AT164" s="462"/>
      <c r="AU164" s="462"/>
      <c r="AV164" s="462"/>
      <c r="AW164" s="462"/>
      <c r="AX164" s="462"/>
      <c r="AY164" s="463"/>
      <c r="AZ164" s="464"/>
      <c r="BA164" s="464"/>
      <c r="BB164" s="464"/>
      <c r="BC164" s="463"/>
      <c r="BD164" s="463"/>
      <c r="BE164" s="463"/>
      <c r="BF164" s="464"/>
      <c r="BG164" s="462"/>
      <c r="BH164" s="462"/>
      <c r="BI164" s="462"/>
      <c r="BJ164" s="462"/>
    </row>
    <row r="165" spans="1:62" ht="16.350000000000001" hidden="1" customHeight="1">
      <c r="A165" s="462"/>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c r="AA165" s="462"/>
      <c r="AB165" s="462"/>
      <c r="AC165" s="462"/>
      <c r="AD165" s="462"/>
      <c r="AE165" s="462"/>
      <c r="AF165" s="462"/>
      <c r="AG165" s="462"/>
      <c r="AH165" s="462"/>
      <c r="AI165" s="462"/>
      <c r="AJ165" s="462"/>
      <c r="AK165" s="462"/>
      <c r="AL165" s="462"/>
      <c r="AM165" s="462"/>
      <c r="AN165" s="462"/>
      <c r="AO165" s="462"/>
      <c r="AP165" s="462"/>
      <c r="AQ165" s="462"/>
      <c r="AR165" s="462"/>
      <c r="AS165" s="462"/>
      <c r="AT165" s="462"/>
      <c r="AU165" s="462"/>
      <c r="AV165" s="462"/>
      <c r="AW165" s="462"/>
      <c r="AX165" s="462"/>
      <c r="AY165" s="463"/>
      <c r="AZ165" s="464"/>
      <c r="BA165" s="464"/>
      <c r="BB165" s="464"/>
      <c r="BC165" s="463"/>
      <c r="BD165" s="463"/>
      <c r="BE165" s="463"/>
      <c r="BF165" s="464"/>
      <c r="BG165" s="462"/>
      <c r="BH165" s="462"/>
      <c r="BI165" s="462"/>
      <c r="BJ165" s="462"/>
    </row>
    <row r="166" spans="1:62" ht="16.350000000000001" hidden="1" customHeight="1">
      <c r="A166" s="462"/>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c r="AB166" s="462"/>
      <c r="AC166" s="462"/>
      <c r="AD166" s="462"/>
      <c r="AE166" s="462"/>
      <c r="AF166" s="462"/>
      <c r="AG166" s="462"/>
      <c r="AH166" s="462"/>
      <c r="AI166" s="462"/>
      <c r="AJ166" s="462"/>
      <c r="AK166" s="462"/>
      <c r="AL166" s="462"/>
      <c r="AM166" s="462"/>
      <c r="AN166" s="462"/>
      <c r="AO166" s="462"/>
      <c r="AP166" s="462"/>
      <c r="AQ166" s="462"/>
      <c r="AR166" s="462"/>
      <c r="AS166" s="462"/>
      <c r="AT166" s="462"/>
      <c r="AU166" s="462"/>
      <c r="AV166" s="462"/>
      <c r="AW166" s="462"/>
      <c r="AX166" s="462"/>
      <c r="AY166" s="463"/>
      <c r="AZ166" s="464"/>
      <c r="BA166" s="464"/>
      <c r="BB166" s="464"/>
      <c r="BC166" s="463"/>
      <c r="BD166" s="463"/>
      <c r="BE166" s="463"/>
      <c r="BF166" s="464"/>
      <c r="BG166" s="462"/>
      <c r="BH166" s="462"/>
      <c r="BI166" s="462"/>
      <c r="BJ166" s="462"/>
    </row>
    <row r="167" spans="1:62" ht="16.350000000000001" hidden="1" customHeight="1">
      <c r="A167" s="462"/>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c r="AA167" s="462"/>
      <c r="AB167" s="462"/>
      <c r="AC167" s="462"/>
      <c r="AD167" s="462"/>
      <c r="AE167" s="462"/>
      <c r="AF167" s="462"/>
      <c r="AG167" s="462"/>
      <c r="AH167" s="462"/>
      <c r="AI167" s="462"/>
      <c r="AJ167" s="462"/>
      <c r="AK167" s="462"/>
      <c r="AL167" s="462"/>
      <c r="AM167" s="462"/>
      <c r="AN167" s="462"/>
      <c r="AO167" s="462"/>
      <c r="AP167" s="462"/>
      <c r="AQ167" s="462"/>
      <c r="AR167" s="462"/>
      <c r="AS167" s="462"/>
      <c r="AT167" s="462"/>
      <c r="AU167" s="462"/>
      <c r="AV167" s="462"/>
      <c r="AW167" s="462"/>
      <c r="AX167" s="462"/>
      <c r="AY167" s="463"/>
      <c r="AZ167" s="464"/>
      <c r="BA167" s="464"/>
      <c r="BB167" s="464"/>
      <c r="BC167" s="463"/>
      <c r="BD167" s="463"/>
      <c r="BE167" s="463"/>
      <c r="BF167" s="464"/>
      <c r="BG167" s="462"/>
      <c r="BH167" s="462"/>
      <c r="BI167" s="462"/>
      <c r="BJ167" s="462"/>
    </row>
    <row r="168" spans="1:62" ht="16.350000000000001" hidden="1" customHeight="1">
      <c r="A168" s="462"/>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c r="AA168" s="462"/>
      <c r="AB168" s="462"/>
      <c r="AC168" s="462"/>
      <c r="AD168" s="462"/>
      <c r="AE168" s="462"/>
      <c r="AF168" s="462"/>
      <c r="AG168" s="462"/>
      <c r="AH168" s="462"/>
      <c r="AI168" s="462"/>
      <c r="AJ168" s="462"/>
      <c r="AK168" s="462"/>
      <c r="AL168" s="462"/>
      <c r="AM168" s="462"/>
      <c r="AN168" s="462"/>
      <c r="AO168" s="462"/>
      <c r="AP168" s="462"/>
      <c r="AQ168" s="462"/>
      <c r="AR168" s="462"/>
      <c r="AS168" s="462"/>
      <c r="AT168" s="462"/>
      <c r="AU168" s="462"/>
      <c r="AV168" s="462"/>
      <c r="AW168" s="462"/>
      <c r="AX168" s="462"/>
      <c r="AY168" s="463"/>
      <c r="AZ168" s="464"/>
      <c r="BA168" s="464"/>
      <c r="BB168" s="464"/>
      <c r="BC168" s="463"/>
      <c r="BD168" s="463"/>
      <c r="BE168" s="463"/>
      <c r="BF168" s="464"/>
      <c r="BG168" s="462"/>
      <c r="BH168" s="462"/>
      <c r="BI168" s="462"/>
      <c r="BJ168" s="462"/>
    </row>
    <row r="169" spans="1:62" ht="16.350000000000001" hidden="1" customHeight="1">
      <c r="A169" s="462"/>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c r="AS169" s="462"/>
      <c r="AT169" s="462"/>
      <c r="AU169" s="462"/>
      <c r="AV169" s="462"/>
      <c r="AW169" s="462"/>
      <c r="AX169" s="462"/>
      <c r="AY169" s="463"/>
      <c r="AZ169" s="464"/>
      <c r="BA169" s="464"/>
      <c r="BB169" s="464"/>
      <c r="BC169" s="463"/>
      <c r="BD169" s="463"/>
      <c r="BE169" s="463"/>
      <c r="BF169" s="464"/>
      <c r="BG169" s="462"/>
      <c r="BH169" s="462"/>
      <c r="BI169" s="462"/>
      <c r="BJ169" s="462"/>
    </row>
    <row r="170" spans="1:62" ht="16.350000000000001" hidden="1" customHeight="1">
      <c r="A170" s="462"/>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c r="AA170" s="462"/>
      <c r="AB170" s="462"/>
      <c r="AC170" s="462"/>
      <c r="AD170" s="462"/>
      <c r="AE170" s="462"/>
      <c r="AF170" s="462"/>
      <c r="AG170" s="462"/>
      <c r="AH170" s="462"/>
      <c r="AI170" s="462"/>
      <c r="AJ170" s="462"/>
      <c r="AK170" s="462"/>
      <c r="AL170" s="462"/>
      <c r="AM170" s="462"/>
      <c r="AN170" s="462"/>
      <c r="AO170" s="462"/>
      <c r="AP170" s="462"/>
      <c r="AQ170" s="462"/>
      <c r="AR170" s="462"/>
      <c r="AS170" s="462"/>
      <c r="AT170" s="462"/>
      <c r="AU170" s="462"/>
      <c r="AV170" s="462"/>
      <c r="AW170" s="462"/>
      <c r="AX170" s="462"/>
      <c r="AY170" s="463"/>
      <c r="AZ170" s="464"/>
      <c r="BA170" s="464"/>
      <c r="BB170" s="464"/>
      <c r="BC170" s="463"/>
      <c r="BD170" s="463"/>
      <c r="BE170" s="463"/>
      <c r="BF170" s="464"/>
      <c r="BG170" s="462"/>
      <c r="BH170" s="462"/>
      <c r="BI170" s="462"/>
      <c r="BJ170" s="462"/>
    </row>
    <row r="171" spans="1:62" ht="16.350000000000001" hidden="1" customHeight="1">
      <c r="A171" s="462"/>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62"/>
      <c r="AL171" s="462"/>
      <c r="AM171" s="462"/>
      <c r="AN171" s="462"/>
      <c r="AO171" s="462"/>
      <c r="AP171" s="462"/>
      <c r="AQ171" s="462"/>
      <c r="AR171" s="462"/>
      <c r="AS171" s="462"/>
      <c r="AT171" s="462"/>
      <c r="AU171" s="462"/>
      <c r="AV171" s="462"/>
      <c r="AW171" s="462"/>
      <c r="AX171" s="462"/>
      <c r="AY171" s="463"/>
      <c r="AZ171" s="464"/>
      <c r="BA171" s="464"/>
      <c r="BB171" s="464"/>
      <c r="BC171" s="463"/>
      <c r="BD171" s="463"/>
      <c r="BE171" s="463"/>
      <c r="BF171" s="464"/>
      <c r="BG171" s="462"/>
      <c r="BH171" s="462"/>
      <c r="BI171" s="462"/>
      <c r="BJ171" s="462"/>
    </row>
    <row r="172" spans="1:62" ht="16.350000000000001" hidden="1" customHeight="1">
      <c r="A172" s="462"/>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c r="AA172" s="462"/>
      <c r="AB172" s="462"/>
      <c r="AC172" s="462"/>
      <c r="AD172" s="462"/>
      <c r="AE172" s="462"/>
      <c r="AF172" s="462"/>
      <c r="AG172" s="462"/>
      <c r="AH172" s="462"/>
      <c r="AI172" s="462"/>
      <c r="AJ172" s="462"/>
      <c r="AK172" s="462"/>
      <c r="AL172" s="462"/>
      <c r="AM172" s="462"/>
      <c r="AN172" s="462"/>
      <c r="AO172" s="462"/>
      <c r="AP172" s="462"/>
      <c r="AQ172" s="462"/>
      <c r="AR172" s="462"/>
      <c r="AS172" s="462"/>
      <c r="AT172" s="462"/>
      <c r="AU172" s="462"/>
      <c r="AV172" s="462"/>
      <c r="AW172" s="462"/>
      <c r="AX172" s="462"/>
      <c r="AY172" s="463"/>
      <c r="AZ172" s="464"/>
      <c r="BA172" s="464"/>
      <c r="BB172" s="464"/>
      <c r="BC172" s="463"/>
      <c r="BD172" s="463"/>
      <c r="BE172" s="463"/>
      <c r="BF172" s="464"/>
      <c r="BG172" s="462"/>
      <c r="BH172" s="462"/>
      <c r="BI172" s="462"/>
      <c r="BJ172" s="462"/>
    </row>
    <row r="173" spans="1:62" ht="16.350000000000001" hidden="1" customHeight="1">
      <c r="A173" s="462"/>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c r="AA173" s="462"/>
      <c r="AB173" s="462"/>
      <c r="AC173" s="462"/>
      <c r="AD173" s="462"/>
      <c r="AE173" s="462"/>
      <c r="AF173" s="462"/>
      <c r="AG173" s="462"/>
      <c r="AH173" s="462"/>
      <c r="AI173" s="462"/>
      <c r="AJ173" s="462"/>
      <c r="AK173" s="462"/>
      <c r="AL173" s="462"/>
      <c r="AM173" s="462"/>
      <c r="AN173" s="462"/>
      <c r="AO173" s="462"/>
      <c r="AP173" s="462"/>
      <c r="AQ173" s="462"/>
      <c r="AR173" s="462"/>
      <c r="AS173" s="462"/>
      <c r="AT173" s="462"/>
      <c r="AU173" s="462"/>
      <c r="AV173" s="462"/>
      <c r="AW173" s="462"/>
      <c r="AX173" s="462"/>
      <c r="AY173" s="463"/>
      <c r="AZ173" s="464"/>
      <c r="BA173" s="464"/>
      <c r="BB173" s="464"/>
      <c r="BC173" s="463"/>
      <c r="BD173" s="463"/>
      <c r="BE173" s="463"/>
      <c r="BF173" s="464"/>
      <c r="BG173" s="462"/>
      <c r="BH173" s="462"/>
      <c r="BI173" s="462"/>
      <c r="BJ173" s="462"/>
    </row>
    <row r="174" spans="1:62" ht="16.350000000000001" hidden="1" customHeight="1">
      <c r="A174" s="462"/>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c r="AA174" s="462"/>
      <c r="AB174" s="462"/>
      <c r="AC174" s="462"/>
      <c r="AD174" s="462"/>
      <c r="AE174" s="462"/>
      <c r="AF174" s="462"/>
      <c r="AG174" s="462"/>
      <c r="AH174" s="462"/>
      <c r="AI174" s="462"/>
      <c r="AJ174" s="462"/>
      <c r="AK174" s="462"/>
      <c r="AL174" s="462"/>
      <c r="AM174" s="462"/>
      <c r="AN174" s="462"/>
      <c r="AO174" s="462"/>
      <c r="AP174" s="462"/>
      <c r="AQ174" s="462"/>
      <c r="AR174" s="462"/>
      <c r="AS174" s="462"/>
      <c r="AT174" s="462"/>
      <c r="AU174" s="462"/>
      <c r="AV174" s="462"/>
      <c r="AW174" s="462"/>
      <c r="AX174" s="462"/>
      <c r="AY174" s="463"/>
      <c r="AZ174" s="464"/>
      <c r="BA174" s="464"/>
      <c r="BB174" s="464"/>
      <c r="BC174" s="463"/>
      <c r="BD174" s="463"/>
      <c r="BE174" s="463"/>
      <c r="BF174" s="464"/>
      <c r="BG174" s="462"/>
      <c r="BH174" s="462"/>
      <c r="BI174" s="462"/>
      <c r="BJ174" s="462"/>
    </row>
    <row r="175" spans="1:62" ht="16.350000000000001" hidden="1" customHeight="1">
      <c r="A175" s="462"/>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c r="AA175" s="462"/>
      <c r="AB175" s="462"/>
      <c r="AC175" s="462"/>
      <c r="AD175" s="462"/>
      <c r="AE175" s="462"/>
      <c r="AF175" s="462"/>
      <c r="AG175" s="462"/>
      <c r="AH175" s="462"/>
      <c r="AI175" s="462"/>
      <c r="AJ175" s="462"/>
      <c r="AK175" s="462"/>
      <c r="AL175" s="462"/>
      <c r="AM175" s="462"/>
      <c r="AN175" s="462"/>
      <c r="AO175" s="462"/>
      <c r="AP175" s="462"/>
      <c r="AQ175" s="462"/>
      <c r="AR175" s="462"/>
      <c r="AS175" s="462"/>
      <c r="AT175" s="462"/>
      <c r="AU175" s="462"/>
      <c r="AV175" s="462"/>
      <c r="AW175" s="462"/>
      <c r="AX175" s="462"/>
      <c r="AY175" s="463"/>
      <c r="AZ175" s="464"/>
      <c r="BA175" s="464"/>
      <c r="BB175" s="464"/>
      <c r="BC175" s="463"/>
      <c r="BD175" s="463"/>
      <c r="BE175" s="463"/>
      <c r="BF175" s="464"/>
      <c r="BG175" s="462"/>
      <c r="BH175" s="462"/>
      <c r="BI175" s="462"/>
      <c r="BJ175" s="462"/>
    </row>
    <row r="176" spans="1:62" ht="16.350000000000001" hidden="1" customHeight="1">
      <c r="A176" s="462"/>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c r="AA176" s="462"/>
      <c r="AB176" s="462"/>
      <c r="AC176" s="462"/>
      <c r="AD176" s="462"/>
      <c r="AE176" s="462"/>
      <c r="AF176" s="462"/>
      <c r="AG176" s="462"/>
      <c r="AH176" s="462"/>
      <c r="AI176" s="462"/>
      <c r="AJ176" s="462"/>
      <c r="AK176" s="462"/>
      <c r="AL176" s="462"/>
      <c r="AM176" s="462"/>
      <c r="AN176" s="462"/>
      <c r="AO176" s="462"/>
      <c r="AP176" s="462"/>
      <c r="AQ176" s="462"/>
      <c r="AR176" s="462"/>
      <c r="AS176" s="462"/>
      <c r="AT176" s="462"/>
      <c r="AU176" s="462"/>
      <c r="AV176" s="462"/>
      <c r="AW176" s="462"/>
      <c r="AX176" s="462"/>
      <c r="AY176" s="463"/>
      <c r="AZ176" s="464"/>
      <c r="BA176" s="464"/>
      <c r="BB176" s="464"/>
      <c r="BC176" s="463"/>
      <c r="BD176" s="463"/>
      <c r="BE176" s="463"/>
      <c r="BF176" s="464"/>
      <c r="BG176" s="462"/>
      <c r="BH176" s="462"/>
      <c r="BI176" s="462"/>
      <c r="BJ176" s="462"/>
    </row>
    <row r="177" spans="1:62" ht="16.350000000000001" hidden="1" customHeight="1">
      <c r="A177" s="462"/>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c r="AA177" s="462"/>
      <c r="AB177" s="462"/>
      <c r="AC177" s="462"/>
      <c r="AD177" s="462"/>
      <c r="AE177" s="462"/>
      <c r="AF177" s="462"/>
      <c r="AG177" s="462"/>
      <c r="AH177" s="462"/>
      <c r="AI177" s="462"/>
      <c r="AJ177" s="462"/>
      <c r="AK177" s="462"/>
      <c r="AL177" s="462"/>
      <c r="AM177" s="462"/>
      <c r="AN177" s="462"/>
      <c r="AO177" s="462"/>
      <c r="AP177" s="462"/>
      <c r="AQ177" s="462"/>
      <c r="AR177" s="462"/>
      <c r="AS177" s="462"/>
      <c r="AT177" s="462"/>
      <c r="AU177" s="462"/>
      <c r="AV177" s="462"/>
      <c r="AW177" s="462"/>
      <c r="AX177" s="462"/>
      <c r="AY177" s="463"/>
      <c r="AZ177" s="464"/>
      <c r="BA177" s="464"/>
      <c r="BB177" s="464"/>
      <c r="BC177" s="463"/>
      <c r="BD177" s="463"/>
      <c r="BE177" s="463"/>
      <c r="BF177" s="464"/>
      <c r="BG177" s="462"/>
      <c r="BH177" s="462"/>
      <c r="BI177" s="462"/>
      <c r="BJ177" s="462"/>
    </row>
    <row r="178" spans="1:62" ht="16.350000000000001" hidden="1" customHeight="1">
      <c r="A178" s="462"/>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c r="AA178" s="462"/>
      <c r="AB178" s="462"/>
      <c r="AC178" s="462"/>
      <c r="AD178" s="462"/>
      <c r="AE178" s="462"/>
      <c r="AF178" s="462"/>
      <c r="AG178" s="462"/>
      <c r="AH178" s="462"/>
      <c r="AI178" s="462"/>
      <c r="AJ178" s="462"/>
      <c r="AK178" s="462"/>
      <c r="AL178" s="462"/>
      <c r="AM178" s="462"/>
      <c r="AN178" s="462"/>
      <c r="AO178" s="462"/>
      <c r="AP178" s="462"/>
      <c r="AQ178" s="462"/>
      <c r="AR178" s="462"/>
      <c r="AS178" s="462"/>
      <c r="AT178" s="462"/>
      <c r="AU178" s="462"/>
      <c r="AV178" s="462"/>
      <c r="AW178" s="462"/>
      <c r="AX178" s="462"/>
      <c r="AY178" s="463"/>
      <c r="AZ178" s="464"/>
      <c r="BA178" s="464"/>
      <c r="BB178" s="464"/>
      <c r="BC178" s="463"/>
      <c r="BD178" s="463"/>
      <c r="BE178" s="463"/>
      <c r="BF178" s="464"/>
      <c r="BG178" s="462"/>
      <c r="BH178" s="462"/>
      <c r="BI178" s="462"/>
      <c r="BJ178" s="462"/>
    </row>
    <row r="179" spans="1:62" ht="16.350000000000001" hidden="1" customHeight="1">
      <c r="A179" s="462"/>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c r="AA179" s="462"/>
      <c r="AB179" s="462"/>
      <c r="AC179" s="462"/>
      <c r="AD179" s="462"/>
      <c r="AE179" s="462"/>
      <c r="AF179" s="462"/>
      <c r="AG179" s="462"/>
      <c r="AH179" s="462"/>
      <c r="AI179" s="462"/>
      <c r="AJ179" s="462"/>
      <c r="AK179" s="462"/>
      <c r="AL179" s="462"/>
      <c r="AM179" s="462"/>
      <c r="AN179" s="462"/>
      <c r="AO179" s="462"/>
      <c r="AP179" s="462"/>
      <c r="AQ179" s="462"/>
      <c r="AR179" s="462"/>
      <c r="AS179" s="462"/>
      <c r="AT179" s="462"/>
      <c r="AU179" s="462"/>
      <c r="AV179" s="462"/>
      <c r="AW179" s="462"/>
      <c r="AX179" s="462"/>
      <c r="AY179" s="463"/>
      <c r="AZ179" s="464"/>
      <c r="BA179" s="464"/>
      <c r="BB179" s="464"/>
      <c r="BC179" s="463"/>
      <c r="BD179" s="463"/>
      <c r="BE179" s="463"/>
      <c r="BF179" s="464"/>
      <c r="BG179" s="462"/>
      <c r="BH179" s="462"/>
      <c r="BI179" s="462"/>
      <c r="BJ179" s="462"/>
    </row>
    <row r="180" spans="1:62" ht="16.350000000000001" hidden="1" customHeight="1">
      <c r="A180" s="462"/>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c r="AA180" s="462"/>
      <c r="AB180" s="462"/>
      <c r="AC180" s="462"/>
      <c r="AD180" s="462"/>
      <c r="AE180" s="462"/>
      <c r="AF180" s="462"/>
      <c r="AG180" s="462"/>
      <c r="AH180" s="462"/>
      <c r="AI180" s="462"/>
      <c r="AJ180" s="462"/>
      <c r="AK180" s="462"/>
      <c r="AL180" s="462"/>
      <c r="AM180" s="462"/>
      <c r="AN180" s="462"/>
      <c r="AO180" s="462"/>
      <c r="AP180" s="462"/>
      <c r="AQ180" s="462"/>
      <c r="AR180" s="462"/>
      <c r="AS180" s="462"/>
      <c r="AT180" s="462"/>
      <c r="AU180" s="462"/>
      <c r="AV180" s="462"/>
      <c r="AW180" s="462"/>
      <c r="AX180" s="462"/>
      <c r="AY180" s="463"/>
      <c r="AZ180" s="464"/>
      <c r="BA180" s="464"/>
      <c r="BB180" s="464"/>
      <c r="BC180" s="463"/>
      <c r="BD180" s="463"/>
      <c r="BE180" s="463"/>
      <c r="BF180" s="464"/>
      <c r="BG180" s="462"/>
      <c r="BH180" s="462"/>
      <c r="BI180" s="462"/>
      <c r="BJ180" s="462"/>
    </row>
    <row r="181" spans="1:62" ht="16.350000000000001" hidden="1" customHeight="1">
      <c r="A181" s="462"/>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c r="AA181" s="462"/>
      <c r="AB181" s="462"/>
      <c r="AC181" s="462"/>
      <c r="AD181" s="462"/>
      <c r="AE181" s="462"/>
      <c r="AF181" s="462"/>
      <c r="AG181" s="462"/>
      <c r="AH181" s="462"/>
      <c r="AI181" s="462"/>
      <c r="AJ181" s="462"/>
      <c r="AK181" s="462"/>
      <c r="AL181" s="462"/>
      <c r="AM181" s="462"/>
      <c r="AN181" s="462"/>
      <c r="AO181" s="462"/>
      <c r="AP181" s="462"/>
      <c r="AQ181" s="462"/>
      <c r="AR181" s="462"/>
      <c r="AS181" s="462"/>
      <c r="AT181" s="462"/>
      <c r="AU181" s="462"/>
      <c r="AV181" s="462"/>
      <c r="AW181" s="462"/>
      <c r="AX181" s="462"/>
      <c r="AY181" s="463"/>
      <c r="AZ181" s="464"/>
      <c r="BA181" s="464"/>
      <c r="BB181" s="464"/>
      <c r="BC181" s="463"/>
      <c r="BD181" s="463"/>
      <c r="BE181" s="463"/>
      <c r="BF181" s="464"/>
      <c r="BG181" s="462"/>
      <c r="BH181" s="462"/>
      <c r="BI181" s="462"/>
      <c r="BJ181" s="462"/>
    </row>
    <row r="182" spans="1:62" ht="16.350000000000001" hidden="1" customHeight="1">
      <c r="A182" s="462"/>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2"/>
      <c r="AJ182" s="462"/>
      <c r="AK182" s="462"/>
      <c r="AL182" s="462"/>
      <c r="AM182" s="462"/>
      <c r="AN182" s="462"/>
      <c r="AO182" s="462"/>
      <c r="AP182" s="462"/>
      <c r="AQ182" s="462"/>
      <c r="AR182" s="462"/>
      <c r="AS182" s="462"/>
      <c r="AT182" s="462"/>
      <c r="AU182" s="462"/>
      <c r="AV182" s="462"/>
      <c r="AW182" s="462"/>
      <c r="AX182" s="462"/>
      <c r="AY182" s="463"/>
      <c r="AZ182" s="464"/>
      <c r="BA182" s="464"/>
      <c r="BB182" s="464"/>
      <c r="BC182" s="463"/>
      <c r="BD182" s="463"/>
      <c r="BE182" s="463"/>
      <c r="BF182" s="464"/>
      <c r="BG182" s="462"/>
      <c r="BH182" s="462"/>
      <c r="BI182" s="462"/>
      <c r="BJ182" s="462"/>
    </row>
    <row r="183" spans="1:62" ht="16.350000000000001" hidden="1" customHeight="1">
      <c r="A183" s="462"/>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c r="AA183" s="462"/>
      <c r="AB183" s="462"/>
      <c r="AC183" s="462"/>
      <c r="AD183" s="462"/>
      <c r="AE183" s="462"/>
      <c r="AF183" s="462"/>
      <c r="AG183" s="462"/>
      <c r="AH183" s="462"/>
      <c r="AI183" s="462"/>
      <c r="AJ183" s="462"/>
      <c r="AK183" s="462"/>
      <c r="AL183" s="462"/>
      <c r="AM183" s="462"/>
      <c r="AN183" s="462"/>
      <c r="AO183" s="462"/>
      <c r="AP183" s="462"/>
      <c r="AQ183" s="462"/>
      <c r="AR183" s="462"/>
      <c r="AS183" s="462"/>
      <c r="AT183" s="462"/>
      <c r="AU183" s="462"/>
      <c r="AV183" s="462"/>
      <c r="AW183" s="462"/>
      <c r="AX183" s="462"/>
      <c r="AY183" s="463"/>
      <c r="AZ183" s="464"/>
      <c r="BA183" s="464"/>
      <c r="BB183" s="464"/>
      <c r="BC183" s="463"/>
      <c r="BD183" s="463"/>
      <c r="BE183" s="463"/>
      <c r="BF183" s="464"/>
      <c r="BG183" s="462"/>
      <c r="BH183" s="462"/>
      <c r="BI183" s="462"/>
      <c r="BJ183" s="462"/>
    </row>
    <row r="184" spans="1:62" ht="16.350000000000001" hidden="1" customHeight="1">
      <c r="A184" s="462"/>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c r="AA184" s="462"/>
      <c r="AB184" s="462"/>
      <c r="AC184" s="462"/>
      <c r="AD184" s="462"/>
      <c r="AE184" s="462"/>
      <c r="AF184" s="462"/>
      <c r="AG184" s="462"/>
      <c r="AH184" s="462"/>
      <c r="AI184" s="462"/>
      <c r="AJ184" s="462"/>
      <c r="AK184" s="462"/>
      <c r="AL184" s="462"/>
      <c r="AM184" s="462"/>
      <c r="AN184" s="462"/>
      <c r="AO184" s="462"/>
      <c r="AP184" s="462"/>
      <c r="AQ184" s="462"/>
      <c r="AR184" s="462"/>
      <c r="AS184" s="462"/>
      <c r="AT184" s="462"/>
      <c r="AU184" s="462"/>
      <c r="AV184" s="462"/>
      <c r="AW184" s="462"/>
      <c r="AX184" s="462"/>
      <c r="AY184" s="463"/>
      <c r="AZ184" s="464"/>
      <c r="BA184" s="464"/>
      <c r="BB184" s="464"/>
      <c r="BC184" s="463"/>
      <c r="BD184" s="463"/>
      <c r="BE184" s="463"/>
      <c r="BF184" s="464"/>
      <c r="BG184" s="462"/>
      <c r="BH184" s="462"/>
      <c r="BI184" s="462"/>
      <c r="BJ184" s="462"/>
    </row>
    <row r="185" spans="1:62" ht="16.350000000000001" hidden="1" customHeight="1">
      <c r="A185" s="462"/>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c r="AA185" s="462"/>
      <c r="AB185" s="462"/>
      <c r="AC185" s="462"/>
      <c r="AD185" s="462"/>
      <c r="AE185" s="462"/>
      <c r="AF185" s="462"/>
      <c r="AG185" s="462"/>
      <c r="AH185" s="462"/>
      <c r="AI185" s="462"/>
      <c r="AJ185" s="462"/>
      <c r="AK185" s="462"/>
      <c r="AL185" s="462"/>
      <c r="AM185" s="462"/>
      <c r="AN185" s="462"/>
      <c r="AO185" s="462"/>
      <c r="AP185" s="462"/>
      <c r="AQ185" s="462"/>
      <c r="AR185" s="462"/>
      <c r="AS185" s="462"/>
      <c r="AT185" s="462"/>
      <c r="AU185" s="462"/>
      <c r="AV185" s="462"/>
      <c r="AW185" s="462"/>
      <c r="AX185" s="462"/>
      <c r="AY185" s="463"/>
      <c r="AZ185" s="464"/>
      <c r="BA185" s="464"/>
      <c r="BB185" s="464"/>
      <c r="BC185" s="463"/>
      <c r="BD185" s="463"/>
      <c r="BE185" s="463"/>
      <c r="BF185" s="464"/>
      <c r="BG185" s="462"/>
      <c r="BH185" s="462"/>
      <c r="BI185" s="462"/>
      <c r="BJ185" s="462"/>
    </row>
    <row r="186" spans="1:62" ht="16.350000000000001" hidden="1" customHeight="1">
      <c r="A186" s="462"/>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c r="AA186" s="462"/>
      <c r="AB186" s="462"/>
      <c r="AC186" s="462"/>
      <c r="AD186" s="462"/>
      <c r="AE186" s="462"/>
      <c r="AF186" s="462"/>
      <c r="AG186" s="462"/>
      <c r="AH186" s="462"/>
      <c r="AI186" s="462"/>
      <c r="AJ186" s="462"/>
      <c r="AK186" s="462"/>
      <c r="AL186" s="462"/>
      <c r="AM186" s="462"/>
      <c r="AN186" s="462"/>
      <c r="AO186" s="462"/>
      <c r="AP186" s="462"/>
      <c r="AQ186" s="462"/>
      <c r="AR186" s="462"/>
      <c r="AS186" s="462"/>
      <c r="AT186" s="462"/>
      <c r="AU186" s="462"/>
      <c r="AV186" s="462"/>
      <c r="AW186" s="462"/>
      <c r="AX186" s="462"/>
      <c r="AY186" s="463"/>
      <c r="AZ186" s="464"/>
      <c r="BA186" s="464"/>
      <c r="BB186" s="464"/>
      <c r="BC186" s="463"/>
      <c r="BD186" s="463"/>
      <c r="BE186" s="463"/>
      <c r="BF186" s="464"/>
      <c r="BG186" s="462"/>
      <c r="BH186" s="462"/>
      <c r="BI186" s="462"/>
      <c r="BJ186" s="462"/>
    </row>
    <row r="187" spans="1:62" ht="16.350000000000001" hidden="1" customHeight="1">
      <c r="A187" s="462"/>
      <c r="B187" s="462"/>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c r="AA187" s="462"/>
      <c r="AB187" s="462"/>
      <c r="AC187" s="462"/>
      <c r="AD187" s="462"/>
      <c r="AE187" s="462"/>
      <c r="AF187" s="462"/>
      <c r="AG187" s="462"/>
      <c r="AH187" s="462"/>
      <c r="AI187" s="462"/>
      <c r="AJ187" s="462"/>
      <c r="AK187" s="462"/>
      <c r="AL187" s="462"/>
      <c r="AM187" s="462"/>
      <c r="AN187" s="462"/>
      <c r="AO187" s="462"/>
      <c r="AP187" s="462"/>
      <c r="AQ187" s="462"/>
      <c r="AR187" s="462"/>
      <c r="AS187" s="462"/>
      <c r="AT187" s="462"/>
      <c r="AU187" s="462"/>
      <c r="AV187" s="462"/>
      <c r="AW187" s="462"/>
      <c r="AX187" s="462"/>
      <c r="AY187" s="463"/>
      <c r="AZ187" s="464"/>
      <c r="BA187" s="464"/>
      <c r="BB187" s="464"/>
      <c r="BC187" s="463"/>
      <c r="BD187" s="463"/>
      <c r="BE187" s="463"/>
      <c r="BF187" s="464"/>
      <c r="BG187" s="462"/>
      <c r="BH187" s="462"/>
      <c r="BI187" s="462"/>
      <c r="BJ187" s="462"/>
    </row>
    <row r="188" spans="1:62" ht="16.350000000000001" hidden="1" customHeight="1">
      <c r="A188" s="462"/>
      <c r="B188" s="462"/>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c r="AA188" s="462"/>
      <c r="AB188" s="462"/>
      <c r="AC188" s="462"/>
      <c r="AD188" s="462"/>
      <c r="AE188" s="462"/>
      <c r="AF188" s="462"/>
      <c r="AG188" s="462"/>
      <c r="AH188" s="462"/>
      <c r="AI188" s="462"/>
      <c r="AJ188" s="462"/>
      <c r="AK188" s="462"/>
      <c r="AL188" s="462"/>
      <c r="AM188" s="462"/>
      <c r="AN188" s="462"/>
      <c r="AO188" s="462"/>
      <c r="AP188" s="462"/>
      <c r="AQ188" s="462"/>
      <c r="AR188" s="462"/>
      <c r="AS188" s="462"/>
      <c r="AT188" s="462"/>
      <c r="AU188" s="462"/>
      <c r="AV188" s="462"/>
      <c r="AW188" s="462"/>
      <c r="AX188" s="462"/>
      <c r="AY188" s="463"/>
      <c r="AZ188" s="464"/>
      <c r="BA188" s="464"/>
      <c r="BB188" s="464"/>
      <c r="BC188" s="463"/>
      <c r="BD188" s="463"/>
      <c r="BE188" s="463"/>
      <c r="BF188" s="464"/>
      <c r="BG188" s="462"/>
      <c r="BH188" s="462"/>
      <c r="BI188" s="462"/>
      <c r="BJ188" s="462"/>
    </row>
    <row r="189" spans="1:62" ht="16.350000000000001" hidden="1" customHeight="1">
      <c r="A189" s="462"/>
      <c r="B189" s="462"/>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c r="AA189" s="462"/>
      <c r="AB189" s="462"/>
      <c r="AC189" s="462"/>
      <c r="AD189" s="462"/>
      <c r="AE189" s="462"/>
      <c r="AF189" s="462"/>
      <c r="AG189" s="462"/>
      <c r="AH189" s="462"/>
      <c r="AI189" s="462"/>
      <c r="AJ189" s="462"/>
      <c r="AK189" s="462"/>
      <c r="AL189" s="462"/>
      <c r="AM189" s="462"/>
      <c r="AN189" s="462"/>
      <c r="AO189" s="462"/>
      <c r="AP189" s="462"/>
      <c r="AQ189" s="462"/>
      <c r="AR189" s="462"/>
      <c r="AS189" s="462"/>
      <c r="AT189" s="462"/>
      <c r="AU189" s="462"/>
      <c r="AV189" s="462"/>
      <c r="AW189" s="462"/>
      <c r="AX189" s="462"/>
      <c r="AY189" s="463"/>
      <c r="AZ189" s="464"/>
      <c r="BA189" s="464"/>
      <c r="BB189" s="464"/>
      <c r="BC189" s="463"/>
      <c r="BD189" s="463"/>
      <c r="BE189" s="463"/>
      <c r="BF189" s="464"/>
      <c r="BG189" s="462"/>
      <c r="BH189" s="462"/>
      <c r="BI189" s="462"/>
      <c r="BJ189" s="462"/>
    </row>
    <row r="190" spans="1:62" ht="16.350000000000001" hidden="1" customHeight="1">
      <c r="A190" s="462"/>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2"/>
      <c r="AJ190" s="462"/>
      <c r="AK190" s="462"/>
      <c r="AL190" s="462"/>
      <c r="AM190" s="462"/>
      <c r="AN190" s="462"/>
      <c r="AO190" s="462"/>
      <c r="AP190" s="462"/>
      <c r="AQ190" s="462"/>
      <c r="AR190" s="462"/>
      <c r="AS190" s="462"/>
      <c r="AT190" s="462"/>
      <c r="AU190" s="462"/>
      <c r="AV190" s="462"/>
      <c r="AW190" s="462"/>
      <c r="AX190" s="462"/>
      <c r="AY190" s="463"/>
      <c r="AZ190" s="464"/>
      <c r="BA190" s="464"/>
      <c r="BB190" s="464"/>
      <c r="BC190" s="463"/>
      <c r="BD190" s="463"/>
      <c r="BE190" s="463"/>
      <c r="BF190" s="464"/>
      <c r="BG190" s="462"/>
      <c r="BH190" s="462"/>
      <c r="BI190" s="462"/>
      <c r="BJ190" s="462"/>
    </row>
    <row r="191" spans="1:62" ht="16.350000000000001" hidden="1" customHeight="1">
      <c r="A191" s="462"/>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c r="AA191" s="462"/>
      <c r="AB191" s="462"/>
      <c r="AC191" s="462"/>
      <c r="AD191" s="462"/>
      <c r="AE191" s="462"/>
      <c r="AF191" s="462"/>
      <c r="AG191" s="462"/>
      <c r="AH191" s="462"/>
      <c r="AI191" s="462"/>
      <c r="AJ191" s="462"/>
      <c r="AK191" s="462"/>
      <c r="AL191" s="462"/>
      <c r="AM191" s="462"/>
      <c r="AN191" s="462"/>
      <c r="AO191" s="462"/>
      <c r="AP191" s="462"/>
      <c r="AQ191" s="462"/>
      <c r="AR191" s="462"/>
      <c r="AS191" s="462"/>
      <c r="AT191" s="462"/>
      <c r="AU191" s="462"/>
      <c r="AV191" s="462"/>
      <c r="AW191" s="462"/>
      <c r="AX191" s="462"/>
      <c r="AY191" s="463"/>
      <c r="AZ191" s="464"/>
      <c r="BA191" s="464"/>
      <c r="BB191" s="464"/>
      <c r="BC191" s="463"/>
      <c r="BD191" s="463"/>
      <c r="BE191" s="463"/>
      <c r="BF191" s="464"/>
      <c r="BG191" s="462"/>
      <c r="BH191" s="462"/>
      <c r="BI191" s="462"/>
      <c r="BJ191" s="462"/>
    </row>
    <row r="192" spans="1:62" ht="16.350000000000001" hidden="1" customHeight="1">
      <c r="A192" s="462"/>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462"/>
      <c r="AG192" s="462"/>
      <c r="AH192" s="462"/>
      <c r="AI192" s="462"/>
      <c r="AJ192" s="462"/>
      <c r="AK192" s="462"/>
      <c r="AL192" s="462"/>
      <c r="AM192" s="462"/>
      <c r="AN192" s="462"/>
      <c r="AO192" s="462"/>
      <c r="AP192" s="462"/>
      <c r="AQ192" s="462"/>
      <c r="AR192" s="462"/>
      <c r="AS192" s="462"/>
      <c r="AT192" s="462"/>
      <c r="AU192" s="462"/>
      <c r="AV192" s="462"/>
      <c r="AW192" s="462"/>
      <c r="AX192" s="462"/>
      <c r="AY192" s="463"/>
      <c r="AZ192" s="464"/>
      <c r="BA192" s="464"/>
      <c r="BB192" s="464"/>
      <c r="BC192" s="463"/>
      <c r="BD192" s="463"/>
      <c r="BE192" s="463"/>
      <c r="BF192" s="464"/>
      <c r="BG192" s="462"/>
      <c r="BH192" s="462"/>
      <c r="BI192" s="462"/>
      <c r="BJ192" s="462"/>
    </row>
    <row r="193" spans="1:70" ht="16.350000000000001" hidden="1" customHeight="1">
      <c r="A193" s="462"/>
      <c r="B193" s="462"/>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c r="AA193" s="462"/>
      <c r="AB193" s="462"/>
      <c r="AC193" s="462"/>
      <c r="AD193" s="462"/>
      <c r="AE193" s="462"/>
      <c r="AF193" s="462"/>
      <c r="AG193" s="462"/>
      <c r="AH193" s="462"/>
      <c r="AI193" s="462"/>
      <c r="AJ193" s="462"/>
      <c r="AK193" s="462"/>
      <c r="AL193" s="462"/>
      <c r="AM193" s="462"/>
      <c r="AN193" s="462"/>
      <c r="AO193" s="462"/>
      <c r="AP193" s="462"/>
      <c r="AQ193" s="462"/>
      <c r="AR193" s="462"/>
      <c r="AS193" s="462"/>
      <c r="AT193" s="462"/>
      <c r="AU193" s="462"/>
      <c r="AV193" s="462"/>
      <c r="AW193" s="462"/>
      <c r="AX193" s="462"/>
      <c r="AY193" s="463"/>
      <c r="AZ193" s="464"/>
      <c r="BA193" s="464"/>
      <c r="BB193" s="464"/>
      <c r="BC193" s="463"/>
      <c r="BD193" s="463"/>
      <c r="BE193" s="463"/>
      <c r="BF193" s="464"/>
      <c r="BG193" s="462"/>
      <c r="BH193" s="462"/>
      <c r="BI193" s="462"/>
      <c r="BJ193" s="462"/>
    </row>
    <row r="194" spans="1:70" ht="16.350000000000001" hidden="1" customHeight="1">
      <c r="A194" s="462"/>
      <c r="B194" s="462"/>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c r="AA194" s="462"/>
      <c r="AB194" s="462"/>
      <c r="AC194" s="462"/>
      <c r="AD194" s="462"/>
      <c r="AE194" s="462"/>
      <c r="AF194" s="462"/>
      <c r="AG194" s="462"/>
      <c r="AH194" s="462"/>
      <c r="AI194" s="462"/>
      <c r="AJ194" s="462"/>
      <c r="AK194" s="462"/>
      <c r="AL194" s="462"/>
      <c r="AM194" s="462"/>
      <c r="AN194" s="462"/>
      <c r="AO194" s="462"/>
      <c r="AP194" s="462"/>
      <c r="AQ194" s="462"/>
      <c r="AR194" s="462"/>
      <c r="AS194" s="462"/>
      <c r="AT194" s="462"/>
      <c r="AU194" s="462"/>
      <c r="AV194" s="462"/>
      <c r="AW194" s="462"/>
      <c r="AX194" s="462"/>
      <c r="AY194" s="463"/>
      <c r="AZ194" s="464"/>
      <c r="BA194" s="464"/>
      <c r="BB194" s="464"/>
      <c r="BC194" s="463"/>
      <c r="BD194" s="463"/>
      <c r="BE194" s="463"/>
      <c r="BF194" s="464"/>
      <c r="BG194" s="462"/>
      <c r="BH194" s="462"/>
      <c r="BI194" s="462"/>
      <c r="BJ194" s="462"/>
    </row>
    <row r="195" spans="1:70" ht="16.350000000000001" hidden="1" customHeight="1">
      <c r="A195" s="462"/>
      <c r="B195" s="462"/>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c r="AA195" s="462"/>
      <c r="AB195" s="462"/>
      <c r="AC195" s="462"/>
      <c r="AD195" s="462"/>
      <c r="AE195" s="462"/>
      <c r="AF195" s="462"/>
      <c r="AG195" s="462"/>
      <c r="AH195" s="462"/>
      <c r="AI195" s="462"/>
      <c r="AJ195" s="462"/>
      <c r="AK195" s="462"/>
      <c r="AL195" s="462"/>
      <c r="AM195" s="462"/>
      <c r="AN195" s="462"/>
      <c r="AO195" s="462"/>
      <c r="AP195" s="462"/>
      <c r="AQ195" s="462"/>
      <c r="AR195" s="462"/>
      <c r="AS195" s="462"/>
      <c r="AT195" s="462"/>
      <c r="AU195" s="462"/>
      <c r="AV195" s="462"/>
      <c r="AW195" s="462"/>
      <c r="AX195" s="462"/>
      <c r="AY195" s="463"/>
      <c r="AZ195" s="464"/>
      <c r="BA195" s="464"/>
      <c r="BB195" s="464"/>
      <c r="BC195" s="463"/>
      <c r="BD195" s="463"/>
      <c r="BE195" s="463"/>
      <c r="BF195" s="464"/>
      <c r="BG195" s="462"/>
      <c r="BH195" s="462"/>
      <c r="BI195" s="462"/>
      <c r="BJ195" s="462"/>
    </row>
    <row r="196" spans="1:70" ht="16.350000000000001" hidden="1" customHeight="1">
      <c r="A196" s="462"/>
      <c r="B196" s="462"/>
      <c r="C196" s="462"/>
      <c r="D196" s="462"/>
      <c r="E196" s="462"/>
      <c r="F196" s="462"/>
      <c r="G196" s="462"/>
      <c r="H196" s="462"/>
      <c r="I196" s="462"/>
      <c r="J196" s="462"/>
      <c r="K196" s="462"/>
      <c r="L196" s="462"/>
      <c r="M196" s="462"/>
      <c r="N196" s="462"/>
      <c r="O196" s="1002"/>
      <c r="P196" s="1002"/>
      <c r="Q196" s="1002"/>
      <c r="R196" s="1002"/>
      <c r="S196" s="1002"/>
      <c r="T196" s="1002"/>
      <c r="U196" s="1002"/>
      <c r="V196" s="1002"/>
      <c r="W196" s="1002"/>
      <c r="X196" s="1002"/>
      <c r="Y196" s="1002"/>
      <c r="Z196" s="1002"/>
      <c r="AA196" s="1002"/>
      <c r="AB196" s="1002"/>
      <c r="AC196" s="1002"/>
      <c r="AD196" s="1002"/>
      <c r="AE196" s="1002"/>
      <c r="AF196" s="1002"/>
      <c r="AG196" s="1002"/>
      <c r="AH196" s="1002"/>
      <c r="AI196" s="1002"/>
      <c r="AJ196" s="1002"/>
      <c r="AK196" s="1002"/>
      <c r="AL196" s="1002"/>
      <c r="AM196" s="1002"/>
      <c r="AN196" s="1002"/>
      <c r="AO196" s="1002"/>
      <c r="AP196" s="1002"/>
      <c r="AQ196" s="1002"/>
      <c r="AR196" s="1002"/>
      <c r="AS196" s="1002"/>
      <c r="AT196" s="1002"/>
      <c r="AU196" s="1002"/>
      <c r="AV196" s="1002"/>
      <c r="AW196" s="1002"/>
      <c r="AX196" s="1002"/>
      <c r="AY196" s="1002"/>
      <c r="AZ196" s="462"/>
      <c r="BA196" s="462"/>
      <c r="BB196" s="462"/>
      <c r="BC196" s="462"/>
      <c r="BD196" s="462"/>
      <c r="BE196" s="462"/>
      <c r="BF196" s="462"/>
      <c r="BG196" s="462"/>
      <c r="BH196" s="462"/>
      <c r="BI196" s="462"/>
      <c r="BJ196" s="462"/>
    </row>
    <row r="197" spans="1:70" ht="16.350000000000001" hidden="1" customHeight="1">
      <c r="A197" s="462"/>
      <c r="B197" s="462"/>
      <c r="C197" s="462"/>
      <c r="D197" s="462"/>
      <c r="E197" s="462"/>
      <c r="F197" s="462"/>
      <c r="G197" s="462"/>
      <c r="H197" s="462"/>
      <c r="I197" s="462"/>
      <c r="J197" s="462"/>
      <c r="K197" s="462"/>
      <c r="L197" s="462"/>
      <c r="M197" s="462"/>
      <c r="N197" s="462"/>
      <c r="O197" s="1002"/>
      <c r="P197" s="1002"/>
      <c r="Q197" s="1002"/>
      <c r="R197" s="1002"/>
      <c r="S197" s="1002"/>
      <c r="T197" s="1002"/>
      <c r="U197" s="1002"/>
      <c r="V197" s="1002"/>
      <c r="W197" s="1002"/>
      <c r="X197" s="1002"/>
      <c r="Y197" s="1002"/>
      <c r="Z197" s="1002"/>
      <c r="AA197" s="1002"/>
      <c r="AB197" s="1002"/>
      <c r="AC197" s="1002"/>
      <c r="AD197" s="1002"/>
      <c r="AE197" s="1002"/>
      <c r="AF197" s="1002"/>
      <c r="AG197" s="1002"/>
      <c r="AH197" s="1002"/>
      <c r="AI197" s="1002"/>
      <c r="AJ197" s="1002"/>
      <c r="AK197" s="1002"/>
      <c r="AL197" s="1002"/>
      <c r="AM197" s="1002"/>
      <c r="AN197" s="1002"/>
      <c r="AO197" s="1002"/>
      <c r="AP197" s="1002"/>
      <c r="AQ197" s="1002"/>
      <c r="AR197" s="1002"/>
      <c r="AS197" s="1002"/>
      <c r="AT197" s="1002"/>
      <c r="AU197" s="1002"/>
      <c r="AV197" s="1002"/>
      <c r="AW197" s="1002"/>
      <c r="AX197" s="1002"/>
      <c r="AY197" s="1002"/>
      <c r="AZ197" s="462"/>
      <c r="BA197" s="462"/>
      <c r="BB197" s="462"/>
      <c r="BC197" s="462"/>
      <c r="BD197" s="462"/>
      <c r="BE197" s="462"/>
      <c r="BF197" s="462"/>
      <c r="BG197" s="462"/>
      <c r="BH197" s="462"/>
      <c r="BI197" s="462"/>
      <c r="BJ197" s="462"/>
    </row>
    <row r="198" spans="1:70" ht="16.350000000000001" hidden="1" customHeight="1">
      <c r="A198" s="462"/>
      <c r="B198" s="462"/>
      <c r="C198" s="462"/>
      <c r="D198" s="462"/>
      <c r="E198" s="462"/>
      <c r="F198" s="462"/>
      <c r="G198" s="462"/>
      <c r="H198" s="462"/>
      <c r="I198" s="462"/>
      <c r="J198" s="462"/>
      <c r="K198" s="462"/>
      <c r="L198" s="462"/>
      <c r="M198" s="462"/>
      <c r="N198" s="462"/>
      <c r="O198" s="1002"/>
      <c r="P198" s="1002"/>
      <c r="Q198" s="1002"/>
      <c r="R198" s="1002"/>
      <c r="S198" s="1002"/>
      <c r="T198" s="1002"/>
      <c r="U198" s="1002"/>
      <c r="V198" s="1002"/>
      <c r="W198" s="1002"/>
      <c r="X198" s="1002"/>
      <c r="Y198" s="1002"/>
      <c r="Z198" s="1002"/>
      <c r="AA198" s="1002"/>
      <c r="AB198" s="1002"/>
      <c r="AC198" s="1002"/>
      <c r="AD198" s="1002"/>
      <c r="AE198" s="1002"/>
      <c r="AF198" s="1002"/>
      <c r="AG198" s="1002"/>
      <c r="AH198" s="1002"/>
      <c r="AI198" s="1002"/>
      <c r="AJ198" s="1002"/>
      <c r="AK198" s="1002"/>
      <c r="AL198" s="1002"/>
      <c r="AM198" s="1002"/>
      <c r="AN198" s="1002"/>
      <c r="AO198" s="1002"/>
      <c r="AP198" s="1002"/>
      <c r="AQ198" s="1002"/>
      <c r="AR198" s="1002"/>
      <c r="AS198" s="1002"/>
      <c r="AT198" s="1002"/>
      <c r="AU198" s="1002"/>
      <c r="AV198" s="1002"/>
      <c r="AW198" s="1002"/>
      <c r="AX198" s="1002"/>
      <c r="AY198" s="1002"/>
      <c r="AZ198" s="1002"/>
      <c r="BA198" s="462"/>
      <c r="BB198" s="462"/>
      <c r="BC198" s="462"/>
      <c r="BD198" s="462"/>
      <c r="BE198" s="462"/>
      <c r="BF198" s="462"/>
      <c r="BG198" s="462"/>
      <c r="BH198" s="462"/>
      <c r="BI198" s="462"/>
      <c r="BJ198" s="462"/>
    </row>
    <row r="199" spans="1:70" ht="16.350000000000001" hidden="1" customHeight="1">
      <c r="A199" s="462"/>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c r="AA199" s="462"/>
      <c r="AB199" s="462"/>
      <c r="AC199" s="462"/>
      <c r="AD199" s="462"/>
      <c r="AE199" s="462"/>
      <c r="AF199" s="462"/>
      <c r="AG199" s="462"/>
      <c r="AH199" s="462"/>
      <c r="AI199" s="462"/>
      <c r="AJ199" s="462"/>
      <c r="AK199" s="462"/>
      <c r="AL199" s="462"/>
      <c r="AM199" s="462"/>
      <c r="AN199" s="462"/>
      <c r="AO199" s="462"/>
      <c r="AP199" s="462"/>
      <c r="AQ199" s="462"/>
      <c r="AR199" s="462"/>
      <c r="AS199" s="462"/>
      <c r="AT199" s="462"/>
      <c r="AU199" s="462"/>
      <c r="AV199" s="462"/>
      <c r="AW199" s="462"/>
      <c r="AX199" s="462"/>
      <c r="AY199" s="463"/>
      <c r="AZ199" s="464"/>
      <c r="BA199" s="464"/>
      <c r="BB199" s="464"/>
      <c r="BC199" s="463"/>
      <c r="BD199" s="463"/>
      <c r="BE199" s="463"/>
      <c r="BF199" s="464"/>
      <c r="BG199" s="462"/>
      <c r="BH199" s="462"/>
      <c r="BI199" s="462"/>
      <c r="BJ199" s="462"/>
    </row>
    <row r="200" spans="1:70"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68"/>
      <c r="BH200" s="569"/>
      <c r="BI200" s="569"/>
      <c r="BJ200" s="515"/>
      <c r="BK200" s="502"/>
      <c r="BL200" s="502"/>
      <c r="BM200" s="502"/>
      <c r="BN200" s="502"/>
      <c r="BO200" s="502"/>
      <c r="BP200" s="502"/>
      <c r="BQ200" s="502"/>
      <c r="BR200" s="502"/>
    </row>
    <row r="201" spans="1:70"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68"/>
      <c r="BH201" s="503"/>
      <c r="BI201" s="503"/>
      <c r="BJ201" s="515"/>
      <c r="BK201" s="502"/>
      <c r="BL201" s="502"/>
      <c r="BM201" s="502"/>
      <c r="BN201" s="502"/>
      <c r="BO201" s="502"/>
      <c r="BP201" s="502"/>
      <c r="BQ201" s="502"/>
      <c r="BR201" s="502"/>
    </row>
    <row r="202" spans="1:70"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68"/>
      <c r="BH202" s="503"/>
      <c r="BI202" s="503"/>
      <c r="BJ202" s="515"/>
      <c r="BK202" s="502"/>
      <c r="BL202" s="502"/>
      <c r="BM202" s="502"/>
      <c r="BN202" s="502"/>
      <c r="BO202" s="502"/>
      <c r="BP202" s="502"/>
      <c r="BQ202" s="502"/>
      <c r="BR202" s="502"/>
    </row>
    <row r="203" spans="1:70" ht="16.350000000000001" hidden="1" customHeight="1"/>
    <row r="204" spans="1:70" ht="16.350000000000001" hidden="1" customHeight="1"/>
  </sheetData>
  <sheetProtection algorithmName="SHA-512" hashValue="2WDmBK7mkfoqVo72HzOfCW6Q1FZsZ5MAhxe0Px24ToQSMUuAbKhxNweMErqvOpabKGqhXyH0nq13jOYJBqWWYQ==" saltValue="CmKFA3XGM46Ni/GIZeU1qw==" spinCount="100000" sheet="1" objects="1" scenarios="1" selectLockedCells="1"/>
  <mergeCells count="1003">
    <mergeCell ref="DF34:DF35"/>
    <mergeCell ref="DG34:DG35"/>
    <mergeCell ref="DH34:DH35"/>
    <mergeCell ref="DR34:DR35"/>
    <mergeCell ref="DS34:DS35"/>
    <mergeCell ref="DT34:DT35"/>
    <mergeCell ref="CD24:CD25"/>
    <mergeCell ref="CD16:CD17"/>
    <mergeCell ref="CY36:CY37"/>
    <mergeCell ref="CL16:CL17"/>
    <mergeCell ref="CM16:CM17"/>
    <mergeCell ref="CX30:CX31"/>
    <mergeCell ref="DW36:DW37"/>
    <mergeCell ref="DX36:DX37"/>
    <mergeCell ref="DN34:DN35"/>
    <mergeCell ref="DO34:DO35"/>
    <mergeCell ref="CZ34:CZ35"/>
    <mergeCell ref="CZ36:CZ37"/>
    <mergeCell ref="CY32:CY33"/>
    <mergeCell ref="CY34:CY35"/>
    <mergeCell ref="DN36:DN37"/>
    <mergeCell ref="DO36:DO37"/>
    <mergeCell ref="DP36:DP37"/>
    <mergeCell ref="DQ36:DQ37"/>
    <mergeCell ref="DR36:DR37"/>
    <mergeCell ref="DS36:DS37"/>
    <mergeCell ref="DT36:DT37"/>
    <mergeCell ref="DU36:DU37"/>
    <mergeCell ref="DV36:DV37"/>
    <mergeCell ref="DE36:DE37"/>
    <mergeCell ref="DF36:DF37"/>
    <mergeCell ref="DG36:DG37"/>
    <mergeCell ref="DU24:DU25"/>
    <mergeCell ref="DV24:DV25"/>
    <mergeCell ref="DL36:DL37"/>
    <mergeCell ref="DM36:DM37"/>
    <mergeCell ref="DE34:DE35"/>
    <mergeCell ref="DV30:DV31"/>
    <mergeCell ref="DW30:DW31"/>
    <mergeCell ref="DX30:DX31"/>
    <mergeCell ref="DI34:DI35"/>
    <mergeCell ref="DJ34:DJ35"/>
    <mergeCell ref="DK34:DK35"/>
    <mergeCell ref="DL34:DL35"/>
    <mergeCell ref="DM34:DM35"/>
    <mergeCell ref="CZ16:CZ17"/>
    <mergeCell ref="CZ18:CZ19"/>
    <mergeCell ref="CZ20:CZ21"/>
    <mergeCell ref="CZ22:CZ23"/>
    <mergeCell ref="CZ24:CZ25"/>
    <mergeCell ref="CZ26:CZ27"/>
    <mergeCell ref="CZ28:CZ29"/>
    <mergeCell ref="CZ30:CZ31"/>
    <mergeCell ref="DX28:DX29"/>
    <mergeCell ref="DW32:DW33"/>
    <mergeCell ref="DX32:DX33"/>
    <mergeCell ref="DG32:DG33"/>
    <mergeCell ref="DH32:DH33"/>
    <mergeCell ref="DI32:DI33"/>
    <mergeCell ref="DJ32:DJ33"/>
    <mergeCell ref="DK32:DK33"/>
    <mergeCell ref="DL32:DL33"/>
    <mergeCell ref="DM32:DM33"/>
    <mergeCell ref="DN32:DN33"/>
    <mergeCell ref="DW34:DW35"/>
    <mergeCell ref="DX34:DX35"/>
    <mergeCell ref="DL26:DL27"/>
    <mergeCell ref="DM26:DM27"/>
    <mergeCell ref="DN26:DN27"/>
    <mergeCell ref="DO26:DO27"/>
    <mergeCell ref="DP26:DP27"/>
    <mergeCell ref="DQ26:DQ27"/>
    <mergeCell ref="DR26:DR27"/>
    <mergeCell ref="DS26:DS27"/>
    <mergeCell ref="DT26:DT27"/>
    <mergeCell ref="DU26:DU27"/>
    <mergeCell ref="DV26:DV27"/>
    <mergeCell ref="DW26:DW27"/>
    <mergeCell ref="DX26:DX27"/>
    <mergeCell ref="DV28:DV29"/>
    <mergeCell ref="DW28:DW29"/>
    <mergeCell ref="DU30:DU31"/>
    <mergeCell ref="DO30:DO31"/>
    <mergeCell ref="DP34:DP35"/>
    <mergeCell ref="DQ34:DQ35"/>
    <mergeCell ref="DU28:DU29"/>
    <mergeCell ref="DT32:DT33"/>
    <mergeCell ref="DU32:DU33"/>
    <mergeCell ref="DV32:DV33"/>
    <mergeCell ref="DO32:DO33"/>
    <mergeCell ref="DN30:DN31"/>
    <mergeCell ref="DE28:DE29"/>
    <mergeCell ref="DF28:DF29"/>
    <mergeCell ref="DG28:DG29"/>
    <mergeCell ref="DH28:DH29"/>
    <mergeCell ref="DI28:DI29"/>
    <mergeCell ref="DJ28:DJ29"/>
    <mergeCell ref="DK28:DK29"/>
    <mergeCell ref="DL28:DL29"/>
    <mergeCell ref="DM28:DM29"/>
    <mergeCell ref="DN28:DN29"/>
    <mergeCell ref="DO28:DO29"/>
    <mergeCell ref="DP28:DP29"/>
    <mergeCell ref="DQ28:DQ29"/>
    <mergeCell ref="DR28:DR29"/>
    <mergeCell ref="DS28:DS29"/>
    <mergeCell ref="DT28:DT29"/>
    <mergeCell ref="DO24:DO25"/>
    <mergeCell ref="DP24:DP25"/>
    <mergeCell ref="DQ24:DQ25"/>
    <mergeCell ref="DR24:DR25"/>
    <mergeCell ref="DS24:DS25"/>
    <mergeCell ref="DT24:DT25"/>
    <mergeCell ref="DE24:DE25"/>
    <mergeCell ref="DF24:DF25"/>
    <mergeCell ref="DG24:DG25"/>
    <mergeCell ref="DH24:DH25"/>
    <mergeCell ref="DI24:DI25"/>
    <mergeCell ref="DJ24:DJ25"/>
    <mergeCell ref="DK24:DK25"/>
    <mergeCell ref="DL24:DL25"/>
    <mergeCell ref="DM24:DM25"/>
    <mergeCell ref="DN24:DN25"/>
    <mergeCell ref="DX20:DX21"/>
    <mergeCell ref="DM18:DM19"/>
    <mergeCell ref="DN18:DN19"/>
    <mergeCell ref="DO22:DO23"/>
    <mergeCell ref="DP22:DP23"/>
    <mergeCell ref="DQ22:DQ23"/>
    <mergeCell ref="DR22:DR23"/>
    <mergeCell ref="DS22:DS23"/>
    <mergeCell ref="DT22:DT23"/>
    <mergeCell ref="DU22:DU23"/>
    <mergeCell ref="DV18:DV19"/>
    <mergeCell ref="DO18:DO19"/>
    <mergeCell ref="DP18:DP19"/>
    <mergeCell ref="DQ18:DQ19"/>
    <mergeCell ref="DR18:DR19"/>
    <mergeCell ref="DS18:DS19"/>
    <mergeCell ref="DT18:DT19"/>
    <mergeCell ref="DU18:DU19"/>
    <mergeCell ref="DV22:DV23"/>
    <mergeCell ref="DW22:DW23"/>
    <mergeCell ref="DX22:DX23"/>
    <mergeCell ref="DU20:DU21"/>
    <mergeCell ref="DV20:DV21"/>
    <mergeCell ref="DW20:DW21"/>
    <mergeCell ref="DN22:DN23"/>
    <mergeCell ref="DW24:DW25"/>
    <mergeCell ref="DX24:DX25"/>
    <mergeCell ref="DM22:DM23"/>
    <mergeCell ref="DH30:DH31"/>
    <mergeCell ref="DI30:DI31"/>
    <mergeCell ref="DL18:DL19"/>
    <mergeCell ref="DE22:DE23"/>
    <mergeCell ref="DF22:DF23"/>
    <mergeCell ref="DG22:DG23"/>
    <mergeCell ref="DH22:DH23"/>
    <mergeCell ref="DI22:DI23"/>
    <mergeCell ref="DJ22:DJ23"/>
    <mergeCell ref="DK22:DK23"/>
    <mergeCell ref="DL22:DL23"/>
    <mergeCell ref="DW18:DW19"/>
    <mergeCell ref="DX18:DX19"/>
    <mergeCell ref="DE20:DE21"/>
    <mergeCell ref="DF20:DF21"/>
    <mergeCell ref="DG20:DG21"/>
    <mergeCell ref="DH20:DH21"/>
    <mergeCell ref="DI20:DI21"/>
    <mergeCell ref="DJ20:DJ21"/>
    <mergeCell ref="DK20:DK21"/>
    <mergeCell ref="DL20:DL21"/>
    <mergeCell ref="DM20:DM21"/>
    <mergeCell ref="DN20:DN21"/>
    <mergeCell ref="DO20:DO21"/>
    <mergeCell ref="DP20:DP21"/>
    <mergeCell ref="DQ20:DQ21"/>
    <mergeCell ref="DR20:DR21"/>
    <mergeCell ref="DS20:DS21"/>
    <mergeCell ref="DT20:DT21"/>
    <mergeCell ref="CG26:CG27"/>
    <mergeCell ref="CH26:CH27"/>
    <mergeCell ref="DD36:DD37"/>
    <mergeCell ref="DE18:DE19"/>
    <mergeCell ref="DF18:DF19"/>
    <mergeCell ref="DG18:DG19"/>
    <mergeCell ref="DH18:DH19"/>
    <mergeCell ref="DI18:DI19"/>
    <mergeCell ref="DJ18:DJ19"/>
    <mergeCell ref="DK18:DK19"/>
    <mergeCell ref="DE26:DE27"/>
    <mergeCell ref="DF26:DF27"/>
    <mergeCell ref="DG26:DG27"/>
    <mergeCell ref="DH26:DH27"/>
    <mergeCell ref="DI26:DI27"/>
    <mergeCell ref="DJ26:DJ27"/>
    <mergeCell ref="DK26:DK27"/>
    <mergeCell ref="DD18:DD19"/>
    <mergeCell ref="DD20:DD21"/>
    <mergeCell ref="DD22:DD23"/>
    <mergeCell ref="DD24:DD25"/>
    <mergeCell ref="DD26:DD27"/>
    <mergeCell ref="DD28:DD29"/>
    <mergeCell ref="DD30:DD31"/>
    <mergeCell ref="DD32:DD33"/>
    <mergeCell ref="DE30:DE31"/>
    <mergeCell ref="DH36:DH37"/>
    <mergeCell ref="DI36:DI37"/>
    <mergeCell ref="DJ36:DJ37"/>
    <mergeCell ref="DK36:DK37"/>
    <mergeCell ref="DF30:DF31"/>
    <mergeCell ref="DG30:DG31"/>
    <mergeCell ref="CO18:CO19"/>
    <mergeCell ref="CP18:CP19"/>
    <mergeCell ref="CY30:CY31"/>
    <mergeCell ref="CW16:CW17"/>
    <mergeCell ref="CX16:CX17"/>
    <mergeCell ref="CW18:CW19"/>
    <mergeCell ref="CW20:CW21"/>
    <mergeCell ref="CW22:CW23"/>
    <mergeCell ref="CW24:CW25"/>
    <mergeCell ref="CW26:CW27"/>
    <mergeCell ref="CW28:CW29"/>
    <mergeCell ref="CW30:CW31"/>
    <mergeCell ref="CX18:CX19"/>
    <mergeCell ref="CX20:CX21"/>
    <mergeCell ref="CX22:CX23"/>
    <mergeCell ref="CX24:CX25"/>
    <mergeCell ref="CE16:CE17"/>
    <mergeCell ref="CJ18:CJ19"/>
    <mergeCell ref="CK18:CK19"/>
    <mergeCell ref="CL18:CL19"/>
    <mergeCell ref="CK20:CK21"/>
    <mergeCell ref="CS28:CS29"/>
    <mergeCell ref="CF16:CF17"/>
    <mergeCell ref="CG16:CG17"/>
    <mergeCell ref="CH16:CH17"/>
    <mergeCell ref="CI16:CI17"/>
    <mergeCell ref="CJ20:CJ21"/>
    <mergeCell ref="CF22:CF23"/>
    <mergeCell ref="CJ16:CJ17"/>
    <mergeCell ref="CK16:CK17"/>
    <mergeCell ref="CI20:CI21"/>
    <mergeCell ref="CF26:CF27"/>
    <mergeCell ref="BZ18:BZ19"/>
    <mergeCell ref="AA28:AC29"/>
    <mergeCell ref="CW12:CY13"/>
    <mergeCell ref="CY16:CY17"/>
    <mergeCell ref="CY18:CY19"/>
    <mergeCell ref="CY20:CY21"/>
    <mergeCell ref="CY22:CY23"/>
    <mergeCell ref="CY24:CY25"/>
    <mergeCell ref="CY26:CY27"/>
    <mergeCell ref="CN16:CN17"/>
    <mergeCell ref="CP20:CP21"/>
    <mergeCell ref="CS24:CS25"/>
    <mergeCell ref="CT24:CT25"/>
    <mergeCell ref="CP24:CP25"/>
    <mergeCell ref="CQ24:CQ25"/>
    <mergeCell ref="CR24:CR25"/>
    <mergeCell ref="CS26:CS27"/>
    <mergeCell ref="CT26:CT27"/>
    <mergeCell ref="CP26:CP27"/>
    <mergeCell ref="CQ26:CQ27"/>
    <mergeCell ref="CR26:CR27"/>
    <mergeCell ref="CX26:CX27"/>
    <mergeCell ref="CQ18:CQ19"/>
    <mergeCell ref="CR18:CR19"/>
    <mergeCell ref="CS18:CS19"/>
    <mergeCell ref="CT18:CT19"/>
    <mergeCell ref="CT16:CT17"/>
    <mergeCell ref="CN18:CN19"/>
    <mergeCell ref="CP16:CP17"/>
    <mergeCell ref="CQ16:CQ17"/>
    <mergeCell ref="CR16:CR17"/>
    <mergeCell ref="CS16:CS17"/>
    <mergeCell ref="AJ30:AL31"/>
    <mergeCell ref="AM30:AO31"/>
    <mergeCell ref="CC26:CC27"/>
    <mergeCell ref="BD28:BE29"/>
    <mergeCell ref="BF28:BG29"/>
    <mergeCell ref="BH28:BJ29"/>
    <mergeCell ref="BK28:BM29"/>
    <mergeCell ref="BN28:BP29"/>
    <mergeCell ref="CB24:CB25"/>
    <mergeCell ref="CC24:CC25"/>
    <mergeCell ref="AA15:AU15"/>
    <mergeCell ref="AA16:AC17"/>
    <mergeCell ref="BB28:BC29"/>
    <mergeCell ref="BB22:BC23"/>
    <mergeCell ref="BF26:BG27"/>
    <mergeCell ref="BH26:BJ27"/>
    <mergeCell ref="BD22:BE23"/>
    <mergeCell ref="AS16:AU17"/>
    <mergeCell ref="AV17:BA17"/>
    <mergeCell ref="CB16:CB17"/>
    <mergeCell ref="CC16:CC17"/>
    <mergeCell ref="BV14:BZ15"/>
    <mergeCell ref="CB18:CB19"/>
    <mergeCell ref="CC18:CC19"/>
    <mergeCell ref="AP22:AR23"/>
    <mergeCell ref="AM22:AO23"/>
    <mergeCell ref="BV18:BV19"/>
    <mergeCell ref="BX16:BX17"/>
    <mergeCell ref="BY16:BY17"/>
    <mergeCell ref="BZ16:BZ17"/>
    <mergeCell ref="BX18:BX19"/>
    <mergeCell ref="BY18:BY19"/>
    <mergeCell ref="C16:E17"/>
    <mergeCell ref="F16:K17"/>
    <mergeCell ref="L16:Q17"/>
    <mergeCell ref="BB4:BF4"/>
    <mergeCell ref="BG4:BJ4"/>
    <mergeCell ref="BH1:BK3"/>
    <mergeCell ref="BB1:BG3"/>
    <mergeCell ref="BG5:BI7"/>
    <mergeCell ref="BG8:BI8"/>
    <mergeCell ref="AT1:AW3"/>
    <mergeCell ref="AX1:BA3"/>
    <mergeCell ref="AP1:AS3"/>
    <mergeCell ref="AX4:BA4"/>
    <mergeCell ref="AK9:AO11"/>
    <mergeCell ref="Y14:AB14"/>
    <mergeCell ref="AQ12:BA13"/>
    <mergeCell ref="AQ14:BA14"/>
    <mergeCell ref="AD16:AI17"/>
    <mergeCell ref="AP16:AR17"/>
    <mergeCell ref="AV16:AX16"/>
    <mergeCell ref="F1:I3"/>
    <mergeCell ref="J1:M3"/>
    <mergeCell ref="BD17:BE17"/>
    <mergeCell ref="K9:N11"/>
    <mergeCell ref="S9:V11"/>
    <mergeCell ref="AF9:AJ11"/>
    <mergeCell ref="W9:Z11"/>
    <mergeCell ref="AA9:AE11"/>
    <mergeCell ref="L15:Z15"/>
    <mergeCell ref="AC14:AG14"/>
    <mergeCell ref="AY16:BA16"/>
    <mergeCell ref="BK16:BM17"/>
    <mergeCell ref="O196:AY197"/>
    <mergeCell ref="AH14:AK14"/>
    <mergeCell ref="AC12:AG13"/>
    <mergeCell ref="AP9:AS11"/>
    <mergeCell ref="AT9:AW11"/>
    <mergeCell ref="AX9:BA11"/>
    <mergeCell ref="AL14:AO14"/>
    <mergeCell ref="AH12:AK13"/>
    <mergeCell ref="AL12:AO13"/>
    <mergeCell ref="Y12:AB13"/>
    <mergeCell ref="X16:Z17"/>
    <mergeCell ref="AJ16:AL17"/>
    <mergeCell ref="AM16:AO17"/>
    <mergeCell ref="R16:T17"/>
    <mergeCell ref="U16:W17"/>
    <mergeCell ref="AJ18:AL19"/>
    <mergeCell ref="AJ28:AL29"/>
    <mergeCell ref="R32:T33"/>
    <mergeCell ref="U32:W33"/>
    <mergeCell ref="X32:Z33"/>
    <mergeCell ref="AA26:AC27"/>
    <mergeCell ref="AA32:AC33"/>
    <mergeCell ref="O9:R11"/>
    <mergeCell ref="AV23:BA23"/>
    <mergeCell ref="AA24:AC25"/>
    <mergeCell ref="AD24:AI25"/>
    <mergeCell ref="R18:T19"/>
    <mergeCell ref="U18:W19"/>
    <mergeCell ref="X18:Z19"/>
    <mergeCell ref="AJ24:AL25"/>
    <mergeCell ref="AM24:AO25"/>
    <mergeCell ref="AS20:AU21"/>
    <mergeCell ref="O198:AZ198"/>
    <mergeCell ref="BT18:BT19"/>
    <mergeCell ref="BS20:BS21"/>
    <mergeCell ref="BT20:BT21"/>
    <mergeCell ref="BS22:BS23"/>
    <mergeCell ref="BT22:BT23"/>
    <mergeCell ref="BS24:BS25"/>
    <mergeCell ref="BT24:BT25"/>
    <mergeCell ref="L20:Q21"/>
    <mergeCell ref="BF22:BG23"/>
    <mergeCell ref="BH22:BJ23"/>
    <mergeCell ref="BK22:BM23"/>
    <mergeCell ref="BN22:BP23"/>
    <mergeCell ref="BF24:BG25"/>
    <mergeCell ref="AP32:AR33"/>
    <mergeCell ref="AM26:AO27"/>
    <mergeCell ref="L18:Q19"/>
    <mergeCell ref="AM18:AO19"/>
    <mergeCell ref="U36:W37"/>
    <mergeCell ref="X36:Z37"/>
    <mergeCell ref="U34:W35"/>
    <mergeCell ref="X34:Z35"/>
    <mergeCell ref="AA22:AC23"/>
    <mergeCell ref="AS22:AU23"/>
    <mergeCell ref="AV21:BA21"/>
    <mergeCell ref="BB24:BC25"/>
    <mergeCell ref="BD24:BE25"/>
    <mergeCell ref="BB26:BC27"/>
    <mergeCell ref="BD26:BE27"/>
    <mergeCell ref="AS28:AU29"/>
    <mergeCell ref="BH24:BJ25"/>
    <mergeCell ref="BH30:BJ31"/>
    <mergeCell ref="CD18:CD19"/>
    <mergeCell ref="AP18:AR19"/>
    <mergeCell ref="AP20:AR21"/>
    <mergeCell ref="AA20:AC21"/>
    <mergeCell ref="AS18:AU19"/>
    <mergeCell ref="BN18:BP19"/>
    <mergeCell ref="AV18:AX18"/>
    <mergeCell ref="AY18:BA18"/>
    <mergeCell ref="AV19:BA19"/>
    <mergeCell ref="CG20:CG21"/>
    <mergeCell ref="BS18:BS19"/>
    <mergeCell ref="CF18:CF19"/>
    <mergeCell ref="CG18:CG19"/>
    <mergeCell ref="CH18:CH19"/>
    <mergeCell ref="CI18:CI19"/>
    <mergeCell ref="CO16:CO17"/>
    <mergeCell ref="BS16:BS17"/>
    <mergeCell ref="BT16:BT17"/>
    <mergeCell ref="AA18:AC19"/>
    <mergeCell ref="AD18:AI19"/>
    <mergeCell ref="AD20:AI21"/>
    <mergeCell ref="CM18:CM19"/>
    <mergeCell ref="CE18:CE19"/>
    <mergeCell ref="CC20:CC21"/>
    <mergeCell ref="CD20:CD21"/>
    <mergeCell ref="CE20:CE21"/>
    <mergeCell ref="BF20:BG21"/>
    <mergeCell ref="BK20:BM21"/>
    <mergeCell ref="BN20:BP21"/>
    <mergeCell ref="BH20:BJ21"/>
    <mergeCell ref="AV20:AX20"/>
    <mergeCell ref="AY20:BA20"/>
    <mergeCell ref="CF20:CF21"/>
    <mergeCell ref="CB20:CB21"/>
    <mergeCell ref="C20:E21"/>
    <mergeCell ref="BB20:BC21"/>
    <mergeCell ref="BD20:BE21"/>
    <mergeCell ref="CH20:CH21"/>
    <mergeCell ref="AD30:AI31"/>
    <mergeCell ref="BB30:BC31"/>
    <mergeCell ref="BD30:BE31"/>
    <mergeCell ref="AM28:AO29"/>
    <mergeCell ref="AD26:AI27"/>
    <mergeCell ref="R26:T27"/>
    <mergeCell ref="U26:W27"/>
    <mergeCell ref="X26:Z27"/>
    <mergeCell ref="R30:T31"/>
    <mergeCell ref="U30:W31"/>
    <mergeCell ref="X30:Z31"/>
    <mergeCell ref="C26:E27"/>
    <mergeCell ref="R24:T25"/>
    <mergeCell ref="C28:E29"/>
    <mergeCell ref="F28:K29"/>
    <mergeCell ref="CC22:CC23"/>
    <mergeCell ref="BK24:BM25"/>
    <mergeCell ref="BN24:BP25"/>
    <mergeCell ref="CG22:CG23"/>
    <mergeCell ref="CH22:CH23"/>
    <mergeCell ref="BX24:BX25"/>
    <mergeCell ref="AY22:BA22"/>
    <mergeCell ref="BF30:BG31"/>
    <mergeCell ref="BK30:BM31"/>
    <mergeCell ref="BN30:BP31"/>
    <mergeCell ref="AS30:AU31"/>
    <mergeCell ref="AJ20:AL21"/>
    <mergeCell ref="AM20:AO21"/>
    <mergeCell ref="AD22:AI23"/>
    <mergeCell ref="U24:W25"/>
    <mergeCell ref="X24:Z25"/>
    <mergeCell ref="AJ22:AL23"/>
    <mergeCell ref="AV24:AX24"/>
    <mergeCell ref="B36:B37"/>
    <mergeCell ref="C32:E33"/>
    <mergeCell ref="L34:Q35"/>
    <mergeCell ref="C36:E37"/>
    <mergeCell ref="F36:K37"/>
    <mergeCell ref="L36:Q37"/>
    <mergeCell ref="C34:E35"/>
    <mergeCell ref="F34:K35"/>
    <mergeCell ref="R36:T37"/>
    <mergeCell ref="B32:B33"/>
    <mergeCell ref="B34:B35"/>
    <mergeCell ref="F32:K33"/>
    <mergeCell ref="L32:Q33"/>
    <mergeCell ref="R34:T35"/>
    <mergeCell ref="AV22:AX22"/>
    <mergeCell ref="AJ26:AL27"/>
    <mergeCell ref="AS26:AU27"/>
    <mergeCell ref="AV27:BA27"/>
    <mergeCell ref="AV30:AX30"/>
    <mergeCell ref="AY30:BA30"/>
    <mergeCell ref="AV31:BA31"/>
    <mergeCell ref="F20:K21"/>
    <mergeCell ref="AD32:AI33"/>
    <mergeCell ref="AJ32:AL33"/>
    <mergeCell ref="AM32:AO33"/>
    <mergeCell ref="B18:B19"/>
    <mergeCell ref="C18:E19"/>
    <mergeCell ref="F18:K19"/>
    <mergeCell ref="B22:B23"/>
    <mergeCell ref="B24:B25"/>
    <mergeCell ref="R22:T23"/>
    <mergeCell ref="U22:W23"/>
    <mergeCell ref="X22:Z23"/>
    <mergeCell ref="B28:B29"/>
    <mergeCell ref="B30:B31"/>
    <mergeCell ref="C22:E23"/>
    <mergeCell ref="F22:K23"/>
    <mergeCell ref="L22:Q23"/>
    <mergeCell ref="C24:E25"/>
    <mergeCell ref="F24:K25"/>
    <mergeCell ref="L24:Q25"/>
    <mergeCell ref="C30:E31"/>
    <mergeCell ref="F30:K31"/>
    <mergeCell ref="L30:Q31"/>
    <mergeCell ref="F26:K27"/>
    <mergeCell ref="L26:Q27"/>
    <mergeCell ref="B26:B27"/>
    <mergeCell ref="L28:Q29"/>
    <mergeCell ref="R28:T29"/>
    <mergeCell ref="U28:W29"/>
    <mergeCell ref="X28:Z29"/>
    <mergeCell ref="B20:B21"/>
    <mergeCell ref="R20:T21"/>
    <mergeCell ref="U20:W21"/>
    <mergeCell ref="X20:Z21"/>
    <mergeCell ref="AA30:AC31"/>
    <mergeCell ref="AD28:AI29"/>
    <mergeCell ref="CT20:CT21"/>
    <mergeCell ref="CL20:CL21"/>
    <mergeCell ref="CM20:CM21"/>
    <mergeCell ref="CN20:CN21"/>
    <mergeCell ref="CP22:CP23"/>
    <mergeCell ref="CQ22:CQ23"/>
    <mergeCell ref="CR22:CR23"/>
    <mergeCell ref="CQ20:CQ21"/>
    <mergeCell ref="CR20:CR21"/>
    <mergeCell ref="CS20:CS21"/>
    <mergeCell ref="CS22:CS23"/>
    <mergeCell ref="CT22:CT23"/>
    <mergeCell ref="CL22:CL23"/>
    <mergeCell ref="CM22:CM23"/>
    <mergeCell ref="CN22:CN23"/>
    <mergeCell ref="CO22:CO23"/>
    <mergeCell ref="CO20:CO21"/>
    <mergeCell ref="CM24:CM25"/>
    <mergeCell ref="CN24:CN25"/>
    <mergeCell ref="CO24:CO25"/>
    <mergeCell ref="CF24:CF25"/>
    <mergeCell ref="CG24:CG25"/>
    <mergeCell ref="CH24:CH25"/>
    <mergeCell ref="CI24:CI25"/>
    <mergeCell ref="CJ24:CJ25"/>
    <mergeCell ref="CK26:CK27"/>
    <mergeCell ref="CL26:CL27"/>
    <mergeCell ref="CM26:CM27"/>
    <mergeCell ref="CN26:CN27"/>
    <mergeCell ref="CO26:CO27"/>
    <mergeCell ref="CI26:CI27"/>
    <mergeCell ref="CJ26:CJ27"/>
    <mergeCell ref="CK24:CK25"/>
    <mergeCell ref="CL24:CL25"/>
    <mergeCell ref="AP36:AR37"/>
    <mergeCell ref="AJ34:AL35"/>
    <mergeCell ref="AM34:AO35"/>
    <mergeCell ref="AS34:AU35"/>
    <mergeCell ref="AS36:AU37"/>
    <mergeCell ref="AP34:AR35"/>
    <mergeCell ref="BV34:BV35"/>
    <mergeCell ref="BW34:BW35"/>
    <mergeCell ref="BX34:BX35"/>
    <mergeCell ref="BY34:BY35"/>
    <mergeCell ref="BZ34:BZ35"/>
    <mergeCell ref="CE28:CE29"/>
    <mergeCell ref="CP28:CP29"/>
    <mergeCell ref="CO34:CO35"/>
    <mergeCell ref="CP34:CP35"/>
    <mergeCell ref="AS32:AU33"/>
    <mergeCell ref="BK26:BM27"/>
    <mergeCell ref="BN26:BP27"/>
    <mergeCell ref="BV24:BV25"/>
    <mergeCell ref="BW24:BW25"/>
    <mergeCell ref="AY24:BA24"/>
    <mergeCell ref="AY26:BA26"/>
    <mergeCell ref="AP26:AR27"/>
    <mergeCell ref="AP28:AR29"/>
    <mergeCell ref="AV25:BA25"/>
    <mergeCell ref="AV26:AX26"/>
    <mergeCell ref="AP24:AR25"/>
    <mergeCell ref="BT32:BT33"/>
    <mergeCell ref="BT30:BT31"/>
    <mergeCell ref="CB28:CB29"/>
    <mergeCell ref="CC28:CC29"/>
    <mergeCell ref="CD28:CD29"/>
    <mergeCell ref="BV28:BV29"/>
    <mergeCell ref="BW28:BW29"/>
    <mergeCell ref="BX28:BX29"/>
    <mergeCell ref="CK28:CK29"/>
    <mergeCell ref="CL28:CL29"/>
    <mergeCell ref="CM28:CM29"/>
    <mergeCell ref="CN28:CN29"/>
    <mergeCell ref="CO28:CO29"/>
    <mergeCell ref="CF28:CF29"/>
    <mergeCell ref="CG28:CG29"/>
    <mergeCell ref="CB30:CB31"/>
    <mergeCell ref="CC30:CC31"/>
    <mergeCell ref="CD30:CD31"/>
    <mergeCell ref="CE30:CE31"/>
    <mergeCell ref="CK30:CK31"/>
    <mergeCell ref="CF30:CF31"/>
    <mergeCell ref="CG30:CG31"/>
    <mergeCell ref="CH30:CH31"/>
    <mergeCell ref="CI30:CI31"/>
    <mergeCell ref="CJ30:CJ31"/>
    <mergeCell ref="CL30:CL31"/>
    <mergeCell ref="CH28:CH29"/>
    <mergeCell ref="CI28:CI29"/>
    <mergeCell ref="CU18:CU19"/>
    <mergeCell ref="CU20:CU21"/>
    <mergeCell ref="CU22:CU23"/>
    <mergeCell ref="CU24:CU25"/>
    <mergeCell ref="CU26:CU27"/>
    <mergeCell ref="CU28:CU29"/>
    <mergeCell ref="CU30:CU31"/>
    <mergeCell ref="CU32:CU33"/>
    <mergeCell ref="CQ34:CQ35"/>
    <mergeCell ref="CF36:CF37"/>
    <mergeCell ref="CG36:CG37"/>
    <mergeCell ref="CH36:CH37"/>
    <mergeCell ref="CI36:CI37"/>
    <mergeCell ref="CJ36:CJ37"/>
    <mergeCell ref="CB36:CB37"/>
    <mergeCell ref="CC36:CC37"/>
    <mergeCell ref="CD36:CD37"/>
    <mergeCell ref="CE36:CE37"/>
    <mergeCell ref="CD34:CD35"/>
    <mergeCell ref="CK34:CK35"/>
    <mergeCell ref="CE34:CE35"/>
    <mergeCell ref="CF34:CF35"/>
    <mergeCell ref="CG34:CG35"/>
    <mergeCell ref="CH34:CH35"/>
    <mergeCell ref="CQ36:CQ37"/>
    <mergeCell ref="CI34:CI35"/>
    <mergeCell ref="CJ34:CJ35"/>
    <mergeCell ref="CK32:CK33"/>
    <mergeCell ref="CL32:CL33"/>
    <mergeCell ref="CJ32:CJ33"/>
    <mergeCell ref="CQ28:CQ29"/>
    <mergeCell ref="CR28:CR29"/>
    <mergeCell ref="CV36:CV37"/>
    <mergeCell ref="CV16:CV17"/>
    <mergeCell ref="CV18:CV19"/>
    <mergeCell ref="CV20:CV21"/>
    <mergeCell ref="CV22:CV23"/>
    <mergeCell ref="CV24:CV25"/>
    <mergeCell ref="CV26:CV27"/>
    <mergeCell ref="CV28:CV29"/>
    <mergeCell ref="CV30:CV31"/>
    <mergeCell ref="CV32:CV33"/>
    <mergeCell ref="CV34:CV35"/>
    <mergeCell ref="CR36:CR37"/>
    <mergeCell ref="CS36:CS37"/>
    <mergeCell ref="CT36:CT37"/>
    <mergeCell ref="AV32:AX32"/>
    <mergeCell ref="BB16:BE16"/>
    <mergeCell ref="BB17:BC17"/>
    <mergeCell ref="BF16:BG17"/>
    <mergeCell ref="BN16:BP17"/>
    <mergeCell ref="BF18:BG19"/>
    <mergeCell ref="BH18:BJ19"/>
    <mergeCell ref="BK18:BM19"/>
    <mergeCell ref="CK36:CK37"/>
    <mergeCell ref="CL36:CL37"/>
    <mergeCell ref="CM36:CM37"/>
    <mergeCell ref="CN36:CN37"/>
    <mergeCell ref="CO36:CO37"/>
    <mergeCell ref="CR34:CR35"/>
    <mergeCell ref="CS34:CS35"/>
    <mergeCell ref="CT34:CT35"/>
    <mergeCell ref="BZ22:BZ23"/>
    <mergeCell ref="BV16:BV17"/>
    <mergeCell ref="BB18:BC19"/>
    <mergeCell ref="BD18:BE19"/>
    <mergeCell ref="AS24:AU25"/>
    <mergeCell ref="AV28:AX28"/>
    <mergeCell ref="AY28:BA28"/>
    <mergeCell ref="AV29:BA29"/>
    <mergeCell ref="AY32:BA32"/>
    <mergeCell ref="BF32:BG33"/>
    <mergeCell ref="BK32:BM33"/>
    <mergeCell ref="BN32:BP33"/>
    <mergeCell ref="CE32:CE33"/>
    <mergeCell ref="CF32:CF33"/>
    <mergeCell ref="CG32:CG33"/>
    <mergeCell ref="CH32:CH33"/>
    <mergeCell ref="BH32:BJ33"/>
    <mergeCell ref="CB32:CB33"/>
    <mergeCell ref="CC32:CC33"/>
    <mergeCell ref="CD32:CD33"/>
    <mergeCell ref="BS32:BS33"/>
    <mergeCell ref="CD26:CD27"/>
    <mergeCell ref="CE26:CE27"/>
    <mergeCell ref="BS26:BS27"/>
    <mergeCell ref="BT26:BT27"/>
    <mergeCell ref="CB26:CB27"/>
    <mergeCell ref="BV26:BV27"/>
    <mergeCell ref="BW26:BW27"/>
    <mergeCell ref="BX26:BX27"/>
    <mergeCell ref="BY26:BY27"/>
    <mergeCell ref="BZ26:BZ27"/>
    <mergeCell ref="BS28:BS29"/>
    <mergeCell ref="BT28:BT29"/>
    <mergeCell ref="BS30:BS31"/>
    <mergeCell ref="CY28:CY29"/>
    <mergeCell ref="BH16:BJ17"/>
    <mergeCell ref="CL34:CL35"/>
    <mergeCell ref="BH34:BJ35"/>
    <mergeCell ref="CB34:CB35"/>
    <mergeCell ref="BS34:BS35"/>
    <mergeCell ref="CC34:CC35"/>
    <mergeCell ref="BT34:BT35"/>
    <mergeCell ref="CJ28:CJ29"/>
    <mergeCell ref="CI22:CI23"/>
    <mergeCell ref="CJ22:CJ23"/>
    <mergeCell ref="CK22:CK23"/>
    <mergeCell ref="BY24:BY25"/>
    <mergeCell ref="BZ24:BZ25"/>
    <mergeCell ref="CE24:CE25"/>
    <mergeCell ref="CD22:CD23"/>
    <mergeCell ref="CE22:CE23"/>
    <mergeCell ref="CB22:CB23"/>
    <mergeCell ref="BW16:BW17"/>
    <mergeCell ref="BV20:BV21"/>
    <mergeCell ref="BW20:BW21"/>
    <mergeCell ref="BX20:BX21"/>
    <mergeCell ref="BY20:BY21"/>
    <mergeCell ref="BZ20:BZ21"/>
    <mergeCell ref="BV22:BV23"/>
    <mergeCell ref="BW22:BW23"/>
    <mergeCell ref="BX22:BX23"/>
    <mergeCell ref="BY22:BY23"/>
    <mergeCell ref="CT30:CT31"/>
    <mergeCell ref="CU34:CU35"/>
    <mergeCell ref="BW18:BW19"/>
    <mergeCell ref="CU16:CU17"/>
    <mergeCell ref="CX28:CX29"/>
    <mergeCell ref="CT28:CT29"/>
    <mergeCell ref="DD34:DD35"/>
    <mergeCell ref="DP30:DP31"/>
    <mergeCell ref="DQ30:DQ31"/>
    <mergeCell ref="DR30:DR31"/>
    <mergeCell ref="DS30:DS31"/>
    <mergeCell ref="DT30:DT31"/>
    <mergeCell ref="CT32:CT33"/>
    <mergeCell ref="CO32:CO33"/>
    <mergeCell ref="CP32:CP33"/>
    <mergeCell ref="CQ32:CQ33"/>
    <mergeCell ref="CR32:CR33"/>
    <mergeCell ref="CS32:CS33"/>
    <mergeCell ref="CM32:CM33"/>
    <mergeCell ref="CN32:CN33"/>
    <mergeCell ref="CQ30:CQ31"/>
    <mergeCell ref="CR30:CR31"/>
    <mergeCell ref="CS30:CS31"/>
    <mergeCell ref="CM30:CM31"/>
    <mergeCell ref="CN30:CN31"/>
    <mergeCell ref="CO30:CO31"/>
    <mergeCell ref="CP30:CP31"/>
    <mergeCell ref="CZ32:CZ33"/>
    <mergeCell ref="DJ30:DJ31"/>
    <mergeCell ref="DK30:DK31"/>
    <mergeCell ref="DL30:DL31"/>
    <mergeCell ref="DM30:DM31"/>
    <mergeCell ref="CM34:CM35"/>
    <mergeCell ref="CN34:CN35"/>
    <mergeCell ref="DE32:DE33"/>
    <mergeCell ref="DF32:DF33"/>
    <mergeCell ref="DY18:DY19"/>
    <mergeCell ref="DZ18:DZ19"/>
    <mergeCell ref="DY20:DY21"/>
    <mergeCell ref="DZ20:DZ21"/>
    <mergeCell ref="DY22:DY23"/>
    <mergeCell ref="DZ22:DZ23"/>
    <mergeCell ref="DY24:DY25"/>
    <mergeCell ref="DZ24:DZ25"/>
    <mergeCell ref="DY26:DY27"/>
    <mergeCell ref="DZ26:DZ27"/>
    <mergeCell ref="DZ28:DZ29"/>
    <mergeCell ref="DY30:DY31"/>
    <mergeCell ref="DZ30:DZ31"/>
    <mergeCell ref="DY32:DY33"/>
    <mergeCell ref="DZ32:DZ33"/>
    <mergeCell ref="DY34:DY35"/>
    <mergeCell ref="DZ34:DZ35"/>
    <mergeCell ref="DY28:DY29"/>
    <mergeCell ref="DY36:DY37"/>
    <mergeCell ref="DZ36:DZ37"/>
    <mergeCell ref="AV33:BA33"/>
    <mergeCell ref="AV34:AX34"/>
    <mergeCell ref="AY34:BA34"/>
    <mergeCell ref="AV35:BA35"/>
    <mergeCell ref="AV36:AX36"/>
    <mergeCell ref="AY36:BA36"/>
    <mergeCell ref="AV37:BA37"/>
    <mergeCell ref="BF36:BG37"/>
    <mergeCell ref="BH36:BJ37"/>
    <mergeCell ref="BK36:BM37"/>
    <mergeCell ref="BN36:BP37"/>
    <mergeCell ref="BB34:BC35"/>
    <mergeCell ref="BD34:BE35"/>
    <mergeCell ref="BB36:BC37"/>
    <mergeCell ref="BD36:BE37"/>
    <mergeCell ref="CW32:CW33"/>
    <mergeCell ref="CW34:CW35"/>
    <mergeCell ref="CW36:CW37"/>
    <mergeCell ref="CX32:CX33"/>
    <mergeCell ref="CX34:CX35"/>
    <mergeCell ref="CX36:CX37"/>
    <mergeCell ref="CP36:CP37"/>
    <mergeCell ref="CI32:CI33"/>
    <mergeCell ref="CU36:CU37"/>
    <mergeCell ref="DU34:DU35"/>
    <mergeCell ref="DV34:DV35"/>
    <mergeCell ref="DP32:DP33"/>
    <mergeCell ref="DQ32:DQ33"/>
    <mergeCell ref="DR32:DR33"/>
    <mergeCell ref="DS32:DS33"/>
    <mergeCell ref="R200:AR201"/>
    <mergeCell ref="BV36:BV37"/>
    <mergeCell ref="BW36:BW37"/>
    <mergeCell ref="BX36:BX37"/>
    <mergeCell ref="BY36:BY37"/>
    <mergeCell ref="BZ36:BZ37"/>
    <mergeCell ref="BZ28:BZ29"/>
    <mergeCell ref="BV30:BV31"/>
    <mergeCell ref="BW30:BW31"/>
    <mergeCell ref="BX30:BX31"/>
    <mergeCell ref="BY30:BY31"/>
    <mergeCell ref="BZ30:BZ31"/>
    <mergeCell ref="BV32:BV33"/>
    <mergeCell ref="BW32:BW33"/>
    <mergeCell ref="BX32:BX33"/>
    <mergeCell ref="BY32:BY33"/>
    <mergeCell ref="BZ32:BZ33"/>
    <mergeCell ref="BY28:BY29"/>
    <mergeCell ref="BF34:BG35"/>
    <mergeCell ref="BK34:BM35"/>
    <mergeCell ref="BN34:BP35"/>
    <mergeCell ref="BB32:BC33"/>
    <mergeCell ref="BD32:BE33"/>
    <mergeCell ref="AJ36:AL37"/>
    <mergeCell ref="AP30:AR31"/>
    <mergeCell ref="AM36:AO37"/>
    <mergeCell ref="AA34:AC35"/>
    <mergeCell ref="AA36:AC37"/>
    <mergeCell ref="AD34:AI35"/>
    <mergeCell ref="AD36:AI37"/>
    <mergeCell ref="BS36:BS37"/>
    <mergeCell ref="BT36:BT37"/>
    <mergeCell ref="EA28:EA29"/>
    <mergeCell ref="EB28:EB29"/>
    <mergeCell ref="EA30:EA31"/>
    <mergeCell ref="EB30:EB31"/>
    <mergeCell ref="EA32:EA33"/>
    <mergeCell ref="EB32:EB33"/>
    <mergeCell ref="EJ18:EJ19"/>
    <mergeCell ref="EK18:EK19"/>
    <mergeCell ref="EL18:EL19"/>
    <mergeCell ref="EM18:EM19"/>
    <mergeCell ref="EN18:EN19"/>
    <mergeCell ref="EA20:EA21"/>
    <mergeCell ref="EB20:EB21"/>
    <mergeCell ref="EA22:EA23"/>
    <mergeCell ref="EB22:EB23"/>
    <mergeCell ref="EL20:EL21"/>
    <mergeCell ref="EM20:EM21"/>
    <mergeCell ref="EL22:EL23"/>
    <mergeCell ref="EM22:EM23"/>
    <mergeCell ref="EA18:EA19"/>
    <mergeCell ref="EB18:EB19"/>
    <mergeCell ref="EC18:EC19"/>
    <mergeCell ref="ED18:ED19"/>
    <mergeCell ref="EE18:EE19"/>
    <mergeCell ref="EF18:EF19"/>
    <mergeCell ref="EG18:EG19"/>
    <mergeCell ref="EH18:EH19"/>
    <mergeCell ref="EI18:EI19"/>
    <mergeCell ref="EI32:EI33"/>
    <mergeCell ref="EC34:EC35"/>
    <mergeCell ref="ED34:ED35"/>
    <mergeCell ref="EE34:EE35"/>
    <mergeCell ref="EF34:EF35"/>
    <mergeCell ref="EA34:EA35"/>
    <mergeCell ref="EB34:EB35"/>
    <mergeCell ref="EA36:EA37"/>
    <mergeCell ref="EB36:EB37"/>
    <mergeCell ref="EC20:EC21"/>
    <mergeCell ref="ED20:ED21"/>
    <mergeCell ref="EE20:EE21"/>
    <mergeCell ref="EF20:EF21"/>
    <mergeCell ref="EC22:EC23"/>
    <mergeCell ref="ED22:ED23"/>
    <mergeCell ref="EE22:EE23"/>
    <mergeCell ref="EF22:EF23"/>
    <mergeCell ref="EC24:EC25"/>
    <mergeCell ref="ED24:ED25"/>
    <mergeCell ref="EE24:EE25"/>
    <mergeCell ref="EF24:EF25"/>
    <mergeCell ref="EC26:EC27"/>
    <mergeCell ref="ED26:ED27"/>
    <mergeCell ref="EE26:EE27"/>
    <mergeCell ref="EF26:EF27"/>
    <mergeCell ref="EC28:EC29"/>
    <mergeCell ref="ED28:ED29"/>
    <mergeCell ref="EE28:EE29"/>
    <mergeCell ref="EF28:EF29"/>
    <mergeCell ref="EA24:EA25"/>
    <mergeCell ref="EB24:EB25"/>
    <mergeCell ref="EA26:EA27"/>
    <mergeCell ref="EB26:EB27"/>
    <mergeCell ref="EC36:EC37"/>
    <mergeCell ref="ED36:ED37"/>
    <mergeCell ref="EE36:EE37"/>
    <mergeCell ref="EF36:EF37"/>
    <mergeCell ref="EG20:EG21"/>
    <mergeCell ref="EH20:EH21"/>
    <mergeCell ref="EI20:EI21"/>
    <mergeCell ref="EG22:EG23"/>
    <mergeCell ref="EH22:EH23"/>
    <mergeCell ref="EI22:EI23"/>
    <mergeCell ref="EG24:EG25"/>
    <mergeCell ref="EH24:EH25"/>
    <mergeCell ref="EI24:EI25"/>
    <mergeCell ref="EG26:EG27"/>
    <mergeCell ref="EH26:EH27"/>
    <mergeCell ref="EI26:EI27"/>
    <mergeCell ref="EG28:EG29"/>
    <mergeCell ref="EH28:EH29"/>
    <mergeCell ref="EI28:EI29"/>
    <mergeCell ref="EG30:EG31"/>
    <mergeCell ref="EH30:EH31"/>
    <mergeCell ref="EI30:EI31"/>
    <mergeCell ref="EG32:EG33"/>
    <mergeCell ref="EH32:EH33"/>
    <mergeCell ref="EC30:EC31"/>
    <mergeCell ref="ED30:ED31"/>
    <mergeCell ref="EE30:EE31"/>
    <mergeCell ref="EF30:EF31"/>
    <mergeCell ref="EC32:EC33"/>
    <mergeCell ref="ED32:ED33"/>
    <mergeCell ref="EE32:EE33"/>
    <mergeCell ref="EF32:EF33"/>
    <mergeCell ref="EG34:EG35"/>
    <mergeCell ref="EH34:EH35"/>
    <mergeCell ref="EI34:EI35"/>
    <mergeCell ref="EG36:EG37"/>
    <mergeCell ref="EH36:EH37"/>
    <mergeCell ref="EI36:EI37"/>
    <mergeCell ref="EJ20:EJ21"/>
    <mergeCell ref="EK20:EK21"/>
    <mergeCell ref="EJ22:EJ23"/>
    <mergeCell ref="EK22:EK23"/>
    <mergeCell ref="EJ24:EJ25"/>
    <mergeCell ref="EK24:EK25"/>
    <mergeCell ref="EJ30:EJ31"/>
    <mergeCell ref="EK30:EK31"/>
    <mergeCell ref="EJ36:EJ37"/>
    <mergeCell ref="EK36:EK37"/>
    <mergeCell ref="EL36:EL37"/>
    <mergeCell ref="EM36:EM37"/>
    <mergeCell ref="EN20:EN21"/>
    <mergeCell ref="EN22:EN23"/>
    <mergeCell ref="EN24:EN25"/>
    <mergeCell ref="EN26:EN27"/>
    <mergeCell ref="EN28:EN29"/>
    <mergeCell ref="EN30:EN31"/>
    <mergeCell ref="EN32:EN33"/>
    <mergeCell ref="EN34:EN35"/>
    <mergeCell ref="EN36:EN37"/>
    <mergeCell ref="EL30:EL31"/>
    <mergeCell ref="EM30:EM31"/>
    <mergeCell ref="EJ32:EJ33"/>
    <mergeCell ref="EK32:EK33"/>
    <mergeCell ref="EL32:EL33"/>
    <mergeCell ref="EM32:EM33"/>
    <mergeCell ref="EJ34:EJ35"/>
    <mergeCell ref="EK34:EK35"/>
    <mergeCell ref="EL34:EL35"/>
    <mergeCell ref="EM34:EM35"/>
    <mergeCell ref="EL24:EL25"/>
    <mergeCell ref="EM24:EM25"/>
    <mergeCell ref="EJ26:EJ27"/>
    <mergeCell ref="EK26:EK27"/>
    <mergeCell ref="EL26:EL27"/>
    <mergeCell ref="EM26:EM27"/>
    <mergeCell ref="EJ28:EJ29"/>
    <mergeCell ref="EK28:EK29"/>
    <mergeCell ref="EL28:EL29"/>
    <mergeCell ref="EM28:EM29"/>
  </mergeCells>
  <phoneticPr fontId="78" type="noConversion"/>
  <conditionalFormatting sqref="C18 L18 AD18 AJ18 AM18 AP18 AY18 BB18 BD18 AV18:AV37 C20 L20 AD20 AJ20 AM20 AP20 AY20 BB20 BD20 C22 L22 AD22 AJ22 AM22 AP22 AY22 BB22 BD22 C24 L24 AD24 AJ24 AM24 AP24 AY24 BB24 BD24 C26 L26 AD26 AJ26 AM26 AP26 AY26 BB26 BD26 C28 L28 AD28 AJ28 AM28 AP28 AY28 BB28 BD28 C30 L30 AD30 AJ30 AM30 AP30 AY30 BB30 BD30 C32 L32 AD32 AJ32 AM32 AP32 AY32 BB32 BD32 C34 L34 AD34 AJ34 AM34 AP34 AY34 BB34 BD34 C36 L36 AD36 AJ36 AM36 AP36 AY36 BB36 BD36">
    <cfRule type="expression" dxfId="364" priority="16">
      <formula>AND(ISBLANK($F18)=FALSE,OR(ISBLANK(C18)=TRUE,C18=""))</formula>
    </cfRule>
  </conditionalFormatting>
  <conditionalFormatting sqref="R18">
    <cfRule type="expression" dxfId="363" priority="6">
      <formula>AND(ISBLANK($F18)=FALSE,OR(ISBLANK(R18)=TRUE,R18=""))</formula>
    </cfRule>
  </conditionalFormatting>
  <conditionalFormatting sqref="R20:W37">
    <cfRule type="expression" dxfId="362" priority="10">
      <formula>AND(ISBLANK($F20)=FALSE,OR(ISBLANK(R20)=TRUE,R20=""))</formula>
    </cfRule>
  </conditionalFormatting>
  <conditionalFormatting sqref="U18">
    <cfRule type="expression" dxfId="361" priority="5">
      <formula>AND(ISBLANK($F18)=FALSE,OR(ISBLANK(U18)=TRUE,U18=""))</formula>
    </cfRule>
  </conditionalFormatting>
  <conditionalFormatting sqref="X18 X20 X22 X24 X26 X28 X30 X32 X34 X36">
    <cfRule type="expression" dxfId="360" priority="4">
      <formula>AND(ISBLANK($F18)=FALSE,OR(ISBLANK(X18)=TRUE,X18=""))</formula>
    </cfRule>
  </conditionalFormatting>
  <conditionalFormatting sqref="AA18 AA20 AA22 AA24 AA26 AA28 AA30 AA32 AA34 AA36">
    <cfRule type="expression" dxfId="359" priority="3">
      <formula>AND(ISBLANK($F18)=FALSE,OR(ISBLANK(AA18)=TRUE,AA18=""))</formula>
    </cfRule>
  </conditionalFormatting>
  <conditionalFormatting sqref="AS18 AS20 AS22 AS24 AS26 AS28 AS30 AS32 AS34 AS36">
    <cfRule type="expression" dxfId="358" priority="2">
      <formula>AND(ISBLANK($F18)=FALSE,OR(ISBLANK(AS18)=TRUE,AS18=""))</formula>
    </cfRule>
  </conditionalFormatting>
  <conditionalFormatting sqref="AV18 AY18 AV20 AY20 AV22 AY22 AV24 AY24 AV26 AY26 AV28 AY28 AV30 AY30 AV32 AY32 AV34 AY34 AV36 AY36">
    <cfRule type="expression" dxfId="357" priority="2083">
      <formula>AND($F18&lt;&gt;"",$P18&lt;&gt;"",AV18="")</formula>
    </cfRule>
  </conditionalFormatting>
  <conditionalFormatting sqref="AV19 AV21 AV23 AV25 AV27 AV29 AV31 AV33 AV35 AV37">
    <cfRule type="expression" dxfId="356" priority="12">
      <formula>AND($F18&lt;&gt;"",AV19="")</formula>
    </cfRule>
  </conditionalFormatting>
  <conditionalFormatting sqref="BA8:BF8">
    <cfRule type="expression" dxfId="355" priority="11">
      <formula>IF($AO$8=PROJSTATMEASURE,FALSE,TRUE)</formula>
    </cfRule>
  </conditionalFormatting>
  <conditionalFormatting sqref="BH18 BH20 BH22 BH24 BH26 BH28 BH30 BH32 BH34 BH36">
    <cfRule type="expression" dxfId="354" priority="2124" stopIfTrue="1">
      <formula>ISNUMBER($BH18)=FALSE</formula>
    </cfRule>
    <cfRule type="expression" dxfId="353" priority="2125">
      <formula>$BH18 &lt;&gt; #REF!</formula>
    </cfRule>
  </conditionalFormatting>
  <conditionalFormatting sqref="BY18:BZ37">
    <cfRule type="expression" dxfId="352" priority="1">
      <formula>$BX18&lt;&gt;"Dual"</formula>
    </cfRule>
  </conditionalFormatting>
  <dataValidations count="17">
    <dataValidation allowBlank="1" showInputMessage="1" showErrorMessage="1" prompt="Enter the Serial number as it appears in technical documents and invoices." sqref="AV19 AV21 AV23 AV25 AV27 AV29 AV31 AV33 AV35 AV37" xr:uid="{1584BAC9-DE83-49A5-9811-0330E6DE8EEA}"/>
    <dataValidation type="custom" operator="greaterThanOrEqual" allowBlank="1" showInputMessage="1" showErrorMessage="1" errorTitle="Invalid Entry" error="Please enter no more than 6 decimals." prompt="Enter the Total Annual kW Demand for the Proposed measure, NOT per unit." sqref="AM36 AM20 AM22 AM24 AM26 AM28 AM30 AM32 AM34" xr:uid="{30114B2E-774A-4962-BAFB-1E14770453C6}">
      <formula1>AND(AM20&gt;=0,AM20=ROUND(AM20,6))</formula1>
    </dataValidation>
    <dataValidation type="custom" operator="greaterThanOrEqual" allowBlank="1" showInputMessage="1" showErrorMessage="1" errorTitle="Invalid Entry" error="Please enter no more than 4 decimals." prompt="Enter the Total Annual kWh Usage for the Proposed measure, NOT per unit." sqref="AJ18 AJ20 AJ22 AJ24 AJ26 AJ28 AJ30 AJ32 AJ34 AJ36 R18 U18 AM18" xr:uid="{241F2434-3AD7-4883-A546-929EDF02191C}">
      <formula1>AND(R18&gt;=0,R18=ROUND(R18,4))</formula1>
    </dataValidation>
    <dataValidation type="custom" operator="greaterThanOrEqual" allowBlank="1" showInputMessage="1" showErrorMessage="1" errorTitle="Invalid Entry" error="Please enter no more than 6 decimals." prompt="Enter the Total Annual kW Demand for the Existing measure, NOT per unit." sqref="U20:W37" xr:uid="{DAA2F26C-4C8C-4D88-B93F-3D9E711550C2}">
      <formula1>AND(U20&gt;=0,U20=ROUND(U20,6))</formula1>
    </dataValidation>
    <dataValidation type="custom" operator="greaterThanOrEqual" allowBlank="1" showInputMessage="1" showErrorMessage="1" errorTitle="Invalid Entry" error="Please enter no more than 4 decimals." prompt="Enter the Total Annual kWh Usage for the Existing measure, NOT per unit." sqref="R20:T37" xr:uid="{09500E63-1961-49FB-8063-59B22708BA29}">
      <formula1>AND(R20&gt;=0,R20=ROUND(R20,4))</formula1>
    </dataValidation>
    <dataValidation allowBlank="1" showInputMessage="1" showErrorMessage="1" prompt="Provide a brief description of the Existing Equipment." sqref="L18 L20 L22 L24 L26 L28 L30 L32 L34 L36" xr:uid="{4A9CF224-1A63-481E-8A4B-15C920F7CEF7}"/>
    <dataValidation allowBlank="1" showInputMessage="1" showErrorMessage="1" prompt="Enter the Model number as it appears in technical documents and invoices." sqref="AY18 AY20 AY22 AY24 AY26 AY28 AY30 AY32 AY34 AY36" xr:uid="{9106D0CC-80C1-4FF2-96E8-37F3D0E2351D}"/>
    <dataValidation allowBlank="1" showInputMessage="1" showErrorMessage="1" prompt="Enter the Manufacturer name as it appears in technical documents and invoices." sqref="AV18 AV20 AV22 AV24 AV26 AV28 AV30 AV32 AV34 AV36" xr:uid="{9CD02B34-4958-46FB-B44A-23B3F9B8AA7C}"/>
    <dataValidation allowBlank="1" showInputMessage="1" showErrorMessage="1" prompt="Install Location should describe the area where the equipment is installed. (e.g. Room 201, Garage, Mechanical Room)." sqref="C18 C20 C22 C24 C26 C28 C30 C32 C34 C36" xr:uid="{3C28C8E3-0794-48D3-A2D0-48F5F83FE0DC}"/>
    <dataValidation type="decimal" allowBlank="1" showInputMessage="1" showErrorMessage="1" prompt="This is the TOTAL Material Cost of the measure, NOT a per unit basis." sqref="BB18 BB20 BB22 BB24 BB26 BB28 BB30 BB32 BB34 BB36" xr:uid="{3F9BC3BF-A023-4827-821B-F874F5916636}">
      <formula1>0</formula1>
      <formula2>999999999</formula2>
    </dataValidation>
    <dataValidation type="decimal" allowBlank="1" showInputMessage="1" showErrorMessage="1" prompt="This is the TOTAL Labor Cost of the measure, NOT a per unit basis." sqref="BD18 BD20 BD22 BD24 BD26 BD28 BD30 BD32 BD34 BD36" xr:uid="{FC9FE348-698B-4C08-854F-AD3A66CF1BAF}">
      <formula1>0</formula1>
      <formula2>999999999</formula2>
    </dataValidation>
    <dataValidation type="list" allowBlank="1" showInputMessage="1" showErrorMessage="1" prompt="Select Custom Measure Category." sqref="F18 F20 F22 F24 F26 F28 F30 F32 F34 F36" xr:uid="{085A23DA-FE8A-4312-9D72-CF392205A9D4}">
      <formula1>List_Cust_Light</formula1>
    </dataValidation>
    <dataValidation type="textLength" errorStyle="warning" operator="lessThanOrEqual" allowBlank="1" showInputMessage="1" showErrorMessage="1" errorTitle="*Important*" error="Text length must be less than 255 characters." prompt="Provide a brief description of the Proposed Equipment." sqref="AD18 AD20 AD22 AD24 AD26 AD28 AD30 AD32 AD34 AD36" xr:uid="{7332202F-6EC9-43E8-941F-D1DADF719B5C}">
      <formula1>255</formula1>
    </dataValidation>
    <dataValidation type="custom" operator="greaterThanOrEqual" allowBlank="1" showInputMessage="1" showErrorMessage="1" errorTitle="Invalid Entry" error="Please enter no more than 6 decimals." prompt="Enter the Total Annual kWh Usage for the Proposed measure, NOT per unit." sqref="X18:AC37 AP18:AU37" xr:uid="{31DF4FE7-591A-4BB9-848E-B11E6F3BF81F}">
      <formula1>AND(X18&gt;=0,X18=ROUND(X18,6))</formula1>
    </dataValidation>
    <dataValidation type="custom" allowBlank="1" showInputMessage="1" showErrorMessage="1" sqref="BY18:BY37" xr:uid="{8E03E090-808E-4D16-847E-64A91260CCF2}">
      <formula1>AND(BY18&gt;=0,BY18=ROUND(BY18,4))</formula1>
    </dataValidation>
    <dataValidation type="custom" allowBlank="1" showInputMessage="1" showErrorMessage="1" sqref="BZ18:BZ37" xr:uid="{568D459F-1E82-400F-BC91-EF6BAD1ACD1C}">
      <formula1>AND(BZ18&gt;=0,BZ18=ROUND(BZ18,6))</formula1>
    </dataValidation>
    <dataValidation type="whole" operator="greaterThan" allowBlank="1" showInputMessage="1" showErrorMessage="1" sqref="BV18:BW37" xr:uid="{75E7CFDD-7ACF-4A1B-A0DA-BD68BCDB5DA1}">
      <formula1>0</formula1>
    </dataValidation>
  </dataValidations>
  <hyperlinks>
    <hyperlink ref="AX1:BA3" location="'M05-S05'!AL1" tooltip=" " display="'M05-S05'!AL1" xr:uid="{03DEE3B3-E56A-41AB-91E9-C83CE15EA361}"/>
    <hyperlink ref="BH1:BK3" location="'M01-S03'!AP1" tooltip="Contact" display="'M01-S03'!AP1" xr:uid="{0D273CFA-ED8E-4F37-B0FA-CEB337DCB7BF}"/>
    <hyperlink ref="W9:Z11" location="Custom_WH_Tax" tooltip="Refrigeration" display="Custom_WH_Tax" xr:uid="{587A36DA-0D0A-4E18-A328-E3EDEEC99097}"/>
    <hyperlink ref="AP9:AS11" location="Custom_PL_Tax" tooltip="Motors and Drives" display="Custom_PL_Tax" xr:uid="{0B2542E1-8510-4DAC-A622-9C1C43DA0B68}"/>
    <hyperlink ref="AT1:AW3" location="'M05-S04'!AH1" tooltip=" " display="'M05-S04'!AH1" xr:uid="{44437ABC-E8BB-4F38-A07E-981255077C44}"/>
    <hyperlink ref="AP1:AS3" location="'M05-S05'!AL1" tooltip=" " display="'M05-S05'!AL1" xr:uid="{6D39E384-8CEB-4FBE-B09C-A0A1238EC3E3}"/>
    <hyperlink ref="K9:N11" location="Custom_Lighting_Tax" display="Custom_Lighting_Tax" xr:uid="{6E20C2E6-ED72-4923-877C-B63B8B6065B3}"/>
    <hyperlink ref="O9:R11" location="Custom_HVAC_Tax" display="Custom_HVAC_Tax" xr:uid="{FEFFA264-699D-49AF-B722-5F9B25A571A7}"/>
    <hyperlink ref="S9:V11" location="Custom_Heating_Tax" display="Custom_Heating_Tax" xr:uid="{EC4443F2-679D-4CD0-8328-26E76569D1F1}"/>
    <hyperlink ref="AF9:AJ11" location="Custom_FS_Tax" display="Custom_FS_Tax" xr:uid="{97C82A34-1DAA-479D-A572-8C9F8A3745E3}"/>
    <hyperlink ref="AK9:AO11" location="Custom_AG_Tax" display="Custom_AG_Tax" xr:uid="{346C9D8C-09EE-4336-B685-116F1C6F2E25}"/>
    <hyperlink ref="AT9:AW11" location="Custom_RA_Tax" display="Custom_RA_Tax" xr:uid="{8E99B4C5-502A-4087-846A-BF986F797074}"/>
    <hyperlink ref="AX9:BA11" location="Custom_Misc_Tax" display="Custom_Misc_Tax" xr:uid="{EAD6F582-4865-4208-BA35-631B908A1920}"/>
    <hyperlink ref="AA9:AE11" location="Custom_Refrig_Tax" display="Custom_Refrig_Tax" xr:uid="{1C76D95A-3910-43A3-9185-E2FC8EF77A98}"/>
  </hyperlinks>
  <printOptions horizontalCentered="1"/>
  <pageMargins left="0" right="0" top="0.25" bottom="0.25" header="0.25" footer="0.25"/>
  <pageSetup scale="4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38AC35E-193A-4819-A038-750B0CA7CB4A}">
          <x14:formula1>
            <xm:f>'DATA TABLES_Project'!$A$112:$A$113</xm:f>
          </x14:formula1>
          <xm:sqref>BX18:BX37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5823-EC48-4C80-A049-FFAA253B5C7D}">
  <sheetPr codeName="Sheet27">
    <tabColor rgb="FF142C41"/>
    <pageSetUpPr fitToPage="1"/>
  </sheetPr>
  <dimension ref="A1:EN204"/>
  <sheetViews>
    <sheetView showGridLines="0" showRowColHeaders="0" zoomScale="90" zoomScaleNormal="90" workbookViewId="0">
      <selection activeCell="AQ14" sqref="AQ14:BA14"/>
    </sheetView>
  </sheetViews>
  <sheetFormatPr defaultColWidth="0" defaultRowHeight="0" customHeight="1" zeroHeight="1"/>
  <cols>
    <col min="1" max="70" width="4.5703125" style="502" customWidth="1"/>
    <col min="71" max="71" width="11.5703125" hidden="1" customWidth="1"/>
    <col min="72" max="72" width="80.5703125" hidden="1" customWidth="1"/>
    <col min="73" max="73" width="4.5703125" hidden="1" customWidth="1"/>
    <col min="74" max="76" width="12" hidden="1" customWidth="1"/>
    <col min="77" max="77" width="14.85546875" hidden="1" customWidth="1"/>
    <col min="78" max="78" width="13.140625" hidden="1" customWidth="1"/>
    <col min="79" max="79" width="4.5703125" hidden="1" customWidth="1"/>
    <col min="80" max="98" width="12" hidden="1" customWidth="1"/>
    <col min="99" max="107" width="13.42578125" hidden="1" customWidth="1"/>
    <col min="108" max="128" width="28.5703125" hidden="1" customWidth="1"/>
    <col min="129" max="129" width="33.28515625" hidden="1" customWidth="1"/>
    <col min="130" max="130" width="23.7109375" hidden="1" customWidth="1"/>
    <col min="131" max="144" width="26.7109375" hidden="1" customWidth="1"/>
    <col min="145" max="16384" width="4.5703125" hidden="1"/>
  </cols>
  <sheetData>
    <row r="1" spans="1:112" ht="16.350000000000001" customHeight="1">
      <c r="A1" s="12"/>
      <c r="B1" s="36"/>
      <c r="C1" s="36"/>
      <c r="D1" s="36"/>
      <c r="E1" s="36"/>
      <c r="F1" s="750" t="str">
        <f>M1S1</f>
        <v>WELCOME</v>
      </c>
      <c r="G1" s="750"/>
      <c r="H1" s="750"/>
      <c r="I1" s="750"/>
      <c r="J1" s="727" t="str">
        <f>M1S2</f>
        <v>INSTRUCTIONS</v>
      </c>
      <c r="K1" s="727"/>
      <c r="L1" s="727"/>
      <c r="M1" s="727"/>
      <c r="N1" s="166"/>
      <c r="O1" s="166"/>
      <c r="P1" s="166"/>
      <c r="Q1" s="166"/>
      <c r="R1" s="166"/>
      <c r="S1" s="166"/>
      <c r="T1" s="166"/>
      <c r="U1" s="166"/>
      <c r="V1" s="189"/>
      <c r="W1" s="190" t="s">
        <v>118</v>
      </c>
      <c r="X1" s="190"/>
      <c r="Y1" s="190"/>
      <c r="Z1" s="190"/>
      <c r="AA1" s="166"/>
      <c r="AB1" s="166"/>
      <c r="AC1" s="166"/>
      <c r="AD1" s="166"/>
      <c r="AE1" s="166"/>
      <c r="AF1" s="166"/>
      <c r="AG1" s="166"/>
      <c r="AH1" s="166"/>
      <c r="AI1" s="166"/>
      <c r="AJ1"/>
      <c r="AK1"/>
      <c r="AL1"/>
      <c r="AM1"/>
      <c r="AN1"/>
      <c r="AO1"/>
      <c r="AP1" s="734" t="str">
        <f>IF(ACTIVEINSPECT="Yes","Complete "&amp;M5S4,"")</f>
        <v/>
      </c>
      <c r="AQ1" s="734"/>
      <c r="AR1" s="734"/>
      <c r="AS1" s="734"/>
      <c r="AT1" s="730" t="str">
        <f>IF(ACTIVEOFFER="Yes","Sign "&amp;M5S6,"")</f>
        <v>Sign OBR: Repayment Agreement</v>
      </c>
      <c r="AU1" s="730"/>
      <c r="AV1" s="730"/>
      <c r="AW1" s="730"/>
      <c r="AX1" s="730" t="str">
        <f>IF(ACTIVECOMPL="Yes","Sign "&amp;M5S5,"")</f>
        <v xml:space="preserve">Sign Project Completion Certification </v>
      </c>
      <c r="AY1" s="730"/>
      <c r="AZ1" s="730"/>
      <c r="BA1" s="730"/>
      <c r="BB1" s="732" t="str">
        <f>M1S4</f>
        <v>INCENTIVE RATES &amp; REQUIREMENTS</v>
      </c>
      <c r="BC1" s="732"/>
      <c r="BD1" s="732"/>
      <c r="BE1" s="732"/>
      <c r="BF1" s="732"/>
      <c r="BG1" s="732"/>
      <c r="BH1" s="722" t="s">
        <v>119</v>
      </c>
      <c r="BI1" s="723"/>
      <c r="BJ1" s="723"/>
      <c r="BK1" s="723"/>
      <c r="BL1" s="676"/>
      <c r="BM1" s="676"/>
      <c r="BN1" s="676"/>
      <c r="BO1" s="676"/>
      <c r="BP1" s="676"/>
      <c r="BQ1" s="676"/>
      <c r="BR1" s="676"/>
    </row>
    <row r="2" spans="1:112" ht="16.350000000000001" customHeight="1">
      <c r="A2"/>
      <c r="B2" s="36"/>
      <c r="C2" s="36"/>
      <c r="D2" s="36"/>
      <c r="E2" s="36"/>
      <c r="F2" s="750"/>
      <c r="G2" s="750"/>
      <c r="H2" s="750"/>
      <c r="I2" s="750"/>
      <c r="J2" s="728"/>
      <c r="K2" s="728"/>
      <c r="L2" s="728"/>
      <c r="M2" s="728"/>
      <c r="N2" s="166"/>
      <c r="O2" s="166"/>
      <c r="P2" s="166"/>
      <c r="Q2" s="166"/>
      <c r="R2" s="166"/>
      <c r="S2" s="166"/>
      <c r="T2" s="166"/>
      <c r="U2" s="166"/>
      <c r="V2" s="189"/>
      <c r="W2" s="190"/>
      <c r="X2" s="190"/>
      <c r="Y2" s="190"/>
      <c r="Z2" s="190"/>
      <c r="AA2" s="166"/>
      <c r="AB2" s="166"/>
      <c r="AC2" s="166"/>
      <c r="AD2" s="166"/>
      <c r="AE2" s="166"/>
      <c r="AF2" s="166"/>
      <c r="AG2" s="166"/>
      <c r="AH2" s="166"/>
      <c r="AI2" s="166"/>
      <c r="AJ2"/>
      <c r="AK2"/>
      <c r="AL2"/>
      <c r="AM2"/>
      <c r="AN2"/>
      <c r="AO2"/>
      <c r="AP2" s="734"/>
      <c r="AQ2" s="734"/>
      <c r="AR2" s="734"/>
      <c r="AS2" s="734"/>
      <c r="AT2" s="730"/>
      <c r="AU2" s="730"/>
      <c r="AV2" s="730"/>
      <c r="AW2" s="730"/>
      <c r="AX2" s="730"/>
      <c r="AY2" s="730"/>
      <c r="AZ2" s="730"/>
      <c r="BA2" s="730"/>
      <c r="BB2" s="732"/>
      <c r="BC2" s="732"/>
      <c r="BD2" s="732"/>
      <c r="BE2" s="732"/>
      <c r="BF2" s="732"/>
      <c r="BG2" s="732"/>
      <c r="BH2" s="723"/>
      <c r="BI2" s="723"/>
      <c r="BJ2" s="723"/>
      <c r="BK2" s="723"/>
      <c r="BL2" s="676"/>
      <c r="BM2" s="676"/>
      <c r="BN2" s="676"/>
      <c r="BO2" s="676"/>
      <c r="BP2" s="676"/>
      <c r="BQ2" s="676"/>
      <c r="BR2" s="676"/>
    </row>
    <row r="3" spans="1:112" s="614" customFormat="1" ht="16.350000000000001" customHeight="1" thickBot="1">
      <c r="B3" s="627"/>
      <c r="C3" s="627"/>
      <c r="D3" s="627"/>
      <c r="E3" s="627"/>
      <c r="F3" s="875"/>
      <c r="G3" s="875"/>
      <c r="H3" s="875"/>
      <c r="I3" s="875"/>
      <c r="J3" s="876"/>
      <c r="K3" s="876"/>
      <c r="L3" s="876"/>
      <c r="M3" s="876"/>
      <c r="N3" s="608"/>
      <c r="O3" s="608"/>
      <c r="P3" s="608"/>
      <c r="Q3" s="608"/>
      <c r="R3" s="608"/>
      <c r="S3" s="608"/>
      <c r="T3" s="608"/>
      <c r="U3" s="608"/>
      <c r="V3" s="608"/>
      <c r="W3" s="609"/>
      <c r="X3" s="609"/>
      <c r="Y3" s="609"/>
      <c r="Z3" s="609"/>
      <c r="AP3" s="868"/>
      <c r="AQ3" s="868"/>
      <c r="AR3" s="868"/>
      <c r="AS3" s="868"/>
      <c r="AT3" s="869"/>
      <c r="AU3" s="869"/>
      <c r="AV3" s="869"/>
      <c r="AW3" s="869"/>
      <c r="AX3" s="869"/>
      <c r="AY3" s="869"/>
      <c r="AZ3" s="869"/>
      <c r="BA3" s="869"/>
      <c r="BB3" s="1009"/>
      <c r="BC3" s="1009"/>
      <c r="BD3" s="1009"/>
      <c r="BE3" s="1009"/>
      <c r="BF3" s="1009"/>
      <c r="BG3" s="1009"/>
      <c r="BH3" s="871"/>
      <c r="BI3" s="871"/>
      <c r="BJ3" s="871"/>
      <c r="BK3" s="871"/>
      <c r="BL3" s="677"/>
      <c r="BM3" s="677"/>
      <c r="BN3" s="677"/>
      <c r="BO3" s="677"/>
      <c r="BP3" s="677"/>
      <c r="BQ3" s="677"/>
      <c r="BR3" s="677"/>
    </row>
    <row r="4" spans="1:112" s="496" customFormat="1" ht="16.350000000000001" customHeight="1">
      <c r="A4" s="615"/>
      <c r="B4" s="615"/>
      <c r="C4" s="615"/>
      <c r="D4" s="615"/>
      <c r="E4" s="615"/>
      <c r="F4" s="615"/>
      <c r="G4" s="615"/>
      <c r="H4" s="615"/>
      <c r="I4" s="615"/>
      <c r="J4" s="615"/>
      <c r="K4" s="615"/>
      <c r="L4" s="615"/>
      <c r="M4" s="615"/>
      <c r="N4" s="616"/>
      <c r="O4" s="617"/>
      <c r="P4" s="615"/>
      <c r="Q4" s="615"/>
      <c r="R4" s="615"/>
      <c r="S4" s="615"/>
      <c r="T4" s="613" t="s">
        <v>707</v>
      </c>
      <c r="U4" s="618" t="str">
        <f>M05S07F07</f>
        <v>Custom</v>
      </c>
      <c r="X4" s="619"/>
      <c r="Y4" s="619"/>
      <c r="Z4" s="619"/>
      <c r="AA4" s="615"/>
      <c r="AB4" s="615"/>
      <c r="AC4" s="613" t="s">
        <v>708</v>
      </c>
      <c r="AD4" s="618" t="str">
        <f>IF(M02S02F02="","[Project Name]",LEFT(M02S02F02,25))</f>
        <v>[Project Name]</v>
      </c>
      <c r="AF4" s="620"/>
      <c r="AG4" s="620"/>
      <c r="AH4" s="620"/>
      <c r="AI4" s="620"/>
      <c r="AJ4" s="620"/>
      <c r="AK4" s="620"/>
      <c r="AL4" s="613" t="s">
        <v>709</v>
      </c>
      <c r="AM4" s="621" t="str">
        <f>IF(M02S02F27="Yes",Status_Final,Status_Pre)</f>
        <v>Draft Pre-Application</v>
      </c>
      <c r="AO4" s="617"/>
      <c r="AP4" s="615"/>
      <c r="AQ4" s="615"/>
      <c r="AR4" s="617"/>
      <c r="AS4" s="617"/>
      <c r="AT4" s="615"/>
      <c r="AU4" s="615"/>
      <c r="AV4" s="615"/>
      <c r="AW4" s="613" t="s">
        <v>710</v>
      </c>
      <c r="AX4" s="1047">
        <f>Incent_Total_Cap_All</f>
        <v>0</v>
      </c>
      <c r="AY4" s="1047"/>
      <c r="AZ4" s="1047"/>
      <c r="BA4" s="1047"/>
      <c r="BB4" s="1048" t="s">
        <v>711</v>
      </c>
      <c r="BC4" s="1048"/>
      <c r="BD4" s="1048"/>
      <c r="BE4" s="1048"/>
      <c r="BF4" s="1048"/>
      <c r="BG4" s="1047" t="str">
        <f>OBR_Amount_Requested</f>
        <v/>
      </c>
      <c r="BH4" s="1047"/>
      <c r="BI4" s="1047"/>
      <c r="BJ4" s="1047"/>
      <c r="BK4" s="617"/>
      <c r="BL4" s="617"/>
      <c r="BM4" s="617"/>
      <c r="BN4" s="617"/>
      <c r="BO4" s="617"/>
      <c r="BP4" s="617"/>
      <c r="BQ4" s="617"/>
      <c r="BR4" s="617"/>
    </row>
    <row r="5" spans="1:112"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142"/>
      <c r="BK5" s="142"/>
      <c r="BL5"/>
      <c r="BM5"/>
      <c r="BN5"/>
      <c r="BO5"/>
      <c r="BP5"/>
      <c r="BQ5"/>
      <c r="BR5"/>
    </row>
    <row r="6" spans="1:112"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c r="BJ6"/>
      <c r="BK6"/>
      <c r="BL6"/>
      <c r="BM6"/>
      <c r="BN6"/>
      <c r="BO6"/>
      <c r="BP6"/>
      <c r="BQ6"/>
      <c r="BR6"/>
    </row>
    <row r="7" spans="1:112"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c r="BJ7"/>
      <c r="BK7"/>
      <c r="BL7"/>
      <c r="BM7"/>
      <c r="BN7"/>
      <c r="BO7"/>
      <c r="BP7"/>
      <c r="BQ7"/>
      <c r="BR7"/>
    </row>
    <row r="8" spans="1:112"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14"/>
      <c r="BK8" s="614"/>
      <c r="BL8"/>
      <c r="BM8"/>
      <c r="BN8"/>
      <c r="BO8"/>
      <c r="BP8"/>
      <c r="BQ8"/>
      <c r="BR8"/>
    </row>
    <row r="9" spans="1:112" s="43" customFormat="1" ht="16.350000000000001" customHeight="1">
      <c r="B9" s="44"/>
      <c r="C9" s="44"/>
      <c r="D9" s="44"/>
      <c r="E9" s="44"/>
      <c r="F9"/>
      <c r="I9"/>
      <c r="K9" s="1005" t="str">
        <f>M4S2</f>
        <v>Lighting &amp; Lighting Controls</v>
      </c>
      <c r="L9" s="1005"/>
      <c r="M9" s="1005"/>
      <c r="N9" s="1005"/>
      <c r="O9" s="1049" t="str">
        <f>M4S3</f>
        <v>HVAC</v>
      </c>
      <c r="P9" s="1049"/>
      <c r="Q9" s="1049"/>
      <c r="R9" s="1049"/>
      <c r="S9" s="1005" t="str">
        <f>M4S4</f>
        <v>Heating</v>
      </c>
      <c r="T9" s="1005"/>
      <c r="U9" s="1005"/>
      <c r="V9" s="1005"/>
      <c r="W9" s="1005" t="str">
        <f>M4S5</f>
        <v>Water Heating &amp; Boilers</v>
      </c>
      <c r="X9" s="1005"/>
      <c r="Y9" s="1005"/>
      <c r="Z9" s="1005"/>
      <c r="AA9" s="1029" t="str">
        <f>M4S6</f>
        <v>Refrigeration</v>
      </c>
      <c r="AB9" s="1030"/>
      <c r="AC9" s="1030"/>
      <c r="AD9" s="1030"/>
      <c r="AE9" s="1031"/>
      <c r="AF9" s="1010" t="str">
        <f>M4S7</f>
        <v>Food Service</v>
      </c>
      <c r="AG9" s="1011"/>
      <c r="AH9" s="1011"/>
      <c r="AI9" s="1011"/>
      <c r="AJ9" s="1012"/>
      <c r="AK9" s="1010" t="str">
        <f>M4S8</f>
        <v>Agriculture</v>
      </c>
      <c r="AL9" s="1011"/>
      <c r="AM9" s="1011"/>
      <c r="AN9" s="1011"/>
      <c r="AO9" s="1012"/>
      <c r="AP9" s="1005" t="str">
        <f>M4S9</f>
        <v>Plug Load</v>
      </c>
      <c r="AQ9" s="1005"/>
      <c r="AR9" s="1005"/>
      <c r="AS9" s="1005"/>
      <c r="AT9" s="1005" t="str">
        <f>M4S10</f>
        <v>Residential Appliances</v>
      </c>
      <c r="AU9" s="1005"/>
      <c r="AV9" s="1005"/>
      <c r="AW9" s="1005"/>
      <c r="AX9" s="1005" t="str">
        <f>M4S11</f>
        <v>Miscellaneous</v>
      </c>
      <c r="AY9" s="1005"/>
      <c r="AZ9" s="1005"/>
      <c r="BA9" s="1005"/>
      <c r="BE9" s="122"/>
      <c r="BF9" s="122"/>
      <c r="CK9"/>
      <c r="DD9"/>
      <c r="DE9"/>
      <c r="DF9"/>
      <c r="DG9"/>
      <c r="DH9"/>
    </row>
    <row r="10" spans="1:112" s="43" customFormat="1" ht="16.350000000000001" customHeight="1">
      <c r="B10" s="44"/>
      <c r="C10" s="44"/>
      <c r="D10" s="44"/>
      <c r="E10" s="44"/>
      <c r="F10"/>
      <c r="I10"/>
      <c r="K10" s="1005"/>
      <c r="L10" s="1005"/>
      <c r="M10" s="1005"/>
      <c r="N10" s="1005"/>
      <c r="O10" s="1049"/>
      <c r="P10" s="1049"/>
      <c r="Q10" s="1049"/>
      <c r="R10" s="1049"/>
      <c r="S10" s="1005"/>
      <c r="T10" s="1005"/>
      <c r="U10" s="1005"/>
      <c r="V10" s="1005"/>
      <c r="W10" s="1005"/>
      <c r="X10" s="1005"/>
      <c r="Y10" s="1005"/>
      <c r="Z10" s="1005"/>
      <c r="AA10" s="1032"/>
      <c r="AB10" s="1033"/>
      <c r="AC10" s="1033"/>
      <c r="AD10" s="1033"/>
      <c r="AE10" s="1034"/>
      <c r="AF10" s="1013"/>
      <c r="AG10" s="1014"/>
      <c r="AH10" s="1014"/>
      <c r="AI10" s="1014"/>
      <c r="AJ10" s="1015"/>
      <c r="AK10" s="1013"/>
      <c r="AL10" s="1014"/>
      <c r="AM10" s="1014"/>
      <c r="AN10" s="1014"/>
      <c r="AO10" s="1015"/>
      <c r="AP10" s="1005"/>
      <c r="AQ10" s="1005"/>
      <c r="AR10" s="1005"/>
      <c r="AS10" s="1005"/>
      <c r="AT10" s="1005"/>
      <c r="AU10" s="1005"/>
      <c r="AV10" s="1005"/>
      <c r="AW10" s="1005"/>
      <c r="AX10" s="1005"/>
      <c r="AY10" s="1005"/>
      <c r="AZ10" s="1005"/>
      <c r="BA10" s="1005"/>
      <c r="BF10" s="122"/>
      <c r="DD10"/>
      <c r="DE10"/>
      <c r="DF10"/>
      <c r="DG10"/>
      <c r="DH10"/>
    </row>
    <row r="11" spans="1:112" ht="16.350000000000001" customHeight="1">
      <c r="A11"/>
      <c r="B11" s="49"/>
      <c r="C11" s="49"/>
      <c r="D11" s="49"/>
      <c r="E11" s="49"/>
      <c r="F11"/>
      <c r="G11"/>
      <c r="H11"/>
      <c r="I11"/>
      <c r="J11"/>
      <c r="K11" s="1006"/>
      <c r="L11" s="1006"/>
      <c r="M11" s="1006"/>
      <c r="N11" s="1006"/>
      <c r="O11" s="1050"/>
      <c r="P11" s="1050"/>
      <c r="Q11" s="1050"/>
      <c r="R11" s="1050"/>
      <c r="S11" s="1006"/>
      <c r="T11" s="1006"/>
      <c r="U11" s="1006"/>
      <c r="V11" s="1006"/>
      <c r="W11" s="1006"/>
      <c r="X11" s="1006"/>
      <c r="Y11" s="1006"/>
      <c r="Z11" s="1006"/>
      <c r="AA11" s="1035"/>
      <c r="AB11" s="1036"/>
      <c r="AC11" s="1036"/>
      <c r="AD11" s="1036"/>
      <c r="AE11" s="1037"/>
      <c r="AF11" s="1016"/>
      <c r="AG11" s="1017"/>
      <c r="AH11" s="1017"/>
      <c r="AI11" s="1017"/>
      <c r="AJ11" s="1018"/>
      <c r="AK11" s="1016"/>
      <c r="AL11" s="1017"/>
      <c r="AM11" s="1017"/>
      <c r="AN11" s="1017"/>
      <c r="AO11" s="1018"/>
      <c r="AP11" s="1006"/>
      <c r="AQ11" s="1006"/>
      <c r="AR11" s="1006"/>
      <c r="AS11" s="1006"/>
      <c r="AT11" s="1006"/>
      <c r="AU11" s="1006"/>
      <c r="AV11" s="1006"/>
      <c r="AW11" s="1006"/>
      <c r="AX11" s="1006"/>
      <c r="AY11" s="1006"/>
      <c r="AZ11" s="1006"/>
      <c r="BA11" s="1006"/>
      <c r="BB11" s="43"/>
      <c r="BC11" s="43"/>
      <c r="BD11" s="43"/>
      <c r="BE11"/>
      <c r="BF11" s="122"/>
      <c r="BG11"/>
      <c r="BH11"/>
      <c r="BI11"/>
      <c r="BJ11"/>
      <c r="BK11"/>
      <c r="BL11"/>
      <c r="BM11"/>
      <c r="BN11"/>
      <c r="BO11"/>
      <c r="BP11"/>
      <c r="BQ11"/>
      <c r="BR11"/>
    </row>
    <row r="12" spans="1:112" ht="16.350000000000001" customHeight="1">
      <c r="A12" s="41"/>
      <c r="B12" s="41"/>
      <c r="C12" s="41"/>
      <c r="D12" s="41"/>
      <c r="E12" s="41"/>
      <c r="F12" s="41"/>
      <c r="G12"/>
      <c r="H12"/>
      <c r="I12"/>
      <c r="J12"/>
      <c r="K12"/>
      <c r="L12"/>
      <c r="M12"/>
      <c r="N12"/>
      <c r="O12"/>
      <c r="P12"/>
      <c r="Q12"/>
      <c r="R12"/>
      <c r="S12"/>
      <c r="T12"/>
      <c r="U12"/>
      <c r="V12"/>
      <c r="W12"/>
      <c r="X12"/>
      <c r="Y12" s="1004">
        <f>IFERROR(SUM(BF18:BG225,AQ14),0)</f>
        <v>0</v>
      </c>
      <c r="Z12" s="1004"/>
      <c r="AA12" s="1004"/>
      <c r="AB12" s="1004"/>
      <c r="AC12" s="1004">
        <f>IFERROR(SUM(BH18:BJ225),0)</f>
        <v>0</v>
      </c>
      <c r="AD12" s="1004"/>
      <c r="AE12" s="1004"/>
      <c r="AF12" s="1004"/>
      <c r="AG12" s="1004"/>
      <c r="AH12" s="1007">
        <f>IFERROR(SUMIF(BH18:BJ225,"&gt;0",BK18:BM225),0)</f>
        <v>0</v>
      </c>
      <c r="AI12" s="1007"/>
      <c r="AJ12" s="1007"/>
      <c r="AK12" s="1007"/>
      <c r="AL12" s="1008">
        <f>IFERROR(SUMIF(BH18:BJ225,"&gt;0",BN18:BP225),0)</f>
        <v>0</v>
      </c>
      <c r="AM12" s="1008"/>
      <c r="AN12" s="1008"/>
      <c r="AO12" s="1008"/>
      <c r="AP12"/>
      <c r="AQ12" s="1020" t="s">
        <v>1399</v>
      </c>
      <c r="AR12" s="1020"/>
      <c r="AS12" s="1020"/>
      <c r="AT12" s="1020"/>
      <c r="AU12" s="1020"/>
      <c r="AV12" s="1020"/>
      <c r="AW12" s="1020"/>
      <c r="AX12" s="1020"/>
      <c r="AY12" s="1020"/>
      <c r="AZ12" s="1020"/>
      <c r="BA12" s="1020"/>
      <c r="BB12"/>
      <c r="BC12" s="43"/>
      <c r="BD12" s="43"/>
      <c r="BE12"/>
      <c r="BF12"/>
      <c r="BG12"/>
      <c r="BH12"/>
      <c r="BI12"/>
      <c r="BJ12"/>
      <c r="BK12"/>
      <c r="BL12"/>
      <c r="BM12"/>
      <c r="BN12"/>
      <c r="BO12"/>
      <c r="BP12"/>
      <c r="BQ12"/>
      <c r="BR12"/>
    </row>
    <row r="13" spans="1:112" ht="16.350000000000001" customHeight="1">
      <c r="A13" s="41"/>
      <c r="B13" s="41"/>
      <c r="C13"/>
      <c r="D13"/>
      <c r="E13"/>
      <c r="F13"/>
      <c r="G13"/>
      <c r="H13"/>
      <c r="I13"/>
      <c r="J13"/>
      <c r="K13"/>
      <c r="L13"/>
      <c r="M13"/>
      <c r="N13"/>
      <c r="O13"/>
      <c r="P13"/>
      <c r="Q13"/>
      <c r="R13"/>
      <c r="S13"/>
      <c r="T13"/>
      <c r="U13"/>
      <c r="V13"/>
      <c r="W13"/>
      <c r="X13"/>
      <c r="Y13" s="1004"/>
      <c r="Z13" s="1004"/>
      <c r="AA13" s="1004"/>
      <c r="AB13" s="1004"/>
      <c r="AC13" s="1004"/>
      <c r="AD13" s="1004"/>
      <c r="AE13" s="1004"/>
      <c r="AF13" s="1004"/>
      <c r="AG13" s="1004"/>
      <c r="AH13" s="1007"/>
      <c r="AI13" s="1007"/>
      <c r="AJ13" s="1007"/>
      <c r="AK13" s="1007"/>
      <c r="AL13" s="1008"/>
      <c r="AM13" s="1008"/>
      <c r="AN13" s="1008"/>
      <c r="AO13" s="1008"/>
      <c r="AP13"/>
      <c r="AQ13" s="1020"/>
      <c r="AR13" s="1020"/>
      <c r="AS13" s="1020"/>
      <c r="AT13" s="1020"/>
      <c r="AU13" s="1020"/>
      <c r="AV13" s="1020"/>
      <c r="AW13" s="1020"/>
      <c r="AX13" s="1020"/>
      <c r="AY13" s="1020"/>
      <c r="AZ13" s="1020"/>
      <c r="BA13" s="1020"/>
      <c r="BB13"/>
      <c r="BC13"/>
      <c r="BD13"/>
      <c r="BE13"/>
      <c r="BF13"/>
      <c r="BG13"/>
      <c r="BH13"/>
      <c r="BI13"/>
      <c r="BJ13"/>
      <c r="BK13"/>
      <c r="BL13"/>
      <c r="BM13"/>
      <c r="BN13"/>
      <c r="BO13"/>
      <c r="BP13"/>
      <c r="BQ13"/>
      <c r="BR13"/>
      <c r="CW13" s="1041" t="s">
        <v>1400</v>
      </c>
      <c r="CX13" s="1041"/>
      <c r="CY13" s="1041"/>
    </row>
    <row r="14" spans="1:112" ht="16.350000000000001" customHeight="1">
      <c r="A14"/>
      <c r="B14"/>
      <c r="C14"/>
      <c r="D14"/>
      <c r="E14"/>
      <c r="F14"/>
      <c r="G14"/>
      <c r="H14"/>
      <c r="I14"/>
      <c r="J14"/>
      <c r="K14"/>
      <c r="L14"/>
      <c r="M14"/>
      <c r="N14"/>
      <c r="O14"/>
      <c r="P14"/>
      <c r="Q14"/>
      <c r="R14"/>
      <c r="S14"/>
      <c r="T14"/>
      <c r="U14"/>
      <c r="V14"/>
      <c r="W14"/>
      <c r="X14"/>
      <c r="Y14" s="1003" t="s">
        <v>1401</v>
      </c>
      <c r="Z14" s="1003"/>
      <c r="AA14" s="1003"/>
      <c r="AB14" s="1003"/>
      <c r="AC14" s="1003" t="s">
        <v>1402</v>
      </c>
      <c r="AD14" s="1003"/>
      <c r="AE14" s="1003"/>
      <c r="AF14" s="1003"/>
      <c r="AG14" s="1003"/>
      <c r="AH14" s="1003" t="s">
        <v>1403</v>
      </c>
      <c r="AI14" s="1003"/>
      <c r="AJ14" s="1003"/>
      <c r="AK14" s="1003"/>
      <c r="AL14" s="1003" t="s">
        <v>1403</v>
      </c>
      <c r="AM14" s="1003"/>
      <c r="AN14" s="1003"/>
      <c r="AO14" s="1003"/>
      <c r="AP14"/>
      <c r="AQ14" s="1021"/>
      <c r="AR14" s="1021"/>
      <c r="AS14" s="1021"/>
      <c r="AT14" s="1021"/>
      <c r="AU14" s="1021"/>
      <c r="AV14" s="1021"/>
      <c r="AW14" s="1021"/>
      <c r="AX14" s="1021"/>
      <c r="AY14" s="1021"/>
      <c r="AZ14" s="1021"/>
      <c r="BA14" s="1021"/>
      <c r="BB14"/>
      <c r="BC14"/>
      <c r="BD14"/>
      <c r="BE14"/>
      <c r="BF14"/>
      <c r="BG14"/>
      <c r="BH14"/>
      <c r="BI14"/>
      <c r="BJ14"/>
      <c r="BK14"/>
      <c r="BL14"/>
      <c r="BM14"/>
      <c r="BN14"/>
      <c r="BO14"/>
      <c r="BP14"/>
      <c r="BQ14"/>
      <c r="BR14"/>
      <c r="BV14" s="1040" t="s">
        <v>1404</v>
      </c>
      <c r="BW14" s="1040"/>
      <c r="BX14" s="1040"/>
      <c r="BY14" s="1040"/>
      <c r="BZ14" s="1040"/>
      <c r="CW14" s="1041"/>
      <c r="CX14" s="1041"/>
      <c r="CY14" s="1041"/>
    </row>
    <row r="15" spans="1:112" ht="16.350000000000001" customHeight="1">
      <c r="A15"/>
      <c r="B15"/>
      <c r="C15"/>
      <c r="D15" s="47"/>
      <c r="E15" s="47"/>
      <c r="F15" s="47"/>
      <c r="G15" s="47"/>
      <c r="H15" s="47"/>
      <c r="I15" s="47"/>
      <c r="J15" s="47"/>
      <c r="K15" s="47"/>
      <c r="L15" s="1038" t="s">
        <v>1405</v>
      </c>
      <c r="M15" s="1038"/>
      <c r="N15" s="1038"/>
      <c r="O15" s="1038"/>
      <c r="P15" s="1038"/>
      <c r="Q15" s="1038"/>
      <c r="R15" s="1038"/>
      <c r="S15" s="1038"/>
      <c r="T15" s="1038"/>
      <c r="U15" s="1038"/>
      <c r="V15" s="1038"/>
      <c r="W15" s="1038"/>
      <c r="X15" s="1038"/>
      <c r="Y15" s="1038"/>
      <c r="Z15" s="1038"/>
      <c r="AA15" s="1038" t="s">
        <v>1406</v>
      </c>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679"/>
      <c r="AW15" s="679"/>
      <c r="AX15" s="679"/>
      <c r="AY15" s="679"/>
      <c r="AZ15" s="679"/>
      <c r="BA15" s="679"/>
      <c r="BB15"/>
      <c r="BC15"/>
      <c r="BD15"/>
      <c r="BE15"/>
      <c r="BF15"/>
      <c r="BG15"/>
      <c r="BH15"/>
      <c r="BI15"/>
      <c r="BJ15"/>
      <c r="BK15"/>
      <c r="BL15"/>
      <c r="BM15"/>
      <c r="BN15"/>
      <c r="BO15"/>
      <c r="BP15"/>
      <c r="BQ15"/>
      <c r="BR15"/>
      <c r="BV15" s="1040"/>
      <c r="BW15" s="1040"/>
      <c r="BX15" s="1040"/>
      <c r="BY15" s="1040"/>
      <c r="BZ15" s="1040"/>
      <c r="CW15" s="595"/>
      <c r="CX15" s="595"/>
      <c r="CY15" s="595"/>
    </row>
    <row r="16" spans="1:112" ht="16.350000000000001" customHeight="1">
      <c r="A16"/>
      <c r="B16"/>
      <c r="C16" s="992" t="s">
        <v>1407</v>
      </c>
      <c r="D16" s="992"/>
      <c r="E16" s="992"/>
      <c r="F16" s="991" t="s">
        <v>1408</v>
      </c>
      <c r="G16" s="991"/>
      <c r="H16" s="991"/>
      <c r="I16" s="991"/>
      <c r="J16" s="991"/>
      <c r="K16" s="991"/>
      <c r="L16" s="991" t="s">
        <v>1409</v>
      </c>
      <c r="M16" s="991"/>
      <c r="N16" s="991"/>
      <c r="O16" s="991"/>
      <c r="P16" s="991"/>
      <c r="Q16" s="991"/>
      <c r="R16" s="991" t="s">
        <v>1410</v>
      </c>
      <c r="S16" s="991"/>
      <c r="T16" s="991"/>
      <c r="U16" s="991" t="s">
        <v>1411</v>
      </c>
      <c r="V16" s="991"/>
      <c r="W16" s="991"/>
      <c r="X16" s="991" t="s">
        <v>1412</v>
      </c>
      <c r="Y16" s="991"/>
      <c r="Z16" s="991"/>
      <c r="AA16" s="991" t="s">
        <v>1413</v>
      </c>
      <c r="AB16" s="991"/>
      <c r="AC16" s="991"/>
      <c r="AD16" s="1022" t="s">
        <v>1409</v>
      </c>
      <c r="AE16" s="991"/>
      <c r="AF16" s="991"/>
      <c r="AG16" s="991"/>
      <c r="AH16" s="991"/>
      <c r="AI16" s="991"/>
      <c r="AJ16" s="991" t="s">
        <v>1410</v>
      </c>
      <c r="AK16" s="991"/>
      <c r="AL16" s="991"/>
      <c r="AM16" s="991" t="s">
        <v>1411</v>
      </c>
      <c r="AN16" s="991"/>
      <c r="AO16" s="991"/>
      <c r="AP16" s="991" t="s">
        <v>1412</v>
      </c>
      <c r="AQ16" s="991"/>
      <c r="AR16" s="991"/>
      <c r="AS16" s="991" t="s">
        <v>1413</v>
      </c>
      <c r="AT16" s="991"/>
      <c r="AU16" s="991"/>
      <c r="AV16" s="1024" t="s">
        <v>1414</v>
      </c>
      <c r="AW16" s="1024"/>
      <c r="AX16" s="1024"/>
      <c r="AY16" s="1024" t="s">
        <v>1415</v>
      </c>
      <c r="AZ16" s="1024"/>
      <c r="BA16" s="1024"/>
      <c r="BB16" s="989" t="s">
        <v>1416</v>
      </c>
      <c r="BC16" s="989"/>
      <c r="BD16" s="989"/>
      <c r="BE16" s="989"/>
      <c r="BF16" s="991" t="s">
        <v>224</v>
      </c>
      <c r="BG16" s="991"/>
      <c r="BH16" s="984" t="s">
        <v>1417</v>
      </c>
      <c r="BI16" s="984"/>
      <c r="BJ16" s="984"/>
      <c r="BK16" s="992" t="s">
        <v>1418</v>
      </c>
      <c r="BL16" s="992"/>
      <c r="BM16" s="992"/>
      <c r="BN16" s="992" t="s">
        <v>1419</v>
      </c>
      <c r="BO16" s="992"/>
      <c r="BP16" s="992"/>
      <c r="BQ16"/>
      <c r="BR16"/>
      <c r="BS16" s="987" t="s">
        <v>1420</v>
      </c>
      <c r="BT16" s="987" t="s">
        <v>1421</v>
      </c>
      <c r="BV16" s="987" t="s">
        <v>1422</v>
      </c>
      <c r="BW16" s="987" t="s">
        <v>1423</v>
      </c>
      <c r="BX16" s="987" t="s">
        <v>1424</v>
      </c>
      <c r="BY16" s="987" t="s">
        <v>1425</v>
      </c>
      <c r="BZ16" s="987" t="s">
        <v>1426</v>
      </c>
      <c r="CB16" s="987" t="s">
        <v>1427</v>
      </c>
      <c r="CC16" s="987" t="s">
        <v>779</v>
      </c>
      <c r="CD16" s="987" t="s">
        <v>1428</v>
      </c>
      <c r="CE16" s="987" t="s">
        <v>1429</v>
      </c>
      <c r="CF16" s="987" t="s">
        <v>1430</v>
      </c>
      <c r="CG16" s="987" t="s">
        <v>1431</v>
      </c>
      <c r="CH16" s="987" t="s">
        <v>1432</v>
      </c>
      <c r="CI16" s="987" t="s">
        <v>1433</v>
      </c>
      <c r="CJ16" s="987" t="s">
        <v>1434</v>
      </c>
      <c r="CK16" s="987" t="s">
        <v>1435</v>
      </c>
      <c r="CL16" s="987" t="s">
        <v>1436</v>
      </c>
      <c r="CM16" s="987" t="s">
        <v>1437</v>
      </c>
      <c r="CN16" s="987" t="s">
        <v>1438</v>
      </c>
      <c r="CO16" s="987" t="s">
        <v>1439</v>
      </c>
      <c r="CP16" s="987" t="s">
        <v>1440</v>
      </c>
      <c r="CQ16" s="987" t="s">
        <v>1441</v>
      </c>
      <c r="CR16" s="987" t="s">
        <v>1442</v>
      </c>
      <c r="CS16" s="987" t="s">
        <v>1443</v>
      </c>
      <c r="CT16" s="987" t="s">
        <v>1444</v>
      </c>
      <c r="CU16" s="987" t="s">
        <v>1445</v>
      </c>
      <c r="CV16" s="919" t="s">
        <v>1446</v>
      </c>
      <c r="CW16" s="919" t="s">
        <v>1447</v>
      </c>
      <c r="CX16" s="919" t="s">
        <v>1448</v>
      </c>
      <c r="CY16" s="1042" t="s">
        <v>1449</v>
      </c>
      <c r="CZ16" s="1042" t="s">
        <v>1450</v>
      </c>
      <c r="DA16" s="1042" t="s">
        <v>1491</v>
      </c>
    </row>
    <row r="17" spans="1:144" ht="16.350000000000001" customHeight="1">
      <c r="A17"/>
      <c r="B17" s="12"/>
      <c r="C17" s="993"/>
      <c r="D17" s="993"/>
      <c r="E17" s="993"/>
      <c r="F17" s="990"/>
      <c r="G17" s="990"/>
      <c r="H17" s="990"/>
      <c r="I17" s="990"/>
      <c r="J17" s="990"/>
      <c r="K17" s="990"/>
      <c r="L17" s="990"/>
      <c r="M17" s="990"/>
      <c r="N17" s="990"/>
      <c r="O17" s="990"/>
      <c r="P17" s="990"/>
      <c r="Q17" s="990"/>
      <c r="R17" s="991"/>
      <c r="S17" s="991"/>
      <c r="T17" s="991"/>
      <c r="U17" s="991"/>
      <c r="V17" s="991"/>
      <c r="W17" s="991"/>
      <c r="X17" s="991"/>
      <c r="Y17" s="991"/>
      <c r="Z17" s="991"/>
      <c r="AA17" s="991"/>
      <c r="AB17" s="991"/>
      <c r="AC17" s="991"/>
      <c r="AD17" s="1023"/>
      <c r="AE17" s="990"/>
      <c r="AF17" s="990"/>
      <c r="AG17" s="990"/>
      <c r="AH17" s="990"/>
      <c r="AI17" s="990"/>
      <c r="AJ17" s="990"/>
      <c r="AK17" s="990"/>
      <c r="AL17" s="990"/>
      <c r="AM17" s="990"/>
      <c r="AN17" s="990"/>
      <c r="AO17" s="990"/>
      <c r="AP17" s="990"/>
      <c r="AQ17" s="990"/>
      <c r="AR17" s="990"/>
      <c r="AS17" s="990"/>
      <c r="AT17" s="990"/>
      <c r="AU17" s="990"/>
      <c r="AV17" s="1039" t="s">
        <v>1451</v>
      </c>
      <c r="AW17" s="1039"/>
      <c r="AX17" s="1039"/>
      <c r="AY17" s="1039"/>
      <c r="AZ17" s="1039"/>
      <c r="BA17" s="1039"/>
      <c r="BB17" s="990" t="s">
        <v>1452</v>
      </c>
      <c r="BC17" s="990"/>
      <c r="BD17" s="990" t="s">
        <v>1453</v>
      </c>
      <c r="BE17" s="990"/>
      <c r="BF17" s="990"/>
      <c r="BG17" s="990"/>
      <c r="BH17" s="985"/>
      <c r="BI17" s="985"/>
      <c r="BJ17" s="985"/>
      <c r="BK17" s="993"/>
      <c r="BL17" s="993"/>
      <c r="BM17" s="993"/>
      <c r="BN17" s="993"/>
      <c r="BO17" s="993"/>
      <c r="BP17" s="993"/>
      <c r="BQ17"/>
      <c r="BR17"/>
      <c r="BS17" s="987"/>
      <c r="BT17" s="987"/>
      <c r="BV17" s="988"/>
      <c r="BW17" s="988"/>
      <c r="BX17" s="988"/>
      <c r="BY17" s="988"/>
      <c r="BZ17" s="988"/>
      <c r="CB17" s="988"/>
      <c r="CC17" s="988"/>
      <c r="CD17" s="988"/>
      <c r="CE17" s="988"/>
      <c r="CF17" s="988"/>
      <c r="CG17" s="988"/>
      <c r="CH17" s="988"/>
      <c r="CI17" s="988"/>
      <c r="CJ17" s="988"/>
      <c r="CK17" s="988"/>
      <c r="CL17" s="988"/>
      <c r="CM17" s="988"/>
      <c r="CN17" s="988"/>
      <c r="CO17" s="988"/>
      <c r="CP17" s="988"/>
      <c r="CQ17" s="988"/>
      <c r="CR17" s="988"/>
      <c r="CS17" s="988"/>
      <c r="CT17" s="988"/>
      <c r="CU17" s="987"/>
      <c r="CV17" s="919"/>
      <c r="CW17" s="919"/>
      <c r="CX17" s="919"/>
      <c r="CY17" s="1042"/>
      <c r="CZ17" s="1042"/>
      <c r="DA17" s="1042"/>
      <c r="DD17" s="670" t="s">
        <v>1454</v>
      </c>
      <c r="DE17" s="670" t="s">
        <v>1455</v>
      </c>
      <c r="DF17" s="670" t="s">
        <v>1456</v>
      </c>
      <c r="DG17" s="670" t="s">
        <v>1457</v>
      </c>
      <c r="DH17" s="670" t="s">
        <v>1458</v>
      </c>
      <c r="DI17" s="670" t="s">
        <v>1459</v>
      </c>
      <c r="DJ17" s="670" t="s">
        <v>1460</v>
      </c>
      <c r="DK17" s="670" t="s">
        <v>1461</v>
      </c>
      <c r="DL17" s="670" t="s">
        <v>1462</v>
      </c>
      <c r="DM17" s="670" t="s">
        <v>1463</v>
      </c>
      <c r="DN17" s="670" t="s">
        <v>1464</v>
      </c>
      <c r="DO17" s="670" t="s">
        <v>1465</v>
      </c>
      <c r="DP17" s="670" t="s">
        <v>1466</v>
      </c>
      <c r="DQ17" s="670" t="s">
        <v>1467</v>
      </c>
      <c r="DR17" s="670" t="s">
        <v>1468</v>
      </c>
      <c r="DS17" s="670" t="s">
        <v>1469</v>
      </c>
      <c r="DT17" s="670" t="s">
        <v>1470</v>
      </c>
      <c r="DU17" s="670" t="s">
        <v>1471</v>
      </c>
      <c r="DV17" s="670" t="s">
        <v>1472</v>
      </c>
      <c r="DW17" s="670" t="s">
        <v>1473</v>
      </c>
      <c r="DX17" s="670" t="s">
        <v>1474</v>
      </c>
      <c r="DY17" s="670" t="s">
        <v>1475</v>
      </c>
      <c r="DZ17" s="670" t="s">
        <v>1476</v>
      </c>
      <c r="EA17" s="703" t="s">
        <v>1477</v>
      </c>
      <c r="EB17" s="703" t="s">
        <v>1478</v>
      </c>
      <c r="EC17" s="703" t="s">
        <v>1479</v>
      </c>
      <c r="ED17" s="703" t="s">
        <v>1480</v>
      </c>
      <c r="EE17" s="703" t="s">
        <v>1481</v>
      </c>
      <c r="EF17" s="703" t="s">
        <v>1482</v>
      </c>
      <c r="EG17" s="703" t="s">
        <v>1483</v>
      </c>
      <c r="EH17" s="703" t="s">
        <v>1484</v>
      </c>
      <c r="EI17" s="703" t="s">
        <v>1485</v>
      </c>
      <c r="EJ17" s="703" t="s">
        <v>1486</v>
      </c>
      <c r="EK17" s="703" t="s">
        <v>1487</v>
      </c>
      <c r="EL17" s="703" t="s">
        <v>1488</v>
      </c>
      <c r="EM17" s="703" t="s">
        <v>1489</v>
      </c>
      <c r="EN17" s="703" t="s">
        <v>1490</v>
      </c>
    </row>
    <row r="18" spans="1:144" ht="16.350000000000001" customHeight="1">
      <c r="A18" s="462"/>
      <c r="B18" s="994">
        <v>1</v>
      </c>
      <c r="C18" s="995"/>
      <c r="D18" s="996"/>
      <c r="E18" s="997"/>
      <c r="F18" s="961"/>
      <c r="G18" s="962"/>
      <c r="H18" s="962"/>
      <c r="I18" s="962"/>
      <c r="J18" s="962"/>
      <c r="K18" s="963"/>
      <c r="L18" s="961"/>
      <c r="M18" s="962"/>
      <c r="N18" s="962"/>
      <c r="O18" s="962"/>
      <c r="P18" s="962"/>
      <c r="Q18" s="963"/>
      <c r="R18" s="1044"/>
      <c r="S18" s="1044"/>
      <c r="T18" s="1044"/>
      <c r="U18" s="1044"/>
      <c r="V18" s="1044"/>
      <c r="W18" s="1044"/>
      <c r="X18" s="1045"/>
      <c r="Y18" s="1045"/>
      <c r="Z18" s="1045"/>
      <c r="AA18" s="1045"/>
      <c r="AB18" s="1045"/>
      <c r="AC18" s="1045"/>
      <c r="AD18" s="961"/>
      <c r="AE18" s="962"/>
      <c r="AF18" s="962"/>
      <c r="AG18" s="962"/>
      <c r="AH18" s="962"/>
      <c r="AI18" s="963"/>
      <c r="AJ18" s="949"/>
      <c r="AK18" s="950"/>
      <c r="AL18" s="951"/>
      <c r="AM18" s="949"/>
      <c r="AN18" s="950"/>
      <c r="AO18" s="951"/>
      <c r="AP18" s="955"/>
      <c r="AQ18" s="956"/>
      <c r="AR18" s="957"/>
      <c r="AS18" s="955"/>
      <c r="AT18" s="956"/>
      <c r="AU18" s="957"/>
      <c r="AV18" s="968"/>
      <c r="AW18" s="969"/>
      <c r="AX18" s="970"/>
      <c r="AY18" s="968"/>
      <c r="AZ18" s="969"/>
      <c r="BA18" s="970"/>
      <c r="BB18" s="945"/>
      <c r="BC18" s="946"/>
      <c r="BD18" s="945"/>
      <c r="BE18" s="946"/>
      <c r="BF18" s="929" t="str">
        <f>IF(CB18="OK",ROUND(BB18+BD18,2),"")</f>
        <v/>
      </c>
      <c r="BG18" s="930"/>
      <c r="BH18" s="971" t="str">
        <f>IFERROR(IF(AND($CB18="OK",$CU18="OK"),$CI18,IF($CB18&lt;&gt;"OK",$CB18,$CU18)),"")</f>
        <v/>
      </c>
      <c r="BI18" s="972"/>
      <c r="BJ18" s="973"/>
      <c r="BK18" s="933" t="str">
        <f>IF($CB18="OK",CM18,"")</f>
        <v/>
      </c>
      <c r="BL18" s="934"/>
      <c r="BM18" s="935"/>
      <c r="BN18" s="939" t="str">
        <f>IF($CB18="OK",$CR18,"")</f>
        <v/>
      </c>
      <c r="BO18" s="940"/>
      <c r="BP18" s="941"/>
      <c r="BQ18"/>
      <c r="BR18"/>
      <c r="BS18" s="967"/>
      <c r="BT18" s="967"/>
      <c r="BV18" s="926" t="str">
        <f>IFERROR(ROUND(IF(AND(CB18="OK",CU18="OK"),CT18,""),0),"")</f>
        <v/>
      </c>
      <c r="BW18" s="926" t="str">
        <f>IFERROR(ROUND(IF(AND(CB18="OK",CU18="OK"),BV18/3,""),0),"")</f>
        <v/>
      </c>
      <c r="BX18" s="926"/>
      <c r="BY18" s="927"/>
      <c r="BZ18" s="928"/>
      <c r="CB18" s="986" t="str">
        <f>IF(AND(C18="",F18="",R18="",AD18="",U18="",X18="",L18="",AJ18="",AV18="",AM18="",AP18="",AY18="",AV19="",BB18="",BD18="",AA18="",AS18=""),"",
IF(OR(C18="",F18="",R18="",AD18="",U18="",X18="",L18="",AJ18="",AV18="",AM18="",AP18="",AY18="",AV19="",BB18="",BD18="",AA18="",AS18=""),"Missing Fields",
IF(AND(M02S04F04disp="Required",M02S04F04=""),"TA Info Incomplete",
"OK")))</f>
        <v/>
      </c>
      <c r="CC18" s="925" t="str">
        <f>IF(AND($CB18="OK",$CU18="OK"),INDEX(Tbl_Cust_HVAC[Measure Number], MATCH(F18,Tbl_Cust_HVAC[Proj Desc 1],0)),"")</f>
        <v/>
      </c>
      <c r="CD18" s="925"/>
      <c r="CE18" s="925" t="str">
        <f>IF(CB18="OK","Measure","")</f>
        <v/>
      </c>
      <c r="CF18" s="925" t="str">
        <f>IF(CB18="OK",1,"")</f>
        <v/>
      </c>
      <c r="CG18" s="978" t="str">
        <f>IFERROR(CI18/CF18,"")</f>
        <v/>
      </c>
      <c r="CH18" s="978" t="str">
        <f>IF(CB18="OK",IF(CM18&gt;0,CM18*Incent_Rate_kWh,0)+IF(CO18&gt;0,CO18*Incent_Rate_thm,0),"")</f>
        <v/>
      </c>
      <c r="CI18" s="978" t="str">
        <f>IFERROR(IF($CB18="OK",IF(INCENTTOCOST_CUST&gt;CostCap_Cust,
CH18*CostCap_Cust/INCENTTOCOST_CUST,CH18),""),"")</f>
        <v/>
      </c>
      <c r="CJ18" s="977">
        <f t="shared" ref="CJ18" si="0">CM18</f>
        <v>0</v>
      </c>
      <c r="CK18" s="977">
        <f>CN18</f>
        <v>0</v>
      </c>
      <c r="CL18" s="977">
        <f>CO18</f>
        <v>0</v>
      </c>
      <c r="CM18" s="977">
        <f>R18-AJ18</f>
        <v>0</v>
      </c>
      <c r="CN18" s="977">
        <f>U18-AM18</f>
        <v>0</v>
      </c>
      <c r="CO18" s="977">
        <f>IF(CR18&gt;0,CR18,0)</f>
        <v>0</v>
      </c>
      <c r="CP18" s="977">
        <f>CM18</f>
        <v>0</v>
      </c>
      <c r="CQ18" s="977">
        <f>CN18</f>
        <v>0</v>
      </c>
      <c r="CR18" s="977">
        <f>X18-AP18</f>
        <v>0</v>
      </c>
      <c r="CS18" s="983"/>
      <c r="CT18" s="982" t="str">
        <f>IF(CB18="OK",INDEX(Tbl_Cust_HVAC[EUL], MATCH(F18,Tbl_Cust_HVAC[Proj Desc 1],0)),"")</f>
        <v/>
      </c>
      <c r="CU18" s="979" t="str">
        <f>IFERROR(IF(AND($CM18&lt;=0,$CN18&lt;=0,$CO18&lt;=0),"No Savings","OK"),"")</f>
        <v>No Savings</v>
      </c>
      <c r="CV18" s="925" t="str">
        <f>IF(AND(CB18="OK",CU18="OK"),"1","")</f>
        <v/>
      </c>
      <c r="CW18" s="1043" t="str">
        <f>IFERROR(IF($CB18="OK",ROUND($AQ$14-SUM($CW$20:$CW$37),2),""),"")</f>
        <v/>
      </c>
      <c r="CX18" s="925" t="str">
        <f>IFERROR(IF(M02S04F04="Customer/Self-Installed",CW18,IF($CB18="OK",CW18+BD18,"")),"")</f>
        <v/>
      </c>
      <c r="CY18" s="925" t="str">
        <f>IFERROR(IF($CB18="OK",CX18+BB18,""),"")</f>
        <v/>
      </c>
      <c r="CZ18" s="925" t="str">
        <f>IF(CB18="OK",INDEX(MEASURES3_M!$O$16:$O$20, MATCH(F18,MEASURES3_M!$C$16:$C$20,0)),"")</f>
        <v/>
      </c>
      <c r="DA18" s="925" t="str">
        <f>IF(CB18="OK",INDEX(MEASURES3_M!$P$16:$P$20, MATCH(F18,MEASURES3_M!$C$16:$C$20,0)),"")</f>
        <v/>
      </c>
      <c r="DD18" s="980" t="str">
        <f>IFERROR(IF(CB18&lt;&gt;"OK","",CM18*VLOOKUP('DATA TABLES_Project'!$C$247,'DATA TABLES_Project'!$A$250:$B$285,2,FALSE)),"")</f>
        <v/>
      </c>
      <c r="DE18" s="925" t="str">
        <f>IFERROR(IF(CB18&lt;&gt;"OK","",CM18*CZ18*0.92),"")</f>
        <v/>
      </c>
      <c r="DF18" s="925" t="str">
        <f>IFERROR(IF(CB18&lt;&gt;"OK","",CM18*CZ18*0.92*VLOOKUP('DATA TABLES_Project'!$C$247,'DATA TABLES_Project'!$A$250:$B$285,2,FALSE)),"")</f>
        <v/>
      </c>
      <c r="DG18" s="925" t="str">
        <f>IFERROR(IF(CB18&lt;&gt;"OK","",CM18*BV18),IF(BX18="Dual",(CM18*BW18)+((BY18-AJ18)*(BV18-BW18)),""))</f>
        <v/>
      </c>
      <c r="DH18" s="925" t="str">
        <f ca="1">IFERROR(IF(CB18&lt;&gt;"OK","",IF(OR(BX18="Single",BX18=""), CM18*BV18*AVERAGE(INDEX('DATA TABLES_Project'!$B$250:$B$285, MATCH('DATA TABLES_Project'!$C$247,'DATA TABLES_Project'!$A$250:$A$285, 0)):OFFSET(INDEX('DATA TABLES_Project'!$B$250:$B$285, MATCH('DATA TABLES_Project'!$C$247,'DATA TABLES_Project'!$A$250:$A$285, 0)),BV18-1,0)),CM18*BW18*AVERAGE(INDEX('DATA TABLES_Project'!$B$250:$B$285, MATCH('DATA TABLES_Project'!$C$247,'DATA TABLES_Project'!$A$250:$A$285, 0)):OFFSET(INDEX('DATA TABLES_Project'!$B$250:$B$285, MATCH('DATA TABLES_Project'!$C$247,'DATA TABLES_Project'!$A$250:$A$285, 0)),BW18-1,0)) + ((BY18-AJ18)*(BV18-BW18)*AVERAGE(OFFSET(INDEX('DATA TABLES_Project'!$B$250:$B$285, MATCH('DATA TABLES_Project'!$C$247,'DATA TABLES_Project'!$A$250:$A$285, 0)),BW18,0):OFFSET(INDEX('DATA TABLES_Project'!$B$250:$B$285, MATCH('DATA TABLES_Project'!$C$247,'DATA TABLES_Project'!$A$250:$A$285, 0)),BV18-1,0))))), "")</f>
        <v/>
      </c>
      <c r="DI18" s="925" t="str">
        <f>IFERROR(IF(CB18&lt;&gt;"OK","",IF(BX18="Dual",(CM18*BW18)+((BY18-AJ18)*(BV18-BW18))*CZ18*0.92,CM18*CZ18*BV18*0.92)),"")</f>
        <v/>
      </c>
      <c r="DJ18" s="925" t="str">
        <f ca="1">IFERROR(IF(CB18&lt;&gt;"OK","",IF(OR(BX18="Single",BX18=""),0.92*CZ18*CM18*BV18*AVERAGE(INDEX('DATA TABLES_Project'!$B$250:$B$285, MATCH('DATA TABLES_Project'!$C$247,'DATA TABLES_Project'!$A$250:$A$285, 0)):OFFSET(INDEX('DATA TABLES_Project'!$B$250:$B$285, MATCH('DATA TABLES_Project'!$C$247,'DATA TABLES_Project'!$A$250:$A$285, 0)),BV18-1,0)),0.92*CZ18*CM18*BW18*AVERAGE(INDEX('DATA TABLES_Project'!$B$250:$B$285, MATCH('DATA TABLES_Project'!$C$247,'DATA TABLES_Project'!$A$250:$A$285, 0)):OFFSET(INDEX('DATA TABLES_Project'!$B$250:$B$285, MATCH('DATA TABLES_Project'!$C$247,'DATA TABLES_Project'!$A$250:$A$285, 0)),BW18-1,0)) + (0.92*CZ18*(BY18-AJ18)*(BV18-BW18)*AVERAGE(OFFSET(INDEX('DATA TABLES_Project'!$B$250:$B$285, MATCH('DATA TABLES_Project'!$C$247,'DATA TABLES_Project'!$A$250:$A$285, 0)),BW18,0):OFFSET(INDEX('DATA TABLES_Project'!$B$250:$B$285, MATCH('DATA TABLES_Project'!$C$247,'DATA TABLES_Project'!$A$250:$A$285, 0)),BV18-1,0))))), "")</f>
        <v/>
      </c>
      <c r="DK18" s="925" t="str">
        <f>IFERROR(IF(CB18&lt;&gt;"OK","",CO18*'DATA TABLES_Project'!$C$250),"")</f>
        <v/>
      </c>
      <c r="DL18" s="925" t="str">
        <f>IFERROR(IF(CB18&lt;&gt;"OK","",CO18*DA18*0.92),"")</f>
        <v/>
      </c>
      <c r="DM18" s="925" t="str">
        <f>IFERROR(IF(CB18&lt;&gt;"OK","",CO18*'DATA TABLES_Project'!$C$250*DA18*0.92),"")</f>
        <v/>
      </c>
      <c r="DN18" s="925" t="str">
        <f>IFERROR(IF(CB18&lt;&gt;"OK","",CO18*BV18),IF(BX18="Dual",(CO18*BW18)+((BZ18-AP18)*(BV18-BW18)),""))</f>
        <v/>
      </c>
      <c r="DO18" s="925" t="str">
        <f ca="1">IFERROR(IF(CB18&lt;&gt;"OK","",CO18*BV18*AVERAGE('DATA TABLES_Project'!$C$250:OFFSET('DATA TABLES_Project'!$C$250,BV18,0))),IF(BX18="Dual",(CO18*BW18*AVERAGE('DATA TABLES_Project'!$C$251:$C$259))+((BZ18-AP18)*(BV18-BW18)*AVERAGE('DATA TABLES_Project'!$C$260:$C$279)),""))</f>
        <v/>
      </c>
      <c r="DP18" s="925" t="str">
        <f>IFERROR(IF(CB18&lt;&gt;"OK","",IF(BX18="Dual",((CO18*BW18)+(BZ18-AP18)*(BV18-BW18))*DA18*0.92,CO18*BV18*DA18*0.92)),"")</f>
        <v/>
      </c>
      <c r="DQ18" s="925" t="str">
        <f ca="1">IFERROR(IF(CB18&lt;&gt;"OK","",IF(BX18="Dual",(0.92*DA18*CO18*BW18*AVERAGE('DATA TABLES_Project'!$C$251:$C$259))+(0.92*DA18*(BZ18-AP18)*(BV18-BW18)*AVERAGE('DATA TABLES_Project'!$C$260:$C$279)),0.92*DA18*CO18*BV18*AVERAGE('DATA TABLES_Project'!$C$250:OFFSET('DATA TABLES_Project'!$C$250,BV18,0)))),"")</f>
        <v/>
      </c>
      <c r="DR18" s="925" t="str">
        <f>IFERROR(IF($CB18&lt;&gt;"OK","",CM18*'DATA TABLES_Project'!$B$290+IF(CO18&lt;0,0,CO18*'DATA TABLES_Project'!$B$291)),"")</f>
        <v/>
      </c>
      <c r="DS18" s="925" t="str">
        <f>IFERROR(IF($CB18&lt;&gt;"OK","",DD18*'DATA TABLES_Project'!$B$290+IF(DK18&lt;0,0,DK18*'DATA TABLES_Project'!$B$291)),"")</f>
        <v/>
      </c>
      <c r="DT18" s="925" t="str">
        <f>IFERROR(IF($CB18&lt;&gt;"OK","",DE18*'DATA TABLES_Project'!$B$290+IF(DL18&lt;0,0,DL18*'DATA TABLES_Project'!$B$291)),"")</f>
        <v/>
      </c>
      <c r="DU18" s="925" t="str">
        <f>IFERROR(IF($CB18&lt;&gt;"OK","",DF18*'DATA TABLES_Project'!$B$290+IF(DM18&lt;0,0,DM18*'DATA TABLES_Project'!$B$291)),"")</f>
        <v/>
      </c>
      <c r="DV18" s="925" t="str">
        <f>IFERROR(IF($CB18&lt;&gt;"OK","",DG18*'DATA TABLES_Project'!$B$290+IF(DN18&lt;0,0,DN18*'DATA TABLES_Project'!$B$291)),"")</f>
        <v/>
      </c>
      <c r="DW18" s="925" t="str">
        <f>IFERROR(IF($CB18&lt;&gt;"OK","",DH18*'DATA TABLES_Project'!$B$290+IF(DO18&lt;0,0,DO18*'DATA TABLES_Project'!$B$291)),"")</f>
        <v/>
      </c>
      <c r="DX18" s="925" t="str">
        <f>IFERROR(IF($CB18&lt;&gt;"OK","",DI18*'DATA TABLES_Project'!$B$290+IF(DP18&lt;0,0,DP18*'DATA TABLES_Project'!$B$291)),"")</f>
        <v/>
      </c>
      <c r="DY18" s="925" t="str">
        <f>IFERROR(IF($CB18&lt;&gt;"OK","",DJ18*'DATA TABLES_Project'!$B$290+IF(DQ18&lt;0,0,DQ18*'DATA TABLES_Project'!$B$291)),"")</f>
        <v/>
      </c>
      <c r="DZ18" s="925" t="str">
        <f>IFERROR(IF($CB18&lt;&gt;"OK","",AS18),"")</f>
        <v/>
      </c>
      <c r="EA18" s="925" t="str">
        <f>IFERROR(IF(CB18&lt;&gt;"OK","",CN18*'DATA TABLES_Project'!$B$250*CZ18*1.03),"")</f>
        <v/>
      </c>
      <c r="EB18" s="925" t="str">
        <f>IFERROR(IF(CB18&lt;&gt;"OK","",CN18*CZ18*1.03),"")</f>
        <v/>
      </c>
      <c r="EC18" s="925" t="str">
        <f>IFERROR(IF(CB18&lt;&gt;"OK","",CZ18*DZ18*'DATA TABLES_Project'!$C$250*0.92),"")</f>
        <v/>
      </c>
      <c r="ED18" s="925" t="str">
        <f>IFERROR(IF(CB18&lt;&gt;"OK","",CZ18*DZ18*'DATA TABLES_Project'!$C$250*0.92),"")</f>
        <v/>
      </c>
      <c r="EE18" s="925" t="str">
        <f>IFERROR(IF(CB18&lt;&gt;"OK","",CZ18*DZ18*0.92),"")</f>
        <v/>
      </c>
      <c r="EF18" s="925" t="str">
        <f>IFERROR(IF(CB18&lt;&gt;"OK","",CZ18*DZ18*0.92),"")</f>
        <v/>
      </c>
      <c r="EG18" s="925" t="str">
        <f>IFERROR(IF($CB18&lt;&gt;"OK","",CM18*'DATA TABLES_Project'!$B$290+CO18*'DATA TABLES_Project'!$B$291),"")</f>
        <v/>
      </c>
      <c r="EH18" s="925" t="str">
        <f>IFERROR(IF($CB18&lt;&gt;"OK","",DD18*'DATA TABLES_Project'!$B$290+DK18*'DATA TABLES_Project'!$B$291),"")</f>
        <v/>
      </c>
      <c r="EI18" s="925" t="str">
        <f>IFERROR(IF($CB18&lt;&gt;"OK","",DE18*'DATA TABLES_Project'!$B$290+DL18*'DATA TABLES_Project'!$B$291),"")</f>
        <v/>
      </c>
      <c r="EJ18" s="925" t="str">
        <f>IFERROR(IF($CB18&lt;&gt;"OK","",DF18*'DATA TABLES_Project'!$B$290+DM18*'DATA TABLES_Project'!$B$291),"")</f>
        <v/>
      </c>
      <c r="EK18" s="925" t="str">
        <f>IFERROR(IF($CB18&lt;&gt;"OK","",DG18*'DATA TABLES_Project'!$B$290+DN18*'DATA TABLES_Project'!$B$291),"")</f>
        <v/>
      </c>
      <c r="EL18" s="925" t="str">
        <f>IFERROR(IF($CB18&lt;&gt;"OK","",DH18*'DATA TABLES_Project'!$B$290+DO18*'DATA TABLES_Project'!$B$291),"")</f>
        <v/>
      </c>
      <c r="EM18" s="925" t="str">
        <f>IFERROR(IF($CB18&lt;&gt;"OK","",DI18*'DATA TABLES_Project'!$B$290+DP18*'DATA TABLES_Project'!$B$291),"")</f>
        <v/>
      </c>
      <c r="EN18" s="925" t="str">
        <f>IFERROR(IF($CB18&lt;&gt;"OK","",DJ18*'DATA TABLES_Project'!$B$290+DQ18*'DATA TABLES_Project'!$B$291),"")</f>
        <v/>
      </c>
    </row>
    <row r="19" spans="1:144" ht="16.350000000000001" customHeight="1">
      <c r="A19" s="462"/>
      <c r="B19" s="994"/>
      <c r="C19" s="998"/>
      <c r="D19" s="999"/>
      <c r="E19" s="1000"/>
      <c r="F19" s="964"/>
      <c r="G19" s="965"/>
      <c r="H19" s="965"/>
      <c r="I19" s="965"/>
      <c r="J19" s="965"/>
      <c r="K19" s="966"/>
      <c r="L19" s="964"/>
      <c r="M19" s="965"/>
      <c r="N19" s="965"/>
      <c r="O19" s="965"/>
      <c r="P19" s="965"/>
      <c r="Q19" s="966"/>
      <c r="R19" s="1044"/>
      <c r="S19" s="1044"/>
      <c r="T19" s="1044"/>
      <c r="U19" s="1044"/>
      <c r="V19" s="1044"/>
      <c r="W19" s="1044"/>
      <c r="X19" s="1045"/>
      <c r="Y19" s="1045"/>
      <c r="Z19" s="1045"/>
      <c r="AA19" s="1045"/>
      <c r="AB19" s="1045"/>
      <c r="AC19" s="1045"/>
      <c r="AD19" s="964"/>
      <c r="AE19" s="965"/>
      <c r="AF19" s="965"/>
      <c r="AG19" s="965"/>
      <c r="AH19" s="965"/>
      <c r="AI19" s="966"/>
      <c r="AJ19" s="952"/>
      <c r="AK19" s="953"/>
      <c r="AL19" s="954"/>
      <c r="AM19" s="952"/>
      <c r="AN19" s="953"/>
      <c r="AO19" s="954"/>
      <c r="AP19" s="958"/>
      <c r="AQ19" s="959"/>
      <c r="AR19" s="960"/>
      <c r="AS19" s="958"/>
      <c r="AT19" s="959"/>
      <c r="AU19" s="960"/>
      <c r="AV19" s="968"/>
      <c r="AW19" s="969"/>
      <c r="AX19" s="969"/>
      <c r="AY19" s="969"/>
      <c r="AZ19" s="969"/>
      <c r="BA19" s="970"/>
      <c r="BB19" s="947"/>
      <c r="BC19" s="948"/>
      <c r="BD19" s="947"/>
      <c r="BE19" s="948"/>
      <c r="BF19" s="931"/>
      <c r="BG19" s="932"/>
      <c r="BH19" s="974"/>
      <c r="BI19" s="975"/>
      <c r="BJ19" s="976"/>
      <c r="BK19" s="936"/>
      <c r="BL19" s="937"/>
      <c r="BM19" s="938"/>
      <c r="BN19" s="942"/>
      <c r="BO19" s="943"/>
      <c r="BP19" s="944"/>
      <c r="BQ19"/>
      <c r="BR19"/>
      <c r="BS19" s="967"/>
      <c r="BT19" s="967"/>
      <c r="BV19" s="926"/>
      <c r="BW19" s="926"/>
      <c r="BX19" s="926"/>
      <c r="BY19" s="927"/>
      <c r="BZ19" s="928"/>
      <c r="CB19" s="986"/>
      <c r="CC19" s="925"/>
      <c r="CD19" s="925"/>
      <c r="CE19" s="925"/>
      <c r="CF19" s="925"/>
      <c r="CG19" s="925"/>
      <c r="CH19" s="925"/>
      <c r="CI19" s="925"/>
      <c r="CJ19" s="977"/>
      <c r="CK19" s="977"/>
      <c r="CL19" s="977"/>
      <c r="CM19" s="977"/>
      <c r="CN19" s="977"/>
      <c r="CO19" s="977"/>
      <c r="CP19" s="977"/>
      <c r="CQ19" s="977"/>
      <c r="CR19" s="977"/>
      <c r="CS19" s="983"/>
      <c r="CT19" s="982"/>
      <c r="CU19" s="979"/>
      <c r="CV19" s="925"/>
      <c r="CW19" s="1043"/>
      <c r="CX19" s="925"/>
      <c r="CY19" s="925"/>
      <c r="CZ19" s="925"/>
      <c r="DA19" s="925"/>
      <c r="DD19" s="981"/>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row>
    <row r="20" spans="1:144" ht="16.350000000000001" customHeight="1">
      <c r="A20" s="462"/>
      <c r="B20" s="994">
        <v>2</v>
      </c>
      <c r="C20" s="995"/>
      <c r="D20" s="996"/>
      <c r="E20" s="997"/>
      <c r="F20" s="961"/>
      <c r="G20" s="962"/>
      <c r="H20" s="962"/>
      <c r="I20" s="962"/>
      <c r="J20" s="962"/>
      <c r="K20" s="963"/>
      <c r="L20" s="961"/>
      <c r="M20" s="962"/>
      <c r="N20" s="962"/>
      <c r="O20" s="962"/>
      <c r="P20" s="962"/>
      <c r="Q20" s="963"/>
      <c r="R20" s="1044"/>
      <c r="S20" s="1044"/>
      <c r="T20" s="1044"/>
      <c r="U20" s="1044"/>
      <c r="V20" s="1044"/>
      <c r="W20" s="1044"/>
      <c r="X20" s="1045"/>
      <c r="Y20" s="1045"/>
      <c r="Z20" s="1045"/>
      <c r="AA20" s="1045"/>
      <c r="AB20" s="1045"/>
      <c r="AC20" s="1045"/>
      <c r="AD20" s="961"/>
      <c r="AE20" s="962"/>
      <c r="AF20" s="962"/>
      <c r="AG20" s="962"/>
      <c r="AH20" s="962"/>
      <c r="AI20" s="963"/>
      <c r="AJ20" s="949"/>
      <c r="AK20" s="950"/>
      <c r="AL20" s="951"/>
      <c r="AM20" s="949"/>
      <c r="AN20" s="950"/>
      <c r="AO20" s="951"/>
      <c r="AP20" s="955"/>
      <c r="AQ20" s="956"/>
      <c r="AR20" s="957"/>
      <c r="AS20" s="955"/>
      <c r="AT20" s="956"/>
      <c r="AU20" s="957"/>
      <c r="AV20" s="968"/>
      <c r="AW20" s="969"/>
      <c r="AX20" s="970"/>
      <c r="AY20" s="968"/>
      <c r="AZ20" s="969"/>
      <c r="BA20" s="970"/>
      <c r="BB20" s="945"/>
      <c r="BC20" s="946"/>
      <c r="BD20" s="945"/>
      <c r="BE20" s="946"/>
      <c r="BF20" s="929" t="str">
        <f t="shared" ref="BF20" si="1">IF(CB20="OK",ROUND(BB20+BD20,2),"")</f>
        <v/>
      </c>
      <c r="BG20" s="930"/>
      <c r="BH20" s="971" t="str">
        <f t="shared" ref="BH20" si="2">IFERROR(IF(AND($CB20="OK",$CU20="OK"),$CI20,IF($CB20&lt;&gt;"OK",$CB20,$CU20)),"")</f>
        <v/>
      </c>
      <c r="BI20" s="972"/>
      <c r="BJ20" s="973"/>
      <c r="BK20" s="933" t="str">
        <f t="shared" ref="BK20" si="3">IF($CB20="OK",CM20,"")</f>
        <v/>
      </c>
      <c r="BL20" s="934"/>
      <c r="BM20" s="935"/>
      <c r="BN20" s="939" t="str">
        <f t="shared" ref="BN20" si="4">IF($CB20="OK",$CR20,"")</f>
        <v/>
      </c>
      <c r="BO20" s="940"/>
      <c r="BP20" s="941"/>
      <c r="BQ20"/>
      <c r="BR20"/>
      <c r="BS20" s="967"/>
      <c r="BT20" s="967"/>
      <c r="BV20" s="926" t="str">
        <f t="shared" ref="BV20" si="5">IFERROR(ROUND(IF(AND(CB20="OK",CU20="OK"),CT20,""),0),"")</f>
        <v/>
      </c>
      <c r="BW20" s="926" t="str">
        <f t="shared" ref="BW20" si="6">IFERROR(ROUND(IF(AND(CB20="OK",CU20="OK"),BV20/3,""),0),"")</f>
        <v/>
      </c>
      <c r="BX20" s="926"/>
      <c r="BY20" s="927"/>
      <c r="BZ20" s="928"/>
      <c r="CB20" s="986" t="str">
        <f>IF(AND(C20="",F20="",R20="",AD20="",U20="",X20="",L20="",AJ20="",AV20="",AM20="",AP20="",AY20="",AV21="",BB20="",BD20="",AA20="",AS20=""),"",
IF(OR(C20="",F20="",R20="",AD20="",U20="",X20="",L20="",AJ20="",AV20="",AM20="",AP20="",AY20="",AV21="",BB20="",BD20="",AA20="",AS20=""),"Missing Fields",
IF(AND(M02S04F04disp="Required",M02S04F04=""),"TA Info Incomplete",
"OK")))</f>
        <v/>
      </c>
      <c r="CC20" s="925" t="str">
        <f>IF(AND($CB20="OK",$CU20="OK"),INDEX(Tbl_Cust_HVAC[Measure Number], MATCH(F20,Tbl_Cust_HVAC[Proj Desc 1],0)),"")</f>
        <v/>
      </c>
      <c r="CD20" s="925"/>
      <c r="CE20" s="925" t="str">
        <f t="shared" ref="CE20" si="7">IF(CB20="OK","Measure","")</f>
        <v/>
      </c>
      <c r="CF20" s="925" t="str">
        <f t="shared" ref="CF20" si="8">IF(CB20="OK",1,"")</f>
        <v/>
      </c>
      <c r="CG20" s="978" t="str">
        <f t="shared" ref="CG20" si="9">IFERROR(CI20/CF20,"")</f>
        <v/>
      </c>
      <c r="CH20" s="978" t="str">
        <f>IF(CB20="OK",IF(CM20&gt;0,CM20*Incent_Rate_kWh,0)+IF(CO20&gt;0,CO20*Incent_Rate_thm,0),"")</f>
        <v/>
      </c>
      <c r="CI20" s="978" t="str">
        <f>IFERROR(IF($CB20="OK",IF(INCENTTOCOST_CUST&gt;CostCap_Cust,
CH20*CostCap_Cust/INCENTTOCOST_CUST,CH20),""),"")</f>
        <v/>
      </c>
      <c r="CJ20" s="977">
        <f t="shared" ref="CJ20" si="10">CM20</f>
        <v>0</v>
      </c>
      <c r="CK20" s="977">
        <f t="shared" ref="CK20" si="11">CN20</f>
        <v>0</v>
      </c>
      <c r="CL20" s="977">
        <f t="shared" ref="CL20" si="12">CO20</f>
        <v>0</v>
      </c>
      <c r="CM20" s="977">
        <f>R20-AJ20</f>
        <v>0</v>
      </c>
      <c r="CN20" s="977">
        <f>U20-AM20</f>
        <v>0</v>
      </c>
      <c r="CO20" s="977">
        <f t="shared" ref="CO20" si="13">IF(CR20&gt;0,CR20,0)</f>
        <v>0</v>
      </c>
      <c r="CP20" s="977">
        <f t="shared" ref="CP20" si="14">CM20</f>
        <v>0</v>
      </c>
      <c r="CQ20" s="977">
        <f t="shared" ref="CQ20" si="15">CN20</f>
        <v>0</v>
      </c>
      <c r="CR20" s="977">
        <f>X20-AP20</f>
        <v>0</v>
      </c>
      <c r="CS20" s="983"/>
      <c r="CT20" s="982" t="str">
        <f>IF(CB20="OK",INDEX(Tbl_Cust_HVAC[EUL], MATCH(F20,Tbl_Cust_HVAC[Proj Desc 1],0)),"")</f>
        <v/>
      </c>
      <c r="CU20" s="979" t="str">
        <f t="shared" ref="CU20" si="16">IFERROR(IF(AND($CM20&lt;=0,$CN20&lt;=0,$CO20&lt;=0),"No Savings","OK"),"")</f>
        <v>No Savings</v>
      </c>
      <c r="CV20" s="925" t="str">
        <f t="shared" ref="CV20" si="17">IF(AND(CB20="OK",CU20="OK"),"1","")</f>
        <v/>
      </c>
      <c r="CW20" s="925" t="str">
        <f>IFERROR(IF($CB20="OK",ROUND($AQ$14*SUM(BB20:BE21)/SUM($BB$18:$BE$37),2),""),"")</f>
        <v/>
      </c>
      <c r="CX20" s="925" t="str">
        <f>IFERROR(IF(M02S04F04="Customer/Self-Installed",CW20,IF($CB20="OK",CW20+BD20,"")),"")</f>
        <v/>
      </c>
      <c r="CY20" s="925" t="str">
        <f>IFERROR(IF($CB20="OK",CX20+BB20,""),"")</f>
        <v/>
      </c>
      <c r="CZ20" s="925" t="str">
        <f>IF(CB20="OK",INDEX(MEASURES3_M!$O$16:$O$20, MATCH(F20,MEASURES3_M!$C$16:$C$20,0)),"")</f>
        <v/>
      </c>
      <c r="DA20" s="925" t="str">
        <f>IF(CB20="OK",INDEX(MEASURES3_M!$P$16:$P$20, MATCH(F20,MEASURES3_M!$C$16:$C$20,0)),"")</f>
        <v/>
      </c>
      <c r="DD20" s="980" t="str">
        <f>IFERROR(IF(CB20&lt;&gt;"OK","",CM20*VLOOKUP('DATA TABLES_Project'!$C$247,'DATA TABLES_Project'!$A$250:$B$285,2,FALSE)),"")</f>
        <v/>
      </c>
      <c r="DE20" s="925" t="str">
        <f t="shared" ref="DE20" si="18">IFERROR(IF(CB20&lt;&gt;"OK","",CM20*CZ20*0.92),"")</f>
        <v/>
      </c>
      <c r="DF20" s="980" t="str">
        <f>IFERROR(IF(CB20&lt;&gt;"OK","",CM20*CZ20*0.92*VLOOKUP('DATA TABLES_Project'!$C$247,'DATA TABLES_Project'!$A$250:$B$285,2,FALSE)),"")</f>
        <v/>
      </c>
      <c r="DG20" s="925" t="str">
        <f t="shared" ref="DG20" si="19">IFERROR(IF(CB20&lt;&gt;"OK","",CM20*BV20),IF(BX20="Dual",(CM20*BW20)+((BY20-AJ20)*(BV20-BW20)),""))</f>
        <v/>
      </c>
      <c r="DH20" s="925" t="str">
        <f ca="1">IFERROR(IF(CB20&lt;&gt;"OK","",IF(OR(BX20="Single",BX20=""), CM20*BV20*AVERAGE(INDEX('DATA TABLES_Project'!$B$250:$B$285, MATCH('DATA TABLES_Project'!$C$247,'DATA TABLES_Project'!$A$250:$A$285, 0)):OFFSET(INDEX('DATA TABLES_Project'!$B$250:$B$285, MATCH('DATA TABLES_Project'!$C$247,'DATA TABLES_Project'!$A$250:$A$285, 0)),BV20-1,0)),CM20*BW20*AVERAGE(INDEX('DATA TABLES_Project'!$B$250:$B$285, MATCH('DATA TABLES_Project'!$C$247,'DATA TABLES_Project'!$A$250:$A$285, 0)):OFFSET(INDEX('DATA TABLES_Project'!$B$250:$B$285, MATCH('DATA TABLES_Project'!$C$247,'DATA TABLES_Project'!$A$250:$A$285, 0)),BW20-1,0)) + ((BY20-AJ20)*(BV20-BW20)*AVERAGE(OFFSET(INDEX('DATA TABLES_Project'!$B$250:$B$285, MATCH('DATA TABLES_Project'!$C$247,'DATA TABLES_Project'!$A$250:$A$285, 0)),BW20,0):OFFSET(INDEX('DATA TABLES_Project'!$B$250:$B$285, MATCH('DATA TABLES_Project'!$C$247,'DATA TABLES_Project'!$A$250:$A$285, 0)),BV20-1,0))))), "")</f>
        <v/>
      </c>
      <c r="DI20" s="925" t="str">
        <f t="shared" ref="DI20" si="20">IFERROR(IF(CB20&lt;&gt;"OK","",IF(BX20="Dual",(CM20*BW20)+((BY20-AJ20)*(BV20-BW20))*CZ20*0.92,CM20*CZ20*BV20*0.92)),"")</f>
        <v/>
      </c>
      <c r="DJ20" s="925" t="str">
        <f ca="1">IFERROR(IF(CB20&lt;&gt;"OK","",IF(OR(BX20="Single",BX20=""),0.92*CZ20*CM20*BV20*AVERAGE(INDEX('DATA TABLES_Project'!$B$250:$B$285, MATCH('DATA TABLES_Project'!$C$247,'DATA TABLES_Project'!$A$250:$A$285, 0)):OFFSET(INDEX('DATA TABLES_Project'!$B$250:$B$285, MATCH('DATA TABLES_Project'!$C$247,'DATA TABLES_Project'!$A$250:$A$285, 0)),BV20-1,0)),0.92*CZ20*CM20*BW20*AVERAGE(INDEX('DATA TABLES_Project'!$B$250:$B$285, MATCH('DATA TABLES_Project'!$C$247,'DATA TABLES_Project'!$A$250:$A$285, 0)):OFFSET(INDEX('DATA TABLES_Project'!$B$250:$B$285, MATCH('DATA TABLES_Project'!$C$247,'DATA TABLES_Project'!$A$250:$A$285, 0)),BW20-1,0)) + (0.92*CZ20*(BY20-AJ20)*(BV20-BW20)*AVERAGE(OFFSET(INDEX('DATA TABLES_Project'!$B$250:$B$285, MATCH('DATA TABLES_Project'!$C$247,'DATA TABLES_Project'!$A$250:$A$285, 0)),BW20,0):OFFSET(INDEX('DATA TABLES_Project'!$B$250:$B$285, MATCH('DATA TABLES_Project'!$C$247,'DATA TABLES_Project'!$A$250:$A$285, 0)),BV20-1,0))))), "")</f>
        <v/>
      </c>
      <c r="DK20" s="925" t="str">
        <f>IFERROR(IF(CB20&lt;&gt;"OK","",CO20*'DATA TABLES_Project'!$C$250),"")</f>
        <v/>
      </c>
      <c r="DL20" s="925" t="str">
        <f t="shared" ref="DL20" si="21">IFERROR(IF(CB20&lt;&gt;"OK","",CO20*DA20*0.92),"")</f>
        <v/>
      </c>
      <c r="DM20" s="925" t="str">
        <f>IFERROR(IF(CB20&lt;&gt;"OK","",CO20*'DATA TABLES_Project'!$C$250*DA20*0.92),"")</f>
        <v/>
      </c>
      <c r="DN20" s="925" t="str">
        <f t="shared" ref="DN20" si="22">IFERROR(IF(CB20&lt;&gt;"OK","",CO20*BV20),IF(BX20="Dual",(CO20*BW20)+((BZ20-AP20)*(BV20-BW20)),""))</f>
        <v/>
      </c>
      <c r="DO20" s="925" t="str">
        <f ca="1">IFERROR(IF(CB20&lt;&gt;"OK","",CO20*BV20*AVERAGE('DATA TABLES_Project'!$C$250:OFFSET('DATA TABLES_Project'!$C$250,BV20,0))),IF(BX20="Dual",(CO20*BW20*AVERAGE('DATA TABLES_Project'!$C$251:$C$259))+((BZ20-AP20)*(BV20-BW20)*AVERAGE('DATA TABLES_Project'!$C$260:$C$279)),""))</f>
        <v/>
      </c>
      <c r="DP20" s="925" t="str">
        <f t="shared" ref="DP20" si="23">IFERROR(IF(CB20&lt;&gt;"OK","",IF(BX20="Dual",((CO20*BW20)+(BZ20-AP20)*(BV20-BW20))*DA20*0.92,CO20*BV20*DA20*0.92)),"")</f>
        <v/>
      </c>
      <c r="DQ20" s="925" t="str">
        <f ca="1">IFERROR(IF(CB20&lt;&gt;"OK","",IF(BX20="Dual",(0.92*DA20*CO20*BW20*AVERAGE('DATA TABLES_Project'!$C$251:$C$259))+(0.92*DA20*(BZ20-AP20)*(BV20-BW20)*AVERAGE('DATA TABLES_Project'!$C$260:$C$279)),0.92*DA20*CO20*BV20*AVERAGE('DATA TABLES_Project'!$C$250:OFFSET('DATA TABLES_Project'!$C$250,BV20,0)))),"")</f>
        <v/>
      </c>
      <c r="DR20" s="980" t="str">
        <f>IFERROR(IF($CB20&lt;&gt;"OK","",CM20*'DATA TABLES_Project'!$B$290+IF(CO20&lt;0,0,CO20*'DATA TABLES_Project'!$B$291)),"")</f>
        <v/>
      </c>
      <c r="DS20" s="980" t="str">
        <f>IFERROR(IF($CB20&lt;&gt;"OK","",DD20*'DATA TABLES_Project'!$B$290+IF(DK20&lt;0,0,DK20*'DATA TABLES_Project'!$B$291)),"")</f>
        <v/>
      </c>
      <c r="DT20" s="980" t="str">
        <f>IFERROR(IF($CB20&lt;&gt;"OK","",DE20*'DATA TABLES_Project'!$B$290+IF(DL20&lt;0,0,DL20*'DATA TABLES_Project'!$B$291)),"")</f>
        <v/>
      </c>
      <c r="DU20" s="980" t="str">
        <f>IFERROR(IF($CB20&lt;&gt;"OK","",DF20*'DATA TABLES_Project'!$B$290+IF(DM20&lt;0,0,DM20*'DATA TABLES_Project'!$B$291)),"")</f>
        <v/>
      </c>
      <c r="DV20" s="980" t="str">
        <f>IFERROR(IF($CB20&lt;&gt;"OK","",DG20*'DATA TABLES_Project'!$B$290+IF(DN20&lt;0,0,DN20*'DATA TABLES_Project'!$B$291)),"")</f>
        <v/>
      </c>
      <c r="DW20" s="980" t="str">
        <f>IFERROR(IF($CB20&lt;&gt;"OK","",DH20*'DATA TABLES_Project'!$B$290+IF(DO20&lt;0,0,DO20*'DATA TABLES_Project'!$B$291)),"")</f>
        <v/>
      </c>
      <c r="DX20" s="980" t="str">
        <f>IFERROR(IF($CB20&lt;&gt;"OK","",DI20*'DATA TABLES_Project'!$B$290+IF(DP20&lt;0,0,DP20*'DATA TABLES_Project'!$B$291)),"")</f>
        <v/>
      </c>
      <c r="DY20" s="925" t="str">
        <f>IFERROR(IF($CB20&lt;&gt;"OK","",DJ20*'DATA TABLES_Project'!$B$290+IF(DQ20&lt;0,0,DQ20*'DATA TABLES_Project'!$B$291)),"")</f>
        <v/>
      </c>
      <c r="DZ20" s="925" t="str">
        <f t="shared" ref="DZ20" si="24">IFERROR(IF($CB20&lt;&gt;"OK","",AS20),"")</f>
        <v/>
      </c>
      <c r="EA20" s="925" t="str">
        <f>IFERROR(IF(CB20&lt;&gt;"OK","",CN20*'DATA TABLES_Project'!$B$250*CZ20*1.03),"")</f>
        <v/>
      </c>
      <c r="EB20" s="925" t="str">
        <f t="shared" ref="EB20" si="25">IFERROR(IF(CB20&lt;&gt;"OK","",CN20*CZ20*1.03),"")</f>
        <v/>
      </c>
      <c r="EC20" s="925" t="str">
        <f>IFERROR(IF(CB20&lt;&gt;"OK","",CZ20*DZ20*'DATA TABLES_Project'!$C$250*0.92),"")</f>
        <v/>
      </c>
      <c r="ED20" s="925" t="str">
        <f>IFERROR(IF(CB20&lt;&gt;"OK","",CZ20*DZ20*'DATA TABLES_Project'!$C$250*0.92),"")</f>
        <v/>
      </c>
      <c r="EE20" s="925" t="str">
        <f t="shared" ref="EE20" si="26">IFERROR(IF(CB20&lt;&gt;"OK","",CZ20*DZ20*0.92),"")</f>
        <v/>
      </c>
      <c r="EF20" s="925" t="str">
        <f t="shared" ref="EF20" si="27">IFERROR(IF(CB20&lt;&gt;"OK","",CZ20*DZ20*0.92),"")</f>
        <v/>
      </c>
      <c r="EG20" s="925" t="str">
        <f>IFERROR(IF($CB20&lt;&gt;"OK","",CM20*'DATA TABLES_Project'!$B$290+CO20*'DATA TABLES_Project'!$B$291),"")</f>
        <v/>
      </c>
      <c r="EH20" s="925" t="str">
        <f>IFERROR(IF($CB20&lt;&gt;"OK","",DD20*'DATA TABLES_Project'!$B$290+DK20*'DATA TABLES_Project'!$B$291),"")</f>
        <v/>
      </c>
      <c r="EI20" s="925" t="str">
        <f>IFERROR(IF($CB20&lt;&gt;"OK","",DE20*'DATA TABLES_Project'!$B$290+DL20*'DATA TABLES_Project'!$B$291),"")</f>
        <v/>
      </c>
      <c r="EJ20" s="925" t="str">
        <f>IFERROR(IF($CB20&lt;&gt;"OK","",DF20*'DATA TABLES_Project'!$B$290+DM20*'DATA TABLES_Project'!$B$291),"")</f>
        <v/>
      </c>
      <c r="EK20" s="925" t="str">
        <f>IFERROR(IF($CB20&lt;&gt;"OK","",DG20*'DATA TABLES_Project'!$B$290+DN20*'DATA TABLES_Project'!$B$291),"")</f>
        <v/>
      </c>
      <c r="EL20" s="925" t="str">
        <f>IFERROR(IF($CB20&lt;&gt;"OK","",DH20*'DATA TABLES_Project'!$B$290+DO20*'DATA TABLES_Project'!$B$291),"")</f>
        <v/>
      </c>
      <c r="EM20" s="925" t="str">
        <f>IFERROR(IF($CB20&lt;&gt;"OK","",DI20*'DATA TABLES_Project'!$B$290+DP20*'DATA TABLES_Project'!$B$291),"")</f>
        <v/>
      </c>
      <c r="EN20" s="925" t="str">
        <f>IFERROR(IF($CB20&lt;&gt;"OK","",DJ20*'DATA TABLES_Project'!$B$290+DQ20*'DATA TABLES_Project'!$B$291),"")</f>
        <v/>
      </c>
    </row>
    <row r="21" spans="1:144" ht="16.350000000000001" customHeight="1">
      <c r="A21" s="462"/>
      <c r="B21" s="994"/>
      <c r="C21" s="998"/>
      <c r="D21" s="999"/>
      <c r="E21" s="1000"/>
      <c r="F21" s="964"/>
      <c r="G21" s="965"/>
      <c r="H21" s="965"/>
      <c r="I21" s="965"/>
      <c r="J21" s="965"/>
      <c r="K21" s="966"/>
      <c r="L21" s="964"/>
      <c r="M21" s="965"/>
      <c r="N21" s="965"/>
      <c r="O21" s="965"/>
      <c r="P21" s="965"/>
      <c r="Q21" s="966"/>
      <c r="R21" s="1044"/>
      <c r="S21" s="1044"/>
      <c r="T21" s="1044"/>
      <c r="U21" s="1044"/>
      <c r="V21" s="1044"/>
      <c r="W21" s="1044"/>
      <c r="X21" s="1045"/>
      <c r="Y21" s="1045"/>
      <c r="Z21" s="1045"/>
      <c r="AA21" s="1045"/>
      <c r="AB21" s="1045"/>
      <c r="AC21" s="1045"/>
      <c r="AD21" s="964"/>
      <c r="AE21" s="965"/>
      <c r="AF21" s="965"/>
      <c r="AG21" s="965"/>
      <c r="AH21" s="965"/>
      <c r="AI21" s="966"/>
      <c r="AJ21" s="952"/>
      <c r="AK21" s="953"/>
      <c r="AL21" s="954"/>
      <c r="AM21" s="952"/>
      <c r="AN21" s="953"/>
      <c r="AO21" s="954"/>
      <c r="AP21" s="958"/>
      <c r="AQ21" s="959"/>
      <c r="AR21" s="960"/>
      <c r="AS21" s="958"/>
      <c r="AT21" s="959"/>
      <c r="AU21" s="960"/>
      <c r="AV21" s="968"/>
      <c r="AW21" s="969"/>
      <c r="AX21" s="969"/>
      <c r="AY21" s="969"/>
      <c r="AZ21" s="969"/>
      <c r="BA21" s="970"/>
      <c r="BB21" s="947"/>
      <c r="BC21" s="948"/>
      <c r="BD21" s="947"/>
      <c r="BE21" s="948"/>
      <c r="BF21" s="931"/>
      <c r="BG21" s="932"/>
      <c r="BH21" s="974"/>
      <c r="BI21" s="975"/>
      <c r="BJ21" s="976"/>
      <c r="BK21" s="936"/>
      <c r="BL21" s="937"/>
      <c r="BM21" s="938"/>
      <c r="BN21" s="942"/>
      <c r="BO21" s="943"/>
      <c r="BP21" s="944"/>
      <c r="BQ21"/>
      <c r="BR21"/>
      <c r="BS21" s="967"/>
      <c r="BT21" s="967"/>
      <c r="BV21" s="926"/>
      <c r="BW21" s="926"/>
      <c r="BX21" s="926"/>
      <c r="BY21" s="927"/>
      <c r="BZ21" s="928"/>
      <c r="CB21" s="986"/>
      <c r="CC21" s="925"/>
      <c r="CD21" s="925"/>
      <c r="CE21" s="925"/>
      <c r="CF21" s="925"/>
      <c r="CG21" s="925"/>
      <c r="CH21" s="925"/>
      <c r="CI21" s="925"/>
      <c r="CJ21" s="977"/>
      <c r="CK21" s="977"/>
      <c r="CL21" s="977"/>
      <c r="CM21" s="977"/>
      <c r="CN21" s="977"/>
      <c r="CO21" s="977"/>
      <c r="CP21" s="977"/>
      <c r="CQ21" s="977"/>
      <c r="CR21" s="977"/>
      <c r="CS21" s="983"/>
      <c r="CT21" s="982"/>
      <c r="CU21" s="979"/>
      <c r="CV21" s="925"/>
      <c r="CW21" s="925"/>
      <c r="CX21" s="925"/>
      <c r="CY21" s="925"/>
      <c r="CZ21" s="925"/>
      <c r="DA21" s="925"/>
      <c r="DD21" s="981"/>
      <c r="DE21" s="925"/>
      <c r="DF21" s="981"/>
      <c r="DG21" s="925"/>
      <c r="DH21" s="925"/>
      <c r="DI21" s="925"/>
      <c r="DJ21" s="925"/>
      <c r="DK21" s="925"/>
      <c r="DL21" s="925"/>
      <c r="DM21" s="925"/>
      <c r="DN21" s="925"/>
      <c r="DO21" s="925"/>
      <c r="DP21" s="925"/>
      <c r="DQ21" s="925"/>
      <c r="DR21" s="981"/>
      <c r="DS21" s="981"/>
      <c r="DT21" s="981"/>
      <c r="DU21" s="981"/>
      <c r="DV21" s="981"/>
      <c r="DW21" s="981"/>
      <c r="DX21" s="981"/>
      <c r="DY21" s="925"/>
      <c r="DZ21" s="925"/>
      <c r="EA21" s="925"/>
      <c r="EB21" s="925"/>
      <c r="EC21" s="925"/>
      <c r="ED21" s="925"/>
      <c r="EE21" s="925"/>
      <c r="EF21" s="925"/>
      <c r="EG21" s="925"/>
      <c r="EH21" s="925"/>
      <c r="EI21" s="925"/>
      <c r="EJ21" s="925"/>
      <c r="EK21" s="925"/>
      <c r="EL21" s="925"/>
      <c r="EM21" s="925"/>
      <c r="EN21" s="925"/>
    </row>
    <row r="22" spans="1:144" ht="16.350000000000001" customHeight="1">
      <c r="A22" s="462"/>
      <c r="B22" s="994">
        <v>3</v>
      </c>
      <c r="C22" s="995"/>
      <c r="D22" s="996"/>
      <c r="E22" s="997"/>
      <c r="F22" s="961"/>
      <c r="G22" s="962"/>
      <c r="H22" s="962"/>
      <c r="I22" s="962"/>
      <c r="J22" s="962"/>
      <c r="K22" s="963"/>
      <c r="L22" s="961"/>
      <c r="M22" s="962"/>
      <c r="N22" s="962"/>
      <c r="O22" s="962"/>
      <c r="P22" s="962"/>
      <c r="Q22" s="963"/>
      <c r="R22" s="1044"/>
      <c r="S22" s="1044"/>
      <c r="T22" s="1044"/>
      <c r="U22" s="1044"/>
      <c r="V22" s="1044"/>
      <c r="W22" s="1044"/>
      <c r="X22" s="1045"/>
      <c r="Y22" s="1045"/>
      <c r="Z22" s="1045"/>
      <c r="AA22" s="1045"/>
      <c r="AB22" s="1045"/>
      <c r="AC22" s="1045"/>
      <c r="AD22" s="961"/>
      <c r="AE22" s="962"/>
      <c r="AF22" s="962"/>
      <c r="AG22" s="962"/>
      <c r="AH22" s="962"/>
      <c r="AI22" s="963"/>
      <c r="AJ22" s="949"/>
      <c r="AK22" s="950"/>
      <c r="AL22" s="951"/>
      <c r="AM22" s="949"/>
      <c r="AN22" s="950"/>
      <c r="AO22" s="951"/>
      <c r="AP22" s="955"/>
      <c r="AQ22" s="956"/>
      <c r="AR22" s="957"/>
      <c r="AS22" s="955"/>
      <c r="AT22" s="956"/>
      <c r="AU22" s="957"/>
      <c r="AV22" s="968"/>
      <c r="AW22" s="969"/>
      <c r="AX22" s="970"/>
      <c r="AY22" s="968"/>
      <c r="AZ22" s="969"/>
      <c r="BA22" s="970"/>
      <c r="BB22" s="945"/>
      <c r="BC22" s="946"/>
      <c r="BD22" s="945"/>
      <c r="BE22" s="946"/>
      <c r="BF22" s="929" t="str">
        <f t="shared" ref="BF22" si="28">IF(CB22="OK",ROUND(BB22+BD22,2),"")</f>
        <v/>
      </c>
      <c r="BG22" s="930"/>
      <c r="BH22" s="971" t="str">
        <f t="shared" ref="BH22" si="29">IFERROR(IF(AND($CB22="OK",$CU22="OK"),$CI22,IF($CB22&lt;&gt;"OK",$CB22,$CU22)),"")</f>
        <v/>
      </c>
      <c r="BI22" s="972"/>
      <c r="BJ22" s="973"/>
      <c r="BK22" s="933" t="str">
        <f t="shared" ref="BK22" si="30">IF($CB22="OK",CM22,"")</f>
        <v/>
      </c>
      <c r="BL22" s="934"/>
      <c r="BM22" s="935"/>
      <c r="BN22" s="939" t="str">
        <f t="shared" ref="BN22" si="31">IF($CB22="OK",$CR22,"")</f>
        <v/>
      </c>
      <c r="BO22" s="940"/>
      <c r="BP22" s="941"/>
      <c r="BQ22"/>
      <c r="BR22"/>
      <c r="BS22" s="967"/>
      <c r="BT22" s="967"/>
      <c r="BV22" s="926" t="str">
        <f t="shared" ref="BV22" si="32">IFERROR(ROUND(IF(AND(CB22="OK",CU22="OK"),CT22,""),0),"")</f>
        <v/>
      </c>
      <c r="BW22" s="926" t="str">
        <f t="shared" ref="BW22" si="33">IFERROR(ROUND(IF(AND(CB22="OK",CU22="OK"),BV22/3,""),0),"")</f>
        <v/>
      </c>
      <c r="BX22" s="926"/>
      <c r="BY22" s="927"/>
      <c r="BZ22" s="928"/>
      <c r="CB22" s="986" t="str">
        <f>IF(AND(C22="",F22="",R22="",AD22="",U22="",X22="",L22="",AJ22="",AV22="",AM22="",AP22="",AY22="",AV23="",BB22="",BD22="",AA22="",AS22=""),"",
IF(OR(C22="",F22="",R22="",AD22="",U22="",X22="",L22="",AJ22="",AV22="",AM22="",AP22="",AY22="",AV23="",BB22="",BD22="",AA22="",AS22=""),"Missing Fields",
IF(AND(M02S04F04disp="Required",M02S04F04=""),"TA Info Incomplete",
"OK")))</f>
        <v/>
      </c>
      <c r="CC22" s="925" t="str">
        <f>IF(AND($CB22="OK",$CU22="OK"),INDEX(Tbl_Cust_HVAC[Measure Number], MATCH(F22,Tbl_Cust_HVAC[Proj Desc 1],0)),"")</f>
        <v/>
      </c>
      <c r="CD22" s="925"/>
      <c r="CE22" s="925" t="str">
        <f t="shared" ref="CE22" si="34">IF(CB22="OK","Measure","")</f>
        <v/>
      </c>
      <c r="CF22" s="925" t="str">
        <f t="shared" ref="CF22" si="35">IF(CB22="OK",1,"")</f>
        <v/>
      </c>
      <c r="CG22" s="978" t="str">
        <f t="shared" ref="CG22" si="36">IFERROR(CI22/CF22,"")</f>
        <v/>
      </c>
      <c r="CH22" s="978" t="str">
        <f>IF(CB22="OK",IF(CM22&gt;0,CM22*Incent_Rate_kWh,0)+IF(CO22&gt;0,CO22*Incent_Rate_thm,0),"")</f>
        <v/>
      </c>
      <c r="CI22" s="978" t="str">
        <f>IFERROR(IF($CB22="OK",IF(INCENTTOCOST_CUST&gt;CostCap_Cust,
CH22*CostCap_Cust/INCENTTOCOST_CUST,CH22),""),"")</f>
        <v/>
      </c>
      <c r="CJ22" s="977">
        <f t="shared" ref="CJ22" si="37">CM22</f>
        <v>0</v>
      </c>
      <c r="CK22" s="977">
        <f t="shared" ref="CK22" si="38">CN22</f>
        <v>0</v>
      </c>
      <c r="CL22" s="977">
        <f t="shared" ref="CL22" si="39">CO22</f>
        <v>0</v>
      </c>
      <c r="CM22" s="977">
        <f>R22-AJ22</f>
        <v>0</v>
      </c>
      <c r="CN22" s="977">
        <f>U22-AM22</f>
        <v>0</v>
      </c>
      <c r="CO22" s="977">
        <f t="shared" ref="CO22" si="40">IF(CR22&gt;0,CR22,0)</f>
        <v>0</v>
      </c>
      <c r="CP22" s="977">
        <f t="shared" ref="CP22" si="41">CM22</f>
        <v>0</v>
      </c>
      <c r="CQ22" s="977">
        <f t="shared" ref="CQ22" si="42">CN22</f>
        <v>0</v>
      </c>
      <c r="CR22" s="977">
        <f>X22-AP22</f>
        <v>0</v>
      </c>
      <c r="CS22" s="983"/>
      <c r="CT22" s="982" t="str">
        <f>IF(CB22="OK",INDEX(Tbl_Cust_HVAC[EUL], MATCH(F22,Tbl_Cust_HVAC[Proj Desc 1],0)),"")</f>
        <v/>
      </c>
      <c r="CU22" s="979" t="str">
        <f t="shared" ref="CU22" si="43">IFERROR(IF(AND($CM22&lt;=0,$CN22&lt;=0,$CO22&lt;=0),"No Savings","OK"),"")</f>
        <v>No Savings</v>
      </c>
      <c r="CV22" s="925" t="str">
        <f t="shared" ref="CV22" si="44">IF(AND(CB22="OK",CU22="OK"),"1","")</f>
        <v/>
      </c>
      <c r="CW22" s="925" t="str">
        <f>IFERROR(IF($CB22="OK",ROUND($AQ$14*SUM(BB22:BE23)/SUM($BB$18:$BE$37),2),""),"")</f>
        <v/>
      </c>
      <c r="CX22" s="925" t="str">
        <f>IFERROR(IF(M02S04F04="Customer/Self-Installed",CW22,IF($CB22="OK",CW22+BD22,"")),"")</f>
        <v/>
      </c>
      <c r="CY22" s="925" t="str">
        <f>IFERROR(IF($CB22="OK",CX22+BB22,""),"")</f>
        <v/>
      </c>
      <c r="CZ22" s="925" t="str">
        <f>IF(CB22="OK",INDEX(MEASURES3_M!$O$16:$O$20, MATCH(F22,MEASURES3_M!$C$16:$C$20,0)),"")</f>
        <v/>
      </c>
      <c r="DA22" s="925" t="str">
        <f>IF(CB22="OK",INDEX(MEASURES3_M!$P$16:$P$20, MATCH(F22,MEASURES3_M!$C$16:$C$20,0)),"")</f>
        <v/>
      </c>
      <c r="DD22" s="980" t="str">
        <f>IFERROR(IF(CB22&lt;&gt;"OK","",CM22*VLOOKUP('DATA TABLES_Project'!$C$247,'DATA TABLES_Project'!$A$250:$B$285,2,FALSE)),"")</f>
        <v/>
      </c>
      <c r="DE22" s="925" t="str">
        <f t="shared" ref="DE22" si="45">IFERROR(IF(CB22&lt;&gt;"OK","",CM22*CZ22*0.92),"")</f>
        <v/>
      </c>
      <c r="DF22" s="980" t="str">
        <f>IFERROR(IF(CB22&lt;&gt;"OK","",CM22*CZ22*0.92*VLOOKUP('DATA TABLES_Project'!$C$247,'DATA TABLES_Project'!$A$250:$B$285,2,FALSE)),"")</f>
        <v/>
      </c>
      <c r="DG22" s="925" t="str">
        <f t="shared" ref="DG22" si="46">IFERROR(IF(CB22&lt;&gt;"OK","",CM22*BV22),IF(BX22="Dual",(CM22*BW22)+((BY22-AJ22)*(BV22-BW22)),""))</f>
        <v/>
      </c>
      <c r="DH22" s="925" t="str">
        <f ca="1">IFERROR(IF(CB22&lt;&gt;"OK","",IF(OR(BX22="Single",BX22=""), CM22*BV22*AVERAGE(INDEX('DATA TABLES_Project'!$B$250:$B$285, MATCH('DATA TABLES_Project'!$C$247,'DATA TABLES_Project'!$A$250:$A$285, 0)):OFFSET(INDEX('DATA TABLES_Project'!$B$250:$B$285, MATCH('DATA TABLES_Project'!$C$247,'DATA TABLES_Project'!$A$250:$A$285, 0)),BV22-1,0)),CM22*BW22*AVERAGE(INDEX('DATA TABLES_Project'!$B$250:$B$285, MATCH('DATA TABLES_Project'!$C$247,'DATA TABLES_Project'!$A$250:$A$285, 0)):OFFSET(INDEX('DATA TABLES_Project'!$B$250:$B$285, MATCH('DATA TABLES_Project'!$C$247,'DATA TABLES_Project'!$A$250:$A$285, 0)),BW22-1,0)) + ((BY22-AJ22)*(BV22-BW22)*AVERAGE(OFFSET(INDEX('DATA TABLES_Project'!$B$250:$B$285, MATCH('DATA TABLES_Project'!$C$247,'DATA TABLES_Project'!$A$250:$A$285, 0)),BW22,0):OFFSET(INDEX('DATA TABLES_Project'!$B$250:$B$285, MATCH('DATA TABLES_Project'!$C$247,'DATA TABLES_Project'!$A$250:$A$285, 0)),BV22-1,0))))), "")</f>
        <v/>
      </c>
      <c r="DI22" s="925" t="str">
        <f t="shared" ref="DI22" si="47">IFERROR(IF(CB22&lt;&gt;"OK","",IF(BX22="Dual",(CM22*BW22)+((BY22-AJ22)*(BV22-BW22))*CZ22*0.92,CM22*CZ22*BV22*0.92)),"")</f>
        <v/>
      </c>
      <c r="DJ22" s="925" t="str">
        <f ca="1">IFERROR(IF(CB22&lt;&gt;"OK","",IF(OR(BX22="Single",BX22=""),0.92*CZ22*CM22*BV22*AVERAGE(INDEX('DATA TABLES_Project'!$B$250:$B$285, MATCH('DATA TABLES_Project'!$C$247,'DATA TABLES_Project'!$A$250:$A$285, 0)):OFFSET(INDEX('DATA TABLES_Project'!$B$250:$B$285, MATCH('DATA TABLES_Project'!$C$247,'DATA TABLES_Project'!$A$250:$A$285, 0)),BV22-1,0)),0.92*CZ22*CM22*BW22*AVERAGE(INDEX('DATA TABLES_Project'!$B$250:$B$285, MATCH('DATA TABLES_Project'!$C$247,'DATA TABLES_Project'!$A$250:$A$285, 0)):OFFSET(INDEX('DATA TABLES_Project'!$B$250:$B$285, MATCH('DATA TABLES_Project'!$C$247,'DATA TABLES_Project'!$A$250:$A$285, 0)),BW22-1,0)) + (0.92*CZ22*(BY22-AJ22)*(BV22-BW22)*AVERAGE(OFFSET(INDEX('DATA TABLES_Project'!$B$250:$B$285, MATCH('DATA TABLES_Project'!$C$247,'DATA TABLES_Project'!$A$250:$A$285, 0)),BW22,0):OFFSET(INDEX('DATA TABLES_Project'!$B$250:$B$285, MATCH('DATA TABLES_Project'!$C$247,'DATA TABLES_Project'!$A$250:$A$285, 0)),BV22-1,0))))), "")</f>
        <v/>
      </c>
      <c r="DK22" s="925" t="str">
        <f>IFERROR(IF(CB22&lt;&gt;"OK","",CO22*'DATA TABLES_Project'!$C$250),"")</f>
        <v/>
      </c>
      <c r="DL22" s="925" t="str">
        <f t="shared" ref="DL22" si="48">IFERROR(IF(CB22&lt;&gt;"OK","",CO22*DA22*0.92),"")</f>
        <v/>
      </c>
      <c r="DM22" s="925" t="str">
        <f>IFERROR(IF(CB22&lt;&gt;"OK","",CO22*'DATA TABLES_Project'!$C$250*DA22*0.92),"")</f>
        <v/>
      </c>
      <c r="DN22" s="925" t="str">
        <f t="shared" ref="DN22" si="49">IFERROR(IF(CB22&lt;&gt;"OK","",CO22*BV22),IF(BX22="Dual",(CO22*BW22)+((BZ22-AP22)*(BV22-BW22)),""))</f>
        <v/>
      </c>
      <c r="DO22" s="925" t="str">
        <f ca="1">IFERROR(IF(CB22&lt;&gt;"OK","",CO22*BV22*AVERAGE('DATA TABLES_Project'!$C$250:OFFSET('DATA TABLES_Project'!$C$250,BV22,0))),IF(BX22="Dual",(CO22*BW22*AVERAGE('DATA TABLES_Project'!$C$251:$C$259))+((BZ22-AP22)*(BV22-BW22)*AVERAGE('DATA TABLES_Project'!$C$260:$C$279)),""))</f>
        <v/>
      </c>
      <c r="DP22" s="925" t="str">
        <f t="shared" ref="DP22" si="50">IFERROR(IF(CB22&lt;&gt;"OK","",IF(BX22="Dual",((CO22*BW22)+(BZ22-AP22)*(BV22-BW22))*DA22*0.92,CO22*BV22*DA22*0.92)),"")</f>
        <v/>
      </c>
      <c r="DQ22" s="925" t="str">
        <f ca="1">IFERROR(IF(CB22&lt;&gt;"OK","",IF(BX22="Dual",(0.92*DA22*CO22*BW22*AVERAGE('DATA TABLES_Project'!$C$251:$C$259))+(0.92*DA22*(BZ22-AP22)*(BV22-BW22)*AVERAGE('DATA TABLES_Project'!$C$260:$C$279)),0.92*DA22*CO22*BV22*AVERAGE('DATA TABLES_Project'!$C$250:OFFSET('DATA TABLES_Project'!$C$250,BV22,0)))),"")</f>
        <v/>
      </c>
      <c r="DR22" s="980" t="str">
        <f>IFERROR(IF($CB22&lt;&gt;"OK","",CM22*'DATA TABLES_Project'!$B$290+IF(CO22&lt;0,0,CO22*'DATA TABLES_Project'!$B$291)),"")</f>
        <v/>
      </c>
      <c r="DS22" s="980" t="str">
        <f>IFERROR(IF($CB22&lt;&gt;"OK","",DD22*'DATA TABLES_Project'!$B$290+IF(DK22&lt;0,0,DK22*'DATA TABLES_Project'!$B$291)),"")</f>
        <v/>
      </c>
      <c r="DT22" s="980" t="str">
        <f>IFERROR(IF($CB22&lt;&gt;"OK","",DE22*'DATA TABLES_Project'!$B$290+IF(DL22&lt;0,0,DL22*'DATA TABLES_Project'!$B$291)),"")</f>
        <v/>
      </c>
      <c r="DU22" s="980" t="str">
        <f>IFERROR(IF($CB22&lt;&gt;"OK","",DF22*'DATA TABLES_Project'!$B$290+IF(DM22&lt;0,0,DM22*'DATA TABLES_Project'!$B$291)),"")</f>
        <v/>
      </c>
      <c r="DV22" s="980" t="str">
        <f>IFERROR(IF($CB22&lt;&gt;"OK","",DG22*'DATA TABLES_Project'!$B$290+IF(DN22&lt;0,0,DN22*'DATA TABLES_Project'!$B$291)),"")</f>
        <v/>
      </c>
      <c r="DW22" s="980" t="str">
        <f>IFERROR(IF($CB22&lt;&gt;"OK","",DH22*'DATA TABLES_Project'!$B$290+IF(DO22&lt;0,0,DO22*'DATA TABLES_Project'!$B$291)),"")</f>
        <v/>
      </c>
      <c r="DX22" s="980" t="str">
        <f>IFERROR(IF($CB22&lt;&gt;"OK","",DI22*'DATA TABLES_Project'!$B$290+IF(DP22&lt;0,0,DP22*'DATA TABLES_Project'!$B$291)),"")</f>
        <v/>
      </c>
      <c r="DY22" s="925" t="str">
        <f>IFERROR(IF($CB22&lt;&gt;"OK","",DJ22*'DATA TABLES_Project'!$B$290+IF(DQ22&lt;0,0,DQ22*'DATA TABLES_Project'!$B$291)),"")</f>
        <v/>
      </c>
      <c r="DZ22" s="925" t="str">
        <f t="shared" ref="DZ22" si="51">IFERROR(IF($CB22&lt;&gt;"OK","",AS22),"")</f>
        <v/>
      </c>
      <c r="EA22" s="925" t="str">
        <f>IFERROR(IF(CB22&lt;&gt;"OK","",CN22*'DATA TABLES_Project'!$B$250*CZ22*1.03),"")</f>
        <v/>
      </c>
      <c r="EB22" s="925" t="str">
        <f t="shared" ref="EB22" si="52">IFERROR(IF(CB22&lt;&gt;"OK","",CN22*CZ22*1.03),"")</f>
        <v/>
      </c>
      <c r="EC22" s="925" t="str">
        <f>IFERROR(IF(CB22&lt;&gt;"OK","",CZ22*DZ22*'DATA TABLES_Project'!$C$250*0.92),"")</f>
        <v/>
      </c>
      <c r="ED22" s="925" t="str">
        <f>IFERROR(IF(CB22&lt;&gt;"OK","",CZ22*DZ22*'DATA TABLES_Project'!$C$250*0.92),"")</f>
        <v/>
      </c>
      <c r="EE22" s="925" t="str">
        <f t="shared" ref="EE22" si="53">IFERROR(IF(CB22&lt;&gt;"OK","",CZ22*DZ22*0.92),"")</f>
        <v/>
      </c>
      <c r="EF22" s="925" t="str">
        <f t="shared" ref="EF22" si="54">IFERROR(IF(CB22&lt;&gt;"OK","",CZ22*DZ22*0.92),"")</f>
        <v/>
      </c>
      <c r="EG22" s="925" t="str">
        <f>IFERROR(IF($CB22&lt;&gt;"OK","",CM22*'DATA TABLES_Project'!$B$290+CO22*'DATA TABLES_Project'!$B$291),"")</f>
        <v/>
      </c>
      <c r="EH22" s="925" t="str">
        <f>IFERROR(IF($CB22&lt;&gt;"OK","",DD22*'DATA TABLES_Project'!$B$290+DK22*'DATA TABLES_Project'!$B$291),"")</f>
        <v/>
      </c>
      <c r="EI22" s="925" t="str">
        <f>IFERROR(IF($CB22&lt;&gt;"OK","",DE22*'DATA TABLES_Project'!$B$290+DL22*'DATA TABLES_Project'!$B$291),"")</f>
        <v/>
      </c>
      <c r="EJ22" s="925" t="str">
        <f>IFERROR(IF($CB22&lt;&gt;"OK","",DF22*'DATA TABLES_Project'!$B$290+DM22*'DATA TABLES_Project'!$B$291),"")</f>
        <v/>
      </c>
      <c r="EK22" s="925" t="str">
        <f>IFERROR(IF($CB22&lt;&gt;"OK","",DG22*'DATA TABLES_Project'!$B$290+DN22*'DATA TABLES_Project'!$B$291),"")</f>
        <v/>
      </c>
      <c r="EL22" s="925" t="str">
        <f>IFERROR(IF($CB22&lt;&gt;"OK","",DH22*'DATA TABLES_Project'!$B$290+DO22*'DATA TABLES_Project'!$B$291),"")</f>
        <v/>
      </c>
      <c r="EM22" s="925" t="str">
        <f>IFERROR(IF($CB22&lt;&gt;"OK","",DI22*'DATA TABLES_Project'!$B$290+DP22*'DATA TABLES_Project'!$B$291),"")</f>
        <v/>
      </c>
      <c r="EN22" s="925" t="str">
        <f>IFERROR(IF($CB22&lt;&gt;"OK","",DJ22*'DATA TABLES_Project'!$B$290+DQ22*'DATA TABLES_Project'!$B$291),"")</f>
        <v/>
      </c>
    </row>
    <row r="23" spans="1:144" ht="16.350000000000001" customHeight="1">
      <c r="A23" s="462"/>
      <c r="B23" s="994"/>
      <c r="C23" s="998"/>
      <c r="D23" s="999"/>
      <c r="E23" s="1000"/>
      <c r="F23" s="964"/>
      <c r="G23" s="965"/>
      <c r="H23" s="965"/>
      <c r="I23" s="965"/>
      <c r="J23" s="965"/>
      <c r="K23" s="966"/>
      <c r="L23" s="964"/>
      <c r="M23" s="965"/>
      <c r="N23" s="965"/>
      <c r="O23" s="965"/>
      <c r="P23" s="965"/>
      <c r="Q23" s="966"/>
      <c r="R23" s="1044"/>
      <c r="S23" s="1044"/>
      <c r="T23" s="1044"/>
      <c r="U23" s="1044"/>
      <c r="V23" s="1044"/>
      <c r="W23" s="1044"/>
      <c r="X23" s="1045"/>
      <c r="Y23" s="1045"/>
      <c r="Z23" s="1045"/>
      <c r="AA23" s="1045"/>
      <c r="AB23" s="1045"/>
      <c r="AC23" s="1045"/>
      <c r="AD23" s="964"/>
      <c r="AE23" s="965"/>
      <c r="AF23" s="965"/>
      <c r="AG23" s="965"/>
      <c r="AH23" s="965"/>
      <c r="AI23" s="966"/>
      <c r="AJ23" s="952"/>
      <c r="AK23" s="953"/>
      <c r="AL23" s="954"/>
      <c r="AM23" s="952"/>
      <c r="AN23" s="953"/>
      <c r="AO23" s="954"/>
      <c r="AP23" s="958"/>
      <c r="AQ23" s="959"/>
      <c r="AR23" s="960"/>
      <c r="AS23" s="958"/>
      <c r="AT23" s="959"/>
      <c r="AU23" s="960"/>
      <c r="AV23" s="968"/>
      <c r="AW23" s="969"/>
      <c r="AX23" s="969"/>
      <c r="AY23" s="969"/>
      <c r="AZ23" s="969"/>
      <c r="BA23" s="970"/>
      <c r="BB23" s="947"/>
      <c r="BC23" s="948"/>
      <c r="BD23" s="947"/>
      <c r="BE23" s="948"/>
      <c r="BF23" s="931"/>
      <c r="BG23" s="932"/>
      <c r="BH23" s="974"/>
      <c r="BI23" s="975"/>
      <c r="BJ23" s="976"/>
      <c r="BK23" s="936"/>
      <c r="BL23" s="937"/>
      <c r="BM23" s="938"/>
      <c r="BN23" s="942"/>
      <c r="BO23" s="943"/>
      <c r="BP23" s="944"/>
      <c r="BQ23"/>
      <c r="BR23"/>
      <c r="BS23" s="967"/>
      <c r="BT23" s="967"/>
      <c r="BV23" s="926"/>
      <c r="BW23" s="926"/>
      <c r="BX23" s="926"/>
      <c r="BY23" s="927"/>
      <c r="BZ23" s="928"/>
      <c r="CB23" s="986"/>
      <c r="CC23" s="925"/>
      <c r="CD23" s="925"/>
      <c r="CE23" s="925"/>
      <c r="CF23" s="925"/>
      <c r="CG23" s="925"/>
      <c r="CH23" s="925"/>
      <c r="CI23" s="925"/>
      <c r="CJ23" s="977"/>
      <c r="CK23" s="977"/>
      <c r="CL23" s="977"/>
      <c r="CM23" s="977"/>
      <c r="CN23" s="977"/>
      <c r="CO23" s="977"/>
      <c r="CP23" s="977"/>
      <c r="CQ23" s="977"/>
      <c r="CR23" s="977"/>
      <c r="CS23" s="983"/>
      <c r="CT23" s="982"/>
      <c r="CU23" s="979"/>
      <c r="CV23" s="925"/>
      <c r="CW23" s="925"/>
      <c r="CX23" s="925"/>
      <c r="CY23" s="925"/>
      <c r="CZ23" s="925"/>
      <c r="DA23" s="925"/>
      <c r="DD23" s="981"/>
      <c r="DE23" s="925"/>
      <c r="DF23" s="981"/>
      <c r="DG23" s="925"/>
      <c r="DH23" s="925"/>
      <c r="DI23" s="925"/>
      <c r="DJ23" s="925"/>
      <c r="DK23" s="925"/>
      <c r="DL23" s="925"/>
      <c r="DM23" s="925"/>
      <c r="DN23" s="925"/>
      <c r="DO23" s="925"/>
      <c r="DP23" s="925"/>
      <c r="DQ23" s="925"/>
      <c r="DR23" s="981"/>
      <c r="DS23" s="981"/>
      <c r="DT23" s="981"/>
      <c r="DU23" s="981"/>
      <c r="DV23" s="981"/>
      <c r="DW23" s="981"/>
      <c r="DX23" s="981"/>
      <c r="DY23" s="925"/>
      <c r="DZ23" s="925"/>
      <c r="EA23" s="925"/>
      <c r="EB23" s="925"/>
      <c r="EC23" s="925"/>
      <c r="ED23" s="925"/>
      <c r="EE23" s="925"/>
      <c r="EF23" s="925"/>
      <c r="EG23" s="925"/>
      <c r="EH23" s="925"/>
      <c r="EI23" s="925"/>
      <c r="EJ23" s="925"/>
      <c r="EK23" s="925"/>
      <c r="EL23" s="925"/>
      <c r="EM23" s="925"/>
      <c r="EN23" s="925"/>
    </row>
    <row r="24" spans="1:144" ht="16.350000000000001" customHeight="1">
      <c r="A24" s="462"/>
      <c r="B24" s="994">
        <v>4</v>
      </c>
      <c r="C24" s="995"/>
      <c r="D24" s="996"/>
      <c r="E24" s="997"/>
      <c r="F24" s="961"/>
      <c r="G24" s="962"/>
      <c r="H24" s="962"/>
      <c r="I24" s="962"/>
      <c r="J24" s="962"/>
      <c r="K24" s="963"/>
      <c r="L24" s="961"/>
      <c r="M24" s="962"/>
      <c r="N24" s="962"/>
      <c r="O24" s="962"/>
      <c r="P24" s="962"/>
      <c r="Q24" s="963"/>
      <c r="R24" s="1044"/>
      <c r="S24" s="1044"/>
      <c r="T24" s="1044"/>
      <c r="U24" s="1044"/>
      <c r="V24" s="1044"/>
      <c r="W24" s="1044"/>
      <c r="X24" s="1045"/>
      <c r="Y24" s="1045"/>
      <c r="Z24" s="1045"/>
      <c r="AA24" s="1045"/>
      <c r="AB24" s="1045"/>
      <c r="AC24" s="1045"/>
      <c r="AD24" s="961"/>
      <c r="AE24" s="962"/>
      <c r="AF24" s="962"/>
      <c r="AG24" s="962"/>
      <c r="AH24" s="962"/>
      <c r="AI24" s="963"/>
      <c r="AJ24" s="949"/>
      <c r="AK24" s="950"/>
      <c r="AL24" s="951"/>
      <c r="AM24" s="949"/>
      <c r="AN24" s="950"/>
      <c r="AO24" s="951"/>
      <c r="AP24" s="955"/>
      <c r="AQ24" s="956"/>
      <c r="AR24" s="957"/>
      <c r="AS24" s="955"/>
      <c r="AT24" s="956"/>
      <c r="AU24" s="957"/>
      <c r="AV24" s="968"/>
      <c r="AW24" s="969"/>
      <c r="AX24" s="970"/>
      <c r="AY24" s="968"/>
      <c r="AZ24" s="969"/>
      <c r="BA24" s="970"/>
      <c r="BB24" s="945"/>
      <c r="BC24" s="946"/>
      <c r="BD24" s="945"/>
      <c r="BE24" s="946"/>
      <c r="BF24" s="929" t="str">
        <f t="shared" ref="BF24" si="55">IF(CB24="OK",ROUND(BB24+BD24,2),"")</f>
        <v/>
      </c>
      <c r="BG24" s="930"/>
      <c r="BH24" s="971" t="str">
        <f t="shared" ref="BH24" si="56">IFERROR(IF(AND($CB24="OK",$CU24="OK"),$CI24,IF($CB24&lt;&gt;"OK",$CB24,$CU24)),"")</f>
        <v/>
      </c>
      <c r="BI24" s="972"/>
      <c r="BJ24" s="973"/>
      <c r="BK24" s="933" t="str">
        <f t="shared" ref="BK24" si="57">IF($CB24="OK",CM24,"")</f>
        <v/>
      </c>
      <c r="BL24" s="934"/>
      <c r="BM24" s="935"/>
      <c r="BN24" s="939" t="str">
        <f t="shared" ref="BN24" si="58">IF($CB24="OK",$CR24,"")</f>
        <v/>
      </c>
      <c r="BO24" s="940"/>
      <c r="BP24" s="941"/>
      <c r="BQ24"/>
      <c r="BR24"/>
      <c r="BS24" s="967"/>
      <c r="BT24" s="967"/>
      <c r="BV24" s="926" t="str">
        <f t="shared" ref="BV24" si="59">IFERROR(ROUND(IF(AND(CB24="OK",CU24="OK"),CT24,""),0),"")</f>
        <v/>
      </c>
      <c r="BW24" s="926" t="str">
        <f t="shared" ref="BW24" si="60">IFERROR(ROUND(IF(AND(CB24="OK",CU24="OK"),BV24/3,""),0),"")</f>
        <v/>
      </c>
      <c r="BX24" s="926"/>
      <c r="BY24" s="927"/>
      <c r="BZ24" s="928"/>
      <c r="CB24" s="986" t="str">
        <f>IF(AND(C24="",F24="",R24="",AD24="",U24="",X24="",L24="",AJ24="",AV24="",AM24="",AP24="",AY24="",AV25="",BB24="",BD24="",AA24="",AS24=""),"",
IF(OR(C24="",F24="",R24="",AD24="",U24="",X24="",L24="",AJ24="",AV24="",AM24="",AP24="",AY24="",AV25="",BB24="",BD24="",AA24="",AS24=""),"Missing Fields",
IF(AND(M02S04F04disp="Required",M02S04F04=""),"TA Info Incomplete",
"OK")))</f>
        <v/>
      </c>
      <c r="CC24" s="925" t="str">
        <f>IF(AND($CB24="OK",$CU24="OK"),INDEX(Tbl_Cust_HVAC[Measure Number], MATCH(F24,Tbl_Cust_HVAC[Proj Desc 1],0)),"")</f>
        <v/>
      </c>
      <c r="CD24" s="925"/>
      <c r="CE24" s="925" t="str">
        <f t="shared" ref="CE24" si="61">IF(CB24="OK","Measure","")</f>
        <v/>
      </c>
      <c r="CF24" s="925" t="str">
        <f t="shared" ref="CF24" si="62">IF(CB24="OK",1,"")</f>
        <v/>
      </c>
      <c r="CG24" s="978" t="str">
        <f t="shared" ref="CG24" si="63">IFERROR(CI24/CF24,"")</f>
        <v/>
      </c>
      <c r="CH24" s="978" t="str">
        <f>IF(CB24="OK",IF(CM24&gt;0,CM24*Incent_Rate_kWh,0)+IF(CO24&gt;0,CO24*Incent_Rate_thm,0),"")</f>
        <v/>
      </c>
      <c r="CI24" s="978" t="str">
        <f>IFERROR(IF($CB24="OK",IF(INCENTTOCOST_CUST&gt;CostCap_Cust,
CH24*CostCap_Cust/INCENTTOCOST_CUST,CH24),""),"")</f>
        <v/>
      </c>
      <c r="CJ24" s="977">
        <f t="shared" ref="CJ24" si="64">CM24</f>
        <v>0</v>
      </c>
      <c r="CK24" s="977">
        <f t="shared" ref="CK24" si="65">CN24</f>
        <v>0</v>
      </c>
      <c r="CL24" s="977">
        <f t="shared" ref="CL24" si="66">CO24</f>
        <v>0</v>
      </c>
      <c r="CM24" s="977">
        <f>R24-AJ24</f>
        <v>0</v>
      </c>
      <c r="CN24" s="977">
        <f>U24-AM24</f>
        <v>0</v>
      </c>
      <c r="CO24" s="977">
        <f t="shared" ref="CO24" si="67">IF(CR24&gt;0,CR24,0)</f>
        <v>0</v>
      </c>
      <c r="CP24" s="977">
        <f t="shared" ref="CP24" si="68">CM24</f>
        <v>0</v>
      </c>
      <c r="CQ24" s="977">
        <f t="shared" ref="CQ24" si="69">CN24</f>
        <v>0</v>
      </c>
      <c r="CR24" s="977">
        <f>X24-AP24</f>
        <v>0</v>
      </c>
      <c r="CS24" s="983"/>
      <c r="CT24" s="982" t="str">
        <f>IF(CB24="OK",INDEX(Tbl_Cust_HVAC[EUL], MATCH(F24,Tbl_Cust_HVAC[Proj Desc 1],0)),"")</f>
        <v/>
      </c>
      <c r="CU24" s="979" t="str">
        <f t="shared" ref="CU24" si="70">IFERROR(IF(AND($CM24&lt;=0,$CN24&lt;=0,$CO24&lt;=0),"No Savings","OK"),"")</f>
        <v>No Savings</v>
      </c>
      <c r="CV24" s="925" t="str">
        <f t="shared" ref="CV24" si="71">IF(AND(CB24="OK",CU24="OK"),"1","")</f>
        <v/>
      </c>
      <c r="CW24" s="925" t="str">
        <f>IFERROR(IF($CB24="OK",ROUND($AQ$14*SUM(BB24:BE25)/SUM($BB$18:$BE$37),2),""),"")</f>
        <v/>
      </c>
      <c r="CX24" s="925" t="str">
        <f>IFERROR(IF(M02S04F04="Customer/Self-Installed",CW24,IF($CB24="OK",CW24+BD24,"")),"")</f>
        <v/>
      </c>
      <c r="CY24" s="925" t="str">
        <f>IFERROR(IF($CB24="OK",CX24+BB24,""),"")</f>
        <v/>
      </c>
      <c r="CZ24" s="925" t="str">
        <f>IF(CB24="OK",INDEX(MEASURES3_M!$O$16:$O$20, MATCH(F24,MEASURES3_M!$C$16:$C$20,0)),"")</f>
        <v/>
      </c>
      <c r="DA24" s="925" t="str">
        <f>IF(CB24="OK",INDEX(MEASURES3_M!$P$16:$P$20, MATCH(F24,MEASURES3_M!$C$16:$C$20,0)),"")</f>
        <v/>
      </c>
      <c r="DD24" s="980" t="str">
        <f>IFERROR(IF(CB24&lt;&gt;"OK","",CM24*VLOOKUP('DATA TABLES_Project'!$C$247,'DATA TABLES_Project'!$A$250:$B$285,2,FALSE)),"")</f>
        <v/>
      </c>
      <c r="DE24" s="925" t="str">
        <f t="shared" ref="DE24" si="72">IFERROR(IF(CB24&lt;&gt;"OK","",CM24*CZ24*0.92),"")</f>
        <v/>
      </c>
      <c r="DF24" s="980" t="str">
        <f>IFERROR(IF(CB24&lt;&gt;"OK","",CM24*CZ24*0.92*VLOOKUP('DATA TABLES_Project'!$C$247,'DATA TABLES_Project'!$A$250:$B$285,2,FALSE)),"")</f>
        <v/>
      </c>
      <c r="DG24" s="925" t="str">
        <f t="shared" ref="DG24" si="73">IFERROR(IF(CB24&lt;&gt;"OK","",CM24*BV24),IF(BX24="Dual",(CM24*BW24)+((BY24-AJ24)*(BV24-BW24)),""))</f>
        <v/>
      </c>
      <c r="DH24" s="925" t="str">
        <f ca="1">IFERROR(IF(CB24&lt;&gt;"OK","",IF(OR(BX24="Single",BX24=""), CM24*BV24*AVERAGE(INDEX('DATA TABLES_Project'!$B$250:$B$285, MATCH('DATA TABLES_Project'!$C$247,'DATA TABLES_Project'!$A$250:$A$285, 0)):OFFSET(INDEX('DATA TABLES_Project'!$B$250:$B$285, MATCH('DATA TABLES_Project'!$C$247,'DATA TABLES_Project'!$A$250:$A$285, 0)),BV24-1,0)),CM24*BW24*AVERAGE(INDEX('DATA TABLES_Project'!$B$250:$B$285, MATCH('DATA TABLES_Project'!$C$247,'DATA TABLES_Project'!$A$250:$A$285, 0)):OFFSET(INDEX('DATA TABLES_Project'!$B$250:$B$285, MATCH('DATA TABLES_Project'!$C$247,'DATA TABLES_Project'!$A$250:$A$285, 0)),BW24-1,0)) + ((BY24-AJ24)*(BV24-BW24)*AVERAGE(OFFSET(INDEX('DATA TABLES_Project'!$B$250:$B$285, MATCH('DATA TABLES_Project'!$C$247,'DATA TABLES_Project'!$A$250:$A$285, 0)),BW24,0):OFFSET(INDEX('DATA TABLES_Project'!$B$250:$B$285, MATCH('DATA TABLES_Project'!$C$247,'DATA TABLES_Project'!$A$250:$A$285, 0)),BV24-1,0))))), "")</f>
        <v/>
      </c>
      <c r="DI24" s="925" t="str">
        <f t="shared" ref="DI24" si="74">IFERROR(IF(CB24&lt;&gt;"OK","",IF(BX24="Dual",(CM24*BW24)+((BY24-AJ24)*(BV24-BW24))*CZ24*0.92,CM24*CZ24*BV24*0.92)),"")</f>
        <v/>
      </c>
      <c r="DJ24" s="925" t="str">
        <f ca="1">IFERROR(IF(CB24&lt;&gt;"OK","",IF(OR(BX24="Single",BX24=""),0.92*CZ24*CM24*BV24*AVERAGE(INDEX('DATA TABLES_Project'!$B$250:$B$285, MATCH('DATA TABLES_Project'!$C$247,'DATA TABLES_Project'!$A$250:$A$285, 0)):OFFSET(INDEX('DATA TABLES_Project'!$B$250:$B$285, MATCH('DATA TABLES_Project'!$C$247,'DATA TABLES_Project'!$A$250:$A$285, 0)),BV24-1,0)),0.92*CZ24*CM24*BW24*AVERAGE(INDEX('DATA TABLES_Project'!$B$250:$B$285, MATCH('DATA TABLES_Project'!$C$247,'DATA TABLES_Project'!$A$250:$A$285, 0)):OFFSET(INDEX('DATA TABLES_Project'!$B$250:$B$285, MATCH('DATA TABLES_Project'!$C$247,'DATA TABLES_Project'!$A$250:$A$285, 0)),BW24-1,0)) + (0.92*CZ24*(BY24-AJ24)*(BV24-BW24)*AVERAGE(OFFSET(INDEX('DATA TABLES_Project'!$B$250:$B$285, MATCH('DATA TABLES_Project'!$C$247,'DATA TABLES_Project'!$A$250:$A$285, 0)),BW24,0):OFFSET(INDEX('DATA TABLES_Project'!$B$250:$B$285, MATCH('DATA TABLES_Project'!$C$247,'DATA TABLES_Project'!$A$250:$A$285, 0)),BV24-1,0))))), "")</f>
        <v/>
      </c>
      <c r="DK24" s="925" t="str">
        <f>IFERROR(IF(CB24&lt;&gt;"OK","",CO24*'DATA TABLES_Project'!$C$250),"")</f>
        <v/>
      </c>
      <c r="DL24" s="925" t="str">
        <f t="shared" ref="DL24" si="75">IFERROR(IF(CB24&lt;&gt;"OK","",CO24*DA24*0.92),"")</f>
        <v/>
      </c>
      <c r="DM24" s="925" t="str">
        <f>IFERROR(IF(CB24&lt;&gt;"OK","",CO24*'DATA TABLES_Project'!$C$250*DA24*0.92),"")</f>
        <v/>
      </c>
      <c r="DN24" s="925" t="str">
        <f t="shared" ref="DN24" si="76">IFERROR(IF(CB24&lt;&gt;"OK","",CO24*BV24),IF(BX24="Dual",(CO24*BW24)+((BZ24-AP24)*(BV24-BW24)),""))</f>
        <v/>
      </c>
      <c r="DO24" s="925" t="str">
        <f ca="1">IFERROR(IF(CB24&lt;&gt;"OK","",CO24*BV24*AVERAGE('DATA TABLES_Project'!$C$250:OFFSET('DATA TABLES_Project'!$C$250,BV24,0))),IF(BX24="Dual",(CO24*BW24*AVERAGE('DATA TABLES_Project'!$C$251:$C$259))+((BZ24-AP24)*(BV24-BW24)*AVERAGE('DATA TABLES_Project'!$C$260:$C$279)),""))</f>
        <v/>
      </c>
      <c r="DP24" s="925" t="str">
        <f t="shared" ref="DP24" si="77">IFERROR(IF(CB24&lt;&gt;"OK","",IF(BX24="Dual",((CO24*BW24)+(BZ24-AP24)*(BV24-BW24))*DA24*0.92,CO24*BV24*DA24*0.92)),"")</f>
        <v/>
      </c>
      <c r="DQ24" s="925" t="str">
        <f ca="1">IFERROR(IF(CB24&lt;&gt;"OK","",IF(BX24="Dual",(0.92*DA24*CO24*BW24*AVERAGE('DATA TABLES_Project'!$C$251:$C$259))+(0.92*DA24*(BZ24-AP24)*(BV24-BW24)*AVERAGE('DATA TABLES_Project'!$C$260:$C$279)),0.92*DA24*CO24*BV24*AVERAGE('DATA TABLES_Project'!$C$250:OFFSET('DATA TABLES_Project'!$C$250,BV24,0)))),"")</f>
        <v/>
      </c>
      <c r="DR24" s="980" t="str">
        <f>IFERROR(IF($CB24&lt;&gt;"OK","",CM24*'DATA TABLES_Project'!$B$290+IF(CO24&lt;0,0,CO24*'DATA TABLES_Project'!$B$291)),"")</f>
        <v/>
      </c>
      <c r="DS24" s="980" t="str">
        <f>IFERROR(IF($CB24&lt;&gt;"OK","",DD24*'DATA TABLES_Project'!$B$290+IF(DK24&lt;0,0,DK24*'DATA TABLES_Project'!$B$291)),"")</f>
        <v/>
      </c>
      <c r="DT24" s="980" t="str">
        <f>IFERROR(IF($CB24&lt;&gt;"OK","",DE24*'DATA TABLES_Project'!$B$290+IF(DL24&lt;0,0,DL24*'DATA TABLES_Project'!$B$291)),"")</f>
        <v/>
      </c>
      <c r="DU24" s="980" t="str">
        <f>IFERROR(IF($CB24&lt;&gt;"OK","",DF24*'DATA TABLES_Project'!$B$290+IF(DM24&lt;0,0,DM24*'DATA TABLES_Project'!$B$291)),"")</f>
        <v/>
      </c>
      <c r="DV24" s="980" t="str">
        <f>IFERROR(IF($CB24&lt;&gt;"OK","",DG24*'DATA TABLES_Project'!$B$290+IF(DN24&lt;0,0,DN24*'DATA TABLES_Project'!$B$291)),"")</f>
        <v/>
      </c>
      <c r="DW24" s="980" t="str">
        <f>IFERROR(IF($CB24&lt;&gt;"OK","",DH24*'DATA TABLES_Project'!$B$290+IF(DO24&lt;0,0,DO24*'DATA TABLES_Project'!$B$291)),"")</f>
        <v/>
      </c>
      <c r="DX24" s="980" t="str">
        <f>IFERROR(IF($CB24&lt;&gt;"OK","",DI24*'DATA TABLES_Project'!$B$290+IF(DP24&lt;0,0,DP24*'DATA TABLES_Project'!$B$291)),"")</f>
        <v/>
      </c>
      <c r="DY24" s="925" t="str">
        <f>IFERROR(IF($CB24&lt;&gt;"OK","",DJ24*'DATA TABLES_Project'!$B$290+IF(DQ24&lt;0,0,DQ24*'DATA TABLES_Project'!$B$291)),"")</f>
        <v/>
      </c>
      <c r="DZ24" s="925" t="str">
        <f t="shared" ref="DZ24" si="78">IFERROR(IF($CB24&lt;&gt;"OK","",AS24),"")</f>
        <v/>
      </c>
      <c r="EA24" s="925" t="str">
        <f>IFERROR(IF(CB24&lt;&gt;"OK","",CN24*'DATA TABLES_Project'!$B$250*CZ24*1.03),"")</f>
        <v/>
      </c>
      <c r="EB24" s="925" t="str">
        <f t="shared" ref="EB24" si="79">IFERROR(IF(CB24&lt;&gt;"OK","",CN24*CZ24*1.03),"")</f>
        <v/>
      </c>
      <c r="EC24" s="925" t="str">
        <f>IFERROR(IF(CB24&lt;&gt;"OK","",CZ24*DZ24*'DATA TABLES_Project'!$C$250*0.92),"")</f>
        <v/>
      </c>
      <c r="ED24" s="925" t="str">
        <f>IFERROR(IF(CB24&lt;&gt;"OK","",CZ24*DZ24*'DATA TABLES_Project'!$C$250*0.92),"")</f>
        <v/>
      </c>
      <c r="EE24" s="925" t="str">
        <f t="shared" ref="EE24" si="80">IFERROR(IF(CB24&lt;&gt;"OK","",CZ24*DZ24*0.92),"")</f>
        <v/>
      </c>
      <c r="EF24" s="925" t="str">
        <f t="shared" ref="EF24" si="81">IFERROR(IF(CB24&lt;&gt;"OK","",CZ24*DZ24*0.92),"")</f>
        <v/>
      </c>
      <c r="EG24" s="925" t="str">
        <f>IFERROR(IF($CB24&lt;&gt;"OK","",CM24*'DATA TABLES_Project'!$B$290+CO24*'DATA TABLES_Project'!$B$291),"")</f>
        <v/>
      </c>
      <c r="EH24" s="925" t="str">
        <f>IFERROR(IF($CB24&lt;&gt;"OK","",DD24*'DATA TABLES_Project'!$B$290+DK24*'DATA TABLES_Project'!$B$291),"")</f>
        <v/>
      </c>
      <c r="EI24" s="925" t="str">
        <f>IFERROR(IF($CB24&lt;&gt;"OK","",DE24*'DATA TABLES_Project'!$B$290+DL24*'DATA TABLES_Project'!$B$291),"")</f>
        <v/>
      </c>
      <c r="EJ24" s="925" t="str">
        <f>IFERROR(IF($CB24&lt;&gt;"OK","",DF24*'DATA TABLES_Project'!$B$290+DM24*'DATA TABLES_Project'!$B$291),"")</f>
        <v/>
      </c>
      <c r="EK24" s="925" t="str">
        <f>IFERROR(IF($CB24&lt;&gt;"OK","",DG24*'DATA TABLES_Project'!$B$290+DN24*'DATA TABLES_Project'!$B$291),"")</f>
        <v/>
      </c>
      <c r="EL24" s="925" t="str">
        <f>IFERROR(IF($CB24&lt;&gt;"OK","",DH24*'DATA TABLES_Project'!$B$290+DO24*'DATA TABLES_Project'!$B$291),"")</f>
        <v/>
      </c>
      <c r="EM24" s="925" t="str">
        <f>IFERROR(IF($CB24&lt;&gt;"OK","",DI24*'DATA TABLES_Project'!$B$290+DP24*'DATA TABLES_Project'!$B$291),"")</f>
        <v/>
      </c>
      <c r="EN24" s="925" t="str">
        <f>IFERROR(IF($CB24&lt;&gt;"OK","",DJ24*'DATA TABLES_Project'!$B$290+DQ24*'DATA TABLES_Project'!$B$291),"")</f>
        <v/>
      </c>
    </row>
    <row r="25" spans="1:144" ht="16.350000000000001" customHeight="1">
      <c r="A25" s="462"/>
      <c r="B25" s="994"/>
      <c r="C25" s="998"/>
      <c r="D25" s="999"/>
      <c r="E25" s="1000"/>
      <c r="F25" s="964"/>
      <c r="G25" s="965"/>
      <c r="H25" s="965"/>
      <c r="I25" s="965"/>
      <c r="J25" s="965"/>
      <c r="K25" s="966"/>
      <c r="L25" s="964"/>
      <c r="M25" s="965"/>
      <c r="N25" s="965"/>
      <c r="O25" s="965"/>
      <c r="P25" s="965"/>
      <c r="Q25" s="966"/>
      <c r="R25" s="1044"/>
      <c r="S25" s="1044"/>
      <c r="T25" s="1044"/>
      <c r="U25" s="1044"/>
      <c r="V25" s="1044"/>
      <c r="W25" s="1044"/>
      <c r="X25" s="1045"/>
      <c r="Y25" s="1045"/>
      <c r="Z25" s="1045"/>
      <c r="AA25" s="1045"/>
      <c r="AB25" s="1045"/>
      <c r="AC25" s="1045"/>
      <c r="AD25" s="964"/>
      <c r="AE25" s="965"/>
      <c r="AF25" s="965"/>
      <c r="AG25" s="965"/>
      <c r="AH25" s="965"/>
      <c r="AI25" s="966"/>
      <c r="AJ25" s="952"/>
      <c r="AK25" s="953"/>
      <c r="AL25" s="954"/>
      <c r="AM25" s="952"/>
      <c r="AN25" s="953"/>
      <c r="AO25" s="954"/>
      <c r="AP25" s="958"/>
      <c r="AQ25" s="959"/>
      <c r="AR25" s="960"/>
      <c r="AS25" s="958"/>
      <c r="AT25" s="959"/>
      <c r="AU25" s="960"/>
      <c r="AV25" s="968"/>
      <c r="AW25" s="969"/>
      <c r="AX25" s="969"/>
      <c r="AY25" s="969"/>
      <c r="AZ25" s="969"/>
      <c r="BA25" s="970"/>
      <c r="BB25" s="947"/>
      <c r="BC25" s="948"/>
      <c r="BD25" s="947"/>
      <c r="BE25" s="948"/>
      <c r="BF25" s="931"/>
      <c r="BG25" s="932"/>
      <c r="BH25" s="974"/>
      <c r="BI25" s="975"/>
      <c r="BJ25" s="976"/>
      <c r="BK25" s="936"/>
      <c r="BL25" s="937"/>
      <c r="BM25" s="938"/>
      <c r="BN25" s="942"/>
      <c r="BO25" s="943"/>
      <c r="BP25" s="944"/>
      <c r="BQ25"/>
      <c r="BR25"/>
      <c r="BS25" s="967"/>
      <c r="BT25" s="967"/>
      <c r="BV25" s="926"/>
      <c r="BW25" s="926"/>
      <c r="BX25" s="926"/>
      <c r="BY25" s="927"/>
      <c r="BZ25" s="928"/>
      <c r="CB25" s="986"/>
      <c r="CC25" s="925"/>
      <c r="CD25" s="925"/>
      <c r="CE25" s="925"/>
      <c r="CF25" s="925"/>
      <c r="CG25" s="925"/>
      <c r="CH25" s="925"/>
      <c r="CI25" s="925"/>
      <c r="CJ25" s="977"/>
      <c r="CK25" s="977"/>
      <c r="CL25" s="977"/>
      <c r="CM25" s="977"/>
      <c r="CN25" s="977"/>
      <c r="CO25" s="977"/>
      <c r="CP25" s="977"/>
      <c r="CQ25" s="977"/>
      <c r="CR25" s="977"/>
      <c r="CS25" s="983"/>
      <c r="CT25" s="982"/>
      <c r="CU25" s="979"/>
      <c r="CV25" s="925"/>
      <c r="CW25" s="925"/>
      <c r="CX25" s="925"/>
      <c r="CY25" s="925"/>
      <c r="CZ25" s="925"/>
      <c r="DA25" s="925"/>
      <c r="DD25" s="981"/>
      <c r="DE25" s="925"/>
      <c r="DF25" s="981"/>
      <c r="DG25" s="925"/>
      <c r="DH25" s="925"/>
      <c r="DI25" s="925"/>
      <c r="DJ25" s="925"/>
      <c r="DK25" s="925"/>
      <c r="DL25" s="925"/>
      <c r="DM25" s="925"/>
      <c r="DN25" s="925"/>
      <c r="DO25" s="925"/>
      <c r="DP25" s="925"/>
      <c r="DQ25" s="925"/>
      <c r="DR25" s="981"/>
      <c r="DS25" s="981"/>
      <c r="DT25" s="981"/>
      <c r="DU25" s="981"/>
      <c r="DV25" s="981"/>
      <c r="DW25" s="981"/>
      <c r="DX25" s="981"/>
      <c r="DY25" s="925"/>
      <c r="DZ25" s="925"/>
      <c r="EA25" s="925"/>
      <c r="EB25" s="925"/>
      <c r="EC25" s="925"/>
      <c r="ED25" s="925"/>
      <c r="EE25" s="925"/>
      <c r="EF25" s="925"/>
      <c r="EG25" s="925"/>
      <c r="EH25" s="925"/>
      <c r="EI25" s="925"/>
      <c r="EJ25" s="925"/>
      <c r="EK25" s="925"/>
      <c r="EL25" s="925"/>
      <c r="EM25" s="925"/>
      <c r="EN25" s="925"/>
    </row>
    <row r="26" spans="1:144" ht="16.350000000000001" customHeight="1">
      <c r="A26" s="462"/>
      <c r="B26" s="994">
        <v>5</v>
      </c>
      <c r="C26" s="995"/>
      <c r="D26" s="996"/>
      <c r="E26" s="997"/>
      <c r="F26" s="961"/>
      <c r="G26" s="962"/>
      <c r="H26" s="962"/>
      <c r="I26" s="962"/>
      <c r="J26" s="962"/>
      <c r="K26" s="963"/>
      <c r="L26" s="961"/>
      <c r="M26" s="962"/>
      <c r="N26" s="962"/>
      <c r="O26" s="962"/>
      <c r="P26" s="962"/>
      <c r="Q26" s="963"/>
      <c r="R26" s="1044"/>
      <c r="S26" s="1044"/>
      <c r="T26" s="1044"/>
      <c r="U26" s="1044"/>
      <c r="V26" s="1044"/>
      <c r="W26" s="1044"/>
      <c r="X26" s="1045"/>
      <c r="Y26" s="1045"/>
      <c r="Z26" s="1045"/>
      <c r="AA26" s="1045"/>
      <c r="AB26" s="1045"/>
      <c r="AC26" s="1045"/>
      <c r="AD26" s="961"/>
      <c r="AE26" s="962"/>
      <c r="AF26" s="962"/>
      <c r="AG26" s="962"/>
      <c r="AH26" s="962"/>
      <c r="AI26" s="963"/>
      <c r="AJ26" s="949"/>
      <c r="AK26" s="950"/>
      <c r="AL26" s="951"/>
      <c r="AM26" s="949"/>
      <c r="AN26" s="950"/>
      <c r="AO26" s="951"/>
      <c r="AP26" s="955"/>
      <c r="AQ26" s="956"/>
      <c r="AR26" s="957"/>
      <c r="AS26" s="955"/>
      <c r="AT26" s="956"/>
      <c r="AU26" s="957"/>
      <c r="AV26" s="968"/>
      <c r="AW26" s="969"/>
      <c r="AX26" s="970"/>
      <c r="AY26" s="968"/>
      <c r="AZ26" s="969"/>
      <c r="BA26" s="970"/>
      <c r="BB26" s="945"/>
      <c r="BC26" s="946"/>
      <c r="BD26" s="945"/>
      <c r="BE26" s="946"/>
      <c r="BF26" s="929" t="str">
        <f t="shared" ref="BF26" si="82">IF(CB26="OK",ROUND(BB26+BD26,2),"")</f>
        <v/>
      </c>
      <c r="BG26" s="930"/>
      <c r="BH26" s="971" t="str">
        <f t="shared" ref="BH26" si="83">IFERROR(IF(AND($CB26="OK",$CU26="OK"),$CI26,IF($CB26&lt;&gt;"OK",$CB26,$CU26)),"")</f>
        <v/>
      </c>
      <c r="BI26" s="972"/>
      <c r="BJ26" s="973"/>
      <c r="BK26" s="933" t="str">
        <f t="shared" ref="BK26" si="84">IF($CB26="OK",CM26,"")</f>
        <v/>
      </c>
      <c r="BL26" s="934"/>
      <c r="BM26" s="935"/>
      <c r="BN26" s="939" t="str">
        <f t="shared" ref="BN26" si="85">IF($CB26="OK",$CR26,"")</f>
        <v/>
      </c>
      <c r="BO26" s="940"/>
      <c r="BP26" s="941"/>
      <c r="BQ26"/>
      <c r="BR26"/>
      <c r="BS26" s="967"/>
      <c r="BT26" s="967"/>
      <c r="BV26" s="926" t="str">
        <f t="shared" ref="BV26" si="86">IFERROR(ROUND(IF(AND(CB26="OK",CU26="OK"),CT26,""),0),"")</f>
        <v/>
      </c>
      <c r="BW26" s="926" t="str">
        <f t="shared" ref="BW26" si="87">IFERROR(ROUND(IF(AND(CB26="OK",CU26="OK"),BV26/3,""),0),"")</f>
        <v/>
      </c>
      <c r="BX26" s="926"/>
      <c r="BY26" s="927"/>
      <c r="BZ26" s="928"/>
      <c r="CB26" s="986" t="str">
        <f>IF(AND(C26="",F26="",R26="",AD26="",U26="",X26="",L26="",AJ26="",AV26="",AM26="",AP26="",AY26="",AV27="",BB26="",BD26="",AA26="",AS26=""),"",
IF(OR(C26="",F26="",R26="",AD26="",U26="",X26="",L26="",AJ26="",AV26="",AM26="",AP26="",AY26="",AV27="",BB26="",BD26="",AA26="",AS26=""),"Missing Fields",
IF(AND(M02S04F04disp="Required",M02S04F04=""),"TA Info Incomplete",
"OK")))</f>
        <v/>
      </c>
      <c r="CC26" s="925" t="str">
        <f>IF(AND($CB26="OK",$CU26="OK"),INDEX(Tbl_Cust_HVAC[Measure Number], MATCH(F26,Tbl_Cust_HVAC[Proj Desc 1],0)),"")</f>
        <v/>
      </c>
      <c r="CD26" s="925"/>
      <c r="CE26" s="925" t="str">
        <f t="shared" ref="CE26" si="88">IF(CB26="OK","Measure","")</f>
        <v/>
      </c>
      <c r="CF26" s="925" t="str">
        <f t="shared" ref="CF26" si="89">IF(CB26="OK",1,"")</f>
        <v/>
      </c>
      <c r="CG26" s="978" t="str">
        <f t="shared" ref="CG26" si="90">IFERROR(CI26/CF26,"")</f>
        <v/>
      </c>
      <c r="CH26" s="978" t="str">
        <f>IF(CB26="OK",IF(CM26&gt;0,CM26*Incent_Rate_kWh,0)+IF(CO26&gt;0,CO26*Incent_Rate_thm,0),"")</f>
        <v/>
      </c>
      <c r="CI26" s="978" t="str">
        <f>IFERROR(IF($CB26="OK",IF(INCENTTOCOST_CUST&gt;CostCap_Cust,
CH26*CostCap_Cust/INCENTTOCOST_CUST,CH26),""),"")</f>
        <v/>
      </c>
      <c r="CJ26" s="977">
        <f t="shared" ref="CJ26" si="91">CM26</f>
        <v>0</v>
      </c>
      <c r="CK26" s="977">
        <f t="shared" ref="CK26" si="92">CN26</f>
        <v>0</v>
      </c>
      <c r="CL26" s="977">
        <f t="shared" ref="CL26" si="93">CO26</f>
        <v>0</v>
      </c>
      <c r="CM26" s="977">
        <f>R26-AJ26</f>
        <v>0</v>
      </c>
      <c r="CN26" s="977">
        <f>U26-AM26</f>
        <v>0</v>
      </c>
      <c r="CO26" s="977">
        <f t="shared" ref="CO26" si="94">IF(CR26&gt;0,CR26,0)</f>
        <v>0</v>
      </c>
      <c r="CP26" s="977">
        <f t="shared" ref="CP26" si="95">CM26</f>
        <v>0</v>
      </c>
      <c r="CQ26" s="977">
        <f t="shared" ref="CQ26" si="96">CN26</f>
        <v>0</v>
      </c>
      <c r="CR26" s="977">
        <f>X26-AP26</f>
        <v>0</v>
      </c>
      <c r="CS26" s="983"/>
      <c r="CT26" s="982" t="str">
        <f>IF(CB26="OK",INDEX(Tbl_Cust_HVAC[EUL], MATCH(F26,Tbl_Cust_HVAC[Proj Desc 1],0)),"")</f>
        <v/>
      </c>
      <c r="CU26" s="979" t="str">
        <f t="shared" ref="CU26" si="97">IFERROR(IF(AND($CM26&lt;=0,$CN26&lt;=0,$CO26&lt;=0),"No Savings","OK"),"")</f>
        <v>No Savings</v>
      </c>
      <c r="CV26" s="925" t="str">
        <f t="shared" ref="CV26" si="98">IF(AND(CB26="OK",CU26="OK"),"1","")</f>
        <v/>
      </c>
      <c r="CW26" s="925" t="str">
        <f>IFERROR(IF($CB26="OK",ROUND($AQ$14*SUM(BB26:BE27)/SUM($BB$18:$BE$37),2),""),"")</f>
        <v/>
      </c>
      <c r="CX26" s="925" t="str">
        <f>IFERROR(IF(M02S04F04="Customer/Self-Installed",CW26,IF($CB26="OK",CW26+BD26,"")),"")</f>
        <v/>
      </c>
      <c r="CY26" s="925" t="str">
        <f>IFERROR(IF($CB26="OK",CX26+BB26,""),"")</f>
        <v/>
      </c>
      <c r="CZ26" s="925" t="str">
        <f>IF(CB26="OK",INDEX(MEASURES3_M!$O$16:$O$20, MATCH(F26,MEASURES3_M!$C$16:$C$20,0)),"")</f>
        <v/>
      </c>
      <c r="DA26" s="925" t="str">
        <f>IF(CB26="OK",INDEX(MEASURES3_M!$P$16:$P$20, MATCH(F26,MEASURES3_M!$C$16:$C$20,0)),"")</f>
        <v/>
      </c>
      <c r="DD26" s="980" t="str">
        <f>IFERROR(IF(CB26&lt;&gt;"OK","",CM26*VLOOKUP('DATA TABLES_Project'!$C$247,'DATA TABLES_Project'!$A$250:$B$285,2,FALSE)),"")</f>
        <v/>
      </c>
      <c r="DE26" s="925" t="str">
        <f t="shared" ref="DE26" si="99">IFERROR(IF(CB26&lt;&gt;"OK","",CM26*CZ26*0.92),"")</f>
        <v/>
      </c>
      <c r="DF26" s="980" t="str">
        <f>IFERROR(IF(CB26&lt;&gt;"OK","",CM26*CZ26*0.92*VLOOKUP('DATA TABLES_Project'!$C$247,'DATA TABLES_Project'!$A$250:$B$285,2,FALSE)),"")</f>
        <v/>
      </c>
      <c r="DG26" s="925" t="str">
        <f t="shared" ref="DG26" si="100">IFERROR(IF(CB26&lt;&gt;"OK","",CM26*BV26),IF(BX26="Dual",(CM26*BW26)+((BY26-AJ26)*(BV26-BW26)),""))</f>
        <v/>
      </c>
      <c r="DH26" s="925" t="str">
        <f ca="1">IFERROR(IF(CB26&lt;&gt;"OK","",IF(OR(BX26="Single",BX26=""), CM26*BV26*AVERAGE(INDEX('DATA TABLES_Project'!$B$250:$B$285, MATCH('DATA TABLES_Project'!$C$247,'DATA TABLES_Project'!$A$250:$A$285, 0)):OFFSET(INDEX('DATA TABLES_Project'!$B$250:$B$285, MATCH('DATA TABLES_Project'!$C$247,'DATA TABLES_Project'!$A$250:$A$285, 0)),BV26-1,0)),CM26*BW26*AVERAGE(INDEX('DATA TABLES_Project'!$B$250:$B$285, MATCH('DATA TABLES_Project'!$C$247,'DATA TABLES_Project'!$A$250:$A$285, 0)):OFFSET(INDEX('DATA TABLES_Project'!$B$250:$B$285, MATCH('DATA TABLES_Project'!$C$247,'DATA TABLES_Project'!$A$250:$A$285, 0)),BW26-1,0)) + ((BY26-AJ26)*(BV26-BW26)*AVERAGE(OFFSET(INDEX('DATA TABLES_Project'!$B$250:$B$285, MATCH('DATA TABLES_Project'!$C$247,'DATA TABLES_Project'!$A$250:$A$285, 0)),BW26,0):OFFSET(INDEX('DATA TABLES_Project'!$B$250:$B$285, MATCH('DATA TABLES_Project'!$C$247,'DATA TABLES_Project'!$A$250:$A$285, 0)),BV26-1,0))))), "")</f>
        <v/>
      </c>
      <c r="DI26" s="925" t="str">
        <f t="shared" ref="DI26" si="101">IFERROR(IF(CB26&lt;&gt;"OK","",IF(BX26="Dual",(CM26*BW26)+((BY26-AJ26)*(BV26-BW26))*CZ26*0.92,CM26*CZ26*BV26*0.92)),"")</f>
        <v/>
      </c>
      <c r="DJ26" s="925" t="str">
        <f ca="1">IFERROR(IF(CB26&lt;&gt;"OK","",IF(OR(BX26="Single",BX26=""),0.92*CZ26*CM26*BV26*AVERAGE(INDEX('DATA TABLES_Project'!$B$250:$B$285, MATCH('DATA TABLES_Project'!$C$247,'DATA TABLES_Project'!$A$250:$A$285, 0)):OFFSET(INDEX('DATA TABLES_Project'!$B$250:$B$285, MATCH('DATA TABLES_Project'!$C$247,'DATA TABLES_Project'!$A$250:$A$285, 0)),BV26-1,0)),0.92*CZ26*CM26*BW26*AVERAGE(INDEX('DATA TABLES_Project'!$B$250:$B$285, MATCH('DATA TABLES_Project'!$C$247,'DATA TABLES_Project'!$A$250:$A$285, 0)):OFFSET(INDEX('DATA TABLES_Project'!$B$250:$B$285, MATCH('DATA TABLES_Project'!$C$247,'DATA TABLES_Project'!$A$250:$A$285, 0)),BW26-1,0)) + (0.92*CZ26*(BY26-AJ26)*(BV26-BW26)*AVERAGE(OFFSET(INDEX('DATA TABLES_Project'!$B$250:$B$285, MATCH('DATA TABLES_Project'!$C$247,'DATA TABLES_Project'!$A$250:$A$285, 0)),BW26,0):OFFSET(INDEX('DATA TABLES_Project'!$B$250:$B$285, MATCH('DATA TABLES_Project'!$C$247,'DATA TABLES_Project'!$A$250:$A$285, 0)),BV26-1,0))))), "")</f>
        <v/>
      </c>
      <c r="DK26" s="925" t="str">
        <f>IFERROR(IF(CB26&lt;&gt;"OK","",CO26*'DATA TABLES_Project'!$C$250),"")</f>
        <v/>
      </c>
      <c r="DL26" s="925" t="str">
        <f t="shared" ref="DL26" si="102">IFERROR(IF(CB26&lt;&gt;"OK","",CO26*DA26*0.92),"")</f>
        <v/>
      </c>
      <c r="DM26" s="925" t="str">
        <f>IFERROR(IF(CB26&lt;&gt;"OK","",CO26*'DATA TABLES_Project'!$C$250*DA26*0.92),"")</f>
        <v/>
      </c>
      <c r="DN26" s="925" t="str">
        <f t="shared" ref="DN26" si="103">IFERROR(IF(CB26&lt;&gt;"OK","",CO26*BV26),IF(BX26="Dual",(CO26*BW26)+((BZ26-AP26)*(BV26-BW26)),""))</f>
        <v/>
      </c>
      <c r="DO26" s="925" t="str">
        <f ca="1">IFERROR(IF(CB26&lt;&gt;"OK","",CO26*BV26*AVERAGE('DATA TABLES_Project'!$C$250:OFFSET('DATA TABLES_Project'!$C$250,BV26,0))),IF(BX26="Dual",(CO26*BW26*AVERAGE('DATA TABLES_Project'!$C$251:$C$259))+((BZ26-AP26)*(BV26-BW26)*AVERAGE('DATA TABLES_Project'!$C$260:$C$279)),""))</f>
        <v/>
      </c>
      <c r="DP26" s="925" t="str">
        <f t="shared" ref="DP26" si="104">IFERROR(IF(CB26&lt;&gt;"OK","",IF(BX26="Dual",((CO26*BW26)+(BZ26-AP26)*(BV26-BW26))*DA26*0.92,CO26*BV26*DA26*0.92)),"")</f>
        <v/>
      </c>
      <c r="DQ26" s="925" t="str">
        <f ca="1">IFERROR(IF(CB26&lt;&gt;"OK","",IF(BX26="Dual",(0.92*DA26*CO26*BW26*AVERAGE('DATA TABLES_Project'!$C$251:$C$259))+(0.92*DA26*(BZ26-AP26)*(BV26-BW26)*AVERAGE('DATA TABLES_Project'!$C$260:$C$279)),0.92*DA26*CO26*BV26*AVERAGE('DATA TABLES_Project'!$C$250:OFFSET('DATA TABLES_Project'!$C$250,BV26,0)))),"")</f>
        <v/>
      </c>
      <c r="DR26" s="980" t="str">
        <f>IFERROR(IF($CB26&lt;&gt;"OK","",CM26*'DATA TABLES_Project'!$B$290+IF(CO26&lt;0,0,CO26*'DATA TABLES_Project'!$B$291)),"")</f>
        <v/>
      </c>
      <c r="DS26" s="980" t="str">
        <f>IFERROR(IF($CB26&lt;&gt;"OK","",DD26*'DATA TABLES_Project'!$B$290+IF(DK26&lt;0,0,DK26*'DATA TABLES_Project'!$B$291)),"")</f>
        <v/>
      </c>
      <c r="DT26" s="980" t="str">
        <f>IFERROR(IF($CB26&lt;&gt;"OK","",DE26*'DATA TABLES_Project'!$B$290+IF(DL26&lt;0,0,DL26*'DATA TABLES_Project'!$B$291)),"")</f>
        <v/>
      </c>
      <c r="DU26" s="980" t="str">
        <f>IFERROR(IF($CB26&lt;&gt;"OK","",DF26*'DATA TABLES_Project'!$B$290+IF(DM26&lt;0,0,DM26*'DATA TABLES_Project'!$B$291)),"")</f>
        <v/>
      </c>
      <c r="DV26" s="980" t="str">
        <f>IFERROR(IF($CB26&lt;&gt;"OK","",DG26*'DATA TABLES_Project'!$B$290+IF(DN26&lt;0,0,DN26*'DATA TABLES_Project'!$B$291)),"")</f>
        <v/>
      </c>
      <c r="DW26" s="980" t="str">
        <f>IFERROR(IF($CB26&lt;&gt;"OK","",DH26*'DATA TABLES_Project'!$B$290+IF(DO26&lt;0,0,DO26*'DATA TABLES_Project'!$B$291)),"")</f>
        <v/>
      </c>
      <c r="DX26" s="980" t="str">
        <f>IFERROR(IF($CB26&lt;&gt;"OK","",DI26*'DATA TABLES_Project'!$B$290+IF(DP26&lt;0,0,DP26*'DATA TABLES_Project'!$B$291)),"")</f>
        <v/>
      </c>
      <c r="DY26" s="925" t="str">
        <f>IFERROR(IF($CB26&lt;&gt;"OK","",DJ26*'DATA TABLES_Project'!$B$290+IF(DQ26&lt;0,0,DQ26*'DATA TABLES_Project'!$B$291)),"")</f>
        <v/>
      </c>
      <c r="DZ26" s="925" t="str">
        <f t="shared" ref="DZ26" si="105">IFERROR(IF($CB26&lt;&gt;"OK","",AS26),"")</f>
        <v/>
      </c>
      <c r="EA26" s="925" t="str">
        <f>IFERROR(IF(CB26&lt;&gt;"OK","",CN26*'DATA TABLES_Project'!$B$250*CZ26*1.03),"")</f>
        <v/>
      </c>
      <c r="EB26" s="925" t="str">
        <f t="shared" ref="EB26" si="106">IFERROR(IF(CB26&lt;&gt;"OK","",CN26*CZ26*1.03),"")</f>
        <v/>
      </c>
      <c r="EC26" s="925" t="str">
        <f>IFERROR(IF(CB26&lt;&gt;"OK","",CZ26*DZ26*'DATA TABLES_Project'!$C$250*0.92),"")</f>
        <v/>
      </c>
      <c r="ED26" s="925" t="str">
        <f>IFERROR(IF(CB26&lt;&gt;"OK","",CZ26*DZ26*'DATA TABLES_Project'!$C$250*0.92),"")</f>
        <v/>
      </c>
      <c r="EE26" s="925" t="str">
        <f t="shared" ref="EE26" si="107">IFERROR(IF(CB26&lt;&gt;"OK","",CZ26*DZ26*0.92),"")</f>
        <v/>
      </c>
      <c r="EF26" s="925" t="str">
        <f t="shared" ref="EF26" si="108">IFERROR(IF(CB26&lt;&gt;"OK","",CZ26*DZ26*0.92),"")</f>
        <v/>
      </c>
      <c r="EG26" s="925" t="str">
        <f>IFERROR(IF($CB26&lt;&gt;"OK","",CM26*'DATA TABLES_Project'!$B$290+CO26*'DATA TABLES_Project'!$B$291),"")</f>
        <v/>
      </c>
      <c r="EH26" s="925" t="str">
        <f>IFERROR(IF($CB26&lt;&gt;"OK","",DD26*'DATA TABLES_Project'!$B$290+DK26*'DATA TABLES_Project'!$B$291),"")</f>
        <v/>
      </c>
      <c r="EI26" s="925" t="str">
        <f>IFERROR(IF($CB26&lt;&gt;"OK","",DE26*'DATA TABLES_Project'!$B$290+DL26*'DATA TABLES_Project'!$B$291),"")</f>
        <v/>
      </c>
      <c r="EJ26" s="925" t="str">
        <f>IFERROR(IF($CB26&lt;&gt;"OK","",DF26*'DATA TABLES_Project'!$B$290+DM26*'DATA TABLES_Project'!$B$291),"")</f>
        <v/>
      </c>
      <c r="EK26" s="925" t="str">
        <f>IFERROR(IF($CB26&lt;&gt;"OK","",DG26*'DATA TABLES_Project'!$B$290+DN26*'DATA TABLES_Project'!$B$291),"")</f>
        <v/>
      </c>
      <c r="EL26" s="925" t="str">
        <f>IFERROR(IF($CB26&lt;&gt;"OK","",DH26*'DATA TABLES_Project'!$B$290+DO26*'DATA TABLES_Project'!$B$291),"")</f>
        <v/>
      </c>
      <c r="EM26" s="925" t="str">
        <f>IFERROR(IF($CB26&lt;&gt;"OK","",DI26*'DATA TABLES_Project'!$B$290+DP26*'DATA TABLES_Project'!$B$291),"")</f>
        <v/>
      </c>
      <c r="EN26" s="925" t="str">
        <f>IFERROR(IF($CB26&lt;&gt;"OK","",DJ26*'DATA TABLES_Project'!$B$290+DQ26*'DATA TABLES_Project'!$B$291),"")</f>
        <v/>
      </c>
    </row>
    <row r="27" spans="1:144" ht="16.350000000000001" customHeight="1">
      <c r="A27" s="462"/>
      <c r="B27" s="994"/>
      <c r="C27" s="998"/>
      <c r="D27" s="999"/>
      <c r="E27" s="1000"/>
      <c r="F27" s="964"/>
      <c r="G27" s="965"/>
      <c r="H27" s="965"/>
      <c r="I27" s="965"/>
      <c r="J27" s="965"/>
      <c r="K27" s="966"/>
      <c r="L27" s="964"/>
      <c r="M27" s="965"/>
      <c r="N27" s="965"/>
      <c r="O27" s="965"/>
      <c r="P27" s="965"/>
      <c r="Q27" s="966"/>
      <c r="R27" s="1044"/>
      <c r="S27" s="1044"/>
      <c r="T27" s="1044"/>
      <c r="U27" s="1044"/>
      <c r="V27" s="1044"/>
      <c r="W27" s="1044"/>
      <c r="X27" s="1045"/>
      <c r="Y27" s="1045"/>
      <c r="Z27" s="1045"/>
      <c r="AA27" s="1045"/>
      <c r="AB27" s="1045"/>
      <c r="AC27" s="1045"/>
      <c r="AD27" s="964"/>
      <c r="AE27" s="965"/>
      <c r="AF27" s="965"/>
      <c r="AG27" s="965"/>
      <c r="AH27" s="965"/>
      <c r="AI27" s="966"/>
      <c r="AJ27" s="952"/>
      <c r="AK27" s="953"/>
      <c r="AL27" s="954"/>
      <c r="AM27" s="952"/>
      <c r="AN27" s="953"/>
      <c r="AO27" s="954"/>
      <c r="AP27" s="958"/>
      <c r="AQ27" s="959"/>
      <c r="AR27" s="960"/>
      <c r="AS27" s="958"/>
      <c r="AT27" s="959"/>
      <c r="AU27" s="960"/>
      <c r="AV27" s="968"/>
      <c r="AW27" s="969"/>
      <c r="AX27" s="969"/>
      <c r="AY27" s="969"/>
      <c r="AZ27" s="969"/>
      <c r="BA27" s="970"/>
      <c r="BB27" s="947"/>
      <c r="BC27" s="948"/>
      <c r="BD27" s="947"/>
      <c r="BE27" s="948"/>
      <c r="BF27" s="931"/>
      <c r="BG27" s="932"/>
      <c r="BH27" s="974"/>
      <c r="BI27" s="975"/>
      <c r="BJ27" s="976"/>
      <c r="BK27" s="936"/>
      <c r="BL27" s="937"/>
      <c r="BM27" s="938"/>
      <c r="BN27" s="942"/>
      <c r="BO27" s="943"/>
      <c r="BP27" s="944"/>
      <c r="BQ27"/>
      <c r="BR27"/>
      <c r="BS27" s="967"/>
      <c r="BT27" s="967"/>
      <c r="BV27" s="926"/>
      <c r="BW27" s="926"/>
      <c r="BX27" s="926"/>
      <c r="BY27" s="927"/>
      <c r="BZ27" s="928"/>
      <c r="CB27" s="986"/>
      <c r="CC27" s="925"/>
      <c r="CD27" s="925"/>
      <c r="CE27" s="925"/>
      <c r="CF27" s="925"/>
      <c r="CG27" s="925"/>
      <c r="CH27" s="925"/>
      <c r="CI27" s="925"/>
      <c r="CJ27" s="977"/>
      <c r="CK27" s="977"/>
      <c r="CL27" s="977"/>
      <c r="CM27" s="977"/>
      <c r="CN27" s="977"/>
      <c r="CO27" s="977"/>
      <c r="CP27" s="977"/>
      <c r="CQ27" s="977"/>
      <c r="CR27" s="977"/>
      <c r="CS27" s="983"/>
      <c r="CT27" s="982"/>
      <c r="CU27" s="979"/>
      <c r="CV27" s="925"/>
      <c r="CW27" s="925"/>
      <c r="CX27" s="925"/>
      <c r="CY27" s="925"/>
      <c r="CZ27" s="925"/>
      <c r="DA27" s="925"/>
      <c r="DD27" s="981"/>
      <c r="DE27" s="925"/>
      <c r="DF27" s="981"/>
      <c r="DG27" s="925"/>
      <c r="DH27" s="925"/>
      <c r="DI27" s="925"/>
      <c r="DJ27" s="925"/>
      <c r="DK27" s="925"/>
      <c r="DL27" s="925"/>
      <c r="DM27" s="925"/>
      <c r="DN27" s="925"/>
      <c r="DO27" s="925"/>
      <c r="DP27" s="925"/>
      <c r="DQ27" s="925"/>
      <c r="DR27" s="981"/>
      <c r="DS27" s="981"/>
      <c r="DT27" s="981"/>
      <c r="DU27" s="981"/>
      <c r="DV27" s="981"/>
      <c r="DW27" s="981"/>
      <c r="DX27" s="981"/>
      <c r="DY27" s="925"/>
      <c r="DZ27" s="925"/>
      <c r="EA27" s="925"/>
      <c r="EB27" s="925"/>
      <c r="EC27" s="925"/>
      <c r="ED27" s="925"/>
      <c r="EE27" s="925"/>
      <c r="EF27" s="925"/>
      <c r="EG27" s="925"/>
      <c r="EH27" s="925"/>
      <c r="EI27" s="925"/>
      <c r="EJ27" s="925"/>
      <c r="EK27" s="925"/>
      <c r="EL27" s="925"/>
      <c r="EM27" s="925"/>
      <c r="EN27" s="925"/>
    </row>
    <row r="28" spans="1:144" ht="16.350000000000001" customHeight="1">
      <c r="A28" s="462"/>
      <c r="B28" s="994">
        <v>6</v>
      </c>
      <c r="C28" s="995"/>
      <c r="D28" s="996"/>
      <c r="E28" s="997"/>
      <c r="F28" s="961"/>
      <c r="G28" s="962"/>
      <c r="H28" s="962"/>
      <c r="I28" s="962"/>
      <c r="J28" s="962"/>
      <c r="K28" s="963"/>
      <c r="L28" s="961"/>
      <c r="M28" s="962"/>
      <c r="N28" s="962"/>
      <c r="O28" s="962"/>
      <c r="P28" s="962"/>
      <c r="Q28" s="963"/>
      <c r="R28" s="1044"/>
      <c r="S28" s="1044"/>
      <c r="T28" s="1044"/>
      <c r="U28" s="1044"/>
      <c r="V28" s="1044"/>
      <c r="W28" s="1044"/>
      <c r="X28" s="1045"/>
      <c r="Y28" s="1045"/>
      <c r="Z28" s="1045"/>
      <c r="AA28" s="1045"/>
      <c r="AB28" s="1045"/>
      <c r="AC28" s="1045"/>
      <c r="AD28" s="961"/>
      <c r="AE28" s="962"/>
      <c r="AF28" s="962"/>
      <c r="AG28" s="962"/>
      <c r="AH28" s="962"/>
      <c r="AI28" s="963"/>
      <c r="AJ28" s="949"/>
      <c r="AK28" s="950"/>
      <c r="AL28" s="951"/>
      <c r="AM28" s="949"/>
      <c r="AN28" s="950"/>
      <c r="AO28" s="951"/>
      <c r="AP28" s="955"/>
      <c r="AQ28" s="956"/>
      <c r="AR28" s="957"/>
      <c r="AS28" s="955"/>
      <c r="AT28" s="956"/>
      <c r="AU28" s="957"/>
      <c r="AV28" s="968"/>
      <c r="AW28" s="969"/>
      <c r="AX28" s="970"/>
      <c r="AY28" s="968"/>
      <c r="AZ28" s="969"/>
      <c r="BA28" s="970"/>
      <c r="BB28" s="945"/>
      <c r="BC28" s="946"/>
      <c r="BD28" s="945"/>
      <c r="BE28" s="946"/>
      <c r="BF28" s="929" t="str">
        <f t="shared" ref="BF28" si="109">IF(CB28="OK",ROUND(BB28+BD28,2),"")</f>
        <v/>
      </c>
      <c r="BG28" s="930"/>
      <c r="BH28" s="971" t="str">
        <f t="shared" ref="BH28" si="110">IFERROR(IF(AND($CB28="OK",$CU28="OK"),$CI28,IF($CB28&lt;&gt;"OK",$CB28,$CU28)),"")</f>
        <v/>
      </c>
      <c r="BI28" s="972"/>
      <c r="BJ28" s="973"/>
      <c r="BK28" s="933" t="str">
        <f t="shared" ref="BK28" si="111">IF($CB28="OK",CM28,"")</f>
        <v/>
      </c>
      <c r="BL28" s="934"/>
      <c r="BM28" s="935"/>
      <c r="BN28" s="939" t="str">
        <f t="shared" ref="BN28" si="112">IF($CB28="OK",$CR28,"")</f>
        <v/>
      </c>
      <c r="BO28" s="940"/>
      <c r="BP28" s="941"/>
      <c r="BQ28"/>
      <c r="BR28"/>
      <c r="BS28" s="967"/>
      <c r="BT28" s="967"/>
      <c r="BV28" s="926" t="str">
        <f t="shared" ref="BV28" si="113">IFERROR(ROUND(IF(AND(CB28="OK",CU28="OK"),CT28,""),0),"")</f>
        <v/>
      </c>
      <c r="BW28" s="926" t="str">
        <f t="shared" ref="BW28" si="114">IFERROR(ROUND(IF(AND(CB28="OK",CU28="OK"),BV28/3,""),0),"")</f>
        <v/>
      </c>
      <c r="BX28" s="926"/>
      <c r="BY28" s="927"/>
      <c r="BZ28" s="928"/>
      <c r="CB28" s="986" t="str">
        <f>IF(AND(C28="",F28="",R28="",AD28="",U28="",X28="",L28="",AJ28="",AV28="",AM28="",AP28="",AY28="",AV29="",BB28="",BD28="",AA28="",AS28=""),"",
IF(OR(C28="",F28="",R28="",AD28="",U28="",X28="",L28="",AJ28="",AV28="",AM28="",AP28="",AY28="",AV29="",BB28="",BD28="",AA28="",AS28=""),"Missing Fields",
IF(AND(M02S04F04disp="Required",M02S04F04=""),"TA Info Incomplete",
"OK")))</f>
        <v/>
      </c>
      <c r="CC28" s="925" t="str">
        <f>IF(AND($CB28="OK",$CU28="OK"),INDEX(Tbl_Cust_HVAC[Measure Number], MATCH(F28,Tbl_Cust_HVAC[Proj Desc 1],0)),"")</f>
        <v/>
      </c>
      <c r="CD28" s="925"/>
      <c r="CE28" s="925" t="str">
        <f t="shared" ref="CE28" si="115">IF(CB28="OK","Measure","")</f>
        <v/>
      </c>
      <c r="CF28" s="925" t="str">
        <f t="shared" ref="CF28" si="116">IF(CB28="OK",1,"")</f>
        <v/>
      </c>
      <c r="CG28" s="978" t="str">
        <f t="shared" ref="CG28" si="117">IFERROR(CI28/CF28,"")</f>
        <v/>
      </c>
      <c r="CH28" s="978" t="str">
        <f>IF(CB28="OK",IF(CM28&gt;0,CM28*Incent_Rate_kWh,0)+IF(CO28&gt;0,CO28*Incent_Rate_thm,0),"")</f>
        <v/>
      </c>
      <c r="CI28" s="978" t="str">
        <f>IFERROR(IF($CB28="OK",IF(INCENTTOCOST_CUST&gt;CostCap_Cust,
CH28*CostCap_Cust/INCENTTOCOST_CUST,CH28),""),"")</f>
        <v/>
      </c>
      <c r="CJ28" s="977">
        <f t="shared" ref="CJ28" si="118">CM28</f>
        <v>0</v>
      </c>
      <c r="CK28" s="977">
        <f t="shared" ref="CK28" si="119">CN28</f>
        <v>0</v>
      </c>
      <c r="CL28" s="977">
        <f t="shared" ref="CL28" si="120">CO28</f>
        <v>0</v>
      </c>
      <c r="CM28" s="977">
        <f>R28-AJ28</f>
        <v>0</v>
      </c>
      <c r="CN28" s="977">
        <f>U28-AM28</f>
        <v>0</v>
      </c>
      <c r="CO28" s="977">
        <f t="shared" ref="CO28" si="121">IF(CR28&gt;0,CR28,0)</f>
        <v>0</v>
      </c>
      <c r="CP28" s="977">
        <f t="shared" ref="CP28" si="122">CM28</f>
        <v>0</v>
      </c>
      <c r="CQ28" s="977">
        <f t="shared" ref="CQ28" si="123">CN28</f>
        <v>0</v>
      </c>
      <c r="CR28" s="977">
        <f>X28-AP28</f>
        <v>0</v>
      </c>
      <c r="CS28" s="983"/>
      <c r="CT28" s="982" t="str">
        <f>IF(CB28="OK",INDEX(Tbl_Cust_HVAC[EUL], MATCH(F28,Tbl_Cust_HVAC[Proj Desc 1],0)),"")</f>
        <v/>
      </c>
      <c r="CU28" s="979" t="str">
        <f t="shared" ref="CU28" si="124">IFERROR(IF(AND($CM28&lt;=0,$CN28&lt;=0,$CO28&lt;=0),"No Savings","OK"),"")</f>
        <v>No Savings</v>
      </c>
      <c r="CV28" s="925" t="str">
        <f t="shared" ref="CV28" si="125">IF(AND(CB28="OK",CU28="OK"),"1","")</f>
        <v/>
      </c>
      <c r="CW28" s="925" t="str">
        <f>IFERROR(IF($CB28="OK",ROUND($AQ$14*SUM(BB28:BE29)/SUM($BB$18:$BE$37),2),""),"")</f>
        <v/>
      </c>
      <c r="CX28" s="925" t="str">
        <f>IFERROR(IF(M02S04F04="Customer/Self-Installed",CW28,IF($CB28="OK",CW28+BD28,"")),"")</f>
        <v/>
      </c>
      <c r="CY28" s="925" t="str">
        <f>IFERROR(IF($CB28="OK",CX28+BB28,""),"")</f>
        <v/>
      </c>
      <c r="CZ28" s="925" t="str">
        <f>IF(CB28="OK",INDEX(MEASURES3_M!$O$16:$O$20, MATCH(F28,MEASURES3_M!$C$16:$C$20,0)),"")</f>
        <v/>
      </c>
      <c r="DA28" s="925" t="str">
        <f>IF(CB28="OK",INDEX(MEASURES3_M!$P$16:$P$20, MATCH(F28,MEASURES3_M!$C$16:$C$20,0)),"")</f>
        <v/>
      </c>
      <c r="DD28" s="980" t="str">
        <f>IFERROR(IF(CB28&lt;&gt;"OK","",CM28*VLOOKUP('DATA TABLES_Project'!$C$247,'DATA TABLES_Project'!$A$250:$B$285,2,FALSE)),"")</f>
        <v/>
      </c>
      <c r="DE28" s="925" t="str">
        <f t="shared" ref="DE28" si="126">IFERROR(IF(CB28&lt;&gt;"OK","",CM28*CZ28*0.92),"")</f>
        <v/>
      </c>
      <c r="DF28" s="980" t="str">
        <f>IFERROR(IF(CB28&lt;&gt;"OK","",CM28*CZ28*0.92*VLOOKUP('DATA TABLES_Project'!$C$247,'DATA TABLES_Project'!$A$250:$B$285,2,FALSE)),"")</f>
        <v/>
      </c>
      <c r="DG28" s="925" t="str">
        <f t="shared" ref="DG28" si="127">IFERROR(IF(CB28&lt;&gt;"OK","",CM28*BV28),IF(BX28="Dual",(CM28*BW28)+((BY28-AJ28)*(BV28-BW28)),""))</f>
        <v/>
      </c>
      <c r="DH28" s="925" t="str">
        <f ca="1">IFERROR(IF(CB28&lt;&gt;"OK","",IF(OR(BX28="Single",BX28=""), CM28*BV28*AVERAGE(INDEX('DATA TABLES_Project'!$B$250:$B$285, MATCH('DATA TABLES_Project'!$C$247,'DATA TABLES_Project'!$A$250:$A$285, 0)):OFFSET(INDEX('DATA TABLES_Project'!$B$250:$B$285, MATCH('DATA TABLES_Project'!$C$247,'DATA TABLES_Project'!$A$250:$A$285, 0)),BV28-1,0)),CM28*BW28*AVERAGE(INDEX('DATA TABLES_Project'!$B$250:$B$285, MATCH('DATA TABLES_Project'!$C$247,'DATA TABLES_Project'!$A$250:$A$285, 0)):OFFSET(INDEX('DATA TABLES_Project'!$B$250:$B$285, MATCH('DATA TABLES_Project'!$C$247,'DATA TABLES_Project'!$A$250:$A$285, 0)),BW28-1,0)) + ((BY28-AJ28)*(BV28-BW28)*AVERAGE(OFFSET(INDEX('DATA TABLES_Project'!$B$250:$B$285, MATCH('DATA TABLES_Project'!$C$247,'DATA TABLES_Project'!$A$250:$A$285, 0)),BW28,0):OFFSET(INDEX('DATA TABLES_Project'!$B$250:$B$285, MATCH('DATA TABLES_Project'!$C$247,'DATA TABLES_Project'!$A$250:$A$285, 0)),BV28-1,0))))), "")</f>
        <v/>
      </c>
      <c r="DI28" s="925" t="str">
        <f t="shared" ref="DI28" si="128">IFERROR(IF(CB28&lt;&gt;"OK","",IF(BX28="Dual",(CM28*BW28)+((BY28-AJ28)*(BV28-BW28))*CZ28*0.92,CM28*CZ28*BV28*0.92)),"")</f>
        <v/>
      </c>
      <c r="DJ28" s="925" t="str">
        <f ca="1">IFERROR(IF(CB28&lt;&gt;"OK","",IF(OR(BX28="Single",BX28=""),0.92*CZ28*CM28*BV28*AVERAGE(INDEX('DATA TABLES_Project'!$B$250:$B$285, MATCH('DATA TABLES_Project'!$C$247,'DATA TABLES_Project'!$A$250:$A$285, 0)):OFFSET(INDEX('DATA TABLES_Project'!$B$250:$B$285, MATCH('DATA TABLES_Project'!$C$247,'DATA TABLES_Project'!$A$250:$A$285, 0)),BV28-1,0)),0.92*CZ28*CM28*BW28*AVERAGE(INDEX('DATA TABLES_Project'!$B$250:$B$285, MATCH('DATA TABLES_Project'!$C$247,'DATA TABLES_Project'!$A$250:$A$285, 0)):OFFSET(INDEX('DATA TABLES_Project'!$B$250:$B$285, MATCH('DATA TABLES_Project'!$C$247,'DATA TABLES_Project'!$A$250:$A$285, 0)),BW28-1,0)) + (0.92*CZ28*(BY28-AJ28)*(BV28-BW28)*AVERAGE(OFFSET(INDEX('DATA TABLES_Project'!$B$250:$B$285, MATCH('DATA TABLES_Project'!$C$247,'DATA TABLES_Project'!$A$250:$A$285, 0)),BW28,0):OFFSET(INDEX('DATA TABLES_Project'!$B$250:$B$285, MATCH('DATA TABLES_Project'!$C$247,'DATA TABLES_Project'!$A$250:$A$285, 0)),BV28-1,0))))), "")</f>
        <v/>
      </c>
      <c r="DK28" s="925" t="str">
        <f>IFERROR(IF(CB28&lt;&gt;"OK","",CO28*'DATA TABLES_Project'!$C$250),"")</f>
        <v/>
      </c>
      <c r="DL28" s="925" t="str">
        <f t="shared" ref="DL28" si="129">IFERROR(IF(CB28&lt;&gt;"OK","",CO28*DA28*0.92),"")</f>
        <v/>
      </c>
      <c r="DM28" s="925" t="str">
        <f>IFERROR(IF(CB28&lt;&gt;"OK","",CO28*'DATA TABLES_Project'!$C$250*DA28*0.92),"")</f>
        <v/>
      </c>
      <c r="DN28" s="925" t="str">
        <f t="shared" ref="DN28" si="130">IFERROR(IF(CB28&lt;&gt;"OK","",CO28*BV28),IF(BX28="Dual",(CO28*BW28)+((BZ28-AP28)*(BV28-BW28)),""))</f>
        <v/>
      </c>
      <c r="DO28" s="925" t="str">
        <f ca="1">IFERROR(IF(CB28&lt;&gt;"OK","",CO28*BV28*AVERAGE('DATA TABLES_Project'!$C$250:OFFSET('DATA TABLES_Project'!$C$250,BV28,0))),IF(BX28="Dual",(CO28*BW28*AVERAGE('DATA TABLES_Project'!$C$251:$C$259))+((BZ28-AP28)*(BV28-BW28)*AVERAGE('DATA TABLES_Project'!$C$260:$C$279)),""))</f>
        <v/>
      </c>
      <c r="DP28" s="925" t="str">
        <f t="shared" ref="DP28" si="131">IFERROR(IF(CB28&lt;&gt;"OK","",IF(BX28="Dual",((CO28*BW28)+(BZ28-AP28)*(BV28-BW28))*DA28*0.92,CO28*BV28*DA28*0.92)),"")</f>
        <v/>
      </c>
      <c r="DQ28" s="925" t="str">
        <f ca="1">IFERROR(IF(CB28&lt;&gt;"OK","",IF(BX28="Dual",(0.92*DA28*CO28*BW28*AVERAGE('DATA TABLES_Project'!$C$251:$C$259))+(0.92*DA28*(BZ28-AP28)*(BV28-BW28)*AVERAGE('DATA TABLES_Project'!$C$260:$C$279)),0.92*DA28*CO28*BV28*AVERAGE('DATA TABLES_Project'!$C$250:OFFSET('DATA TABLES_Project'!$C$250,BV28,0)))),"")</f>
        <v/>
      </c>
      <c r="DR28" s="980" t="str">
        <f>IFERROR(IF($CB28&lt;&gt;"OK","",CM28*'DATA TABLES_Project'!$B$290+IF(CO28&lt;0,0,CO28*'DATA TABLES_Project'!$B$291)),"")</f>
        <v/>
      </c>
      <c r="DS28" s="980" t="str">
        <f>IFERROR(IF($CB28&lt;&gt;"OK","",DD28*'DATA TABLES_Project'!$B$290+IF(DK28&lt;0,0,DK28*'DATA TABLES_Project'!$B$291)),"")</f>
        <v/>
      </c>
      <c r="DT28" s="980" t="str">
        <f>IFERROR(IF($CB28&lt;&gt;"OK","",DE28*'DATA TABLES_Project'!$B$290+IF(DL28&lt;0,0,DL28*'DATA TABLES_Project'!$B$291)),"")</f>
        <v/>
      </c>
      <c r="DU28" s="980" t="str">
        <f>IFERROR(IF($CB28&lt;&gt;"OK","",DF28*'DATA TABLES_Project'!$B$290+IF(DM28&lt;0,0,DM28*'DATA TABLES_Project'!$B$291)),"")</f>
        <v/>
      </c>
      <c r="DV28" s="980" t="str">
        <f>IFERROR(IF($CB28&lt;&gt;"OK","",DG28*'DATA TABLES_Project'!$B$290+IF(DN28&lt;0,0,DN28*'DATA TABLES_Project'!$B$291)),"")</f>
        <v/>
      </c>
      <c r="DW28" s="980" t="str">
        <f>IFERROR(IF($CB28&lt;&gt;"OK","",DH28*'DATA TABLES_Project'!$B$290+IF(DO28&lt;0,0,DO28*'DATA TABLES_Project'!$B$291)),"")</f>
        <v/>
      </c>
      <c r="DX28" s="980" t="str">
        <f>IFERROR(IF($CB28&lt;&gt;"OK","",DI28*'DATA TABLES_Project'!$B$290+IF(DP28&lt;0,0,DP28*'DATA TABLES_Project'!$B$291)),"")</f>
        <v/>
      </c>
      <c r="DY28" s="925" t="str">
        <f>IFERROR(IF($CB28&lt;&gt;"OK","",DJ28*'DATA TABLES_Project'!$B$290+IF(DQ28&lt;0,0,DQ28*'DATA TABLES_Project'!$B$291)),"")</f>
        <v/>
      </c>
      <c r="DZ28" s="925" t="str">
        <f t="shared" ref="DZ28" si="132">IFERROR(IF($CB28&lt;&gt;"OK","",AS28),"")</f>
        <v/>
      </c>
      <c r="EA28" s="925" t="str">
        <f>IFERROR(IF(CB28&lt;&gt;"OK","",CN28*'DATA TABLES_Project'!$B$250*CZ28*1.03),"")</f>
        <v/>
      </c>
      <c r="EB28" s="925" t="str">
        <f t="shared" ref="EB28" si="133">IFERROR(IF(CB28&lt;&gt;"OK","",CN28*CZ28*1.03),"")</f>
        <v/>
      </c>
      <c r="EC28" s="925" t="str">
        <f>IFERROR(IF(CB28&lt;&gt;"OK","",CZ28*DZ28*'DATA TABLES_Project'!$C$250*0.92),"")</f>
        <v/>
      </c>
      <c r="ED28" s="925" t="str">
        <f>IFERROR(IF(CB28&lt;&gt;"OK","",CZ28*DZ28*'DATA TABLES_Project'!$C$250*0.92),"")</f>
        <v/>
      </c>
      <c r="EE28" s="925" t="str">
        <f t="shared" ref="EE28" si="134">IFERROR(IF(CB28&lt;&gt;"OK","",CZ28*DZ28*0.92),"")</f>
        <v/>
      </c>
      <c r="EF28" s="925" t="str">
        <f t="shared" ref="EF28" si="135">IFERROR(IF(CB28&lt;&gt;"OK","",CZ28*DZ28*0.92),"")</f>
        <v/>
      </c>
      <c r="EG28" s="925" t="str">
        <f>IFERROR(IF($CB28&lt;&gt;"OK","",CM28*'DATA TABLES_Project'!$B$290+CO28*'DATA TABLES_Project'!$B$291),"")</f>
        <v/>
      </c>
      <c r="EH28" s="925" t="str">
        <f>IFERROR(IF($CB28&lt;&gt;"OK","",DD28*'DATA TABLES_Project'!$B$290+DK28*'DATA TABLES_Project'!$B$291),"")</f>
        <v/>
      </c>
      <c r="EI28" s="925" t="str">
        <f>IFERROR(IF($CB28&lt;&gt;"OK","",DE28*'DATA TABLES_Project'!$B$290+DL28*'DATA TABLES_Project'!$B$291),"")</f>
        <v/>
      </c>
      <c r="EJ28" s="925" t="str">
        <f>IFERROR(IF($CB28&lt;&gt;"OK","",DF28*'DATA TABLES_Project'!$B$290+DM28*'DATA TABLES_Project'!$B$291),"")</f>
        <v/>
      </c>
      <c r="EK28" s="925" t="str">
        <f>IFERROR(IF($CB28&lt;&gt;"OK","",DG28*'DATA TABLES_Project'!$B$290+DN28*'DATA TABLES_Project'!$B$291),"")</f>
        <v/>
      </c>
      <c r="EL28" s="925" t="str">
        <f>IFERROR(IF($CB28&lt;&gt;"OK","",DH28*'DATA TABLES_Project'!$B$290+DO28*'DATA TABLES_Project'!$B$291),"")</f>
        <v/>
      </c>
      <c r="EM28" s="925" t="str">
        <f>IFERROR(IF($CB28&lt;&gt;"OK","",DI28*'DATA TABLES_Project'!$B$290+DP28*'DATA TABLES_Project'!$B$291),"")</f>
        <v/>
      </c>
      <c r="EN28" s="925" t="str">
        <f>IFERROR(IF($CB28&lt;&gt;"OK","",DJ28*'DATA TABLES_Project'!$B$290+DQ28*'DATA TABLES_Project'!$B$291),"")</f>
        <v/>
      </c>
    </row>
    <row r="29" spans="1:144" ht="16.350000000000001" customHeight="1">
      <c r="A29" s="462"/>
      <c r="B29" s="994"/>
      <c r="C29" s="998"/>
      <c r="D29" s="999"/>
      <c r="E29" s="1000"/>
      <c r="F29" s="964"/>
      <c r="G29" s="965"/>
      <c r="H29" s="965"/>
      <c r="I29" s="965"/>
      <c r="J29" s="965"/>
      <c r="K29" s="966"/>
      <c r="L29" s="964"/>
      <c r="M29" s="965"/>
      <c r="N29" s="965"/>
      <c r="O29" s="965"/>
      <c r="P29" s="965"/>
      <c r="Q29" s="966"/>
      <c r="R29" s="1044"/>
      <c r="S29" s="1044"/>
      <c r="T29" s="1044"/>
      <c r="U29" s="1044"/>
      <c r="V29" s="1044"/>
      <c r="W29" s="1044"/>
      <c r="X29" s="1045"/>
      <c r="Y29" s="1045"/>
      <c r="Z29" s="1045"/>
      <c r="AA29" s="1045"/>
      <c r="AB29" s="1045"/>
      <c r="AC29" s="1045"/>
      <c r="AD29" s="964"/>
      <c r="AE29" s="965"/>
      <c r="AF29" s="965"/>
      <c r="AG29" s="965"/>
      <c r="AH29" s="965"/>
      <c r="AI29" s="966"/>
      <c r="AJ29" s="952"/>
      <c r="AK29" s="953"/>
      <c r="AL29" s="954"/>
      <c r="AM29" s="952"/>
      <c r="AN29" s="953"/>
      <c r="AO29" s="954"/>
      <c r="AP29" s="958"/>
      <c r="AQ29" s="959"/>
      <c r="AR29" s="960"/>
      <c r="AS29" s="958"/>
      <c r="AT29" s="959"/>
      <c r="AU29" s="960"/>
      <c r="AV29" s="968"/>
      <c r="AW29" s="969"/>
      <c r="AX29" s="969"/>
      <c r="AY29" s="969"/>
      <c r="AZ29" s="969"/>
      <c r="BA29" s="970"/>
      <c r="BB29" s="947"/>
      <c r="BC29" s="948"/>
      <c r="BD29" s="947"/>
      <c r="BE29" s="948"/>
      <c r="BF29" s="931"/>
      <c r="BG29" s="932"/>
      <c r="BH29" s="974"/>
      <c r="BI29" s="975"/>
      <c r="BJ29" s="976"/>
      <c r="BK29" s="936"/>
      <c r="BL29" s="937"/>
      <c r="BM29" s="938"/>
      <c r="BN29" s="942"/>
      <c r="BO29" s="943"/>
      <c r="BP29" s="944"/>
      <c r="BQ29"/>
      <c r="BR29"/>
      <c r="BS29" s="967"/>
      <c r="BT29" s="967"/>
      <c r="BV29" s="926"/>
      <c r="BW29" s="926"/>
      <c r="BX29" s="926"/>
      <c r="BY29" s="927"/>
      <c r="BZ29" s="928"/>
      <c r="CB29" s="986"/>
      <c r="CC29" s="925"/>
      <c r="CD29" s="925"/>
      <c r="CE29" s="925"/>
      <c r="CF29" s="925"/>
      <c r="CG29" s="925"/>
      <c r="CH29" s="925"/>
      <c r="CI29" s="925"/>
      <c r="CJ29" s="977"/>
      <c r="CK29" s="977"/>
      <c r="CL29" s="977"/>
      <c r="CM29" s="977"/>
      <c r="CN29" s="977"/>
      <c r="CO29" s="977"/>
      <c r="CP29" s="977"/>
      <c r="CQ29" s="977"/>
      <c r="CR29" s="977"/>
      <c r="CS29" s="983"/>
      <c r="CT29" s="982"/>
      <c r="CU29" s="979"/>
      <c r="CV29" s="925"/>
      <c r="CW29" s="925"/>
      <c r="CX29" s="925"/>
      <c r="CY29" s="925"/>
      <c r="CZ29" s="925"/>
      <c r="DA29" s="925"/>
      <c r="DD29" s="981"/>
      <c r="DE29" s="925"/>
      <c r="DF29" s="981"/>
      <c r="DG29" s="925"/>
      <c r="DH29" s="925"/>
      <c r="DI29" s="925"/>
      <c r="DJ29" s="925"/>
      <c r="DK29" s="925"/>
      <c r="DL29" s="925"/>
      <c r="DM29" s="925"/>
      <c r="DN29" s="925"/>
      <c r="DO29" s="925"/>
      <c r="DP29" s="925"/>
      <c r="DQ29" s="925"/>
      <c r="DR29" s="981"/>
      <c r="DS29" s="981"/>
      <c r="DT29" s="981"/>
      <c r="DU29" s="981"/>
      <c r="DV29" s="981"/>
      <c r="DW29" s="981"/>
      <c r="DX29" s="981"/>
      <c r="DY29" s="925"/>
      <c r="DZ29" s="925"/>
      <c r="EA29" s="925"/>
      <c r="EB29" s="925"/>
      <c r="EC29" s="925"/>
      <c r="ED29" s="925"/>
      <c r="EE29" s="925"/>
      <c r="EF29" s="925"/>
      <c r="EG29" s="925"/>
      <c r="EH29" s="925"/>
      <c r="EI29" s="925"/>
      <c r="EJ29" s="925"/>
      <c r="EK29" s="925"/>
      <c r="EL29" s="925"/>
      <c r="EM29" s="925"/>
      <c r="EN29" s="925"/>
    </row>
    <row r="30" spans="1:144" ht="16.350000000000001" customHeight="1">
      <c r="A30" s="462"/>
      <c r="B30" s="994">
        <v>7</v>
      </c>
      <c r="C30" s="995"/>
      <c r="D30" s="996"/>
      <c r="E30" s="997"/>
      <c r="F30" s="961"/>
      <c r="G30" s="962"/>
      <c r="H30" s="962"/>
      <c r="I30" s="962"/>
      <c r="J30" s="962"/>
      <c r="K30" s="963"/>
      <c r="L30" s="961"/>
      <c r="M30" s="962"/>
      <c r="N30" s="962"/>
      <c r="O30" s="962"/>
      <c r="P30" s="962"/>
      <c r="Q30" s="963"/>
      <c r="R30" s="1044"/>
      <c r="S30" s="1044"/>
      <c r="T30" s="1044"/>
      <c r="U30" s="1044"/>
      <c r="V30" s="1044"/>
      <c r="W30" s="1044"/>
      <c r="X30" s="1045"/>
      <c r="Y30" s="1045"/>
      <c r="Z30" s="1045"/>
      <c r="AA30" s="1045"/>
      <c r="AB30" s="1045"/>
      <c r="AC30" s="1045"/>
      <c r="AD30" s="961"/>
      <c r="AE30" s="962"/>
      <c r="AF30" s="962"/>
      <c r="AG30" s="962"/>
      <c r="AH30" s="962"/>
      <c r="AI30" s="963"/>
      <c r="AJ30" s="949"/>
      <c r="AK30" s="950"/>
      <c r="AL30" s="951"/>
      <c r="AM30" s="949"/>
      <c r="AN30" s="950"/>
      <c r="AO30" s="951"/>
      <c r="AP30" s="955"/>
      <c r="AQ30" s="956"/>
      <c r="AR30" s="957"/>
      <c r="AS30" s="955"/>
      <c r="AT30" s="956"/>
      <c r="AU30" s="957"/>
      <c r="AV30" s="968"/>
      <c r="AW30" s="969"/>
      <c r="AX30" s="970"/>
      <c r="AY30" s="968"/>
      <c r="AZ30" s="969"/>
      <c r="BA30" s="970"/>
      <c r="BB30" s="945"/>
      <c r="BC30" s="946"/>
      <c r="BD30" s="945"/>
      <c r="BE30" s="946"/>
      <c r="BF30" s="929" t="str">
        <f t="shared" ref="BF30" si="136">IF(CB30="OK",ROUND(BB30+BD30,2),"")</f>
        <v/>
      </c>
      <c r="BG30" s="930"/>
      <c r="BH30" s="971" t="str">
        <f t="shared" ref="BH30" si="137">IFERROR(IF(AND($CB30="OK",$CU30="OK"),$CI30,IF($CB30&lt;&gt;"OK",$CB30,$CU30)),"")</f>
        <v/>
      </c>
      <c r="BI30" s="972"/>
      <c r="BJ30" s="973"/>
      <c r="BK30" s="933" t="str">
        <f t="shared" ref="BK30" si="138">IF($CB30="OK",CM30,"")</f>
        <v/>
      </c>
      <c r="BL30" s="934"/>
      <c r="BM30" s="935"/>
      <c r="BN30" s="939" t="str">
        <f t="shared" ref="BN30" si="139">IF($CB30="OK",$CR30,"")</f>
        <v/>
      </c>
      <c r="BO30" s="940"/>
      <c r="BP30" s="941"/>
      <c r="BQ30"/>
      <c r="BR30"/>
      <c r="BS30" s="967"/>
      <c r="BT30" s="967"/>
      <c r="BV30" s="926" t="str">
        <f t="shared" ref="BV30" si="140">IFERROR(ROUND(IF(AND(CB30="OK",CU30="OK"),CT30,""),0),"")</f>
        <v/>
      </c>
      <c r="BW30" s="926" t="str">
        <f t="shared" ref="BW30" si="141">IFERROR(ROUND(IF(AND(CB30="OK",CU30="OK"),BV30/3,""),0),"")</f>
        <v/>
      </c>
      <c r="BX30" s="926"/>
      <c r="BY30" s="927"/>
      <c r="BZ30" s="928"/>
      <c r="CB30" s="986" t="str">
        <f>IF(AND(C30="",F30="",R30="",AD30="",U30="",X30="",L30="",AJ30="",AV30="",AM30="",AP30="",AY30="",AV31="",BB30="",BD30="",AA30="",AS30=""),"",
IF(OR(C30="",F30="",R30="",AD30="",U30="",X30="",L30="",AJ30="",AV30="",AM30="",AP30="",AY30="",AV31="",BB30="",BD30="",AA30="",AS30=""),"Missing Fields",
IF(AND(M02S04F04disp="Required",M02S04F04=""),"TA Info Incomplete",
"OK")))</f>
        <v/>
      </c>
      <c r="CC30" s="925" t="str">
        <f>IF(AND($CB30="OK",$CU30="OK"),INDEX(Tbl_Cust_HVAC[Measure Number], MATCH(F30,Tbl_Cust_HVAC[Proj Desc 1],0)),"")</f>
        <v/>
      </c>
      <c r="CD30" s="925"/>
      <c r="CE30" s="925" t="str">
        <f t="shared" ref="CE30" si="142">IF(CB30="OK","Measure","")</f>
        <v/>
      </c>
      <c r="CF30" s="925" t="str">
        <f t="shared" ref="CF30" si="143">IF(CB30="OK",1,"")</f>
        <v/>
      </c>
      <c r="CG30" s="978" t="str">
        <f t="shared" ref="CG30" si="144">IFERROR(CI30/CF30,"")</f>
        <v/>
      </c>
      <c r="CH30" s="978" t="str">
        <f>IF(CB30="OK",IF(CM30&gt;0,CM30*Incent_Rate_kWh,0)+IF(CO30&gt;0,CO30*Incent_Rate_thm,0),"")</f>
        <v/>
      </c>
      <c r="CI30" s="978" t="str">
        <f>IFERROR(IF($CB30="OK",IF(INCENTTOCOST_CUST&gt;CostCap_Cust,
CH30*CostCap_Cust/INCENTTOCOST_CUST,CH30),""),"")</f>
        <v/>
      </c>
      <c r="CJ30" s="977">
        <f t="shared" ref="CJ30" si="145">CM30</f>
        <v>0</v>
      </c>
      <c r="CK30" s="977">
        <f t="shared" ref="CK30" si="146">CN30</f>
        <v>0</v>
      </c>
      <c r="CL30" s="977">
        <f t="shared" ref="CL30" si="147">CO30</f>
        <v>0</v>
      </c>
      <c r="CM30" s="977">
        <f>R30-AJ30</f>
        <v>0</v>
      </c>
      <c r="CN30" s="977">
        <f>U30-AM30</f>
        <v>0</v>
      </c>
      <c r="CO30" s="977">
        <f t="shared" ref="CO30" si="148">IF(CR30&gt;0,CR30,0)</f>
        <v>0</v>
      </c>
      <c r="CP30" s="977">
        <f t="shared" ref="CP30" si="149">CM30</f>
        <v>0</v>
      </c>
      <c r="CQ30" s="977">
        <f t="shared" ref="CQ30" si="150">CN30</f>
        <v>0</v>
      </c>
      <c r="CR30" s="977">
        <f>X30-AP30</f>
        <v>0</v>
      </c>
      <c r="CS30" s="983"/>
      <c r="CT30" s="982" t="str">
        <f>IF(CB30="OK",INDEX(Tbl_Cust_HVAC[EUL], MATCH(F30,Tbl_Cust_HVAC[Proj Desc 1],0)),"")</f>
        <v/>
      </c>
      <c r="CU30" s="979" t="str">
        <f t="shared" ref="CU30" si="151">IFERROR(IF(AND($CM30&lt;=0,$CN30&lt;=0,$CO30&lt;=0),"No Savings","OK"),"")</f>
        <v>No Savings</v>
      </c>
      <c r="CV30" s="925" t="str">
        <f t="shared" ref="CV30" si="152">IF(AND(CB30="OK",CU30="OK"),"1","")</f>
        <v/>
      </c>
      <c r="CW30" s="925" t="str">
        <f>IFERROR(IF($CB30="OK",ROUND($AQ$14*SUM(BB30:BE31)/SUM($BB$18:$BE$37),2),""),"")</f>
        <v/>
      </c>
      <c r="CX30" s="925" t="str">
        <f>IFERROR(IF(M02S04F04="Customer/Self-Installed",CW30,IF($CB30="OK",CW30+BD30,"")),"")</f>
        <v/>
      </c>
      <c r="CY30" s="925" t="str">
        <f>IFERROR(IF($CB30="OK",CX30+BB30,""),"")</f>
        <v/>
      </c>
      <c r="CZ30" s="925" t="str">
        <f>IF(CB30="OK",INDEX(MEASURES3_M!$O$16:$O$20, MATCH(F30,MEASURES3_M!$C$16:$C$20,0)),"")</f>
        <v/>
      </c>
      <c r="DA30" s="925" t="str">
        <f>IF(CB30="OK",INDEX(MEASURES3_M!$P$16:$P$20, MATCH(F30,MEASURES3_M!$C$16:$C$20,0)),"")</f>
        <v/>
      </c>
      <c r="DD30" s="980" t="str">
        <f>IFERROR(IF(CB30&lt;&gt;"OK","",CM30*VLOOKUP('DATA TABLES_Project'!$C$247,'DATA TABLES_Project'!$A$250:$B$285,2,FALSE)),"")</f>
        <v/>
      </c>
      <c r="DE30" s="925" t="str">
        <f t="shared" ref="DE30" si="153">IFERROR(IF(CB30&lt;&gt;"OK","",CM30*CZ30*0.92),"")</f>
        <v/>
      </c>
      <c r="DF30" s="980" t="str">
        <f>IFERROR(IF(CB30&lt;&gt;"OK","",CM30*CZ30*0.92*VLOOKUP('DATA TABLES_Project'!$C$247,'DATA TABLES_Project'!$A$250:$B$285,2,FALSE)),"")</f>
        <v/>
      </c>
      <c r="DG30" s="925" t="str">
        <f t="shared" ref="DG30" si="154">IFERROR(IF(CB30&lt;&gt;"OK","",CM30*BV30),IF(BX30="Dual",(CM30*BW30)+((BY30-AJ30)*(BV30-BW30)),""))</f>
        <v/>
      </c>
      <c r="DH30" s="925" t="str">
        <f ca="1">IFERROR(IF(CB30&lt;&gt;"OK","",IF(OR(BX30="Single",BX30=""), CM30*BV30*AVERAGE(INDEX('DATA TABLES_Project'!$B$250:$B$285, MATCH('DATA TABLES_Project'!$C$247,'DATA TABLES_Project'!$A$250:$A$285, 0)):OFFSET(INDEX('DATA TABLES_Project'!$B$250:$B$285, MATCH('DATA TABLES_Project'!$C$247,'DATA TABLES_Project'!$A$250:$A$285, 0)),BV30-1,0)),CM30*BW30*AVERAGE(INDEX('DATA TABLES_Project'!$B$250:$B$285, MATCH('DATA TABLES_Project'!$C$247,'DATA TABLES_Project'!$A$250:$A$285, 0)):OFFSET(INDEX('DATA TABLES_Project'!$B$250:$B$285, MATCH('DATA TABLES_Project'!$C$247,'DATA TABLES_Project'!$A$250:$A$285, 0)),BW30-1,0)) + ((BY30-AJ30)*(BV30-BW30)*AVERAGE(OFFSET(INDEX('DATA TABLES_Project'!$B$250:$B$285, MATCH('DATA TABLES_Project'!$C$247,'DATA TABLES_Project'!$A$250:$A$285, 0)),BW30,0):OFFSET(INDEX('DATA TABLES_Project'!$B$250:$B$285, MATCH('DATA TABLES_Project'!$C$247,'DATA TABLES_Project'!$A$250:$A$285, 0)),BV30-1,0))))), "")</f>
        <v/>
      </c>
      <c r="DI30" s="925" t="str">
        <f t="shared" ref="DI30" si="155">IFERROR(IF(CB30&lt;&gt;"OK","",IF(BX30="Dual",(CM30*BW30)+((BY30-AJ30)*(BV30-BW30))*CZ30*0.92,CM30*CZ30*BV30*0.92)),"")</f>
        <v/>
      </c>
      <c r="DJ30" s="925" t="str">
        <f ca="1">IFERROR(IF(CB30&lt;&gt;"OK","",IF(OR(BX30="Single",BX30=""),0.92*CZ30*CM30*BV30*AVERAGE(INDEX('DATA TABLES_Project'!$B$250:$B$285, MATCH('DATA TABLES_Project'!$C$247,'DATA TABLES_Project'!$A$250:$A$285, 0)):OFFSET(INDEX('DATA TABLES_Project'!$B$250:$B$285, MATCH('DATA TABLES_Project'!$C$247,'DATA TABLES_Project'!$A$250:$A$285, 0)),BV30-1,0)),0.92*CZ30*CM30*BW30*AVERAGE(INDEX('DATA TABLES_Project'!$B$250:$B$285, MATCH('DATA TABLES_Project'!$C$247,'DATA TABLES_Project'!$A$250:$A$285, 0)):OFFSET(INDEX('DATA TABLES_Project'!$B$250:$B$285, MATCH('DATA TABLES_Project'!$C$247,'DATA TABLES_Project'!$A$250:$A$285, 0)),BW30-1,0)) + (0.92*CZ30*(BY30-AJ30)*(BV30-BW30)*AVERAGE(OFFSET(INDEX('DATA TABLES_Project'!$B$250:$B$285, MATCH('DATA TABLES_Project'!$C$247,'DATA TABLES_Project'!$A$250:$A$285, 0)),BW30,0):OFFSET(INDEX('DATA TABLES_Project'!$B$250:$B$285, MATCH('DATA TABLES_Project'!$C$247,'DATA TABLES_Project'!$A$250:$A$285, 0)),BV30-1,0))))), "")</f>
        <v/>
      </c>
      <c r="DK30" s="925" t="str">
        <f>IFERROR(IF(CB30&lt;&gt;"OK","",CO30*'DATA TABLES_Project'!$C$250),"")</f>
        <v/>
      </c>
      <c r="DL30" s="925" t="str">
        <f t="shared" ref="DL30" si="156">IFERROR(IF(CB30&lt;&gt;"OK","",CO30*DA30*0.92),"")</f>
        <v/>
      </c>
      <c r="DM30" s="925" t="str">
        <f>IFERROR(IF(CB30&lt;&gt;"OK","",CO30*'DATA TABLES_Project'!$C$250*DA30*0.92),"")</f>
        <v/>
      </c>
      <c r="DN30" s="925" t="str">
        <f t="shared" ref="DN30" si="157">IFERROR(IF(CB30&lt;&gt;"OK","",CO30*BV30),IF(BX30="Dual",(CO30*BW30)+((BZ30-AP30)*(BV30-BW30)),""))</f>
        <v/>
      </c>
      <c r="DO30" s="925" t="str">
        <f ca="1">IFERROR(IF(CB30&lt;&gt;"OK","",CO30*BV30*AVERAGE('DATA TABLES_Project'!$C$250:OFFSET('DATA TABLES_Project'!$C$250,BV30,0))),IF(BX30="Dual",(CO30*BW30*AVERAGE('DATA TABLES_Project'!$C$251:$C$259))+((BZ30-AP30)*(BV30-BW30)*AVERAGE('DATA TABLES_Project'!$C$260:$C$279)),""))</f>
        <v/>
      </c>
      <c r="DP30" s="925" t="str">
        <f t="shared" ref="DP30" si="158">IFERROR(IF(CB30&lt;&gt;"OK","",IF(BX30="Dual",((CO30*BW30)+(BZ30-AP30)*(BV30-BW30))*DA30*0.92,CO30*BV30*DA30*0.92)),"")</f>
        <v/>
      </c>
      <c r="DQ30" s="925" t="str">
        <f ca="1">IFERROR(IF(CB30&lt;&gt;"OK","",IF(BX30="Dual",(0.92*DA30*CO30*BW30*AVERAGE('DATA TABLES_Project'!$C$251:$C$259))+(0.92*DA30*(BZ30-AP30)*(BV30-BW30)*AVERAGE('DATA TABLES_Project'!$C$260:$C$279)),0.92*DA30*CO30*BV30*AVERAGE('DATA TABLES_Project'!$C$250:OFFSET('DATA TABLES_Project'!$C$250,BV30,0)))),"")</f>
        <v/>
      </c>
      <c r="DR30" s="980" t="str">
        <f>IFERROR(IF($CB30&lt;&gt;"OK","",CM30*'DATA TABLES_Project'!$B$290+IF(CO30&lt;0,0,CO30*'DATA TABLES_Project'!$B$291)),"")</f>
        <v/>
      </c>
      <c r="DS30" s="980" t="str">
        <f>IFERROR(IF($CB30&lt;&gt;"OK","",DD30*'DATA TABLES_Project'!$B$290+IF(DK30&lt;0,0,DK30*'DATA TABLES_Project'!$B$291)),"")</f>
        <v/>
      </c>
      <c r="DT30" s="980" t="str">
        <f>IFERROR(IF($CB30&lt;&gt;"OK","",DE30*'DATA TABLES_Project'!$B$290+IF(DL30&lt;0,0,DL30*'DATA TABLES_Project'!$B$291)),"")</f>
        <v/>
      </c>
      <c r="DU30" s="980" t="str">
        <f>IFERROR(IF($CB30&lt;&gt;"OK","",DF30*'DATA TABLES_Project'!$B$290+IF(DM30&lt;0,0,DM30*'DATA TABLES_Project'!$B$291)),"")</f>
        <v/>
      </c>
      <c r="DV30" s="980" t="str">
        <f>IFERROR(IF($CB30&lt;&gt;"OK","",DG30*'DATA TABLES_Project'!$B$290+IF(DN30&lt;0,0,DN30*'DATA TABLES_Project'!$B$291)),"")</f>
        <v/>
      </c>
      <c r="DW30" s="980" t="str">
        <f>IFERROR(IF($CB30&lt;&gt;"OK","",DH30*'DATA TABLES_Project'!$B$290+IF(DO30&lt;0,0,DO30*'DATA TABLES_Project'!$B$291)),"")</f>
        <v/>
      </c>
      <c r="DX30" s="980" t="str">
        <f>IFERROR(IF($CB30&lt;&gt;"OK","",DI30*'DATA TABLES_Project'!$B$290+IF(DP30&lt;0,0,DP30*'DATA TABLES_Project'!$B$291)),"")</f>
        <v/>
      </c>
      <c r="DY30" s="925" t="str">
        <f>IFERROR(IF($CB30&lt;&gt;"OK","",DJ30*'DATA TABLES_Project'!$B$290+IF(DQ30&lt;0,0,DQ30*'DATA TABLES_Project'!$B$291)),"")</f>
        <v/>
      </c>
      <c r="DZ30" s="925" t="str">
        <f t="shared" ref="DZ30" si="159">IFERROR(IF($CB30&lt;&gt;"OK","",AS30),"")</f>
        <v/>
      </c>
      <c r="EA30" s="925" t="str">
        <f>IFERROR(IF(CB30&lt;&gt;"OK","",CN30*'DATA TABLES_Project'!$B$250*CZ30*1.03),"")</f>
        <v/>
      </c>
      <c r="EB30" s="925" t="str">
        <f t="shared" ref="EB30" si="160">IFERROR(IF(CB30&lt;&gt;"OK","",CN30*CZ30*1.03),"")</f>
        <v/>
      </c>
      <c r="EC30" s="925" t="str">
        <f>IFERROR(IF(CB30&lt;&gt;"OK","",CZ30*DZ30*'DATA TABLES_Project'!$C$250*0.92),"")</f>
        <v/>
      </c>
      <c r="ED30" s="925" t="str">
        <f>IFERROR(IF(CB30&lt;&gt;"OK","",CZ30*DZ30*'DATA TABLES_Project'!$C$250*0.92),"")</f>
        <v/>
      </c>
      <c r="EE30" s="925" t="str">
        <f t="shared" ref="EE30" si="161">IFERROR(IF(CB30&lt;&gt;"OK","",CZ30*DZ30*0.92),"")</f>
        <v/>
      </c>
      <c r="EF30" s="925" t="str">
        <f t="shared" ref="EF30" si="162">IFERROR(IF(CB30&lt;&gt;"OK","",CZ30*DZ30*0.92),"")</f>
        <v/>
      </c>
      <c r="EG30" s="925" t="str">
        <f>IFERROR(IF($CB30&lt;&gt;"OK","",CM30*'DATA TABLES_Project'!$B$290+CO30*'DATA TABLES_Project'!$B$291),"")</f>
        <v/>
      </c>
      <c r="EH30" s="925" t="str">
        <f>IFERROR(IF($CB30&lt;&gt;"OK","",DD30*'DATA TABLES_Project'!$B$290+DK30*'DATA TABLES_Project'!$B$291),"")</f>
        <v/>
      </c>
      <c r="EI30" s="925" t="str">
        <f>IFERROR(IF($CB30&lt;&gt;"OK","",DE30*'DATA TABLES_Project'!$B$290+DL30*'DATA TABLES_Project'!$B$291),"")</f>
        <v/>
      </c>
      <c r="EJ30" s="925" t="str">
        <f>IFERROR(IF($CB30&lt;&gt;"OK","",DF30*'DATA TABLES_Project'!$B$290+DM30*'DATA TABLES_Project'!$B$291),"")</f>
        <v/>
      </c>
      <c r="EK30" s="925" t="str">
        <f>IFERROR(IF($CB30&lt;&gt;"OK","",DG30*'DATA TABLES_Project'!$B$290+DN30*'DATA TABLES_Project'!$B$291),"")</f>
        <v/>
      </c>
      <c r="EL30" s="925" t="str">
        <f>IFERROR(IF($CB30&lt;&gt;"OK","",DH30*'DATA TABLES_Project'!$B$290+DO30*'DATA TABLES_Project'!$B$291),"")</f>
        <v/>
      </c>
      <c r="EM30" s="925" t="str">
        <f>IFERROR(IF($CB30&lt;&gt;"OK","",DI30*'DATA TABLES_Project'!$B$290+DP30*'DATA TABLES_Project'!$B$291),"")</f>
        <v/>
      </c>
      <c r="EN30" s="925" t="str">
        <f>IFERROR(IF($CB30&lt;&gt;"OK","",DJ30*'DATA TABLES_Project'!$B$290+DQ30*'DATA TABLES_Project'!$B$291),"")</f>
        <v/>
      </c>
    </row>
    <row r="31" spans="1:144" ht="16.350000000000001" customHeight="1">
      <c r="A31" s="462"/>
      <c r="B31" s="994"/>
      <c r="C31" s="998"/>
      <c r="D31" s="999"/>
      <c r="E31" s="1000"/>
      <c r="F31" s="964"/>
      <c r="G31" s="965"/>
      <c r="H31" s="965"/>
      <c r="I31" s="965"/>
      <c r="J31" s="965"/>
      <c r="K31" s="966"/>
      <c r="L31" s="964"/>
      <c r="M31" s="965"/>
      <c r="N31" s="965"/>
      <c r="O31" s="965"/>
      <c r="P31" s="965"/>
      <c r="Q31" s="966"/>
      <c r="R31" s="1044"/>
      <c r="S31" s="1044"/>
      <c r="T31" s="1044"/>
      <c r="U31" s="1044"/>
      <c r="V31" s="1044"/>
      <c r="W31" s="1044"/>
      <c r="X31" s="1045"/>
      <c r="Y31" s="1045"/>
      <c r="Z31" s="1045"/>
      <c r="AA31" s="1045"/>
      <c r="AB31" s="1045"/>
      <c r="AC31" s="1045"/>
      <c r="AD31" s="964"/>
      <c r="AE31" s="965"/>
      <c r="AF31" s="965"/>
      <c r="AG31" s="965"/>
      <c r="AH31" s="965"/>
      <c r="AI31" s="966"/>
      <c r="AJ31" s="952"/>
      <c r="AK31" s="953"/>
      <c r="AL31" s="954"/>
      <c r="AM31" s="952"/>
      <c r="AN31" s="953"/>
      <c r="AO31" s="954"/>
      <c r="AP31" s="958"/>
      <c r="AQ31" s="959"/>
      <c r="AR31" s="960"/>
      <c r="AS31" s="958"/>
      <c r="AT31" s="959"/>
      <c r="AU31" s="960"/>
      <c r="AV31" s="968"/>
      <c r="AW31" s="969"/>
      <c r="AX31" s="969"/>
      <c r="AY31" s="969"/>
      <c r="AZ31" s="969"/>
      <c r="BA31" s="970"/>
      <c r="BB31" s="947"/>
      <c r="BC31" s="948"/>
      <c r="BD31" s="947"/>
      <c r="BE31" s="948"/>
      <c r="BF31" s="931"/>
      <c r="BG31" s="932"/>
      <c r="BH31" s="974"/>
      <c r="BI31" s="975"/>
      <c r="BJ31" s="976"/>
      <c r="BK31" s="936"/>
      <c r="BL31" s="937"/>
      <c r="BM31" s="938"/>
      <c r="BN31" s="942"/>
      <c r="BO31" s="943"/>
      <c r="BP31" s="944"/>
      <c r="BQ31"/>
      <c r="BR31"/>
      <c r="BS31" s="967"/>
      <c r="BT31" s="967"/>
      <c r="BV31" s="926"/>
      <c r="BW31" s="926"/>
      <c r="BX31" s="926"/>
      <c r="BY31" s="927"/>
      <c r="BZ31" s="928"/>
      <c r="CB31" s="986"/>
      <c r="CC31" s="925"/>
      <c r="CD31" s="925"/>
      <c r="CE31" s="925"/>
      <c r="CF31" s="925"/>
      <c r="CG31" s="925"/>
      <c r="CH31" s="925"/>
      <c r="CI31" s="925"/>
      <c r="CJ31" s="977"/>
      <c r="CK31" s="977"/>
      <c r="CL31" s="977"/>
      <c r="CM31" s="977"/>
      <c r="CN31" s="977"/>
      <c r="CO31" s="977"/>
      <c r="CP31" s="977"/>
      <c r="CQ31" s="977"/>
      <c r="CR31" s="977"/>
      <c r="CS31" s="983"/>
      <c r="CT31" s="982"/>
      <c r="CU31" s="979"/>
      <c r="CV31" s="925"/>
      <c r="CW31" s="925"/>
      <c r="CX31" s="925"/>
      <c r="CY31" s="925"/>
      <c r="CZ31" s="925"/>
      <c r="DA31" s="925"/>
      <c r="DD31" s="981"/>
      <c r="DE31" s="925"/>
      <c r="DF31" s="981"/>
      <c r="DG31" s="925"/>
      <c r="DH31" s="925"/>
      <c r="DI31" s="925"/>
      <c r="DJ31" s="925"/>
      <c r="DK31" s="925"/>
      <c r="DL31" s="925"/>
      <c r="DM31" s="925"/>
      <c r="DN31" s="925"/>
      <c r="DO31" s="925"/>
      <c r="DP31" s="925"/>
      <c r="DQ31" s="925"/>
      <c r="DR31" s="981"/>
      <c r="DS31" s="981"/>
      <c r="DT31" s="981"/>
      <c r="DU31" s="981"/>
      <c r="DV31" s="981"/>
      <c r="DW31" s="981"/>
      <c r="DX31" s="981"/>
      <c r="DY31" s="925"/>
      <c r="DZ31" s="925"/>
      <c r="EA31" s="925"/>
      <c r="EB31" s="925"/>
      <c r="EC31" s="925"/>
      <c r="ED31" s="925"/>
      <c r="EE31" s="925"/>
      <c r="EF31" s="925"/>
      <c r="EG31" s="925"/>
      <c r="EH31" s="925"/>
      <c r="EI31" s="925"/>
      <c r="EJ31" s="925"/>
      <c r="EK31" s="925"/>
      <c r="EL31" s="925"/>
      <c r="EM31" s="925"/>
      <c r="EN31" s="925"/>
    </row>
    <row r="32" spans="1:144" ht="16.350000000000001" customHeight="1">
      <c r="A32" s="462"/>
      <c r="B32" s="994">
        <v>8</v>
      </c>
      <c r="C32" s="995"/>
      <c r="D32" s="996"/>
      <c r="E32" s="997"/>
      <c r="F32" s="961"/>
      <c r="G32" s="962"/>
      <c r="H32" s="962"/>
      <c r="I32" s="962"/>
      <c r="J32" s="962"/>
      <c r="K32" s="963"/>
      <c r="L32" s="961"/>
      <c r="M32" s="962"/>
      <c r="N32" s="962"/>
      <c r="O32" s="962"/>
      <c r="P32" s="962"/>
      <c r="Q32" s="963"/>
      <c r="R32" s="1044"/>
      <c r="S32" s="1044"/>
      <c r="T32" s="1044"/>
      <c r="U32" s="1044"/>
      <c r="V32" s="1044"/>
      <c r="W32" s="1044"/>
      <c r="X32" s="1045"/>
      <c r="Y32" s="1045"/>
      <c r="Z32" s="1045"/>
      <c r="AA32" s="1045"/>
      <c r="AB32" s="1045"/>
      <c r="AC32" s="1045"/>
      <c r="AD32" s="961"/>
      <c r="AE32" s="962"/>
      <c r="AF32" s="962"/>
      <c r="AG32" s="962"/>
      <c r="AH32" s="962"/>
      <c r="AI32" s="963"/>
      <c r="AJ32" s="949"/>
      <c r="AK32" s="950"/>
      <c r="AL32" s="951"/>
      <c r="AM32" s="949"/>
      <c r="AN32" s="950"/>
      <c r="AO32" s="951"/>
      <c r="AP32" s="955"/>
      <c r="AQ32" s="956"/>
      <c r="AR32" s="957"/>
      <c r="AS32" s="955"/>
      <c r="AT32" s="956"/>
      <c r="AU32" s="957"/>
      <c r="AV32" s="968"/>
      <c r="AW32" s="969"/>
      <c r="AX32" s="970"/>
      <c r="AY32" s="968"/>
      <c r="AZ32" s="969"/>
      <c r="BA32" s="970"/>
      <c r="BB32" s="945"/>
      <c r="BC32" s="946"/>
      <c r="BD32" s="945"/>
      <c r="BE32" s="946"/>
      <c r="BF32" s="929" t="str">
        <f t="shared" ref="BF32" si="163">IF(CB32="OK",ROUND(BB32+BD32,2),"")</f>
        <v/>
      </c>
      <c r="BG32" s="930"/>
      <c r="BH32" s="971" t="str">
        <f t="shared" ref="BH32" si="164">IFERROR(IF(AND($CB32="OK",$CU32="OK"),$CI32,IF($CB32&lt;&gt;"OK",$CB32,$CU32)),"")</f>
        <v/>
      </c>
      <c r="BI32" s="972"/>
      <c r="BJ32" s="973"/>
      <c r="BK32" s="933" t="str">
        <f t="shared" ref="BK32" si="165">IF($CB32="OK",CM32,"")</f>
        <v/>
      </c>
      <c r="BL32" s="934"/>
      <c r="BM32" s="935"/>
      <c r="BN32" s="939" t="str">
        <f t="shared" ref="BN32" si="166">IF($CB32="OK",$CR32,"")</f>
        <v/>
      </c>
      <c r="BO32" s="940"/>
      <c r="BP32" s="941"/>
      <c r="BQ32"/>
      <c r="BR32"/>
      <c r="BS32" s="967"/>
      <c r="BT32" s="967"/>
      <c r="BV32" s="926" t="str">
        <f t="shared" ref="BV32" si="167">IFERROR(ROUND(IF(AND(CB32="OK",CU32="OK"),CT32,""),0),"")</f>
        <v/>
      </c>
      <c r="BW32" s="926" t="str">
        <f t="shared" ref="BW32" si="168">IFERROR(ROUND(IF(AND(CB32="OK",CU32="OK"),BV32/3,""),0),"")</f>
        <v/>
      </c>
      <c r="BX32" s="926"/>
      <c r="BY32" s="927"/>
      <c r="BZ32" s="928"/>
      <c r="CB32" s="986" t="str">
        <f>IF(AND(C32="",F32="",R32="",AD32="",U32="",X32="",L32="",AJ32="",AV32="",AM32="",AP32="",AY32="",AV33="",BB32="",BD32="",AA32="",AS32=""),"",
IF(OR(C32="",F32="",R32="",AD32="",U32="",X32="",L32="",AJ32="",AV32="",AM32="",AP32="",AY32="",AV33="",BB32="",BD32="",AA32="",AS32=""),"Missing Fields",
IF(AND(M02S04F04disp="Required",M02S04F04=""),"TA Info Incomplete",
"OK")))</f>
        <v/>
      </c>
      <c r="CC32" s="925" t="str">
        <f>IF(AND($CB32="OK",$CU32="OK"),INDEX(Tbl_Cust_HVAC[Measure Number], MATCH(F32,Tbl_Cust_HVAC[Proj Desc 1],0)),"")</f>
        <v/>
      </c>
      <c r="CD32" s="925"/>
      <c r="CE32" s="925" t="str">
        <f t="shared" ref="CE32" si="169">IF(CB32="OK","Measure","")</f>
        <v/>
      </c>
      <c r="CF32" s="925" t="str">
        <f t="shared" ref="CF32" si="170">IF(CB32="OK",1,"")</f>
        <v/>
      </c>
      <c r="CG32" s="978" t="str">
        <f t="shared" ref="CG32" si="171">IFERROR(CI32/CF32,"")</f>
        <v/>
      </c>
      <c r="CH32" s="978" t="str">
        <f>IF(CB32="OK",IF(CM32&gt;0,CM32*Incent_Rate_kWh,0)+IF(CO32&gt;0,CO32*Incent_Rate_thm,0),"")</f>
        <v/>
      </c>
      <c r="CI32" s="978" t="str">
        <f>IFERROR(IF($CB32="OK",IF(INCENTTOCOST_CUST&gt;CostCap_Cust,
CH32*CostCap_Cust/INCENTTOCOST_CUST,CH32),""),"")</f>
        <v/>
      </c>
      <c r="CJ32" s="977">
        <f t="shared" ref="CJ32" si="172">CM32</f>
        <v>0</v>
      </c>
      <c r="CK32" s="977">
        <f t="shared" ref="CK32" si="173">CN32</f>
        <v>0</v>
      </c>
      <c r="CL32" s="977">
        <f t="shared" ref="CL32" si="174">CO32</f>
        <v>0</v>
      </c>
      <c r="CM32" s="977">
        <f>R32-AJ32</f>
        <v>0</v>
      </c>
      <c r="CN32" s="977">
        <f>U32-AM32</f>
        <v>0</v>
      </c>
      <c r="CO32" s="977">
        <f t="shared" ref="CO32" si="175">IF(CR32&gt;0,CR32,0)</f>
        <v>0</v>
      </c>
      <c r="CP32" s="977">
        <f t="shared" ref="CP32" si="176">CM32</f>
        <v>0</v>
      </c>
      <c r="CQ32" s="977">
        <f t="shared" ref="CQ32" si="177">CN32</f>
        <v>0</v>
      </c>
      <c r="CR32" s="977">
        <f>X32-AP32</f>
        <v>0</v>
      </c>
      <c r="CS32" s="983"/>
      <c r="CT32" s="982" t="str">
        <f>IF(CB32="OK",INDEX(Tbl_Cust_HVAC[EUL], MATCH(F32,Tbl_Cust_HVAC[Proj Desc 1],0)),"")</f>
        <v/>
      </c>
      <c r="CU32" s="979" t="str">
        <f t="shared" ref="CU32" si="178">IFERROR(IF(AND($CM32&lt;=0,$CN32&lt;=0,$CO32&lt;=0),"No Savings","OK"),"")</f>
        <v>No Savings</v>
      </c>
      <c r="CV32" s="925" t="str">
        <f t="shared" ref="CV32" si="179">IF(AND(CB32="OK",CU32="OK"),"1","")</f>
        <v/>
      </c>
      <c r="CW32" s="925" t="str">
        <f>IFERROR(IF($CB32="OK",ROUND($AQ$14*SUM(BB32:BE33)/SUM($BB$18:$BE$37),2),""),"")</f>
        <v/>
      </c>
      <c r="CX32" s="925" t="str">
        <f>IFERROR(IF(M02S04F04="Customer/Self-Installed",CW32,IF($CB32="OK",CW32+BD32,"")),"")</f>
        <v/>
      </c>
      <c r="CY32" s="925" t="str">
        <f>IFERROR(IF($CB32="OK",CX32+BB32,""),"")</f>
        <v/>
      </c>
      <c r="CZ32" s="925" t="str">
        <f>IF(CB32="OK",INDEX(MEASURES3_M!$O$16:$O$20, MATCH(F32,MEASURES3_M!$C$16:$C$20,0)),"")</f>
        <v/>
      </c>
      <c r="DA32" s="925" t="str">
        <f>IF(CB32="OK",INDEX(MEASURES3_M!$P$16:$P$20, MATCH(F32,MEASURES3_M!$C$16:$C$20,0)),"")</f>
        <v/>
      </c>
      <c r="DD32" s="980" t="str">
        <f>IFERROR(IF(CB32&lt;&gt;"OK","",CM32*VLOOKUP('DATA TABLES_Project'!$C$247,'DATA TABLES_Project'!$A$250:$B$285,2,FALSE)),"")</f>
        <v/>
      </c>
      <c r="DE32" s="925" t="str">
        <f t="shared" ref="DE32" si="180">IFERROR(IF(CB32&lt;&gt;"OK","",CM32*CZ32*0.92),"")</f>
        <v/>
      </c>
      <c r="DF32" s="980" t="str">
        <f>IFERROR(IF(CB32&lt;&gt;"OK","",CM32*CZ32*0.92*VLOOKUP('DATA TABLES_Project'!$C$247,'DATA TABLES_Project'!$A$250:$B$285,2,FALSE)),"")</f>
        <v/>
      </c>
      <c r="DG32" s="925" t="str">
        <f t="shared" ref="DG32" si="181">IFERROR(IF(CB32&lt;&gt;"OK","",CM32*BV32),IF(BX32="Dual",(CM32*BW32)+((BY32-AJ32)*(BV32-BW32)),""))</f>
        <v/>
      </c>
      <c r="DH32" s="925" t="str">
        <f ca="1">IFERROR(IF(CB32&lt;&gt;"OK","",IF(OR(BX32="Single",BX32=""), CM32*BV32*AVERAGE(INDEX('DATA TABLES_Project'!$B$250:$B$285, MATCH('DATA TABLES_Project'!$C$247,'DATA TABLES_Project'!$A$250:$A$285, 0)):OFFSET(INDEX('DATA TABLES_Project'!$B$250:$B$285, MATCH('DATA TABLES_Project'!$C$247,'DATA TABLES_Project'!$A$250:$A$285, 0)),BV32-1,0)),CM32*BW32*AVERAGE(INDEX('DATA TABLES_Project'!$B$250:$B$285, MATCH('DATA TABLES_Project'!$C$247,'DATA TABLES_Project'!$A$250:$A$285, 0)):OFFSET(INDEX('DATA TABLES_Project'!$B$250:$B$285, MATCH('DATA TABLES_Project'!$C$247,'DATA TABLES_Project'!$A$250:$A$285, 0)),BW32-1,0)) + ((BY32-AJ32)*(BV32-BW32)*AVERAGE(OFFSET(INDEX('DATA TABLES_Project'!$B$250:$B$285, MATCH('DATA TABLES_Project'!$C$247,'DATA TABLES_Project'!$A$250:$A$285, 0)),BW32,0):OFFSET(INDEX('DATA TABLES_Project'!$B$250:$B$285, MATCH('DATA TABLES_Project'!$C$247,'DATA TABLES_Project'!$A$250:$A$285, 0)),BV32-1,0))))), "")</f>
        <v/>
      </c>
      <c r="DI32" s="925" t="str">
        <f t="shared" ref="DI32" si="182">IFERROR(IF(CB32&lt;&gt;"OK","",IF(BX32="Dual",(CM32*BW32)+((BY32-AJ32)*(BV32-BW32))*CZ32*0.92,CM32*CZ32*BV32*0.92)),"")</f>
        <v/>
      </c>
      <c r="DJ32" s="925" t="str">
        <f ca="1">IFERROR(IF(CB32&lt;&gt;"OK","",IF(OR(BX32="Single",BX32=""),0.92*CZ32*CM32*BV32*AVERAGE(INDEX('DATA TABLES_Project'!$B$250:$B$285, MATCH('DATA TABLES_Project'!$C$247,'DATA TABLES_Project'!$A$250:$A$285, 0)):OFFSET(INDEX('DATA TABLES_Project'!$B$250:$B$285, MATCH('DATA TABLES_Project'!$C$247,'DATA TABLES_Project'!$A$250:$A$285, 0)),BV32-1,0)),0.92*CZ32*CM32*BW32*AVERAGE(INDEX('DATA TABLES_Project'!$B$250:$B$285, MATCH('DATA TABLES_Project'!$C$247,'DATA TABLES_Project'!$A$250:$A$285, 0)):OFFSET(INDEX('DATA TABLES_Project'!$B$250:$B$285, MATCH('DATA TABLES_Project'!$C$247,'DATA TABLES_Project'!$A$250:$A$285, 0)),BW32-1,0)) + (0.92*CZ32*(BY32-AJ32)*(BV32-BW32)*AVERAGE(OFFSET(INDEX('DATA TABLES_Project'!$B$250:$B$285, MATCH('DATA TABLES_Project'!$C$247,'DATA TABLES_Project'!$A$250:$A$285, 0)),BW32,0):OFFSET(INDEX('DATA TABLES_Project'!$B$250:$B$285, MATCH('DATA TABLES_Project'!$C$247,'DATA TABLES_Project'!$A$250:$A$285, 0)),BV32-1,0))))), "")</f>
        <v/>
      </c>
      <c r="DK32" s="925" t="str">
        <f>IFERROR(IF(CB32&lt;&gt;"OK","",CO32*'DATA TABLES_Project'!$C$250),"")</f>
        <v/>
      </c>
      <c r="DL32" s="925" t="str">
        <f t="shared" ref="DL32" si="183">IFERROR(IF(CB32&lt;&gt;"OK","",CO32*DA32*0.92),"")</f>
        <v/>
      </c>
      <c r="DM32" s="925" t="str">
        <f>IFERROR(IF(CB32&lt;&gt;"OK","",CO32*'DATA TABLES_Project'!$C$250*DA32*0.92),"")</f>
        <v/>
      </c>
      <c r="DN32" s="925" t="str">
        <f t="shared" ref="DN32" si="184">IFERROR(IF(CB32&lt;&gt;"OK","",CO32*BV32),IF(BX32="Dual",(CO32*BW32)+((BZ32-AP32)*(BV32-BW32)),""))</f>
        <v/>
      </c>
      <c r="DO32" s="925" t="str">
        <f ca="1">IFERROR(IF(CB32&lt;&gt;"OK","",CO32*BV32*AVERAGE('DATA TABLES_Project'!$C$250:OFFSET('DATA TABLES_Project'!$C$250,BV32,0))),IF(BX32="Dual",(CO32*BW32*AVERAGE('DATA TABLES_Project'!$C$251:$C$259))+((BZ32-AP32)*(BV32-BW32)*AVERAGE('DATA TABLES_Project'!$C$260:$C$279)),""))</f>
        <v/>
      </c>
      <c r="DP32" s="925" t="str">
        <f t="shared" ref="DP32" si="185">IFERROR(IF(CB32&lt;&gt;"OK","",IF(BX32="Dual",((CO32*BW32)+(BZ32-AP32)*(BV32-BW32))*DA32*0.92,CO32*BV32*DA32*0.92)),"")</f>
        <v/>
      </c>
      <c r="DQ32" s="925" t="str">
        <f ca="1">IFERROR(IF(CB32&lt;&gt;"OK","",IF(BX32="Dual",(0.92*DA32*CO32*BW32*AVERAGE('DATA TABLES_Project'!$C$251:$C$259))+(0.92*DA32*(BZ32-AP32)*(BV32-BW32)*AVERAGE('DATA TABLES_Project'!$C$260:$C$279)),0.92*DA32*CO32*BV32*AVERAGE('DATA TABLES_Project'!$C$250:OFFSET('DATA TABLES_Project'!$C$250,BV32,0)))),"")</f>
        <v/>
      </c>
      <c r="DR32" s="980" t="str">
        <f>IFERROR(IF($CB32&lt;&gt;"OK","",CM32*'DATA TABLES_Project'!$B$290+IF(CO32&lt;0,0,CO32*'DATA TABLES_Project'!$B$291)),"")</f>
        <v/>
      </c>
      <c r="DS32" s="980" t="str">
        <f>IFERROR(IF($CB32&lt;&gt;"OK","",DD32*'DATA TABLES_Project'!$B$290+IF(DK32&lt;0,0,DK32*'DATA TABLES_Project'!$B$291)),"")</f>
        <v/>
      </c>
      <c r="DT32" s="980" t="str">
        <f>IFERROR(IF($CB32&lt;&gt;"OK","",DE32*'DATA TABLES_Project'!$B$290+IF(DL32&lt;0,0,DL32*'DATA TABLES_Project'!$B$291)),"")</f>
        <v/>
      </c>
      <c r="DU32" s="980" t="str">
        <f>IFERROR(IF($CB32&lt;&gt;"OK","",DF32*'DATA TABLES_Project'!$B$290+IF(DM32&lt;0,0,DM32*'DATA TABLES_Project'!$B$291)),"")</f>
        <v/>
      </c>
      <c r="DV32" s="980" t="str">
        <f>IFERROR(IF($CB32&lt;&gt;"OK","",DG32*'DATA TABLES_Project'!$B$290+IF(DN32&lt;0,0,DN32*'DATA TABLES_Project'!$B$291)),"")</f>
        <v/>
      </c>
      <c r="DW32" s="980" t="str">
        <f>IFERROR(IF($CB32&lt;&gt;"OK","",DH32*'DATA TABLES_Project'!$B$290+IF(DO32&lt;0,0,DO32*'DATA TABLES_Project'!$B$291)),"")</f>
        <v/>
      </c>
      <c r="DX32" s="980" t="str">
        <f>IFERROR(IF($CB32&lt;&gt;"OK","",DI32*'DATA TABLES_Project'!$B$290+IF(DP32&lt;0,0,DP32*'DATA TABLES_Project'!$B$291)),"")</f>
        <v/>
      </c>
      <c r="DY32" s="925" t="str">
        <f>IFERROR(IF($CB32&lt;&gt;"OK","",DJ32*'DATA TABLES_Project'!$B$290+IF(DQ32&lt;0,0,DQ32*'DATA TABLES_Project'!$B$291)),"")</f>
        <v/>
      </c>
      <c r="DZ32" s="925" t="str">
        <f t="shared" ref="DZ32" si="186">IFERROR(IF($CB32&lt;&gt;"OK","",AS32),"")</f>
        <v/>
      </c>
      <c r="EA32" s="925" t="str">
        <f>IFERROR(IF(CB32&lt;&gt;"OK","",CN32*'DATA TABLES_Project'!$B$250*CZ32*1.03),"")</f>
        <v/>
      </c>
      <c r="EB32" s="925" t="str">
        <f t="shared" ref="EB32" si="187">IFERROR(IF(CB32&lt;&gt;"OK","",CN32*CZ32*1.03),"")</f>
        <v/>
      </c>
      <c r="EC32" s="925" t="str">
        <f>IFERROR(IF(CB32&lt;&gt;"OK","",CZ32*DZ32*'DATA TABLES_Project'!$C$250*0.92),"")</f>
        <v/>
      </c>
      <c r="ED32" s="925" t="str">
        <f>IFERROR(IF(CB32&lt;&gt;"OK","",CZ32*DZ32*'DATA TABLES_Project'!$C$250*0.92),"")</f>
        <v/>
      </c>
      <c r="EE32" s="925" t="str">
        <f t="shared" ref="EE32" si="188">IFERROR(IF(CB32&lt;&gt;"OK","",CZ32*DZ32*0.92),"")</f>
        <v/>
      </c>
      <c r="EF32" s="925" t="str">
        <f t="shared" ref="EF32" si="189">IFERROR(IF(CB32&lt;&gt;"OK","",CZ32*DZ32*0.92),"")</f>
        <v/>
      </c>
      <c r="EG32" s="925" t="str">
        <f>IFERROR(IF($CB32&lt;&gt;"OK","",CM32*'DATA TABLES_Project'!$B$290+CO32*'DATA TABLES_Project'!$B$291),"")</f>
        <v/>
      </c>
      <c r="EH32" s="925" t="str">
        <f>IFERROR(IF($CB32&lt;&gt;"OK","",DD32*'DATA TABLES_Project'!$B$290+DK32*'DATA TABLES_Project'!$B$291),"")</f>
        <v/>
      </c>
      <c r="EI32" s="925" t="str">
        <f>IFERROR(IF($CB32&lt;&gt;"OK","",DE32*'DATA TABLES_Project'!$B$290+DL32*'DATA TABLES_Project'!$B$291),"")</f>
        <v/>
      </c>
      <c r="EJ32" s="925" t="str">
        <f>IFERROR(IF($CB32&lt;&gt;"OK","",DF32*'DATA TABLES_Project'!$B$290+DM32*'DATA TABLES_Project'!$B$291),"")</f>
        <v/>
      </c>
      <c r="EK32" s="925" t="str">
        <f>IFERROR(IF($CB32&lt;&gt;"OK","",DG32*'DATA TABLES_Project'!$B$290+DN32*'DATA TABLES_Project'!$B$291),"")</f>
        <v/>
      </c>
      <c r="EL32" s="925" t="str">
        <f>IFERROR(IF($CB32&lt;&gt;"OK","",DH32*'DATA TABLES_Project'!$B$290+DO32*'DATA TABLES_Project'!$B$291),"")</f>
        <v/>
      </c>
      <c r="EM32" s="925" t="str">
        <f>IFERROR(IF($CB32&lt;&gt;"OK","",DI32*'DATA TABLES_Project'!$B$290+DP32*'DATA TABLES_Project'!$B$291),"")</f>
        <v/>
      </c>
      <c r="EN32" s="925" t="str">
        <f>IFERROR(IF($CB32&lt;&gt;"OK","",DJ32*'DATA TABLES_Project'!$B$290+DQ32*'DATA TABLES_Project'!$B$291),"")</f>
        <v/>
      </c>
    </row>
    <row r="33" spans="1:144" ht="16.350000000000001" customHeight="1">
      <c r="A33" s="462"/>
      <c r="B33" s="994"/>
      <c r="C33" s="998"/>
      <c r="D33" s="999"/>
      <c r="E33" s="1000"/>
      <c r="F33" s="964"/>
      <c r="G33" s="965"/>
      <c r="H33" s="965"/>
      <c r="I33" s="965"/>
      <c r="J33" s="965"/>
      <c r="K33" s="966"/>
      <c r="L33" s="964"/>
      <c r="M33" s="965"/>
      <c r="N33" s="965"/>
      <c r="O33" s="965"/>
      <c r="P33" s="965"/>
      <c r="Q33" s="966"/>
      <c r="R33" s="1044"/>
      <c r="S33" s="1044"/>
      <c r="T33" s="1044"/>
      <c r="U33" s="1044"/>
      <c r="V33" s="1044"/>
      <c r="W33" s="1044"/>
      <c r="X33" s="1045"/>
      <c r="Y33" s="1045"/>
      <c r="Z33" s="1045"/>
      <c r="AA33" s="1045"/>
      <c r="AB33" s="1045"/>
      <c r="AC33" s="1045"/>
      <c r="AD33" s="964"/>
      <c r="AE33" s="965"/>
      <c r="AF33" s="965"/>
      <c r="AG33" s="965"/>
      <c r="AH33" s="965"/>
      <c r="AI33" s="966"/>
      <c r="AJ33" s="952"/>
      <c r="AK33" s="953"/>
      <c r="AL33" s="954"/>
      <c r="AM33" s="952"/>
      <c r="AN33" s="953"/>
      <c r="AO33" s="954"/>
      <c r="AP33" s="958"/>
      <c r="AQ33" s="959"/>
      <c r="AR33" s="960"/>
      <c r="AS33" s="958"/>
      <c r="AT33" s="959"/>
      <c r="AU33" s="960"/>
      <c r="AV33" s="968"/>
      <c r="AW33" s="969"/>
      <c r="AX33" s="969"/>
      <c r="AY33" s="969"/>
      <c r="AZ33" s="969"/>
      <c r="BA33" s="970"/>
      <c r="BB33" s="947"/>
      <c r="BC33" s="948"/>
      <c r="BD33" s="947"/>
      <c r="BE33" s="948"/>
      <c r="BF33" s="931"/>
      <c r="BG33" s="932"/>
      <c r="BH33" s="974"/>
      <c r="BI33" s="975"/>
      <c r="BJ33" s="976"/>
      <c r="BK33" s="936"/>
      <c r="BL33" s="937"/>
      <c r="BM33" s="938"/>
      <c r="BN33" s="942"/>
      <c r="BO33" s="943"/>
      <c r="BP33" s="944"/>
      <c r="BQ33"/>
      <c r="BR33"/>
      <c r="BS33" s="967"/>
      <c r="BT33" s="967"/>
      <c r="BV33" s="926"/>
      <c r="BW33" s="926"/>
      <c r="BX33" s="926"/>
      <c r="BY33" s="927"/>
      <c r="BZ33" s="928"/>
      <c r="CB33" s="986"/>
      <c r="CC33" s="925"/>
      <c r="CD33" s="925"/>
      <c r="CE33" s="925"/>
      <c r="CF33" s="925"/>
      <c r="CG33" s="925"/>
      <c r="CH33" s="925"/>
      <c r="CI33" s="925"/>
      <c r="CJ33" s="977"/>
      <c r="CK33" s="977"/>
      <c r="CL33" s="977"/>
      <c r="CM33" s="977"/>
      <c r="CN33" s="977"/>
      <c r="CO33" s="977"/>
      <c r="CP33" s="977"/>
      <c r="CQ33" s="977"/>
      <c r="CR33" s="977"/>
      <c r="CS33" s="983"/>
      <c r="CT33" s="982"/>
      <c r="CU33" s="979"/>
      <c r="CV33" s="925"/>
      <c r="CW33" s="925"/>
      <c r="CX33" s="925"/>
      <c r="CY33" s="925"/>
      <c r="CZ33" s="925"/>
      <c r="DA33" s="925"/>
      <c r="DD33" s="981"/>
      <c r="DE33" s="925"/>
      <c r="DF33" s="981"/>
      <c r="DG33" s="925"/>
      <c r="DH33" s="925"/>
      <c r="DI33" s="925"/>
      <c r="DJ33" s="925"/>
      <c r="DK33" s="925"/>
      <c r="DL33" s="925"/>
      <c r="DM33" s="925"/>
      <c r="DN33" s="925"/>
      <c r="DO33" s="925"/>
      <c r="DP33" s="925"/>
      <c r="DQ33" s="925"/>
      <c r="DR33" s="981"/>
      <c r="DS33" s="981"/>
      <c r="DT33" s="981"/>
      <c r="DU33" s="981"/>
      <c r="DV33" s="981"/>
      <c r="DW33" s="981"/>
      <c r="DX33" s="981"/>
      <c r="DY33" s="925"/>
      <c r="DZ33" s="925"/>
      <c r="EA33" s="925"/>
      <c r="EB33" s="925"/>
      <c r="EC33" s="925"/>
      <c r="ED33" s="925"/>
      <c r="EE33" s="925"/>
      <c r="EF33" s="925"/>
      <c r="EG33" s="925"/>
      <c r="EH33" s="925"/>
      <c r="EI33" s="925"/>
      <c r="EJ33" s="925"/>
      <c r="EK33" s="925"/>
      <c r="EL33" s="925"/>
      <c r="EM33" s="925"/>
      <c r="EN33" s="925"/>
    </row>
    <row r="34" spans="1:144" ht="16.350000000000001" customHeight="1">
      <c r="A34" s="462"/>
      <c r="B34" s="994">
        <v>9</v>
      </c>
      <c r="C34" s="995"/>
      <c r="D34" s="996"/>
      <c r="E34" s="997"/>
      <c r="F34" s="961"/>
      <c r="G34" s="962"/>
      <c r="H34" s="962"/>
      <c r="I34" s="962"/>
      <c r="J34" s="962"/>
      <c r="K34" s="963"/>
      <c r="L34" s="961"/>
      <c r="M34" s="962"/>
      <c r="N34" s="962"/>
      <c r="O34" s="962"/>
      <c r="P34" s="962"/>
      <c r="Q34" s="963"/>
      <c r="R34" s="1044"/>
      <c r="S34" s="1044"/>
      <c r="T34" s="1044"/>
      <c r="U34" s="1044"/>
      <c r="V34" s="1044"/>
      <c r="W34" s="1044"/>
      <c r="X34" s="1045"/>
      <c r="Y34" s="1045"/>
      <c r="Z34" s="1045"/>
      <c r="AA34" s="1045"/>
      <c r="AB34" s="1045"/>
      <c r="AC34" s="1045"/>
      <c r="AD34" s="961"/>
      <c r="AE34" s="962"/>
      <c r="AF34" s="962"/>
      <c r="AG34" s="962"/>
      <c r="AH34" s="962"/>
      <c r="AI34" s="963"/>
      <c r="AJ34" s="949"/>
      <c r="AK34" s="950"/>
      <c r="AL34" s="951"/>
      <c r="AM34" s="949"/>
      <c r="AN34" s="950"/>
      <c r="AO34" s="951"/>
      <c r="AP34" s="955"/>
      <c r="AQ34" s="956"/>
      <c r="AR34" s="957"/>
      <c r="AS34" s="955"/>
      <c r="AT34" s="956"/>
      <c r="AU34" s="957"/>
      <c r="AV34" s="968"/>
      <c r="AW34" s="969"/>
      <c r="AX34" s="970"/>
      <c r="AY34" s="968"/>
      <c r="AZ34" s="969"/>
      <c r="BA34" s="970"/>
      <c r="BB34" s="945"/>
      <c r="BC34" s="946"/>
      <c r="BD34" s="945"/>
      <c r="BE34" s="946"/>
      <c r="BF34" s="929" t="str">
        <f t="shared" ref="BF34" si="190">IF(CB34="OK",ROUND(BB34+BD34,2),"")</f>
        <v/>
      </c>
      <c r="BG34" s="930"/>
      <c r="BH34" s="971" t="str">
        <f t="shared" ref="BH34" si="191">IFERROR(IF(AND($CB34="OK",$CU34="OK"),$CI34,IF($CB34&lt;&gt;"OK",$CB34,$CU34)),"")</f>
        <v/>
      </c>
      <c r="BI34" s="972"/>
      <c r="BJ34" s="973"/>
      <c r="BK34" s="933" t="str">
        <f t="shared" ref="BK34" si="192">IF($CB34="OK",CM34,"")</f>
        <v/>
      </c>
      <c r="BL34" s="934"/>
      <c r="BM34" s="935"/>
      <c r="BN34" s="939" t="str">
        <f t="shared" ref="BN34" si="193">IF($CB34="OK",$CR34,"")</f>
        <v/>
      </c>
      <c r="BO34" s="940"/>
      <c r="BP34" s="941"/>
      <c r="BQ34"/>
      <c r="BR34"/>
      <c r="BS34" s="967"/>
      <c r="BT34" s="967"/>
      <c r="BV34" s="926" t="str">
        <f t="shared" ref="BV34" si="194">IFERROR(ROUND(IF(AND(CB34="OK",CU34="OK"),CT34,""),0),"")</f>
        <v/>
      </c>
      <c r="BW34" s="926" t="str">
        <f t="shared" ref="BW34" si="195">IFERROR(ROUND(IF(AND(CB34="OK",CU34="OK"),BV34/3,""),0),"")</f>
        <v/>
      </c>
      <c r="BX34" s="926"/>
      <c r="BY34" s="927"/>
      <c r="BZ34" s="928"/>
      <c r="CB34" s="986" t="str">
        <f>IF(AND(C34="",F34="",R34="",AD34="",U34="",X34="",L34="",AJ34="",AV34="",AM34="",AP34="",AY34="",AV35="",BB34="",BD34="",AA34="",AS34=""),"",
IF(OR(C34="",F34="",R34="",AD34="",U34="",X34="",L34="",AJ34="",AV34="",AM34="",AP34="",AY34="",AV35="",BB34="",BD34="",AA34="",AS34=""),"Missing Fields",
IF(AND(M02S04F04disp="Required",M02S04F04=""),"TA Info Incomplete",
"OK")))</f>
        <v/>
      </c>
      <c r="CC34" s="925" t="str">
        <f>IF(AND($CB34="OK",$CU34="OK"),INDEX(Tbl_Cust_HVAC[Measure Number], MATCH(F34,Tbl_Cust_HVAC[Proj Desc 1],0)),"")</f>
        <v/>
      </c>
      <c r="CD34" s="925"/>
      <c r="CE34" s="925" t="str">
        <f t="shared" ref="CE34" si="196">IF(CB34="OK","Measure","")</f>
        <v/>
      </c>
      <c r="CF34" s="925" t="str">
        <f t="shared" ref="CF34" si="197">IF(CB34="OK",1,"")</f>
        <v/>
      </c>
      <c r="CG34" s="978" t="str">
        <f t="shared" ref="CG34" si="198">IFERROR(CI34/CF34,"")</f>
        <v/>
      </c>
      <c r="CH34" s="978" t="str">
        <f>IF(CB34="OK",IF(CM34&gt;0,CM34*Incent_Rate_kWh,0)+IF(CO34&gt;0,CO34*Incent_Rate_thm,0),"")</f>
        <v/>
      </c>
      <c r="CI34" s="978" t="str">
        <f>IFERROR(IF($CB34="OK",IF(INCENTTOCOST_CUST&gt;CostCap_Cust,
CH34*CostCap_Cust/INCENTTOCOST_CUST,CH34),""),"")</f>
        <v/>
      </c>
      <c r="CJ34" s="977">
        <f t="shared" ref="CJ34" si="199">CM34</f>
        <v>0</v>
      </c>
      <c r="CK34" s="977">
        <f t="shared" ref="CK34" si="200">CN34</f>
        <v>0</v>
      </c>
      <c r="CL34" s="977">
        <f t="shared" ref="CL34" si="201">CO34</f>
        <v>0</v>
      </c>
      <c r="CM34" s="977">
        <f>R34-AJ34</f>
        <v>0</v>
      </c>
      <c r="CN34" s="977">
        <f>U34-AM34</f>
        <v>0</v>
      </c>
      <c r="CO34" s="977">
        <f t="shared" ref="CO34" si="202">IF(CR34&gt;0,CR34,0)</f>
        <v>0</v>
      </c>
      <c r="CP34" s="977">
        <f t="shared" ref="CP34" si="203">CM34</f>
        <v>0</v>
      </c>
      <c r="CQ34" s="977">
        <f t="shared" ref="CQ34" si="204">CN34</f>
        <v>0</v>
      </c>
      <c r="CR34" s="977">
        <f>X34-AP34</f>
        <v>0</v>
      </c>
      <c r="CS34" s="983"/>
      <c r="CT34" s="982" t="str">
        <f>IF(CB34="OK",INDEX(Tbl_Cust_HVAC[EUL], MATCH(F34,Tbl_Cust_HVAC[Proj Desc 1],0)),"")</f>
        <v/>
      </c>
      <c r="CU34" s="979" t="str">
        <f t="shared" ref="CU34" si="205">IFERROR(IF(AND($CM34&lt;=0,$CN34&lt;=0,$CO34&lt;=0),"No Savings","OK"),"")</f>
        <v>No Savings</v>
      </c>
      <c r="CV34" s="925" t="str">
        <f t="shared" ref="CV34" si="206">IF(AND(CB34="OK",CU34="OK"),"1","")</f>
        <v/>
      </c>
      <c r="CW34" s="925" t="str">
        <f>IFERROR(IF($CB34="OK",ROUND($AQ$14*SUM(BB34:BE35)/SUM($BB$18:$BE$37),2),""),"")</f>
        <v/>
      </c>
      <c r="CX34" s="925" t="str">
        <f>IFERROR(IF(M02S04F04="Customer/Self-Installed",CW34,IF($CB34="OK",CW34+BD34,"")),"")</f>
        <v/>
      </c>
      <c r="CY34" s="925" t="str">
        <f>IFERROR(IF($CB34="OK",CX34+BB34,""),"")</f>
        <v/>
      </c>
      <c r="CZ34" s="925" t="str">
        <f>IF(CB34="OK",INDEX(MEASURES3_M!$O$16:$O$20, MATCH(F34,MEASURES3_M!$C$16:$C$20,0)),"")</f>
        <v/>
      </c>
      <c r="DA34" s="925" t="str">
        <f>IF(CB34="OK",INDEX(MEASURES3_M!$P$16:$P$20, MATCH(F34,MEASURES3_M!$C$16:$C$20,0)),"")</f>
        <v/>
      </c>
      <c r="DD34" s="980" t="str">
        <f>IFERROR(IF(CB34&lt;&gt;"OK","",CM34*VLOOKUP('DATA TABLES_Project'!$C$247,'DATA TABLES_Project'!$A$250:$B$285,2,FALSE)),"")</f>
        <v/>
      </c>
      <c r="DE34" s="925" t="str">
        <f t="shared" ref="DE34" si="207">IFERROR(IF(CB34&lt;&gt;"OK","",CM34*CZ34*0.92),"")</f>
        <v/>
      </c>
      <c r="DF34" s="980" t="str">
        <f>IFERROR(IF(CB34&lt;&gt;"OK","",CM34*CZ34*0.92*VLOOKUP('DATA TABLES_Project'!$C$247,'DATA TABLES_Project'!$A$250:$B$285,2,FALSE)),"")</f>
        <v/>
      </c>
      <c r="DG34" s="925" t="str">
        <f t="shared" ref="DG34" si="208">IFERROR(IF(CB34&lt;&gt;"OK","",CM34*BV34),IF(BX34="Dual",(CM34*BW34)+((BY34-AJ34)*(BV34-BW34)),""))</f>
        <v/>
      </c>
      <c r="DH34" s="925" t="str">
        <f ca="1">IFERROR(IF(CB34&lt;&gt;"OK","",IF(OR(BX34="Single",BX34=""), CM34*BV34*AVERAGE(INDEX('DATA TABLES_Project'!$B$250:$B$285, MATCH('DATA TABLES_Project'!$C$247,'DATA TABLES_Project'!$A$250:$A$285, 0)):OFFSET(INDEX('DATA TABLES_Project'!$B$250:$B$285, MATCH('DATA TABLES_Project'!$C$247,'DATA TABLES_Project'!$A$250:$A$285, 0)),BV34-1,0)),CM34*BW34*AVERAGE(INDEX('DATA TABLES_Project'!$B$250:$B$285, MATCH('DATA TABLES_Project'!$C$247,'DATA TABLES_Project'!$A$250:$A$285, 0)):OFFSET(INDEX('DATA TABLES_Project'!$B$250:$B$285, MATCH('DATA TABLES_Project'!$C$247,'DATA TABLES_Project'!$A$250:$A$285, 0)),BW34-1,0)) + ((BY34-AJ34)*(BV34-BW34)*AVERAGE(OFFSET(INDEX('DATA TABLES_Project'!$B$250:$B$285, MATCH('DATA TABLES_Project'!$C$247,'DATA TABLES_Project'!$A$250:$A$285, 0)),BW34,0):OFFSET(INDEX('DATA TABLES_Project'!$B$250:$B$285, MATCH('DATA TABLES_Project'!$C$247,'DATA TABLES_Project'!$A$250:$A$285, 0)),BV34-1,0))))), "")</f>
        <v/>
      </c>
      <c r="DI34" s="925" t="str">
        <f t="shared" ref="DI34" si="209">IFERROR(IF(CB34&lt;&gt;"OK","",IF(BX34="Dual",(CM34*BW34)+((BY34-AJ34)*(BV34-BW34))*CZ34*0.92,CM34*CZ34*BV34*0.92)),"")</f>
        <v/>
      </c>
      <c r="DJ34" s="925" t="str">
        <f ca="1">IFERROR(IF(CB34&lt;&gt;"OK","",IF(OR(BX34="Single",BX34=""),0.92*CZ34*CM34*BV34*AVERAGE(INDEX('DATA TABLES_Project'!$B$250:$B$285, MATCH('DATA TABLES_Project'!$C$247,'DATA TABLES_Project'!$A$250:$A$285, 0)):OFFSET(INDEX('DATA TABLES_Project'!$B$250:$B$285, MATCH('DATA TABLES_Project'!$C$247,'DATA TABLES_Project'!$A$250:$A$285, 0)),BV34-1,0)),0.92*CZ34*CM34*BW34*AVERAGE(INDEX('DATA TABLES_Project'!$B$250:$B$285, MATCH('DATA TABLES_Project'!$C$247,'DATA TABLES_Project'!$A$250:$A$285, 0)):OFFSET(INDEX('DATA TABLES_Project'!$B$250:$B$285, MATCH('DATA TABLES_Project'!$C$247,'DATA TABLES_Project'!$A$250:$A$285, 0)),BW34-1,0)) + (0.92*CZ34*(BY34-AJ34)*(BV34-BW34)*AVERAGE(OFFSET(INDEX('DATA TABLES_Project'!$B$250:$B$285, MATCH('DATA TABLES_Project'!$C$247,'DATA TABLES_Project'!$A$250:$A$285, 0)),BW34,0):OFFSET(INDEX('DATA TABLES_Project'!$B$250:$B$285, MATCH('DATA TABLES_Project'!$C$247,'DATA TABLES_Project'!$A$250:$A$285, 0)),BV34-1,0))))), "")</f>
        <v/>
      </c>
      <c r="DK34" s="925" t="str">
        <f>IFERROR(IF(CB34&lt;&gt;"OK","",CO34*'DATA TABLES_Project'!$C$250),"")</f>
        <v/>
      </c>
      <c r="DL34" s="925" t="str">
        <f t="shared" ref="DL34" si="210">IFERROR(IF(CB34&lt;&gt;"OK","",CO34*DA34*0.92),"")</f>
        <v/>
      </c>
      <c r="DM34" s="925" t="str">
        <f>IFERROR(IF(CB34&lt;&gt;"OK","",CO34*'DATA TABLES_Project'!$C$250*DA34*0.92),"")</f>
        <v/>
      </c>
      <c r="DN34" s="925" t="str">
        <f t="shared" ref="DN34" si="211">IFERROR(IF(CB34&lt;&gt;"OK","",CO34*BV34),IF(BX34="Dual",(CO34*BW34)+((BZ34-AP34)*(BV34-BW34)),""))</f>
        <v/>
      </c>
      <c r="DO34" s="925" t="str">
        <f ca="1">IFERROR(IF(CB34&lt;&gt;"OK","",CO34*BV34*AVERAGE('DATA TABLES_Project'!$C$250:OFFSET('DATA TABLES_Project'!$C$250,BV34,0))),IF(BX34="Dual",(CO34*BW34*AVERAGE('DATA TABLES_Project'!$C$251:$C$259))+((BZ34-AP34)*(BV34-BW34)*AVERAGE('DATA TABLES_Project'!$C$260:$C$279)),""))</f>
        <v/>
      </c>
      <c r="DP34" s="925" t="str">
        <f t="shared" ref="DP34" si="212">IFERROR(IF(CB34&lt;&gt;"OK","",IF(BX34="Dual",((CO34*BW34)+(BZ34-AP34)*(BV34-BW34))*DA34*0.92,CO34*BV34*DA34*0.92)),"")</f>
        <v/>
      </c>
      <c r="DQ34" s="925" t="str">
        <f ca="1">IFERROR(IF(CB34&lt;&gt;"OK","",IF(BX34="Dual",(0.92*DA34*CO34*BW34*AVERAGE('DATA TABLES_Project'!$C$251:$C$259))+(0.92*DA34*(BZ34-AP34)*(BV34-BW34)*AVERAGE('DATA TABLES_Project'!$C$260:$C$279)),0.92*DA34*CO34*BV34*AVERAGE('DATA TABLES_Project'!$C$250:OFFSET('DATA TABLES_Project'!$C$250,BV34,0)))),"")</f>
        <v/>
      </c>
      <c r="DR34" s="980" t="str">
        <f>IFERROR(IF($CB34&lt;&gt;"OK","",CM34*'DATA TABLES_Project'!$B$290+IF(CO34&lt;0,0,CO34*'DATA TABLES_Project'!$B$291)),"")</f>
        <v/>
      </c>
      <c r="DS34" s="980" t="str">
        <f>IFERROR(IF($CB34&lt;&gt;"OK","",DD34*'DATA TABLES_Project'!$B$290+IF(DK34&lt;0,0,DK34*'DATA TABLES_Project'!$B$291)),"")</f>
        <v/>
      </c>
      <c r="DT34" s="980" t="str">
        <f>IFERROR(IF($CB34&lt;&gt;"OK","",DE34*'DATA TABLES_Project'!$B$290+IF(DL34&lt;0,0,DL34*'DATA TABLES_Project'!$B$291)),"")</f>
        <v/>
      </c>
      <c r="DU34" s="980" t="str">
        <f>IFERROR(IF($CB34&lt;&gt;"OK","",DF34*'DATA TABLES_Project'!$B$290+IF(DM34&lt;0,0,DM34*'DATA TABLES_Project'!$B$291)),"")</f>
        <v/>
      </c>
      <c r="DV34" s="980" t="str">
        <f>IFERROR(IF($CB34&lt;&gt;"OK","",DG34*'DATA TABLES_Project'!$B$290+IF(DN34&lt;0,0,DN34*'DATA TABLES_Project'!$B$291)),"")</f>
        <v/>
      </c>
      <c r="DW34" s="980" t="str">
        <f>IFERROR(IF($CB34&lt;&gt;"OK","",DH34*'DATA TABLES_Project'!$B$290+IF(DO34&lt;0,0,DO34*'DATA TABLES_Project'!$B$291)),"")</f>
        <v/>
      </c>
      <c r="DX34" s="980" t="str">
        <f>IFERROR(IF($CB34&lt;&gt;"OK","",DI34*'DATA TABLES_Project'!$B$290+IF(DP34&lt;0,0,DP34*'DATA TABLES_Project'!$B$291)),"")</f>
        <v/>
      </c>
      <c r="DY34" s="925" t="str">
        <f>IFERROR(IF($CB34&lt;&gt;"OK","",DJ34*'DATA TABLES_Project'!$B$290+IF(DQ34&lt;0,0,DQ34*'DATA TABLES_Project'!$B$291)),"")</f>
        <v/>
      </c>
      <c r="DZ34" s="925" t="str">
        <f t="shared" ref="DZ34" si="213">IFERROR(IF($CB34&lt;&gt;"OK","",AS34),"")</f>
        <v/>
      </c>
      <c r="EA34" s="925" t="str">
        <f>IFERROR(IF(CB34&lt;&gt;"OK","",CN34*'DATA TABLES_Project'!$B$250*CZ34*1.03),"")</f>
        <v/>
      </c>
      <c r="EB34" s="925" t="str">
        <f t="shared" ref="EB34" si="214">IFERROR(IF(CB34&lt;&gt;"OK","",CN34*CZ34*1.03),"")</f>
        <v/>
      </c>
      <c r="EC34" s="925" t="str">
        <f>IFERROR(IF(CB34&lt;&gt;"OK","",CZ34*DZ34*'DATA TABLES_Project'!$C$250*0.92),"")</f>
        <v/>
      </c>
      <c r="ED34" s="925" t="str">
        <f>IFERROR(IF(CB34&lt;&gt;"OK","",CZ34*DZ34*'DATA TABLES_Project'!$C$250*0.92),"")</f>
        <v/>
      </c>
      <c r="EE34" s="925" t="str">
        <f t="shared" ref="EE34" si="215">IFERROR(IF(CB34&lt;&gt;"OK","",CZ34*DZ34*0.92),"")</f>
        <v/>
      </c>
      <c r="EF34" s="925" t="str">
        <f t="shared" ref="EF34" si="216">IFERROR(IF(CB34&lt;&gt;"OK","",CZ34*DZ34*0.92),"")</f>
        <v/>
      </c>
      <c r="EG34" s="925" t="str">
        <f>IFERROR(IF($CB34&lt;&gt;"OK","",CM34*'DATA TABLES_Project'!$B$290+CO34*'DATA TABLES_Project'!$B$291),"")</f>
        <v/>
      </c>
      <c r="EH34" s="925" t="str">
        <f>IFERROR(IF($CB34&lt;&gt;"OK","",DD34*'DATA TABLES_Project'!$B$290+DK34*'DATA TABLES_Project'!$B$291),"")</f>
        <v/>
      </c>
      <c r="EI34" s="925" t="str">
        <f>IFERROR(IF($CB34&lt;&gt;"OK","",DE34*'DATA TABLES_Project'!$B$290+DL34*'DATA TABLES_Project'!$B$291),"")</f>
        <v/>
      </c>
      <c r="EJ34" s="925" t="str">
        <f>IFERROR(IF($CB34&lt;&gt;"OK","",DF34*'DATA TABLES_Project'!$B$290+DM34*'DATA TABLES_Project'!$B$291),"")</f>
        <v/>
      </c>
      <c r="EK34" s="925" t="str">
        <f>IFERROR(IF($CB34&lt;&gt;"OK","",DG34*'DATA TABLES_Project'!$B$290+DN34*'DATA TABLES_Project'!$B$291),"")</f>
        <v/>
      </c>
      <c r="EL34" s="925" t="str">
        <f>IFERROR(IF($CB34&lt;&gt;"OK","",DH34*'DATA TABLES_Project'!$B$290+DO34*'DATA TABLES_Project'!$B$291),"")</f>
        <v/>
      </c>
      <c r="EM34" s="925" t="str">
        <f>IFERROR(IF($CB34&lt;&gt;"OK","",DI34*'DATA TABLES_Project'!$B$290+DP34*'DATA TABLES_Project'!$B$291),"")</f>
        <v/>
      </c>
      <c r="EN34" s="925" t="str">
        <f>IFERROR(IF($CB34&lt;&gt;"OK","",DJ34*'DATA TABLES_Project'!$B$290+DQ34*'DATA TABLES_Project'!$B$291),"")</f>
        <v/>
      </c>
    </row>
    <row r="35" spans="1:144" ht="16.350000000000001" customHeight="1">
      <c r="A35" s="462"/>
      <c r="B35" s="994"/>
      <c r="C35" s="998"/>
      <c r="D35" s="999"/>
      <c r="E35" s="1000"/>
      <c r="F35" s="964"/>
      <c r="G35" s="965"/>
      <c r="H35" s="965"/>
      <c r="I35" s="965"/>
      <c r="J35" s="965"/>
      <c r="K35" s="966"/>
      <c r="L35" s="964"/>
      <c r="M35" s="965"/>
      <c r="N35" s="965"/>
      <c r="O35" s="965"/>
      <c r="P35" s="965"/>
      <c r="Q35" s="966"/>
      <c r="R35" s="1044"/>
      <c r="S35" s="1044"/>
      <c r="T35" s="1044"/>
      <c r="U35" s="1044"/>
      <c r="V35" s="1044"/>
      <c r="W35" s="1044"/>
      <c r="X35" s="1045"/>
      <c r="Y35" s="1045"/>
      <c r="Z35" s="1045"/>
      <c r="AA35" s="1045"/>
      <c r="AB35" s="1045"/>
      <c r="AC35" s="1045"/>
      <c r="AD35" s="964"/>
      <c r="AE35" s="965"/>
      <c r="AF35" s="965"/>
      <c r="AG35" s="965"/>
      <c r="AH35" s="965"/>
      <c r="AI35" s="966"/>
      <c r="AJ35" s="952"/>
      <c r="AK35" s="953"/>
      <c r="AL35" s="954"/>
      <c r="AM35" s="952"/>
      <c r="AN35" s="953"/>
      <c r="AO35" s="954"/>
      <c r="AP35" s="958"/>
      <c r="AQ35" s="959"/>
      <c r="AR35" s="960"/>
      <c r="AS35" s="958"/>
      <c r="AT35" s="959"/>
      <c r="AU35" s="960"/>
      <c r="AV35" s="968"/>
      <c r="AW35" s="969"/>
      <c r="AX35" s="969"/>
      <c r="AY35" s="969"/>
      <c r="AZ35" s="969"/>
      <c r="BA35" s="970"/>
      <c r="BB35" s="947"/>
      <c r="BC35" s="948"/>
      <c r="BD35" s="947"/>
      <c r="BE35" s="948"/>
      <c r="BF35" s="931"/>
      <c r="BG35" s="932"/>
      <c r="BH35" s="974"/>
      <c r="BI35" s="975"/>
      <c r="BJ35" s="976"/>
      <c r="BK35" s="936"/>
      <c r="BL35" s="937"/>
      <c r="BM35" s="938"/>
      <c r="BN35" s="942"/>
      <c r="BO35" s="943"/>
      <c r="BP35" s="944"/>
      <c r="BQ35"/>
      <c r="BR35"/>
      <c r="BS35" s="967"/>
      <c r="BT35" s="967"/>
      <c r="BV35" s="926"/>
      <c r="BW35" s="926"/>
      <c r="BX35" s="926"/>
      <c r="BY35" s="927"/>
      <c r="BZ35" s="928"/>
      <c r="CB35" s="986"/>
      <c r="CC35" s="925"/>
      <c r="CD35" s="925"/>
      <c r="CE35" s="925"/>
      <c r="CF35" s="925"/>
      <c r="CG35" s="925"/>
      <c r="CH35" s="925"/>
      <c r="CI35" s="925"/>
      <c r="CJ35" s="977"/>
      <c r="CK35" s="977"/>
      <c r="CL35" s="977"/>
      <c r="CM35" s="977"/>
      <c r="CN35" s="977"/>
      <c r="CO35" s="977"/>
      <c r="CP35" s="977"/>
      <c r="CQ35" s="977"/>
      <c r="CR35" s="977"/>
      <c r="CS35" s="983"/>
      <c r="CT35" s="982"/>
      <c r="CU35" s="979"/>
      <c r="CV35" s="925"/>
      <c r="CW35" s="925"/>
      <c r="CX35" s="925"/>
      <c r="CY35" s="925"/>
      <c r="CZ35" s="925"/>
      <c r="DA35" s="925"/>
      <c r="DD35" s="981"/>
      <c r="DE35" s="925"/>
      <c r="DF35" s="981"/>
      <c r="DG35" s="925"/>
      <c r="DH35" s="925"/>
      <c r="DI35" s="925"/>
      <c r="DJ35" s="925"/>
      <c r="DK35" s="925"/>
      <c r="DL35" s="925"/>
      <c r="DM35" s="925"/>
      <c r="DN35" s="925"/>
      <c r="DO35" s="925"/>
      <c r="DP35" s="925"/>
      <c r="DQ35" s="925"/>
      <c r="DR35" s="981"/>
      <c r="DS35" s="981"/>
      <c r="DT35" s="981"/>
      <c r="DU35" s="981"/>
      <c r="DV35" s="981"/>
      <c r="DW35" s="981"/>
      <c r="DX35" s="981"/>
      <c r="DY35" s="925"/>
      <c r="DZ35" s="925"/>
      <c r="EA35" s="925"/>
      <c r="EB35" s="925"/>
      <c r="EC35" s="925"/>
      <c r="ED35" s="925"/>
      <c r="EE35" s="925"/>
      <c r="EF35" s="925"/>
      <c r="EG35" s="925"/>
      <c r="EH35" s="925"/>
      <c r="EI35" s="925"/>
      <c r="EJ35" s="925"/>
      <c r="EK35" s="925"/>
      <c r="EL35" s="925"/>
      <c r="EM35" s="925"/>
      <c r="EN35" s="925"/>
    </row>
    <row r="36" spans="1:144" ht="16.350000000000001" customHeight="1">
      <c r="A36" s="462"/>
      <c r="B36" s="994">
        <v>10</v>
      </c>
      <c r="C36" s="995"/>
      <c r="D36" s="996"/>
      <c r="E36" s="997"/>
      <c r="F36" s="961"/>
      <c r="G36" s="962"/>
      <c r="H36" s="962"/>
      <c r="I36" s="962"/>
      <c r="J36" s="962"/>
      <c r="K36" s="963"/>
      <c r="L36" s="961"/>
      <c r="M36" s="962"/>
      <c r="N36" s="962"/>
      <c r="O36" s="962"/>
      <c r="P36" s="962"/>
      <c r="Q36" s="963"/>
      <c r="R36" s="1044"/>
      <c r="S36" s="1044"/>
      <c r="T36" s="1044"/>
      <c r="U36" s="1044"/>
      <c r="V36" s="1044"/>
      <c r="W36" s="1044"/>
      <c r="X36" s="1045"/>
      <c r="Y36" s="1045"/>
      <c r="Z36" s="1045"/>
      <c r="AA36" s="1045"/>
      <c r="AB36" s="1045"/>
      <c r="AC36" s="1045"/>
      <c r="AD36" s="961"/>
      <c r="AE36" s="962"/>
      <c r="AF36" s="962"/>
      <c r="AG36" s="962"/>
      <c r="AH36" s="962"/>
      <c r="AI36" s="963"/>
      <c r="AJ36" s="949"/>
      <c r="AK36" s="950"/>
      <c r="AL36" s="951"/>
      <c r="AM36" s="949"/>
      <c r="AN36" s="950"/>
      <c r="AO36" s="951"/>
      <c r="AP36" s="955"/>
      <c r="AQ36" s="956"/>
      <c r="AR36" s="957"/>
      <c r="AS36" s="955"/>
      <c r="AT36" s="956"/>
      <c r="AU36" s="957"/>
      <c r="AV36" s="968"/>
      <c r="AW36" s="969"/>
      <c r="AX36" s="970"/>
      <c r="AY36" s="968"/>
      <c r="AZ36" s="969"/>
      <c r="BA36" s="970"/>
      <c r="BB36" s="945"/>
      <c r="BC36" s="946"/>
      <c r="BD36" s="945"/>
      <c r="BE36" s="946"/>
      <c r="BF36" s="929" t="str">
        <f t="shared" ref="BF36" si="217">IF(CB36="OK",ROUND(BB36+BD36,2),"")</f>
        <v/>
      </c>
      <c r="BG36" s="930"/>
      <c r="BH36" s="971" t="str">
        <f t="shared" ref="BH36" si="218">IFERROR(IF(AND($CB36="OK",$CU36="OK"),$CI36,IF($CB36&lt;&gt;"OK",$CB36,$CU36)),"")</f>
        <v/>
      </c>
      <c r="BI36" s="972"/>
      <c r="BJ36" s="973"/>
      <c r="BK36" s="933" t="str">
        <f t="shared" ref="BK36" si="219">IF($CB36="OK",CM36,"")</f>
        <v/>
      </c>
      <c r="BL36" s="934"/>
      <c r="BM36" s="935"/>
      <c r="BN36" s="939" t="str">
        <f t="shared" ref="BN36" si="220">IF($CB36="OK",$CR36,"")</f>
        <v/>
      </c>
      <c r="BO36" s="940"/>
      <c r="BP36" s="941"/>
      <c r="BQ36"/>
      <c r="BR36"/>
      <c r="BS36" s="967"/>
      <c r="BT36" s="967"/>
      <c r="BV36" s="926" t="str">
        <f t="shared" ref="BV36" si="221">IFERROR(ROUND(IF(AND(CB36="OK",CU36="OK"),CT36,""),0),"")</f>
        <v/>
      </c>
      <c r="BW36" s="926" t="str">
        <f t="shared" ref="BW36" si="222">IFERROR(ROUND(IF(AND(CB36="OK",CU36="OK"),BV36/3,""),0),"")</f>
        <v/>
      </c>
      <c r="BX36" s="926"/>
      <c r="BY36" s="927"/>
      <c r="BZ36" s="928"/>
      <c r="CB36" s="986" t="str">
        <f>IF(AND(C36="",F36="",R36="",AD36="",U36="",X36="",L36="",AJ36="",AV36="",AM36="",AP36="",AY36="",AV37="",BB36="",BD36="",AA36="",AS36=""),"",
IF(OR(C36="",F36="",R36="",AD36="",U36="",X36="",L36="",AJ36="",AV36="",AM36="",AP36="",AY36="",AV37="",BB36="",BD36="",AA36="",AS36=""),"Missing Fields",
IF(AND(M02S04F04disp="Required",M02S04F04=""),"TA Info Incomplete",
"OK")))</f>
        <v/>
      </c>
      <c r="CC36" s="925" t="str">
        <f>IF(AND($CB36="OK",$CU36="OK"),INDEX(Tbl_Cust_HVAC[Measure Number], MATCH(F36,Tbl_Cust_HVAC[Proj Desc 1],0)),"")</f>
        <v/>
      </c>
      <c r="CD36" s="925"/>
      <c r="CE36" s="925" t="str">
        <f t="shared" ref="CE36" si="223">IF(CB36="OK","Measure","")</f>
        <v/>
      </c>
      <c r="CF36" s="925" t="str">
        <f t="shared" ref="CF36" si="224">IF(CB36="OK",1,"")</f>
        <v/>
      </c>
      <c r="CG36" s="978" t="str">
        <f t="shared" ref="CG36" si="225">IFERROR(CI36/CF36,"")</f>
        <v/>
      </c>
      <c r="CH36" s="978" t="str">
        <f>IF(CB36="OK",IF(CM36&gt;0,CM36*Incent_Rate_kWh,0)+IF(CO36&gt;0,CO36*Incent_Rate_thm,0),"")</f>
        <v/>
      </c>
      <c r="CI36" s="978" t="str">
        <f>IFERROR(IF($CB36="OK",IF(INCENTTOCOST_CUST&gt;CostCap_Cust,
CH36*CostCap_Cust/INCENTTOCOST_CUST,CH36),""),"")</f>
        <v/>
      </c>
      <c r="CJ36" s="977">
        <f t="shared" ref="CJ36" si="226">CM36</f>
        <v>0</v>
      </c>
      <c r="CK36" s="977">
        <f t="shared" ref="CK36" si="227">CN36</f>
        <v>0</v>
      </c>
      <c r="CL36" s="977">
        <f t="shared" ref="CL36" si="228">CO36</f>
        <v>0</v>
      </c>
      <c r="CM36" s="977">
        <f>R36-AJ36</f>
        <v>0</v>
      </c>
      <c r="CN36" s="977">
        <f>U36-AM36</f>
        <v>0</v>
      </c>
      <c r="CO36" s="977">
        <f t="shared" ref="CO36" si="229">IF(CR36&gt;0,CR36,0)</f>
        <v>0</v>
      </c>
      <c r="CP36" s="977">
        <f t="shared" ref="CP36" si="230">CM36</f>
        <v>0</v>
      </c>
      <c r="CQ36" s="977">
        <f t="shared" ref="CQ36" si="231">CN36</f>
        <v>0</v>
      </c>
      <c r="CR36" s="977">
        <f>X36-AP36</f>
        <v>0</v>
      </c>
      <c r="CS36" s="983"/>
      <c r="CT36" s="982" t="str">
        <f>IF(CB36="OK",INDEX(Tbl_Cust_HVAC[EUL], MATCH(F36,Tbl_Cust_HVAC[Proj Desc 1],0)),"")</f>
        <v/>
      </c>
      <c r="CU36" s="979" t="str">
        <f t="shared" ref="CU36" si="232">IFERROR(IF(AND($CM36&lt;=0,$CN36&lt;=0,$CO36&lt;=0),"No Savings","OK"),"")</f>
        <v>No Savings</v>
      </c>
      <c r="CV36" s="925" t="str">
        <f t="shared" ref="CV36" si="233">IF(AND(CB36="OK",CU36="OK"),"1","")</f>
        <v/>
      </c>
      <c r="CW36" s="925" t="str">
        <f>IFERROR(IF($CB36="OK",ROUND($AQ$14*SUM(BB36:BE37)/SUM($BB$18:$BE$37),2),""),"")</f>
        <v/>
      </c>
      <c r="CX36" s="925" t="str">
        <f>IFERROR(IF(M02S04F04="Customer/Self-Installed",CW36,IF($CB36="OK",CW36+BD36,"")),"")</f>
        <v/>
      </c>
      <c r="CY36" s="925" t="str">
        <f>IFERROR(IF($CB36="OK",CX36+BB36,""),"")</f>
        <v/>
      </c>
      <c r="CZ36" s="925" t="str">
        <f>IF(CB36="OK",INDEX(MEASURES3_M!$O$16:$O$20, MATCH(F36,MEASURES3_M!$C$16:$C$20,0)),"")</f>
        <v/>
      </c>
      <c r="DA36" s="925" t="str">
        <f>IF(CB36="OK",INDEX(MEASURES3_M!$P$16:$P$20, MATCH(F36,MEASURES3_M!$C$16:$C$20,0)),"")</f>
        <v/>
      </c>
      <c r="DD36" s="980" t="str">
        <f>IFERROR(IF(CB36&lt;&gt;"OK","",CM36*VLOOKUP('DATA TABLES_Project'!$C$247,'DATA TABLES_Project'!$A$250:$B$285,2,FALSE)),"")</f>
        <v/>
      </c>
      <c r="DE36" s="925" t="str">
        <f t="shared" ref="DE36" si="234">IFERROR(IF(CB36&lt;&gt;"OK","",CM36*CZ36*0.92),"")</f>
        <v/>
      </c>
      <c r="DF36" s="980" t="str">
        <f>IFERROR(IF(CB36&lt;&gt;"OK","",CM36*CZ36*0.92*VLOOKUP('DATA TABLES_Project'!$C$247,'DATA TABLES_Project'!$A$250:$B$285,2,FALSE)),"")</f>
        <v/>
      </c>
      <c r="DG36" s="925" t="str">
        <f t="shared" ref="DG36" si="235">IFERROR(IF(CB36&lt;&gt;"OK","",CM36*BV36),IF(BX36="Dual",(CM36*BW36)+((BY36-AJ36)*(BV36-BW36)),""))</f>
        <v/>
      </c>
      <c r="DH36" s="925" t="str">
        <f ca="1">IFERROR(IF(CB36&lt;&gt;"OK","",IF(OR(BX36="Single",BX36=""), CM36*BV36*AVERAGE(INDEX('DATA TABLES_Project'!$B$250:$B$285, MATCH('DATA TABLES_Project'!$C$247,'DATA TABLES_Project'!$A$250:$A$285, 0)):OFFSET(INDEX('DATA TABLES_Project'!$B$250:$B$285, MATCH('DATA TABLES_Project'!$C$247,'DATA TABLES_Project'!$A$250:$A$285, 0)),BV36-1,0)),CM36*BW36*AVERAGE(INDEX('DATA TABLES_Project'!$B$250:$B$285, MATCH('DATA TABLES_Project'!$C$247,'DATA TABLES_Project'!$A$250:$A$285, 0)):OFFSET(INDEX('DATA TABLES_Project'!$B$250:$B$285, MATCH('DATA TABLES_Project'!$C$247,'DATA TABLES_Project'!$A$250:$A$285, 0)),BW36-1,0)) + ((BY36-AJ36)*(BV36-BW36)*AVERAGE(OFFSET(INDEX('DATA TABLES_Project'!$B$250:$B$285, MATCH('DATA TABLES_Project'!$C$247,'DATA TABLES_Project'!$A$250:$A$285, 0)),BW36,0):OFFSET(INDEX('DATA TABLES_Project'!$B$250:$B$285, MATCH('DATA TABLES_Project'!$C$247,'DATA TABLES_Project'!$A$250:$A$285, 0)),BV36-1,0))))), "")</f>
        <v/>
      </c>
      <c r="DI36" s="925" t="str">
        <f t="shared" ref="DI36" si="236">IFERROR(IF(CB36&lt;&gt;"OK","",IF(BX36="Dual",(CM36*BW36)+((BY36-AJ36)*(BV36-BW36))*CZ36*0.92,CM36*CZ36*BV36*0.92)),"")</f>
        <v/>
      </c>
      <c r="DJ36" s="925" t="str">
        <f ca="1">IFERROR(IF(CB36&lt;&gt;"OK","",IF(OR(BX36="Single",BX36=""),0.92*CZ36*CM36*BV36*AVERAGE(INDEX('DATA TABLES_Project'!$B$250:$B$285, MATCH('DATA TABLES_Project'!$C$247,'DATA TABLES_Project'!$A$250:$A$285, 0)):OFFSET(INDEX('DATA TABLES_Project'!$B$250:$B$285, MATCH('DATA TABLES_Project'!$C$247,'DATA TABLES_Project'!$A$250:$A$285, 0)),BV36-1,0)),0.92*CZ36*CM36*BW36*AVERAGE(INDEX('DATA TABLES_Project'!$B$250:$B$285, MATCH('DATA TABLES_Project'!$C$247,'DATA TABLES_Project'!$A$250:$A$285, 0)):OFFSET(INDEX('DATA TABLES_Project'!$B$250:$B$285, MATCH('DATA TABLES_Project'!$C$247,'DATA TABLES_Project'!$A$250:$A$285, 0)),BW36-1,0)) + (0.92*CZ36*(BY36-AJ36)*(BV36-BW36)*AVERAGE(OFFSET(INDEX('DATA TABLES_Project'!$B$250:$B$285, MATCH('DATA TABLES_Project'!$C$247,'DATA TABLES_Project'!$A$250:$A$285, 0)),BW36,0):OFFSET(INDEX('DATA TABLES_Project'!$B$250:$B$285, MATCH('DATA TABLES_Project'!$C$247,'DATA TABLES_Project'!$A$250:$A$285, 0)),BV36-1,0))))), "")</f>
        <v/>
      </c>
      <c r="DK36" s="925" t="str">
        <f>IFERROR(IF(CB36&lt;&gt;"OK","",CO36*'DATA TABLES_Project'!$C$250),"")</f>
        <v/>
      </c>
      <c r="DL36" s="925" t="str">
        <f t="shared" ref="DL36" si="237">IFERROR(IF(CB36&lt;&gt;"OK","",CO36*DA36*0.92),"")</f>
        <v/>
      </c>
      <c r="DM36" s="925" t="str">
        <f>IFERROR(IF(CB36&lt;&gt;"OK","",CO36*'DATA TABLES_Project'!$C$250*DA36*0.92),"")</f>
        <v/>
      </c>
      <c r="DN36" s="925" t="str">
        <f t="shared" ref="DN36" si="238">IFERROR(IF(CB36&lt;&gt;"OK","",CO36*BV36),IF(BX36="Dual",(CO36*BW36)+((BZ36-AP36)*(BV36-BW36)),""))</f>
        <v/>
      </c>
      <c r="DO36" s="925" t="str">
        <f ca="1">IFERROR(IF(CB36&lt;&gt;"OK","",CO36*BV36*AVERAGE('DATA TABLES_Project'!$C$250:OFFSET('DATA TABLES_Project'!$C$250,BV36,0))),IF(BX36="Dual",(CO36*BW36*AVERAGE('DATA TABLES_Project'!$C$251:$C$259))+((BZ36-AP36)*(BV36-BW36)*AVERAGE('DATA TABLES_Project'!$C$260:$C$279)),""))</f>
        <v/>
      </c>
      <c r="DP36" s="925" t="str">
        <f t="shared" ref="DP36" si="239">IFERROR(IF(CB36&lt;&gt;"OK","",IF(BX36="Dual",((CO36*BW36)+(BZ36-AP36)*(BV36-BW36))*DA36*0.92,CO36*BV36*DA36*0.92)),"")</f>
        <v/>
      </c>
      <c r="DQ36" s="925" t="str">
        <f ca="1">IFERROR(IF(CB36&lt;&gt;"OK","",IF(BX36="Dual",(0.92*DA36*CO36*BW36*AVERAGE('DATA TABLES_Project'!$C$251:$C$259))+(0.92*DA36*(BZ36-AP36)*(BV36-BW36)*AVERAGE('DATA TABLES_Project'!$C$260:$C$279)),0.92*DA36*CO36*BV36*AVERAGE('DATA TABLES_Project'!$C$250:OFFSET('DATA TABLES_Project'!$C$250,BV36,0)))),"")</f>
        <v/>
      </c>
      <c r="DR36" s="980" t="str">
        <f>IFERROR(IF($CB36&lt;&gt;"OK","",CM36*'DATA TABLES_Project'!$B$290+IF(CO36&lt;0,0,CO36*'DATA TABLES_Project'!$B$291)),"")</f>
        <v/>
      </c>
      <c r="DS36" s="980" t="str">
        <f>IFERROR(IF($CB36&lt;&gt;"OK","",DD36*'DATA TABLES_Project'!$B$290+IF(DK36&lt;0,0,DK36*'DATA TABLES_Project'!$B$291)),"")</f>
        <v/>
      </c>
      <c r="DT36" s="980" t="str">
        <f>IFERROR(IF($CB36&lt;&gt;"OK","",DE36*'DATA TABLES_Project'!$B$290+IF(DL36&lt;0,0,DL36*'DATA TABLES_Project'!$B$291)),"")</f>
        <v/>
      </c>
      <c r="DU36" s="980" t="str">
        <f>IFERROR(IF($CB36&lt;&gt;"OK","",DF36*'DATA TABLES_Project'!$B$290+IF(DM36&lt;0,0,DM36*'DATA TABLES_Project'!$B$291)),"")</f>
        <v/>
      </c>
      <c r="DV36" s="980" t="str">
        <f>IFERROR(IF($CB36&lt;&gt;"OK","",DG36*'DATA TABLES_Project'!$B$290+IF(DN36&lt;0,0,DN36*'DATA TABLES_Project'!$B$291)),"")</f>
        <v/>
      </c>
      <c r="DW36" s="980" t="str">
        <f>IFERROR(IF($CB36&lt;&gt;"OK","",DH36*'DATA TABLES_Project'!$B$290+IF(DO36&lt;0,0,DO36*'DATA TABLES_Project'!$B$291)),"")</f>
        <v/>
      </c>
      <c r="DX36" s="980" t="str">
        <f>IFERROR(IF($CB36&lt;&gt;"OK","",DI36*'DATA TABLES_Project'!$B$290+IF(DP36&lt;0,0,DP36*'DATA TABLES_Project'!$B$291)),"")</f>
        <v/>
      </c>
      <c r="DY36" s="925" t="str">
        <f>IFERROR(IF($CB36&lt;&gt;"OK","",DJ36*'DATA TABLES_Project'!$B$290+IF(DQ36&lt;0,0,DQ36*'DATA TABLES_Project'!$B$291)),"")</f>
        <v/>
      </c>
      <c r="DZ36" s="925" t="str">
        <f t="shared" ref="DZ36" si="240">IFERROR(IF($CB36&lt;&gt;"OK","",AS36),"")</f>
        <v/>
      </c>
      <c r="EA36" s="925" t="str">
        <f>IFERROR(IF(CB36&lt;&gt;"OK","",CN36*'DATA TABLES_Project'!$B$250*CZ36*1.03),"")</f>
        <v/>
      </c>
      <c r="EB36" s="925" t="str">
        <f t="shared" ref="EB36" si="241">IFERROR(IF(CB36&lt;&gt;"OK","",CN36*CZ36*1.03),"")</f>
        <v/>
      </c>
      <c r="EC36" s="925" t="str">
        <f>IFERROR(IF(CB36&lt;&gt;"OK","",CZ36*DZ36*'DATA TABLES_Project'!$C$250*0.92),"")</f>
        <v/>
      </c>
      <c r="ED36" s="925" t="str">
        <f>IFERROR(IF(CB36&lt;&gt;"OK","",CZ36*DZ36*'DATA TABLES_Project'!$C$250*0.92),"")</f>
        <v/>
      </c>
      <c r="EE36" s="925" t="str">
        <f t="shared" ref="EE36" si="242">IFERROR(IF(CB36&lt;&gt;"OK","",CZ36*DZ36*0.92),"")</f>
        <v/>
      </c>
      <c r="EF36" s="925" t="str">
        <f t="shared" ref="EF36" si="243">IFERROR(IF(CB36&lt;&gt;"OK","",CZ36*DZ36*0.92),"")</f>
        <v/>
      </c>
      <c r="EG36" s="925" t="str">
        <f>IFERROR(IF($CB36&lt;&gt;"OK","",CM36*'DATA TABLES_Project'!$B$290+CO36*'DATA TABLES_Project'!$B$291),"")</f>
        <v/>
      </c>
      <c r="EH36" s="925" t="str">
        <f>IFERROR(IF($CB36&lt;&gt;"OK","",DD36*'DATA TABLES_Project'!$B$290+DK36*'DATA TABLES_Project'!$B$291),"")</f>
        <v/>
      </c>
      <c r="EI36" s="925" t="str">
        <f>IFERROR(IF($CB36&lt;&gt;"OK","",DE36*'DATA TABLES_Project'!$B$290+DL36*'DATA TABLES_Project'!$B$291),"")</f>
        <v/>
      </c>
      <c r="EJ36" s="925" t="str">
        <f>IFERROR(IF($CB36&lt;&gt;"OK","",DF36*'DATA TABLES_Project'!$B$290+DM36*'DATA TABLES_Project'!$B$291),"")</f>
        <v/>
      </c>
      <c r="EK36" s="925" t="str">
        <f>IFERROR(IF($CB36&lt;&gt;"OK","",DG36*'DATA TABLES_Project'!$B$290+DN36*'DATA TABLES_Project'!$B$291),"")</f>
        <v/>
      </c>
      <c r="EL36" s="925" t="str">
        <f>IFERROR(IF($CB36&lt;&gt;"OK","",DH36*'DATA TABLES_Project'!$B$290+DO36*'DATA TABLES_Project'!$B$291),"")</f>
        <v/>
      </c>
      <c r="EM36" s="925" t="str">
        <f>IFERROR(IF($CB36&lt;&gt;"OK","",DI36*'DATA TABLES_Project'!$B$290+DP36*'DATA TABLES_Project'!$B$291),"")</f>
        <v/>
      </c>
      <c r="EN36" s="925" t="str">
        <f>IFERROR(IF($CB36&lt;&gt;"OK","",DJ36*'DATA TABLES_Project'!$B$290+DQ36*'DATA TABLES_Project'!$B$291),"")</f>
        <v/>
      </c>
    </row>
    <row r="37" spans="1:144" ht="16.350000000000001" customHeight="1">
      <c r="A37" s="462"/>
      <c r="B37" s="994"/>
      <c r="C37" s="998"/>
      <c r="D37" s="999"/>
      <c r="E37" s="1000"/>
      <c r="F37" s="964"/>
      <c r="G37" s="965"/>
      <c r="H37" s="965"/>
      <c r="I37" s="965"/>
      <c r="J37" s="965"/>
      <c r="K37" s="966"/>
      <c r="L37" s="964"/>
      <c r="M37" s="965"/>
      <c r="N37" s="965"/>
      <c r="O37" s="965"/>
      <c r="P37" s="965"/>
      <c r="Q37" s="966"/>
      <c r="R37" s="1044"/>
      <c r="S37" s="1044"/>
      <c r="T37" s="1044"/>
      <c r="U37" s="1044"/>
      <c r="V37" s="1044"/>
      <c r="W37" s="1044"/>
      <c r="X37" s="1045"/>
      <c r="Y37" s="1045"/>
      <c r="Z37" s="1045"/>
      <c r="AA37" s="1045"/>
      <c r="AB37" s="1045"/>
      <c r="AC37" s="1045"/>
      <c r="AD37" s="964"/>
      <c r="AE37" s="965"/>
      <c r="AF37" s="965"/>
      <c r="AG37" s="965"/>
      <c r="AH37" s="965"/>
      <c r="AI37" s="966"/>
      <c r="AJ37" s="952"/>
      <c r="AK37" s="953"/>
      <c r="AL37" s="954"/>
      <c r="AM37" s="952"/>
      <c r="AN37" s="953"/>
      <c r="AO37" s="954"/>
      <c r="AP37" s="958"/>
      <c r="AQ37" s="959"/>
      <c r="AR37" s="960"/>
      <c r="AS37" s="958"/>
      <c r="AT37" s="959"/>
      <c r="AU37" s="960"/>
      <c r="AV37" s="968"/>
      <c r="AW37" s="969"/>
      <c r="AX37" s="969"/>
      <c r="AY37" s="969"/>
      <c r="AZ37" s="969"/>
      <c r="BA37" s="970"/>
      <c r="BB37" s="947"/>
      <c r="BC37" s="948"/>
      <c r="BD37" s="947"/>
      <c r="BE37" s="948"/>
      <c r="BF37" s="931"/>
      <c r="BG37" s="932"/>
      <c r="BH37" s="974"/>
      <c r="BI37" s="975"/>
      <c r="BJ37" s="976"/>
      <c r="BK37" s="936"/>
      <c r="BL37" s="937"/>
      <c r="BM37" s="938"/>
      <c r="BN37" s="942"/>
      <c r="BO37" s="943"/>
      <c r="BP37" s="944"/>
      <c r="BQ37"/>
      <c r="BR37"/>
      <c r="BS37" s="967"/>
      <c r="BT37" s="967"/>
      <c r="BV37" s="926"/>
      <c r="BW37" s="926"/>
      <c r="BX37" s="926"/>
      <c r="BY37" s="927"/>
      <c r="BZ37" s="928"/>
      <c r="CB37" s="986"/>
      <c r="CC37" s="925"/>
      <c r="CD37" s="925"/>
      <c r="CE37" s="925"/>
      <c r="CF37" s="925"/>
      <c r="CG37" s="925"/>
      <c r="CH37" s="925"/>
      <c r="CI37" s="925"/>
      <c r="CJ37" s="977"/>
      <c r="CK37" s="977"/>
      <c r="CL37" s="977"/>
      <c r="CM37" s="977"/>
      <c r="CN37" s="977"/>
      <c r="CO37" s="977"/>
      <c r="CP37" s="977"/>
      <c r="CQ37" s="977"/>
      <c r="CR37" s="977"/>
      <c r="CS37" s="983"/>
      <c r="CT37" s="982"/>
      <c r="CU37" s="979"/>
      <c r="CV37" s="925"/>
      <c r="CW37" s="925"/>
      <c r="CX37" s="925"/>
      <c r="CY37" s="925"/>
      <c r="CZ37" s="925"/>
      <c r="DA37" s="925"/>
      <c r="DD37" s="981"/>
      <c r="DE37" s="925"/>
      <c r="DF37" s="981"/>
      <c r="DG37" s="925"/>
      <c r="DH37" s="925"/>
      <c r="DI37" s="925"/>
      <c r="DJ37" s="925"/>
      <c r="DK37" s="925"/>
      <c r="DL37" s="925"/>
      <c r="DM37" s="925"/>
      <c r="DN37" s="925"/>
      <c r="DO37" s="925"/>
      <c r="DP37" s="925"/>
      <c r="DQ37" s="925"/>
      <c r="DR37" s="981"/>
      <c r="DS37" s="981"/>
      <c r="DT37" s="981"/>
      <c r="DU37" s="981"/>
      <c r="DV37" s="981"/>
      <c r="DW37" s="981"/>
      <c r="DX37" s="981"/>
      <c r="DY37" s="925"/>
      <c r="DZ37" s="925"/>
      <c r="EA37" s="925"/>
      <c r="EB37" s="925"/>
      <c r="EC37" s="925"/>
      <c r="ED37" s="925"/>
      <c r="EE37" s="925"/>
      <c r="EF37" s="925"/>
      <c r="EG37" s="925"/>
      <c r="EH37" s="925"/>
      <c r="EI37" s="925"/>
      <c r="EJ37" s="925"/>
      <c r="EK37" s="925"/>
      <c r="EL37" s="925"/>
      <c r="EM37" s="925"/>
      <c r="EN37" s="925"/>
    </row>
    <row r="38" spans="1:144" ht="16.350000000000001" customHeight="1">
      <c r="A38" s="462"/>
      <c r="B38" s="994"/>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462"/>
      <c r="BD38" s="462"/>
      <c r="BE38" s="462"/>
      <c r="BF38" s="462"/>
      <c r="BG38" s="462"/>
      <c r="BH38" s="462"/>
      <c r="BI38" s="462"/>
      <c r="BJ38" s="462"/>
      <c r="BK38"/>
      <c r="BL38"/>
      <c r="BM38"/>
      <c r="BN38"/>
      <c r="BO38"/>
      <c r="BP38"/>
      <c r="BQ38"/>
      <c r="BR38"/>
    </row>
    <row r="39" spans="1:144" ht="16.350000000000001" hidden="1" customHeight="1">
      <c r="A39" s="462"/>
      <c r="B39" s="994"/>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462"/>
      <c r="BD39" s="462"/>
      <c r="BE39" s="462"/>
      <c r="BF39" s="462"/>
      <c r="BG39" s="462"/>
      <c r="BH39" s="462"/>
      <c r="BI39" s="462"/>
      <c r="BJ39" s="462"/>
      <c r="BK39"/>
      <c r="BL39"/>
      <c r="BM39"/>
      <c r="BN39"/>
      <c r="BO39"/>
      <c r="BP39"/>
      <c r="BQ39"/>
      <c r="BR39"/>
    </row>
    <row r="40" spans="1:144" ht="16.350000000000001" hidden="1" customHeight="1">
      <c r="A40"/>
      <c r="B40" s="1046"/>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row>
    <row r="41" spans="1:144" ht="16.350000000000001" hidden="1" customHeight="1">
      <c r="A41"/>
      <c r="B41" s="1046"/>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row>
    <row r="42" spans="1:144" ht="16.350000000000001" hidden="1" customHeight="1">
      <c r="A42"/>
      <c r="B42" s="1046"/>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row>
    <row r="43" spans="1:144" ht="16.350000000000001" hidden="1" customHeight="1">
      <c r="A43"/>
      <c r="B43" s="1046"/>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row>
    <row r="44" spans="1:144" ht="16.350000000000001" hidden="1" customHeight="1">
      <c r="A44"/>
      <c r="B44" s="1046"/>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row>
    <row r="45" spans="1:144" ht="16.350000000000001" hidden="1" customHeight="1">
      <c r="A45"/>
      <c r="B45" s="1046"/>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row>
    <row r="46" spans="1:144" ht="16.350000000000001" hidden="1" customHeight="1">
      <c r="A46"/>
      <c r="B46" s="10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row>
    <row r="47" spans="1:144" ht="16.350000000000001" hidden="1" customHeight="1">
      <c r="A47"/>
      <c r="B47" s="1046"/>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row>
    <row r="48" spans="1:144" ht="16.350000000000001"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s="16"/>
      <c r="AZ48" s="20"/>
      <c r="BA48" s="20"/>
      <c r="BB48" s="20"/>
      <c r="BC48"/>
      <c r="BD48"/>
      <c r="BE48" s="16"/>
      <c r="BF48" s="20"/>
      <c r="BG48"/>
      <c r="BH48"/>
      <c r="BI48"/>
      <c r="BJ48"/>
      <c r="BK48"/>
      <c r="BL48"/>
      <c r="BM48"/>
      <c r="BN48"/>
      <c r="BO48"/>
      <c r="BP48"/>
      <c r="BQ48"/>
      <c r="BR48"/>
    </row>
    <row r="49" spans="51:58" customFormat="1" ht="16.350000000000001" hidden="1" customHeight="1">
      <c r="AY49" s="16"/>
      <c r="AZ49" s="20"/>
      <c r="BA49" s="20"/>
      <c r="BB49" s="20"/>
      <c r="BE49" s="16"/>
      <c r="BF49" s="20"/>
    </row>
    <row r="50" spans="51:58" customFormat="1" ht="16.350000000000001" hidden="1" customHeight="1">
      <c r="AY50" s="16"/>
      <c r="AZ50" s="20"/>
      <c r="BA50" s="20"/>
      <c r="BB50" s="20"/>
      <c r="BE50" s="16"/>
      <c r="BF50" s="20"/>
    </row>
    <row r="51" spans="51:58" customFormat="1" ht="16.350000000000001" hidden="1" customHeight="1">
      <c r="AY51" s="16"/>
      <c r="AZ51" s="20"/>
      <c r="BA51" s="20"/>
      <c r="BB51" s="20"/>
      <c r="BE51" s="16"/>
      <c r="BF51" s="20"/>
    </row>
    <row r="52" spans="51:58" customFormat="1" ht="16.350000000000001" hidden="1" customHeight="1">
      <c r="AY52" s="16"/>
      <c r="AZ52" s="20"/>
      <c r="BA52" s="20"/>
      <c r="BB52" s="20"/>
      <c r="BE52" s="16"/>
      <c r="BF52" s="20"/>
    </row>
    <row r="53" spans="51:58" customFormat="1" ht="16.350000000000001" hidden="1" customHeight="1">
      <c r="AY53" s="16"/>
      <c r="AZ53" s="20"/>
      <c r="BA53" s="20"/>
      <c r="BB53" s="20"/>
      <c r="BE53" s="16"/>
      <c r="BF53" s="20"/>
    </row>
    <row r="54" spans="51:58" customFormat="1" ht="16.350000000000001" hidden="1" customHeight="1">
      <c r="AY54" s="16"/>
      <c r="AZ54" s="20"/>
      <c r="BA54" s="20"/>
      <c r="BB54" s="20"/>
      <c r="BE54" s="16"/>
      <c r="BF54" s="20"/>
    </row>
    <row r="55" spans="51:58" customFormat="1" ht="16.350000000000001" hidden="1" customHeight="1">
      <c r="AY55" s="16"/>
      <c r="AZ55" s="20"/>
      <c r="BA55" s="20"/>
      <c r="BB55" s="20"/>
      <c r="BE55" s="16"/>
      <c r="BF55" s="20"/>
    </row>
    <row r="56" spans="51:58" customFormat="1" ht="16.350000000000001" hidden="1" customHeight="1">
      <c r="AY56" s="16"/>
      <c r="AZ56" s="20"/>
      <c r="BA56" s="20"/>
      <c r="BB56" s="20"/>
      <c r="BE56" s="16"/>
      <c r="BF56" s="20"/>
    </row>
    <row r="57" spans="51:58" customFormat="1" ht="16.350000000000001" hidden="1" customHeight="1">
      <c r="AY57" s="16"/>
      <c r="AZ57" s="20"/>
      <c r="BA57" s="20"/>
      <c r="BB57" s="20"/>
      <c r="BE57" s="16"/>
      <c r="BF57" s="20"/>
    </row>
    <row r="58" spans="51:58" customFormat="1" ht="16.350000000000001" hidden="1" customHeight="1">
      <c r="AY58" s="16"/>
      <c r="AZ58" s="20"/>
      <c r="BA58" s="20"/>
      <c r="BB58" s="20"/>
      <c r="BE58" s="16"/>
      <c r="BF58" s="20"/>
    </row>
    <row r="59" spans="51:58" customFormat="1" ht="16.350000000000001" hidden="1" customHeight="1">
      <c r="AY59" s="16"/>
      <c r="AZ59" s="20"/>
      <c r="BA59" s="20"/>
      <c r="BB59" s="20"/>
      <c r="BE59" s="16"/>
      <c r="BF59" s="20"/>
    </row>
    <row r="60" spans="51:58" customFormat="1" ht="16.350000000000001" hidden="1" customHeight="1">
      <c r="AY60" s="16"/>
      <c r="AZ60" s="20"/>
      <c r="BA60" s="20"/>
      <c r="BB60" s="20"/>
      <c r="BE60" s="16"/>
      <c r="BF60" s="20"/>
    </row>
    <row r="61" spans="51:58" customFormat="1" ht="16.350000000000001" hidden="1" customHeight="1">
      <c r="AY61" s="16"/>
      <c r="AZ61" s="20"/>
      <c r="BA61" s="20"/>
      <c r="BB61" s="20"/>
      <c r="BE61" s="16"/>
      <c r="BF61" s="20"/>
    </row>
    <row r="62" spans="51:58" customFormat="1" ht="16.350000000000001" hidden="1" customHeight="1">
      <c r="AY62" s="16"/>
      <c r="AZ62" s="20"/>
      <c r="BA62" s="20"/>
      <c r="BB62" s="20"/>
      <c r="BE62" s="16"/>
      <c r="BF62" s="20"/>
    </row>
    <row r="63" spans="51:58" customFormat="1" ht="16.350000000000001" hidden="1" customHeight="1">
      <c r="AY63" s="16"/>
      <c r="AZ63" s="20"/>
      <c r="BA63" s="20"/>
      <c r="BB63" s="20"/>
      <c r="BE63" s="16"/>
      <c r="BF63" s="20"/>
    </row>
    <row r="64" spans="51:58" customFormat="1" ht="16.350000000000001" hidden="1" customHeight="1">
      <c r="AY64" s="16"/>
      <c r="AZ64" s="20"/>
      <c r="BA64" s="20"/>
      <c r="BB64" s="20"/>
      <c r="BE64" s="16"/>
      <c r="BF64" s="20"/>
    </row>
    <row r="65" spans="51:58" customFormat="1" ht="16.350000000000001" hidden="1" customHeight="1">
      <c r="AY65" s="16"/>
      <c r="AZ65" s="20"/>
      <c r="BA65" s="20"/>
      <c r="BB65" s="20"/>
      <c r="BE65" s="16"/>
      <c r="BF65" s="20"/>
    </row>
    <row r="66" spans="51:58" customFormat="1" ht="16.350000000000001" hidden="1" customHeight="1">
      <c r="AY66" s="16"/>
      <c r="AZ66" s="20"/>
      <c r="BA66" s="20"/>
      <c r="BB66" s="20"/>
      <c r="BE66" s="16"/>
      <c r="BF66" s="20"/>
    </row>
    <row r="67" spans="51:58" customFormat="1" ht="16.350000000000001" hidden="1" customHeight="1">
      <c r="AY67" s="16"/>
      <c r="AZ67" s="20"/>
      <c r="BA67" s="20"/>
      <c r="BB67" s="20"/>
      <c r="BE67" s="16"/>
      <c r="BF67" s="20"/>
    </row>
    <row r="68" spans="51:58" customFormat="1" ht="16.350000000000001" hidden="1" customHeight="1">
      <c r="AY68" s="16"/>
      <c r="AZ68" s="20"/>
      <c r="BA68" s="20"/>
      <c r="BB68" s="20"/>
      <c r="BE68" s="16"/>
      <c r="BF68" s="20"/>
    </row>
    <row r="69" spans="51:58" customFormat="1" ht="16.350000000000001" hidden="1" customHeight="1">
      <c r="AY69" s="16"/>
      <c r="AZ69" s="20"/>
      <c r="BA69" s="20"/>
      <c r="BB69" s="20"/>
      <c r="BE69" s="16"/>
      <c r="BF69" s="20"/>
    </row>
    <row r="70" spans="51:58" customFormat="1" ht="16.350000000000001" hidden="1" customHeight="1">
      <c r="AY70" s="16"/>
      <c r="AZ70" s="20"/>
      <c r="BA70" s="20"/>
      <c r="BB70" s="20"/>
      <c r="BE70" s="16"/>
      <c r="BF70" s="20"/>
    </row>
    <row r="71" spans="51:58" customFormat="1" ht="16.350000000000001" hidden="1" customHeight="1">
      <c r="AY71" s="16"/>
      <c r="AZ71" s="20"/>
      <c r="BA71" s="20"/>
      <c r="BB71" s="20"/>
      <c r="BE71" s="16"/>
      <c r="BF71" s="20"/>
    </row>
    <row r="72" spans="51:58" customFormat="1" ht="16.350000000000001" hidden="1" customHeight="1">
      <c r="AY72" s="16"/>
      <c r="AZ72" s="20"/>
      <c r="BA72" s="20"/>
      <c r="BB72" s="20"/>
      <c r="BE72" s="16"/>
      <c r="BF72" s="20"/>
    </row>
    <row r="73" spans="51:58" customFormat="1" ht="16.350000000000001" hidden="1" customHeight="1">
      <c r="AY73" s="16"/>
      <c r="AZ73" s="20"/>
      <c r="BA73" s="20"/>
      <c r="BB73" s="20"/>
      <c r="BE73" s="16"/>
      <c r="BF73" s="20"/>
    </row>
    <row r="74" spans="51:58" customFormat="1" ht="16.350000000000001" hidden="1" customHeight="1">
      <c r="AY74" s="16"/>
      <c r="AZ74" s="20"/>
      <c r="BA74" s="20"/>
      <c r="BB74" s="20"/>
      <c r="BE74" s="16"/>
      <c r="BF74" s="20"/>
    </row>
    <row r="75" spans="51:58" customFormat="1" ht="16.350000000000001" hidden="1" customHeight="1">
      <c r="AY75" s="16"/>
      <c r="AZ75" s="20"/>
      <c r="BA75" s="20"/>
      <c r="BB75" s="20"/>
      <c r="BE75" s="16"/>
      <c r="BF75" s="20"/>
    </row>
    <row r="76" spans="51:58" customFormat="1" ht="16.350000000000001" hidden="1" customHeight="1">
      <c r="AY76" s="16"/>
      <c r="AZ76" s="20"/>
      <c r="BA76" s="20"/>
      <c r="BB76" s="20"/>
      <c r="BE76" s="16"/>
      <c r="BF76" s="20"/>
    </row>
    <row r="77" spans="51:58" customFormat="1" ht="16.350000000000001" hidden="1" customHeight="1">
      <c r="AY77" s="16"/>
      <c r="AZ77" s="20"/>
      <c r="BA77" s="20"/>
      <c r="BB77" s="20"/>
      <c r="BE77" s="16"/>
      <c r="BF77" s="20"/>
    </row>
    <row r="78" spans="51:58" customFormat="1" ht="16.350000000000001" hidden="1" customHeight="1">
      <c r="AY78" s="16"/>
      <c r="AZ78" s="20"/>
      <c r="BA78" s="20"/>
      <c r="BB78" s="20"/>
      <c r="BE78" s="16"/>
      <c r="BF78" s="20"/>
    </row>
    <row r="79" spans="51:58" customFormat="1" ht="16.350000000000001" hidden="1" customHeight="1">
      <c r="AY79" s="16"/>
      <c r="AZ79" s="20"/>
      <c r="BA79" s="20"/>
      <c r="BB79" s="20"/>
      <c r="BE79" s="16"/>
      <c r="BF79" s="20"/>
    </row>
    <row r="80" spans="51:58" customFormat="1" ht="16.350000000000001" hidden="1" customHeight="1">
      <c r="AY80" s="16"/>
      <c r="AZ80" s="20"/>
      <c r="BA80" s="20"/>
      <c r="BB80" s="20"/>
      <c r="BE80" s="16"/>
      <c r="BF80" s="20"/>
    </row>
    <row r="81" spans="51:58" customFormat="1" ht="16.350000000000001" hidden="1" customHeight="1">
      <c r="AY81" s="16"/>
      <c r="AZ81" s="20"/>
      <c r="BA81" s="20"/>
      <c r="BB81" s="20"/>
      <c r="BE81" s="16"/>
      <c r="BF81" s="20"/>
    </row>
    <row r="82" spans="51:58" customFormat="1" ht="16.350000000000001" hidden="1" customHeight="1">
      <c r="AY82" s="16"/>
      <c r="AZ82" s="20"/>
      <c r="BA82" s="20"/>
      <c r="BB82" s="20"/>
      <c r="BE82" s="16"/>
      <c r="BF82" s="20"/>
    </row>
    <row r="83" spans="51:58" customFormat="1" ht="16.350000000000001" hidden="1" customHeight="1">
      <c r="AY83" s="16"/>
      <c r="AZ83" s="20"/>
      <c r="BA83" s="20"/>
      <c r="BB83" s="20"/>
      <c r="BE83" s="16"/>
      <c r="BF83" s="20"/>
    </row>
    <row r="84" spans="51:58" customFormat="1" ht="16.350000000000001" hidden="1" customHeight="1">
      <c r="AY84" s="16"/>
      <c r="AZ84" s="20"/>
      <c r="BA84" s="20"/>
      <c r="BB84" s="20"/>
      <c r="BE84" s="16"/>
      <c r="BF84" s="20"/>
    </row>
    <row r="85" spans="51:58" customFormat="1" ht="16.350000000000001" hidden="1" customHeight="1">
      <c r="AY85" s="16"/>
      <c r="AZ85" s="20"/>
      <c r="BA85" s="20"/>
      <c r="BB85" s="20"/>
      <c r="BE85" s="16"/>
      <c r="BF85" s="20"/>
    </row>
    <row r="86" spans="51:58" customFormat="1" ht="16.350000000000001" hidden="1" customHeight="1">
      <c r="AY86" s="16"/>
      <c r="AZ86" s="20"/>
      <c r="BA86" s="20"/>
      <c r="BB86" s="20"/>
      <c r="BE86" s="16"/>
      <c r="BF86" s="20"/>
    </row>
    <row r="87" spans="51:58" customFormat="1" ht="16.350000000000001" hidden="1" customHeight="1">
      <c r="AY87" s="16"/>
      <c r="AZ87" s="20"/>
      <c r="BA87" s="20"/>
      <c r="BB87" s="20"/>
      <c r="BE87" s="16"/>
      <c r="BF87" s="20"/>
    </row>
    <row r="88" spans="51:58" customFormat="1" ht="16.350000000000001" hidden="1" customHeight="1">
      <c r="AY88" s="16"/>
      <c r="AZ88" s="20"/>
      <c r="BA88" s="20"/>
      <c r="BB88" s="20"/>
      <c r="BE88" s="16"/>
      <c r="BF88" s="20"/>
    </row>
    <row r="89" spans="51:58" customFormat="1" ht="16.350000000000001" hidden="1" customHeight="1">
      <c r="AY89" s="16"/>
      <c r="AZ89" s="20"/>
      <c r="BA89" s="20"/>
      <c r="BB89" s="20"/>
      <c r="BE89" s="16"/>
      <c r="BF89" s="20"/>
    </row>
    <row r="90" spans="51:58" customFormat="1" ht="16.350000000000001" hidden="1" customHeight="1">
      <c r="AY90" s="16"/>
      <c r="AZ90" s="20"/>
      <c r="BA90" s="20"/>
      <c r="BB90" s="20"/>
      <c r="BE90" s="16"/>
      <c r="BF90" s="20"/>
    </row>
    <row r="91" spans="51:58" customFormat="1" ht="16.350000000000001" hidden="1" customHeight="1">
      <c r="AY91" s="16"/>
      <c r="AZ91" s="20"/>
      <c r="BA91" s="20"/>
      <c r="BB91" s="20"/>
      <c r="BE91" s="16"/>
      <c r="BF91" s="20"/>
    </row>
    <row r="92" spans="51:58" customFormat="1" ht="16.350000000000001" hidden="1" customHeight="1">
      <c r="AY92" s="16"/>
      <c r="AZ92" s="20"/>
      <c r="BA92" s="20"/>
      <c r="BB92" s="20"/>
      <c r="BE92" s="16"/>
      <c r="BF92" s="20"/>
    </row>
    <row r="93" spans="51:58" customFormat="1" ht="16.350000000000001" hidden="1" customHeight="1">
      <c r="AY93" s="16"/>
      <c r="AZ93" s="20"/>
      <c r="BA93" s="20"/>
      <c r="BB93" s="20"/>
      <c r="BE93" s="16"/>
      <c r="BF93" s="20"/>
    </row>
    <row r="94" spans="51:58" customFormat="1" ht="16.350000000000001" hidden="1" customHeight="1">
      <c r="AY94" s="16"/>
      <c r="AZ94" s="20"/>
      <c r="BA94" s="20"/>
      <c r="BB94" s="20"/>
      <c r="BE94" s="16"/>
      <c r="BF94" s="20"/>
    </row>
    <row r="95" spans="51:58" customFormat="1" ht="16.350000000000001" hidden="1" customHeight="1">
      <c r="AY95" s="16"/>
      <c r="AZ95" s="20"/>
      <c r="BA95" s="20"/>
      <c r="BB95" s="20"/>
      <c r="BE95" s="16"/>
      <c r="BF95" s="20"/>
    </row>
    <row r="96" spans="51:58" customFormat="1" ht="16.350000000000001" hidden="1" customHeight="1">
      <c r="AY96" s="16"/>
      <c r="AZ96" s="20"/>
      <c r="BA96" s="20"/>
      <c r="BB96" s="20"/>
      <c r="BE96" s="16"/>
      <c r="BF96" s="20"/>
    </row>
    <row r="97" spans="51:58" customFormat="1" ht="16.350000000000001" hidden="1" customHeight="1">
      <c r="AY97" s="16"/>
      <c r="AZ97" s="20"/>
      <c r="BA97" s="20"/>
      <c r="BB97" s="20"/>
      <c r="BE97" s="16"/>
      <c r="BF97" s="20"/>
    </row>
    <row r="98" spans="51:58" customFormat="1" ht="16.350000000000001" hidden="1" customHeight="1">
      <c r="AY98" s="16"/>
      <c r="AZ98" s="20"/>
      <c r="BA98" s="20"/>
      <c r="BB98" s="20"/>
      <c r="BE98" s="16"/>
      <c r="BF98" s="20"/>
    </row>
    <row r="99" spans="51:58" customFormat="1" ht="16.350000000000001" hidden="1" customHeight="1">
      <c r="AY99" s="16"/>
      <c r="AZ99" s="20"/>
      <c r="BA99" s="20"/>
      <c r="BB99" s="20"/>
      <c r="BE99" s="16"/>
      <c r="BF99" s="20"/>
    </row>
    <row r="100" spans="51:58" customFormat="1" ht="16.350000000000001" hidden="1" customHeight="1">
      <c r="AY100" s="16"/>
      <c r="AZ100" s="20"/>
      <c r="BA100" s="20"/>
      <c r="BB100" s="20"/>
      <c r="BE100" s="16"/>
      <c r="BF100" s="20"/>
    </row>
    <row r="101" spans="51:58" customFormat="1" ht="16.350000000000001" hidden="1" customHeight="1">
      <c r="AY101" s="16"/>
      <c r="AZ101" s="20"/>
      <c r="BA101" s="20"/>
      <c r="BB101" s="20"/>
      <c r="BE101" s="16"/>
      <c r="BF101" s="20"/>
    </row>
    <row r="102" spans="51:58" customFormat="1" ht="16.350000000000001" hidden="1" customHeight="1">
      <c r="AY102" s="16"/>
      <c r="AZ102" s="20"/>
      <c r="BA102" s="20"/>
      <c r="BB102" s="20"/>
      <c r="BE102" s="16"/>
      <c r="BF102" s="20"/>
    </row>
    <row r="103" spans="51:58" customFormat="1" ht="16.350000000000001" hidden="1" customHeight="1">
      <c r="AY103" s="16"/>
      <c r="AZ103" s="20"/>
      <c r="BA103" s="20"/>
      <c r="BB103" s="20"/>
      <c r="BE103" s="16"/>
      <c r="BF103" s="20"/>
    </row>
    <row r="104" spans="51:58" customFormat="1" ht="16.350000000000001" hidden="1" customHeight="1">
      <c r="AY104" s="16"/>
      <c r="AZ104" s="20"/>
      <c r="BA104" s="20"/>
      <c r="BB104" s="20"/>
      <c r="BE104" s="16"/>
      <c r="BF104" s="20"/>
    </row>
    <row r="105" spans="51:58" customFormat="1" ht="16.350000000000001" hidden="1" customHeight="1">
      <c r="AY105" s="16"/>
      <c r="AZ105" s="20"/>
      <c r="BA105" s="20"/>
      <c r="BB105" s="20"/>
      <c r="BE105" s="16"/>
      <c r="BF105" s="20"/>
    </row>
    <row r="106" spans="51:58" customFormat="1" ht="16.350000000000001" hidden="1" customHeight="1">
      <c r="AY106" s="16"/>
      <c r="AZ106" s="20"/>
      <c r="BA106" s="20"/>
      <c r="BB106" s="20"/>
      <c r="BE106" s="16"/>
      <c r="BF106" s="20"/>
    </row>
    <row r="107" spans="51:58" customFormat="1" ht="16.350000000000001" hidden="1" customHeight="1">
      <c r="AY107" s="16"/>
      <c r="AZ107" s="20"/>
      <c r="BA107" s="20"/>
      <c r="BB107" s="20"/>
      <c r="BE107" s="16"/>
      <c r="BF107" s="20"/>
    </row>
    <row r="108" spans="51:58" customFormat="1" ht="16.350000000000001" hidden="1" customHeight="1">
      <c r="AY108" s="16"/>
      <c r="AZ108" s="20"/>
      <c r="BA108" s="20"/>
      <c r="BB108" s="20"/>
      <c r="BE108" s="16"/>
      <c r="BF108" s="20"/>
    </row>
    <row r="109" spans="51:58" customFormat="1" ht="16.350000000000001" hidden="1" customHeight="1">
      <c r="AY109" s="16"/>
      <c r="AZ109" s="20"/>
      <c r="BA109" s="20"/>
      <c r="BB109" s="20"/>
      <c r="BE109" s="16"/>
      <c r="BF109" s="20"/>
    </row>
    <row r="110" spans="51:58" customFormat="1" ht="16.350000000000001" hidden="1" customHeight="1">
      <c r="AY110" s="16"/>
      <c r="AZ110" s="20"/>
      <c r="BA110" s="20"/>
      <c r="BB110" s="20"/>
      <c r="BE110" s="16"/>
      <c r="BF110" s="20"/>
    </row>
    <row r="111" spans="51:58" customFormat="1" ht="16.350000000000001" hidden="1" customHeight="1">
      <c r="AY111" s="16"/>
      <c r="AZ111" s="20"/>
      <c r="BA111" s="20"/>
      <c r="BB111" s="20"/>
      <c r="BE111" s="16"/>
      <c r="BF111" s="20"/>
    </row>
    <row r="112" spans="51:58" customFormat="1" ht="16.350000000000001" hidden="1" customHeight="1">
      <c r="AY112" s="16"/>
      <c r="AZ112" s="20"/>
      <c r="BA112" s="20"/>
      <c r="BB112" s="20"/>
      <c r="BE112" s="16"/>
      <c r="BF112" s="20"/>
    </row>
    <row r="113" spans="51:58" customFormat="1" ht="16.350000000000001" hidden="1" customHeight="1">
      <c r="AY113" s="16"/>
      <c r="AZ113" s="20"/>
      <c r="BA113" s="20"/>
      <c r="BB113" s="20"/>
      <c r="BE113" s="16"/>
      <c r="BF113" s="20"/>
    </row>
    <row r="114" spans="51:58" customFormat="1" ht="16.350000000000001" hidden="1" customHeight="1">
      <c r="AY114" s="16"/>
      <c r="AZ114" s="20"/>
      <c r="BA114" s="20"/>
      <c r="BB114" s="20"/>
      <c r="BE114" s="16"/>
      <c r="BF114" s="20"/>
    </row>
    <row r="115" spans="51:58" customFormat="1" ht="16.350000000000001" hidden="1" customHeight="1">
      <c r="AY115" s="16"/>
      <c r="AZ115" s="20"/>
      <c r="BA115" s="20"/>
      <c r="BB115" s="20"/>
      <c r="BE115" s="16"/>
      <c r="BF115" s="20"/>
    </row>
    <row r="116" spans="51:58" customFormat="1" ht="16.350000000000001" hidden="1" customHeight="1">
      <c r="AY116" s="16"/>
      <c r="AZ116" s="20"/>
      <c r="BA116" s="20"/>
      <c r="BB116" s="20"/>
      <c r="BE116" s="16"/>
      <c r="BF116" s="20"/>
    </row>
    <row r="117" spans="51:58" customFormat="1" ht="16.350000000000001" hidden="1" customHeight="1">
      <c r="AY117" s="16"/>
      <c r="AZ117" s="20"/>
      <c r="BA117" s="20"/>
      <c r="BB117" s="20"/>
      <c r="BE117" s="16"/>
      <c r="BF117" s="20"/>
    </row>
    <row r="118" spans="51:58" customFormat="1" ht="16.350000000000001" hidden="1" customHeight="1">
      <c r="AY118" s="16"/>
      <c r="AZ118" s="20"/>
      <c r="BA118" s="20"/>
      <c r="BB118" s="20"/>
      <c r="BE118" s="16"/>
      <c r="BF118" s="20"/>
    </row>
    <row r="119" spans="51:58" customFormat="1" ht="16.350000000000001" hidden="1" customHeight="1">
      <c r="AY119" s="16"/>
      <c r="AZ119" s="20"/>
      <c r="BA119" s="20"/>
      <c r="BB119" s="20"/>
      <c r="BE119" s="16"/>
      <c r="BF119" s="20"/>
    </row>
    <row r="120" spans="51:58" customFormat="1" ht="16.350000000000001" hidden="1" customHeight="1">
      <c r="AY120" s="16"/>
      <c r="AZ120" s="20"/>
      <c r="BA120" s="20"/>
      <c r="BB120" s="20"/>
      <c r="BE120" s="16"/>
      <c r="BF120" s="20"/>
    </row>
    <row r="121" spans="51:58" customFormat="1" ht="16.350000000000001" hidden="1" customHeight="1">
      <c r="AY121" s="16"/>
      <c r="AZ121" s="20"/>
      <c r="BA121" s="20"/>
      <c r="BB121" s="20"/>
      <c r="BE121" s="16"/>
      <c r="BF121" s="20"/>
    </row>
    <row r="122" spans="51:58" customFormat="1" ht="16.350000000000001" hidden="1" customHeight="1">
      <c r="AY122" s="16"/>
      <c r="AZ122" s="20"/>
      <c r="BA122" s="20"/>
      <c r="BB122" s="20"/>
      <c r="BE122" s="16"/>
      <c r="BF122" s="20"/>
    </row>
    <row r="123" spans="51:58" customFormat="1" ht="16.350000000000001" hidden="1" customHeight="1">
      <c r="AY123" s="16"/>
      <c r="AZ123" s="20"/>
      <c r="BA123" s="20"/>
      <c r="BB123" s="20"/>
      <c r="BE123" s="16"/>
      <c r="BF123" s="20"/>
    </row>
    <row r="124" spans="51:58" customFormat="1" ht="16.350000000000001" hidden="1" customHeight="1">
      <c r="AY124" s="16"/>
      <c r="AZ124" s="20"/>
      <c r="BA124" s="20"/>
      <c r="BB124" s="20"/>
      <c r="BE124" s="16"/>
      <c r="BF124" s="20"/>
    </row>
    <row r="125" spans="51:58" customFormat="1" ht="16.350000000000001" hidden="1" customHeight="1">
      <c r="AY125" s="16"/>
      <c r="AZ125" s="20"/>
      <c r="BA125" s="20"/>
      <c r="BB125" s="20"/>
      <c r="BE125" s="16"/>
      <c r="BF125" s="20"/>
    </row>
    <row r="126" spans="51:58" customFormat="1" ht="16.350000000000001" hidden="1" customHeight="1">
      <c r="AY126" s="16"/>
      <c r="AZ126" s="20"/>
      <c r="BA126" s="20"/>
      <c r="BB126" s="20"/>
      <c r="BE126" s="16"/>
      <c r="BF126" s="20"/>
    </row>
    <row r="127" spans="51:58" customFormat="1" ht="16.350000000000001" hidden="1" customHeight="1">
      <c r="AY127" s="16"/>
      <c r="AZ127" s="20"/>
      <c r="BA127" s="20"/>
      <c r="BB127" s="20"/>
      <c r="BE127" s="16"/>
      <c r="BF127" s="20"/>
    </row>
    <row r="128" spans="51:58" customFormat="1" ht="16.350000000000001" hidden="1" customHeight="1">
      <c r="AY128" s="16"/>
      <c r="AZ128" s="20"/>
      <c r="BA128" s="20"/>
      <c r="BB128" s="20"/>
      <c r="BE128" s="16"/>
      <c r="BF128" s="20"/>
    </row>
    <row r="129" spans="51:58" customFormat="1" ht="16.350000000000001" hidden="1" customHeight="1">
      <c r="AY129" s="16"/>
      <c r="AZ129" s="20"/>
      <c r="BA129" s="20"/>
      <c r="BB129" s="20"/>
      <c r="BE129" s="16"/>
      <c r="BF129" s="20"/>
    </row>
    <row r="130" spans="51:58" customFormat="1" ht="16.350000000000001" hidden="1" customHeight="1">
      <c r="AY130" s="16"/>
      <c r="AZ130" s="20"/>
      <c r="BA130" s="20"/>
      <c r="BB130" s="20"/>
      <c r="BE130" s="16"/>
      <c r="BF130" s="20"/>
    </row>
    <row r="131" spans="51:58" customFormat="1" ht="16.350000000000001" hidden="1" customHeight="1">
      <c r="AY131" s="16"/>
      <c r="AZ131" s="20"/>
      <c r="BA131" s="20"/>
      <c r="BB131" s="20"/>
      <c r="BE131" s="16"/>
      <c r="BF131" s="20"/>
    </row>
    <row r="132" spans="51:58" customFormat="1" ht="16.350000000000001" hidden="1" customHeight="1">
      <c r="AY132" s="16"/>
      <c r="AZ132" s="20"/>
      <c r="BA132" s="20"/>
      <c r="BB132" s="20"/>
      <c r="BE132" s="16"/>
      <c r="BF132" s="20"/>
    </row>
    <row r="133" spans="51:58" customFormat="1" ht="16.350000000000001" hidden="1" customHeight="1">
      <c r="AY133" s="16"/>
      <c r="AZ133" s="20"/>
      <c r="BA133" s="20"/>
      <c r="BB133" s="20"/>
      <c r="BE133" s="16"/>
      <c r="BF133" s="20"/>
    </row>
    <row r="134" spans="51:58" customFormat="1" ht="16.350000000000001" hidden="1" customHeight="1">
      <c r="AY134" s="16"/>
      <c r="AZ134" s="20"/>
      <c r="BA134" s="20"/>
      <c r="BB134" s="20"/>
      <c r="BE134" s="16"/>
      <c r="BF134" s="20"/>
    </row>
    <row r="135" spans="51:58" customFormat="1" ht="16.350000000000001" hidden="1" customHeight="1">
      <c r="AY135" s="16"/>
      <c r="AZ135" s="20"/>
      <c r="BA135" s="20"/>
      <c r="BB135" s="20"/>
      <c r="BE135" s="16"/>
      <c r="BF135" s="20"/>
    </row>
    <row r="136" spans="51:58" customFormat="1" ht="16.350000000000001" hidden="1" customHeight="1">
      <c r="AY136" s="16"/>
      <c r="AZ136" s="20"/>
      <c r="BA136" s="20"/>
      <c r="BB136" s="20"/>
      <c r="BE136" s="16"/>
      <c r="BF136" s="20"/>
    </row>
    <row r="137" spans="51:58" customFormat="1" ht="16.350000000000001" hidden="1" customHeight="1">
      <c r="AY137" s="16"/>
      <c r="AZ137" s="20"/>
      <c r="BA137" s="20"/>
      <c r="BB137" s="20"/>
      <c r="BE137" s="16"/>
      <c r="BF137" s="20"/>
    </row>
    <row r="138" spans="51:58" customFormat="1" ht="16.350000000000001" hidden="1" customHeight="1">
      <c r="AY138" s="16"/>
      <c r="AZ138" s="20"/>
      <c r="BA138" s="20"/>
      <c r="BB138" s="20"/>
      <c r="BE138" s="16"/>
      <c r="BF138" s="20"/>
    </row>
    <row r="139" spans="51:58" customFormat="1" ht="16.350000000000001" hidden="1" customHeight="1">
      <c r="AY139" s="16"/>
      <c r="AZ139" s="20"/>
      <c r="BA139" s="20"/>
      <c r="BB139" s="20"/>
      <c r="BE139" s="16"/>
      <c r="BF139" s="20"/>
    </row>
    <row r="140" spans="51:58" customFormat="1" ht="16.350000000000001" hidden="1" customHeight="1">
      <c r="AY140" s="16"/>
      <c r="AZ140" s="20"/>
      <c r="BA140" s="20"/>
      <c r="BB140" s="20"/>
      <c r="BE140" s="16"/>
      <c r="BF140" s="20"/>
    </row>
    <row r="141" spans="51:58" customFormat="1" ht="16.350000000000001" hidden="1" customHeight="1">
      <c r="AY141" s="16"/>
      <c r="AZ141" s="20"/>
      <c r="BA141" s="20"/>
      <c r="BB141" s="20"/>
      <c r="BE141" s="16"/>
      <c r="BF141" s="20"/>
    </row>
    <row r="142" spans="51:58" customFormat="1" ht="16.350000000000001" hidden="1" customHeight="1">
      <c r="AY142" s="16"/>
      <c r="AZ142" s="20"/>
      <c r="BA142" s="20"/>
      <c r="BB142" s="20"/>
      <c r="BE142" s="16"/>
      <c r="BF142" s="20"/>
    </row>
    <row r="143" spans="51:58" customFormat="1" ht="16.350000000000001" hidden="1" customHeight="1">
      <c r="AY143" s="16"/>
      <c r="AZ143" s="20"/>
      <c r="BA143" s="20"/>
      <c r="BB143" s="20"/>
      <c r="BE143" s="16"/>
      <c r="BF143" s="20"/>
    </row>
    <row r="144" spans="51:58" customFormat="1" ht="16.350000000000001" hidden="1" customHeight="1">
      <c r="AY144" s="16"/>
      <c r="AZ144" s="20"/>
      <c r="BA144" s="20"/>
      <c r="BB144" s="20"/>
      <c r="BE144" s="16"/>
      <c r="BF144" s="20"/>
    </row>
    <row r="145" spans="51:58" customFormat="1" ht="16.350000000000001" hidden="1" customHeight="1">
      <c r="AY145" s="16"/>
      <c r="AZ145" s="20"/>
      <c r="BA145" s="20"/>
      <c r="BB145" s="20"/>
      <c r="BE145" s="16"/>
      <c r="BF145" s="20"/>
    </row>
    <row r="146" spans="51:58" customFormat="1" ht="16.350000000000001" hidden="1" customHeight="1">
      <c r="AY146" s="16"/>
      <c r="AZ146" s="20"/>
      <c r="BA146" s="20"/>
      <c r="BB146" s="20"/>
      <c r="BE146" s="16"/>
      <c r="BF146" s="20"/>
    </row>
    <row r="147" spans="51:58" customFormat="1" ht="16.350000000000001" hidden="1" customHeight="1">
      <c r="AY147" s="16"/>
      <c r="AZ147" s="20"/>
      <c r="BA147" s="20"/>
      <c r="BB147" s="20"/>
      <c r="BE147" s="16"/>
      <c r="BF147" s="20"/>
    </row>
    <row r="148" spans="51:58" customFormat="1" ht="16.350000000000001" hidden="1" customHeight="1">
      <c r="AY148" s="16"/>
      <c r="AZ148" s="20"/>
      <c r="BA148" s="20"/>
      <c r="BB148" s="20"/>
      <c r="BE148" s="16"/>
      <c r="BF148" s="20"/>
    </row>
    <row r="149" spans="51:58" customFormat="1" ht="16.350000000000001" hidden="1" customHeight="1">
      <c r="AY149" s="16"/>
      <c r="AZ149" s="20"/>
      <c r="BA149" s="20"/>
      <c r="BB149" s="20"/>
      <c r="BE149" s="16"/>
      <c r="BF149" s="20"/>
    </row>
    <row r="150" spans="51:58" customFormat="1" ht="16.350000000000001" hidden="1" customHeight="1">
      <c r="AY150" s="16"/>
      <c r="AZ150" s="20"/>
      <c r="BA150" s="20"/>
      <c r="BB150" s="20"/>
      <c r="BE150" s="16"/>
      <c r="BF150" s="20"/>
    </row>
    <row r="151" spans="51:58" customFormat="1" ht="16.350000000000001" hidden="1" customHeight="1">
      <c r="AY151" s="16"/>
      <c r="AZ151" s="20"/>
      <c r="BA151" s="20"/>
      <c r="BB151" s="20"/>
      <c r="BE151" s="16"/>
      <c r="BF151" s="20"/>
    </row>
    <row r="152" spans="51:58" customFormat="1" ht="16.350000000000001" hidden="1" customHeight="1">
      <c r="AY152" s="16"/>
      <c r="AZ152" s="20"/>
      <c r="BA152" s="20"/>
      <c r="BB152" s="20"/>
      <c r="BE152" s="16"/>
      <c r="BF152" s="20"/>
    </row>
    <row r="153" spans="51:58" customFormat="1" ht="16.350000000000001" hidden="1" customHeight="1">
      <c r="AY153" s="16"/>
      <c r="AZ153" s="20"/>
      <c r="BA153" s="20"/>
      <c r="BB153" s="20"/>
      <c r="BE153" s="16"/>
      <c r="BF153" s="20"/>
    </row>
    <row r="154" spans="51:58" customFormat="1" ht="16.350000000000001" hidden="1" customHeight="1">
      <c r="AY154" s="16"/>
      <c r="AZ154" s="20"/>
      <c r="BA154" s="20"/>
      <c r="BB154" s="20"/>
      <c r="BE154" s="16"/>
      <c r="BF154" s="20"/>
    </row>
    <row r="155" spans="51:58" customFormat="1" ht="16.350000000000001" hidden="1" customHeight="1">
      <c r="AY155" s="16"/>
      <c r="AZ155" s="20"/>
      <c r="BA155" s="20"/>
      <c r="BB155" s="20"/>
      <c r="BE155" s="16"/>
      <c r="BF155" s="20"/>
    </row>
    <row r="156" spans="51:58" customFormat="1" ht="16.350000000000001" hidden="1" customHeight="1">
      <c r="AY156" s="16"/>
      <c r="AZ156" s="20"/>
      <c r="BA156" s="20"/>
      <c r="BB156" s="20"/>
      <c r="BE156" s="16"/>
      <c r="BF156" s="20"/>
    </row>
    <row r="157" spans="51:58" customFormat="1" ht="16.350000000000001" hidden="1" customHeight="1">
      <c r="AY157" s="16"/>
      <c r="AZ157" s="20"/>
      <c r="BA157" s="20"/>
      <c r="BB157" s="20"/>
      <c r="BE157" s="16"/>
      <c r="BF157" s="20"/>
    </row>
    <row r="158" spans="51:58" customFormat="1" ht="16.350000000000001" hidden="1" customHeight="1">
      <c r="AY158" s="16"/>
      <c r="AZ158" s="20"/>
      <c r="BA158" s="20"/>
      <c r="BB158" s="20"/>
      <c r="BE158" s="16"/>
      <c r="BF158" s="20"/>
    </row>
    <row r="159" spans="51:58" customFormat="1" ht="16.350000000000001" hidden="1" customHeight="1">
      <c r="AY159" s="16"/>
      <c r="AZ159" s="20"/>
      <c r="BA159" s="20"/>
      <c r="BB159" s="20"/>
      <c r="BE159" s="16"/>
      <c r="BF159" s="20"/>
    </row>
    <row r="160" spans="51:58" customFormat="1" ht="16.350000000000001" hidden="1" customHeight="1">
      <c r="AY160" s="16"/>
      <c r="AZ160" s="20"/>
      <c r="BA160" s="20"/>
      <c r="BB160" s="20"/>
      <c r="BE160" s="16"/>
      <c r="BF160" s="20"/>
    </row>
    <row r="161" spans="51:58" customFormat="1" ht="16.350000000000001" hidden="1" customHeight="1">
      <c r="AY161" s="16"/>
      <c r="AZ161" s="20"/>
      <c r="BA161" s="20"/>
      <c r="BB161" s="20"/>
      <c r="BE161" s="16"/>
      <c r="BF161" s="20"/>
    </row>
    <row r="162" spans="51:58" customFormat="1" ht="16.350000000000001" hidden="1" customHeight="1">
      <c r="AY162" s="16"/>
      <c r="AZ162" s="20"/>
      <c r="BA162" s="20"/>
      <c r="BB162" s="20"/>
      <c r="BE162" s="16"/>
      <c r="BF162" s="20"/>
    </row>
    <row r="163" spans="51:58" customFormat="1" ht="16.350000000000001" hidden="1" customHeight="1">
      <c r="AY163" s="16"/>
      <c r="AZ163" s="20"/>
      <c r="BA163" s="20"/>
      <c r="BB163" s="20"/>
      <c r="BE163" s="16"/>
      <c r="BF163" s="20"/>
    </row>
    <row r="164" spans="51:58" customFormat="1" ht="16.350000000000001" hidden="1" customHeight="1">
      <c r="AY164" s="16"/>
      <c r="AZ164" s="20"/>
      <c r="BA164" s="20"/>
      <c r="BB164" s="20"/>
      <c r="BE164" s="16"/>
      <c r="BF164" s="20"/>
    </row>
    <row r="165" spans="51:58" customFormat="1" ht="16.350000000000001" hidden="1" customHeight="1">
      <c r="AY165" s="16"/>
      <c r="AZ165" s="20"/>
      <c r="BA165" s="20"/>
      <c r="BB165" s="20"/>
      <c r="BE165" s="16"/>
      <c r="BF165" s="20"/>
    </row>
    <row r="166" spans="51:58" customFormat="1" ht="16.350000000000001" hidden="1" customHeight="1">
      <c r="AY166" s="16"/>
      <c r="AZ166" s="20"/>
      <c r="BA166" s="20"/>
      <c r="BB166" s="20"/>
      <c r="BE166" s="16"/>
      <c r="BF166" s="20"/>
    </row>
    <row r="167" spans="51:58" customFormat="1" ht="16.350000000000001" hidden="1" customHeight="1">
      <c r="AY167" s="16"/>
      <c r="AZ167" s="20"/>
      <c r="BA167" s="20"/>
      <c r="BB167" s="20"/>
      <c r="BE167" s="16"/>
      <c r="BF167" s="20"/>
    </row>
    <row r="168" spans="51:58" customFormat="1" ht="16.350000000000001" hidden="1" customHeight="1">
      <c r="AY168" s="16"/>
      <c r="AZ168" s="20"/>
      <c r="BA168" s="20"/>
      <c r="BB168" s="20"/>
      <c r="BE168" s="16"/>
      <c r="BF168" s="20"/>
    </row>
    <row r="169" spans="51:58" customFormat="1" ht="16.350000000000001" hidden="1" customHeight="1">
      <c r="AY169" s="16"/>
      <c r="AZ169" s="20"/>
      <c r="BA169" s="20"/>
      <c r="BB169" s="20"/>
      <c r="BE169" s="16"/>
      <c r="BF169" s="20"/>
    </row>
    <row r="170" spans="51:58" customFormat="1" ht="16.350000000000001" hidden="1" customHeight="1">
      <c r="AY170" s="16"/>
      <c r="AZ170" s="20"/>
      <c r="BA170" s="20"/>
      <c r="BB170" s="20"/>
      <c r="BE170" s="16"/>
      <c r="BF170" s="20"/>
    </row>
    <row r="171" spans="51:58" customFormat="1" ht="16.350000000000001" hidden="1" customHeight="1">
      <c r="AY171" s="16"/>
      <c r="AZ171" s="20"/>
      <c r="BA171" s="20"/>
      <c r="BB171" s="20"/>
      <c r="BE171" s="16"/>
      <c r="BF171" s="20"/>
    </row>
    <row r="172" spans="51:58" customFormat="1" ht="16.350000000000001" hidden="1" customHeight="1">
      <c r="AY172" s="16"/>
      <c r="AZ172" s="20"/>
      <c r="BA172" s="20"/>
      <c r="BB172" s="20"/>
      <c r="BE172" s="16"/>
      <c r="BF172" s="20"/>
    </row>
    <row r="173" spans="51:58" customFormat="1" ht="16.350000000000001" hidden="1" customHeight="1">
      <c r="AY173" s="16"/>
      <c r="AZ173" s="20"/>
      <c r="BA173" s="20"/>
      <c r="BB173" s="20"/>
      <c r="BE173" s="16"/>
      <c r="BF173" s="20"/>
    </row>
    <row r="174" spans="51:58" customFormat="1" ht="16.350000000000001" hidden="1" customHeight="1">
      <c r="AY174" s="16"/>
      <c r="AZ174" s="20"/>
      <c r="BA174" s="20"/>
      <c r="BB174" s="20"/>
      <c r="BE174" s="16"/>
      <c r="BF174" s="20"/>
    </row>
    <row r="175" spans="51:58" customFormat="1" ht="16.350000000000001" hidden="1" customHeight="1">
      <c r="AY175" s="16"/>
      <c r="AZ175" s="20"/>
      <c r="BA175" s="20"/>
      <c r="BB175" s="20"/>
      <c r="BE175" s="16"/>
      <c r="BF175" s="20"/>
    </row>
    <row r="176" spans="51:58" customFormat="1" ht="16.350000000000001" hidden="1" customHeight="1">
      <c r="AY176" s="16"/>
      <c r="AZ176" s="20"/>
      <c r="BA176" s="20"/>
      <c r="BB176" s="20"/>
      <c r="BE176" s="16"/>
      <c r="BF176" s="20"/>
    </row>
    <row r="177" spans="51:58" customFormat="1" ht="16.350000000000001" hidden="1" customHeight="1">
      <c r="AY177" s="16"/>
      <c r="AZ177" s="20"/>
      <c r="BA177" s="20"/>
      <c r="BB177" s="20"/>
      <c r="BE177" s="16"/>
      <c r="BF177" s="20"/>
    </row>
    <row r="178" spans="51:58" customFormat="1" ht="16.350000000000001" hidden="1" customHeight="1">
      <c r="AY178" s="16"/>
      <c r="AZ178" s="20"/>
      <c r="BA178" s="20"/>
      <c r="BB178" s="20"/>
      <c r="BE178" s="16"/>
      <c r="BF178" s="20"/>
    </row>
    <row r="179" spans="51:58" customFormat="1" ht="16.350000000000001" hidden="1" customHeight="1">
      <c r="AY179" s="16"/>
      <c r="AZ179" s="20"/>
      <c r="BA179" s="20"/>
      <c r="BB179" s="20"/>
      <c r="BE179" s="16"/>
      <c r="BF179" s="20"/>
    </row>
    <row r="180" spans="51:58" customFormat="1" ht="16.350000000000001" hidden="1" customHeight="1">
      <c r="AY180" s="16"/>
      <c r="AZ180" s="20"/>
      <c r="BA180" s="20"/>
      <c r="BB180" s="20"/>
      <c r="BE180" s="16"/>
      <c r="BF180" s="20"/>
    </row>
    <row r="181" spans="51:58" customFormat="1" ht="16.350000000000001" hidden="1" customHeight="1">
      <c r="AY181" s="16"/>
      <c r="AZ181" s="20"/>
      <c r="BA181" s="20"/>
      <c r="BB181" s="20"/>
      <c r="BE181" s="16"/>
      <c r="BF181" s="20"/>
    </row>
    <row r="182" spans="51:58" customFormat="1" ht="16.350000000000001" hidden="1" customHeight="1">
      <c r="AY182" s="16"/>
      <c r="AZ182" s="20"/>
      <c r="BA182" s="20"/>
      <c r="BB182" s="20"/>
      <c r="BE182" s="16"/>
      <c r="BF182" s="20"/>
    </row>
    <row r="183" spans="51:58" customFormat="1" ht="16.350000000000001" hidden="1" customHeight="1">
      <c r="AY183" s="16"/>
      <c r="AZ183" s="20"/>
      <c r="BA183" s="20"/>
      <c r="BB183" s="20"/>
      <c r="BE183" s="16"/>
      <c r="BF183" s="20"/>
    </row>
    <row r="184" spans="51:58" customFormat="1" ht="16.350000000000001" hidden="1" customHeight="1">
      <c r="AY184" s="16"/>
      <c r="AZ184" s="20"/>
      <c r="BA184" s="20"/>
      <c r="BB184" s="20"/>
      <c r="BE184" s="16"/>
      <c r="BF184" s="20"/>
    </row>
    <row r="185" spans="51:58" customFormat="1" ht="16.350000000000001" hidden="1" customHeight="1">
      <c r="AY185" s="16"/>
      <c r="AZ185" s="20"/>
      <c r="BA185" s="20"/>
      <c r="BB185" s="20"/>
      <c r="BE185" s="16"/>
      <c r="BF185" s="20"/>
    </row>
    <row r="186" spans="51:58" customFormat="1" ht="16.350000000000001" hidden="1" customHeight="1">
      <c r="AY186" s="16"/>
      <c r="AZ186" s="20"/>
      <c r="BA186" s="20"/>
      <c r="BB186" s="20"/>
      <c r="BE186" s="16"/>
      <c r="BF186" s="20"/>
    </row>
    <row r="187" spans="51:58" customFormat="1" ht="16.350000000000001" hidden="1" customHeight="1">
      <c r="AY187" s="16"/>
      <c r="AZ187" s="20"/>
      <c r="BA187" s="20"/>
      <c r="BB187" s="20"/>
      <c r="BE187" s="16"/>
      <c r="BF187" s="20"/>
    </row>
    <row r="188" spans="51:58" customFormat="1" ht="16.350000000000001" hidden="1" customHeight="1">
      <c r="AY188" s="16"/>
      <c r="AZ188" s="20"/>
      <c r="BA188" s="20"/>
      <c r="BB188" s="20"/>
      <c r="BE188" s="16"/>
      <c r="BF188" s="20"/>
    </row>
    <row r="189" spans="51:58" customFormat="1" ht="16.350000000000001" hidden="1" customHeight="1">
      <c r="AY189" s="16"/>
      <c r="AZ189" s="20"/>
      <c r="BA189" s="20"/>
      <c r="BB189" s="20"/>
      <c r="BE189" s="16"/>
      <c r="BF189" s="20"/>
    </row>
    <row r="190" spans="51:58" customFormat="1" ht="16.350000000000001" hidden="1" customHeight="1">
      <c r="AY190" s="16"/>
      <c r="AZ190" s="20"/>
      <c r="BA190" s="20"/>
      <c r="BB190" s="20"/>
      <c r="BE190" s="16"/>
      <c r="BF190" s="20"/>
    </row>
    <row r="191" spans="51:58" customFormat="1" ht="16.350000000000001" hidden="1" customHeight="1">
      <c r="AY191" s="16"/>
      <c r="AZ191" s="20"/>
      <c r="BA191" s="20"/>
      <c r="BB191" s="20"/>
      <c r="BE191" s="16"/>
      <c r="BF191" s="20"/>
    </row>
    <row r="192" spans="51:58" customFormat="1" ht="16.350000000000001" hidden="1" customHeight="1">
      <c r="AY192" s="16"/>
      <c r="AZ192" s="20"/>
      <c r="BA192" s="20"/>
      <c r="BB192" s="20"/>
      <c r="BE192" s="16"/>
      <c r="BF192" s="20"/>
    </row>
    <row r="193" spans="1:70" ht="16.350000000000001" hidden="1" customHeigh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s="16"/>
      <c r="AZ193" s="20"/>
      <c r="BA193" s="20"/>
      <c r="BB193" s="20"/>
      <c r="BC193"/>
      <c r="BD193"/>
      <c r="BE193" s="16"/>
      <c r="BF193" s="20"/>
      <c r="BG193"/>
      <c r="BH193"/>
      <c r="BI193"/>
      <c r="BJ193"/>
      <c r="BK193"/>
      <c r="BL193"/>
      <c r="BM193"/>
      <c r="BN193"/>
      <c r="BO193"/>
      <c r="BP193"/>
      <c r="BQ193"/>
      <c r="BR193"/>
    </row>
    <row r="194" spans="1:70" ht="16.350000000000001" hidden="1" customHeigh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s="16"/>
      <c r="AZ194" s="20"/>
      <c r="BA194" s="20"/>
      <c r="BB194" s="20"/>
      <c r="BC194"/>
      <c r="BD194"/>
      <c r="BE194" s="16"/>
      <c r="BF194" s="20"/>
      <c r="BG194"/>
      <c r="BH194"/>
      <c r="BI194"/>
      <c r="BJ194"/>
      <c r="BK194"/>
      <c r="BL194"/>
      <c r="BM194"/>
      <c r="BN194"/>
      <c r="BO194"/>
      <c r="BP194"/>
      <c r="BQ194"/>
      <c r="BR194"/>
    </row>
    <row r="195" spans="1:70" ht="16.350000000000001" hidden="1"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s="16"/>
      <c r="AZ195" s="20"/>
      <c r="BA195" s="20"/>
      <c r="BB195" s="20"/>
      <c r="BC195"/>
      <c r="BD195"/>
      <c r="BE195" s="16"/>
      <c r="BF195" s="20"/>
      <c r="BG195"/>
      <c r="BH195"/>
      <c r="BI195"/>
      <c r="BJ195"/>
      <c r="BK195"/>
      <c r="BL195"/>
      <c r="BM195"/>
      <c r="BN195"/>
      <c r="BO195"/>
      <c r="BP195"/>
      <c r="BQ195"/>
      <c r="BR195"/>
    </row>
    <row r="196" spans="1:70" ht="16.350000000000001" hidden="1" customHeight="1">
      <c r="A196"/>
      <c r="B196"/>
      <c r="C196"/>
      <c r="D196"/>
      <c r="E196"/>
      <c r="F196"/>
      <c r="G196"/>
      <c r="H196"/>
      <c r="I196"/>
      <c r="J196"/>
      <c r="K196"/>
      <c r="L196"/>
      <c r="M196"/>
      <c r="N196"/>
      <c r="O196" s="919"/>
      <c r="P196" s="919"/>
      <c r="Q196" s="919"/>
      <c r="R196" s="919"/>
      <c r="S196" s="919"/>
      <c r="T196" s="919"/>
      <c r="U196" s="919"/>
      <c r="V196" s="919"/>
      <c r="W196" s="919"/>
      <c r="X196" s="919"/>
      <c r="Y196" s="919"/>
      <c r="Z196" s="919"/>
      <c r="AA196" s="919"/>
      <c r="AB196" s="919"/>
      <c r="AC196" s="919"/>
      <c r="AD196" s="919"/>
      <c r="AE196" s="919"/>
      <c r="AF196" s="919"/>
      <c r="AG196" s="919"/>
      <c r="AH196" s="919"/>
      <c r="AI196" s="919"/>
      <c r="AJ196" s="919"/>
      <c r="AK196" s="919"/>
      <c r="AL196" s="919"/>
      <c r="AM196" s="919"/>
      <c r="AN196" s="919"/>
      <c r="AO196" s="919"/>
      <c r="AP196" s="919"/>
      <c r="AQ196" s="919"/>
      <c r="AR196" s="919"/>
      <c r="AS196" s="919"/>
      <c r="AT196" s="919"/>
      <c r="AU196" s="919"/>
      <c r="AV196" s="919"/>
      <c r="AW196" s="919"/>
      <c r="AX196" s="919"/>
      <c r="AY196" s="919"/>
      <c r="AZ196"/>
      <c r="BA196"/>
      <c r="BB196"/>
      <c r="BC196"/>
      <c r="BD196"/>
      <c r="BE196"/>
      <c r="BF196"/>
      <c r="BG196"/>
      <c r="BH196"/>
      <c r="BI196"/>
      <c r="BJ196"/>
      <c r="BK196"/>
      <c r="BL196"/>
      <c r="BM196"/>
      <c r="BN196"/>
      <c r="BO196"/>
      <c r="BP196"/>
      <c r="BQ196"/>
      <c r="BR196"/>
    </row>
    <row r="197" spans="1:70" ht="16.350000000000001" hidden="1" customHeight="1">
      <c r="A197"/>
      <c r="B197"/>
      <c r="C197"/>
      <c r="D197"/>
      <c r="E197"/>
      <c r="F197"/>
      <c r="G197"/>
      <c r="H197"/>
      <c r="I197"/>
      <c r="J197"/>
      <c r="K197"/>
      <c r="L197"/>
      <c r="M197"/>
      <c r="N197"/>
      <c r="O197" s="919"/>
      <c r="P197" s="919"/>
      <c r="Q197" s="919"/>
      <c r="R197" s="919"/>
      <c r="S197" s="919"/>
      <c r="T197" s="919"/>
      <c r="U197" s="919"/>
      <c r="V197" s="919"/>
      <c r="W197" s="919"/>
      <c r="X197" s="919"/>
      <c r="Y197" s="919"/>
      <c r="Z197" s="919"/>
      <c r="AA197" s="919"/>
      <c r="AB197" s="919"/>
      <c r="AC197" s="919"/>
      <c r="AD197" s="919"/>
      <c r="AE197" s="919"/>
      <c r="AF197" s="919"/>
      <c r="AG197" s="919"/>
      <c r="AH197" s="919"/>
      <c r="AI197" s="919"/>
      <c r="AJ197" s="919"/>
      <c r="AK197" s="919"/>
      <c r="AL197" s="919"/>
      <c r="AM197" s="919"/>
      <c r="AN197" s="919"/>
      <c r="AO197" s="919"/>
      <c r="AP197" s="919"/>
      <c r="AQ197" s="919"/>
      <c r="AR197" s="919"/>
      <c r="AS197" s="919"/>
      <c r="AT197" s="919"/>
      <c r="AU197" s="919"/>
      <c r="AV197" s="919"/>
      <c r="AW197" s="919"/>
      <c r="AX197" s="919"/>
      <c r="AY197" s="919"/>
      <c r="AZ197"/>
      <c r="BA197"/>
      <c r="BB197"/>
      <c r="BC197"/>
      <c r="BD197"/>
      <c r="BE197"/>
      <c r="BF197"/>
      <c r="BG197"/>
      <c r="BH197"/>
      <c r="BI197"/>
      <c r="BJ197"/>
      <c r="BK197"/>
      <c r="BL197"/>
      <c r="BM197"/>
      <c r="BN197"/>
      <c r="BO197"/>
      <c r="BP197"/>
      <c r="BQ197"/>
      <c r="BR197"/>
    </row>
    <row r="198" spans="1:70" ht="16.350000000000001" hidden="1" customHeight="1">
      <c r="A198"/>
      <c r="B198"/>
      <c r="C198"/>
      <c r="D198"/>
      <c r="E198"/>
      <c r="F198"/>
      <c r="G198"/>
      <c r="H198"/>
      <c r="I198"/>
      <c r="J198"/>
      <c r="K198"/>
      <c r="L198"/>
      <c r="M198"/>
      <c r="N198"/>
      <c r="O198" s="919"/>
      <c r="P198" s="919"/>
      <c r="Q198" s="919"/>
      <c r="R198" s="919"/>
      <c r="S198" s="919"/>
      <c r="T198" s="919"/>
      <c r="U198" s="919"/>
      <c r="V198" s="919"/>
      <c r="W198" s="919"/>
      <c r="X198" s="919"/>
      <c r="Y198" s="919"/>
      <c r="Z198" s="919"/>
      <c r="AA198" s="919"/>
      <c r="AB198" s="919"/>
      <c r="AC198" s="919"/>
      <c r="AD198" s="919"/>
      <c r="AE198" s="919"/>
      <c r="AF198" s="919"/>
      <c r="AG198" s="919"/>
      <c r="AH198" s="919"/>
      <c r="AI198" s="919"/>
      <c r="AJ198" s="919"/>
      <c r="AK198" s="919"/>
      <c r="AL198" s="919"/>
      <c r="AM198" s="919"/>
      <c r="AN198" s="919"/>
      <c r="AO198" s="919"/>
      <c r="AP198" s="919"/>
      <c r="AQ198" s="919"/>
      <c r="AR198" s="919"/>
      <c r="AS198" s="919"/>
      <c r="AT198" s="919"/>
      <c r="AU198" s="919"/>
      <c r="AV198" s="919"/>
      <c r="AW198" s="919"/>
      <c r="AX198" s="919"/>
      <c r="AY198" s="919"/>
      <c r="AZ198" s="919"/>
      <c r="BA198"/>
      <c r="BB198"/>
      <c r="BC198"/>
      <c r="BD198"/>
      <c r="BE198"/>
      <c r="BF198"/>
      <c r="BG198"/>
      <c r="BH198"/>
      <c r="BI198"/>
      <c r="BJ198"/>
      <c r="BK198"/>
      <c r="BL198"/>
      <c r="BM198"/>
      <c r="BN198"/>
      <c r="BO198"/>
      <c r="BP198"/>
      <c r="BQ198"/>
      <c r="BR198"/>
    </row>
    <row r="199" spans="1:70" ht="16.350000000000001" hidden="1" customHeigh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s="16"/>
      <c r="AZ199" s="20"/>
      <c r="BA199" s="20"/>
      <c r="BB199" s="20"/>
      <c r="BC199"/>
      <c r="BD199"/>
      <c r="BE199" s="16"/>
      <c r="BF199" s="20"/>
      <c r="BG199"/>
      <c r="BH199"/>
      <c r="BI199"/>
      <c r="BJ199"/>
      <c r="BK199"/>
      <c r="BL199"/>
      <c r="BM199"/>
      <c r="BN199"/>
      <c r="BO199"/>
      <c r="BP199"/>
      <c r="BQ199"/>
      <c r="BR199"/>
    </row>
    <row r="200" spans="1:70"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03"/>
      <c r="BH200" s="503"/>
      <c r="BI200" s="503"/>
      <c r="BJ200" s="515"/>
    </row>
    <row r="201" spans="1:70"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03"/>
      <c r="BH201" s="503"/>
      <c r="BI201" s="503"/>
      <c r="BJ201" s="515"/>
    </row>
    <row r="202" spans="1:70"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03"/>
      <c r="BH202" s="503"/>
      <c r="BI202" s="503"/>
      <c r="BJ202" s="515"/>
    </row>
    <row r="203" spans="1:70" ht="16.350000000000001" hidden="1" customHeight="1"/>
    <row r="204" spans="1:70" ht="16.350000000000001" hidden="1" customHeight="1"/>
  </sheetData>
  <sheetProtection algorithmName="SHA-512" hashValue="gHJgAt+6pt4YLX2+ggvyOkNdeSkFxOnwyxPjVya1u6ZE5DI2fDItBq55K74mlvaWAqBDuR2Ur5xbOmBhQt8nKw==" saltValue="p4APUw7Xxj9I6bQ/sG4g+w==" spinCount="100000" sheet="1" objects="1" scenarios="1" selectLockedCells="1"/>
  <mergeCells count="1019">
    <mergeCell ref="DV36:DV37"/>
    <mergeCell ref="DW36:DW37"/>
    <mergeCell ref="DX36:DX37"/>
    <mergeCell ref="DN34:DN35"/>
    <mergeCell ref="DO34:DO35"/>
    <mergeCell ref="DP34:DP35"/>
    <mergeCell ref="DQ34:DQ35"/>
    <mergeCell ref="DR34:DR35"/>
    <mergeCell ref="DS34:DS35"/>
    <mergeCell ref="DT34:DT35"/>
    <mergeCell ref="DU34:DU35"/>
    <mergeCell ref="DV34:DV35"/>
    <mergeCell ref="DE34:DE35"/>
    <mergeCell ref="DE36:DE37"/>
    <mergeCell ref="DF36:DF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J34:DJ35"/>
    <mergeCell ref="DK34:DK35"/>
    <mergeCell ref="DL34:DL35"/>
    <mergeCell ref="DM34:DM35"/>
    <mergeCell ref="DX30:DX31"/>
    <mergeCell ref="DE32:DE33"/>
    <mergeCell ref="DF32:DF33"/>
    <mergeCell ref="DG32:DG33"/>
    <mergeCell ref="DH32:DH33"/>
    <mergeCell ref="DI32:DI33"/>
    <mergeCell ref="DJ32:DJ33"/>
    <mergeCell ref="DK32:DK33"/>
    <mergeCell ref="DL32:DL33"/>
    <mergeCell ref="DM32:DM33"/>
    <mergeCell ref="DN32:DN33"/>
    <mergeCell ref="DO32:DO33"/>
    <mergeCell ref="DP32:DP33"/>
    <mergeCell ref="DQ32:DQ33"/>
    <mergeCell ref="DR32:DR33"/>
    <mergeCell ref="DS32:DS33"/>
    <mergeCell ref="DT32:DT33"/>
    <mergeCell ref="DU32:DU33"/>
    <mergeCell ref="DV32:DV33"/>
    <mergeCell ref="DW32:DW33"/>
    <mergeCell ref="DX32:DX33"/>
    <mergeCell ref="DN30:DN31"/>
    <mergeCell ref="DO30:DO31"/>
    <mergeCell ref="DP30:DP31"/>
    <mergeCell ref="DW34:DW35"/>
    <mergeCell ref="DX34:DX35"/>
    <mergeCell ref="DQ30:DQ31"/>
    <mergeCell ref="DR30:DR31"/>
    <mergeCell ref="DS30:DS31"/>
    <mergeCell ref="DT30:DT31"/>
    <mergeCell ref="DU30:DU31"/>
    <mergeCell ref="DV30:DV31"/>
    <mergeCell ref="DE30:DE31"/>
    <mergeCell ref="DF30:DF31"/>
    <mergeCell ref="DG30:DG31"/>
    <mergeCell ref="DH30:DH31"/>
    <mergeCell ref="DI30:DI31"/>
    <mergeCell ref="DJ30:DJ31"/>
    <mergeCell ref="DK30:DK31"/>
    <mergeCell ref="DL30:DL31"/>
    <mergeCell ref="DM30:DM31"/>
    <mergeCell ref="DW30:DW31"/>
    <mergeCell ref="DM26:DM27"/>
    <mergeCell ref="DN26:DN27"/>
    <mergeCell ref="DO26:DO27"/>
    <mergeCell ref="DP26:DP27"/>
    <mergeCell ref="DQ26:DQ27"/>
    <mergeCell ref="DR26:DR27"/>
    <mergeCell ref="DS26:DS27"/>
    <mergeCell ref="DT26:DT27"/>
    <mergeCell ref="DU26:DU27"/>
    <mergeCell ref="DV26:DV27"/>
    <mergeCell ref="DW26:DW27"/>
    <mergeCell ref="DX26:DX27"/>
    <mergeCell ref="DE28:DE29"/>
    <mergeCell ref="DF28:DF29"/>
    <mergeCell ref="DG28:DG29"/>
    <mergeCell ref="DH28:DH29"/>
    <mergeCell ref="DI28:DI29"/>
    <mergeCell ref="DJ28:DJ29"/>
    <mergeCell ref="DK28:DK29"/>
    <mergeCell ref="DL28:DL29"/>
    <mergeCell ref="DM28:DM29"/>
    <mergeCell ref="DN28:DN29"/>
    <mergeCell ref="DO28:DO29"/>
    <mergeCell ref="DP28:DP29"/>
    <mergeCell ref="DQ28:DQ29"/>
    <mergeCell ref="DR28:DR29"/>
    <mergeCell ref="DS28:DS29"/>
    <mergeCell ref="DT28:DT29"/>
    <mergeCell ref="DU28:DU29"/>
    <mergeCell ref="DV28:DV29"/>
    <mergeCell ref="DW28:DW29"/>
    <mergeCell ref="DX28:DX29"/>
    <mergeCell ref="DX22:DX23"/>
    <mergeCell ref="DE24:DE25"/>
    <mergeCell ref="DF24:DF25"/>
    <mergeCell ref="DG24:DG25"/>
    <mergeCell ref="DH24:DH25"/>
    <mergeCell ref="DI24:DI25"/>
    <mergeCell ref="DJ24:DJ25"/>
    <mergeCell ref="DK24:DK25"/>
    <mergeCell ref="DL24:DL25"/>
    <mergeCell ref="DM24:DM25"/>
    <mergeCell ref="DN24:DN25"/>
    <mergeCell ref="DO24:DO25"/>
    <mergeCell ref="DP24:DP25"/>
    <mergeCell ref="DQ24:DQ25"/>
    <mergeCell ref="DR24:DR25"/>
    <mergeCell ref="DS24:DS25"/>
    <mergeCell ref="DT24:DT25"/>
    <mergeCell ref="DU24:DU25"/>
    <mergeCell ref="DV24:DV25"/>
    <mergeCell ref="DW24:DW25"/>
    <mergeCell ref="DX24:DX25"/>
    <mergeCell ref="DM22:DM23"/>
    <mergeCell ref="DN22:DN23"/>
    <mergeCell ref="DO22:DO23"/>
    <mergeCell ref="DP22:DP23"/>
    <mergeCell ref="DQ22:DQ23"/>
    <mergeCell ref="DR22:DR23"/>
    <mergeCell ref="DS22:DS23"/>
    <mergeCell ref="DT22:DT23"/>
    <mergeCell ref="DU22:DU23"/>
    <mergeCell ref="DV18:DV19"/>
    <mergeCell ref="DO18:DO19"/>
    <mergeCell ref="DP18:DP19"/>
    <mergeCell ref="DQ18:DQ19"/>
    <mergeCell ref="DR18:DR19"/>
    <mergeCell ref="DS18:DS19"/>
    <mergeCell ref="DT18:DT19"/>
    <mergeCell ref="DU18:DU19"/>
    <mergeCell ref="DV22:DV23"/>
    <mergeCell ref="DW22:DW23"/>
    <mergeCell ref="DW18:DW19"/>
    <mergeCell ref="DX18:DX19"/>
    <mergeCell ref="DE20:DE21"/>
    <mergeCell ref="DF20:DF21"/>
    <mergeCell ref="DG20:DG21"/>
    <mergeCell ref="DH20:DH21"/>
    <mergeCell ref="DI20:DI21"/>
    <mergeCell ref="DJ20:DJ21"/>
    <mergeCell ref="DK20:DK21"/>
    <mergeCell ref="DL20:DL21"/>
    <mergeCell ref="DM20:DM21"/>
    <mergeCell ref="DN20:DN21"/>
    <mergeCell ref="DO20:DO21"/>
    <mergeCell ref="DP20:DP21"/>
    <mergeCell ref="DQ20:DQ21"/>
    <mergeCell ref="DR20:DR21"/>
    <mergeCell ref="DS20:DS21"/>
    <mergeCell ref="DT20:DT21"/>
    <mergeCell ref="DU20:DU21"/>
    <mergeCell ref="DV20:DV21"/>
    <mergeCell ref="DW20:DW21"/>
    <mergeCell ref="DX20:DX21"/>
    <mergeCell ref="DM18:DM19"/>
    <mergeCell ref="DN18:DN19"/>
    <mergeCell ref="DD34:DD35"/>
    <mergeCell ref="DD36:DD37"/>
    <mergeCell ref="DE18:DE19"/>
    <mergeCell ref="DF18:DF19"/>
    <mergeCell ref="DG18:DG19"/>
    <mergeCell ref="DH18:DH19"/>
    <mergeCell ref="DI18:DI19"/>
    <mergeCell ref="DJ18:DJ19"/>
    <mergeCell ref="DK18:DK19"/>
    <mergeCell ref="DE26:DE27"/>
    <mergeCell ref="DF26:DF27"/>
    <mergeCell ref="DG26:DG27"/>
    <mergeCell ref="DH26:DH27"/>
    <mergeCell ref="DI26:DI27"/>
    <mergeCell ref="DJ26:DJ27"/>
    <mergeCell ref="DK26:DK27"/>
    <mergeCell ref="DL18:DL19"/>
    <mergeCell ref="DE22:DE23"/>
    <mergeCell ref="DF22:DF23"/>
    <mergeCell ref="DG22:DG23"/>
    <mergeCell ref="DH22:DH23"/>
    <mergeCell ref="DI22:DI23"/>
    <mergeCell ref="DJ22:DJ23"/>
    <mergeCell ref="DK22:DK23"/>
    <mergeCell ref="DL22:DL23"/>
    <mergeCell ref="DL26:DL27"/>
    <mergeCell ref="DF34:DF35"/>
    <mergeCell ref="DG34:DG35"/>
    <mergeCell ref="DH34:DH35"/>
    <mergeCell ref="DI34:DI35"/>
    <mergeCell ref="CY34:CY35"/>
    <mergeCell ref="CY36:CY37"/>
    <mergeCell ref="CW13:CY14"/>
    <mergeCell ref="CY16:CY17"/>
    <mergeCell ref="CY18:CY19"/>
    <mergeCell ref="CY20:CY21"/>
    <mergeCell ref="CY22:CY23"/>
    <mergeCell ref="CY24:CY25"/>
    <mergeCell ref="CY26:CY27"/>
    <mergeCell ref="CY28:CY29"/>
    <mergeCell ref="CY30:CY31"/>
    <mergeCell ref="C30:E31"/>
    <mergeCell ref="C32:E33"/>
    <mergeCell ref="DD18:DD19"/>
    <mergeCell ref="DD20:DD21"/>
    <mergeCell ref="DD22:DD23"/>
    <mergeCell ref="DD24:DD25"/>
    <mergeCell ref="DD26:DD27"/>
    <mergeCell ref="DD28:DD29"/>
    <mergeCell ref="DD30:DD31"/>
    <mergeCell ref="DD32:DD33"/>
    <mergeCell ref="CY32:CY33"/>
    <mergeCell ref="C24:E25"/>
    <mergeCell ref="CO20:CO21"/>
    <mergeCell ref="CP20:CP21"/>
    <mergeCell ref="CQ20:CQ21"/>
    <mergeCell ref="CB20:CB21"/>
    <mergeCell ref="CC20:CC21"/>
    <mergeCell ref="CD20:CD21"/>
    <mergeCell ref="CE20:CE21"/>
    <mergeCell ref="CF20:CF21"/>
    <mergeCell ref="CG20:CG21"/>
    <mergeCell ref="AP1:AS3"/>
    <mergeCell ref="BS16:BS17"/>
    <mergeCell ref="BT16:BT17"/>
    <mergeCell ref="BS18:BS19"/>
    <mergeCell ref="BT18:BT19"/>
    <mergeCell ref="BS20:BS21"/>
    <mergeCell ref="BT20:BT21"/>
    <mergeCell ref="BS22:BS23"/>
    <mergeCell ref="BT22:BT23"/>
    <mergeCell ref="BH20:BJ21"/>
    <mergeCell ref="BH1:BK3"/>
    <mergeCell ref="BH22:BJ23"/>
    <mergeCell ref="AP16:AR17"/>
    <mergeCell ref="CR20:CR21"/>
    <mergeCell ref="CS20:CS21"/>
    <mergeCell ref="F1:I3"/>
    <mergeCell ref="J1:M3"/>
    <mergeCell ref="AT1:AW3"/>
    <mergeCell ref="AX1:BA3"/>
    <mergeCell ref="CH20:CH21"/>
    <mergeCell ref="AJ20:AL21"/>
    <mergeCell ref="AM20:AO21"/>
    <mergeCell ref="AV17:BA17"/>
    <mergeCell ref="CQ16:CQ17"/>
    <mergeCell ref="CR16:CR17"/>
    <mergeCell ref="CS16:CS17"/>
    <mergeCell ref="CB18:CB19"/>
    <mergeCell ref="CC18:CC19"/>
    <mergeCell ref="CD18:CD19"/>
    <mergeCell ref="CE18:CE19"/>
    <mergeCell ref="CF18:CF19"/>
    <mergeCell ref="BB1:BG3"/>
    <mergeCell ref="CB22:CB23"/>
    <mergeCell ref="CC22:CC23"/>
    <mergeCell ref="CI20:CI21"/>
    <mergeCell ref="R22:T23"/>
    <mergeCell ref="U22:W23"/>
    <mergeCell ref="X22:Z23"/>
    <mergeCell ref="AJ22:AL23"/>
    <mergeCell ref="AM22:AO23"/>
    <mergeCell ref="AA20:AC21"/>
    <mergeCell ref="AA22:AC23"/>
    <mergeCell ref="AP20:AR21"/>
    <mergeCell ref="AP22:AR23"/>
    <mergeCell ref="AV20:AX20"/>
    <mergeCell ref="AY20:BA20"/>
    <mergeCell ref="AV21:BA21"/>
    <mergeCell ref="CJ20:CJ21"/>
    <mergeCell ref="CK20:CK21"/>
    <mergeCell ref="CD22:CD23"/>
    <mergeCell ref="CE22:CE23"/>
    <mergeCell ref="BD22:BE23"/>
    <mergeCell ref="BW22:BW23"/>
    <mergeCell ref="BX22:BX23"/>
    <mergeCell ref="BY22:BY23"/>
    <mergeCell ref="BZ22:BZ23"/>
    <mergeCell ref="CF22:CF23"/>
    <mergeCell ref="CG22:CG23"/>
    <mergeCell ref="CH22:CH23"/>
    <mergeCell ref="CI22:CI23"/>
    <mergeCell ref="CJ22:CJ23"/>
    <mergeCell ref="CK22:CK23"/>
    <mergeCell ref="B18:B19"/>
    <mergeCell ref="R16:T17"/>
    <mergeCell ref="Y12:AB13"/>
    <mergeCell ref="AC12:AG13"/>
    <mergeCell ref="X16:Z17"/>
    <mergeCell ref="U18:W19"/>
    <mergeCell ref="X18:Z19"/>
    <mergeCell ref="L15:Z15"/>
    <mergeCell ref="AA15:AU15"/>
    <mergeCell ref="AT9:AW11"/>
    <mergeCell ref="AJ16:AL17"/>
    <mergeCell ref="AM16:AO17"/>
    <mergeCell ref="C18:E19"/>
    <mergeCell ref="F18:K19"/>
    <mergeCell ref="L18:Q19"/>
    <mergeCell ref="C16:E17"/>
    <mergeCell ref="F16:K17"/>
    <mergeCell ref="L16:Q17"/>
    <mergeCell ref="K9:N11"/>
    <mergeCell ref="O9:R11"/>
    <mergeCell ref="S9:V11"/>
    <mergeCell ref="AF9:AJ11"/>
    <mergeCell ref="W9:Z11"/>
    <mergeCell ref="AA9:AE11"/>
    <mergeCell ref="AX4:BA4"/>
    <mergeCell ref="BB4:BF4"/>
    <mergeCell ref="BG4:BJ4"/>
    <mergeCell ref="AX9:BA11"/>
    <mergeCell ref="AH12:AK13"/>
    <mergeCell ref="AL12:AO13"/>
    <mergeCell ref="Y14:AB14"/>
    <mergeCell ref="AC14:AG14"/>
    <mergeCell ref="BG5:BI7"/>
    <mergeCell ref="BG8:BI8"/>
    <mergeCell ref="O196:AY197"/>
    <mergeCell ref="U16:W17"/>
    <mergeCell ref="AJ18:AL19"/>
    <mergeCell ref="AM18:AO19"/>
    <mergeCell ref="BH16:BJ17"/>
    <mergeCell ref="BH18:BJ19"/>
    <mergeCell ref="AP9:AS11"/>
    <mergeCell ref="L34:Q35"/>
    <mergeCell ref="AA36:AC37"/>
    <mergeCell ref="AD36:AI37"/>
    <mergeCell ref="AP34:AR35"/>
    <mergeCell ref="AA34:AC35"/>
    <mergeCell ref="AP36:AR37"/>
    <mergeCell ref="AS36:AU37"/>
    <mergeCell ref="AV36:AX36"/>
    <mergeCell ref="AY36:BA36"/>
    <mergeCell ref="AV37:BA37"/>
    <mergeCell ref="BB36:BC37"/>
    <mergeCell ref="BD36:BE37"/>
    <mergeCell ref="BF36:BG37"/>
    <mergeCell ref="BH36:BJ37"/>
    <mergeCell ref="AD34:AI35"/>
    <mergeCell ref="F20:K21"/>
    <mergeCell ref="L20:Q21"/>
    <mergeCell ref="F22:K23"/>
    <mergeCell ref="L22:Q23"/>
    <mergeCell ref="AD18:AI19"/>
    <mergeCell ref="AD20:AI21"/>
    <mergeCell ref="AD22:AI23"/>
    <mergeCell ref="AS18:AU19"/>
    <mergeCell ref="AS20:AU21"/>
    <mergeCell ref="AS22:AU23"/>
    <mergeCell ref="AV18:AX18"/>
    <mergeCell ref="AY18:BA18"/>
    <mergeCell ref="AV19:BA19"/>
    <mergeCell ref="AV22:AX22"/>
    <mergeCell ref="AY22:BA22"/>
    <mergeCell ref="AV23:BA23"/>
    <mergeCell ref="AA16:AC17"/>
    <mergeCell ref="AD16:AI17"/>
    <mergeCell ref="AS16:AU17"/>
    <mergeCell ref="AV16:AX16"/>
    <mergeCell ref="AY16:BA16"/>
    <mergeCell ref="B46:B47"/>
    <mergeCell ref="B44:B45"/>
    <mergeCell ref="B42:B43"/>
    <mergeCell ref="B40:B41"/>
    <mergeCell ref="B38:B39"/>
    <mergeCell ref="R18:T19"/>
    <mergeCell ref="O198:AZ198"/>
    <mergeCell ref="CJ24:CJ25"/>
    <mergeCell ref="CK24:CK25"/>
    <mergeCell ref="CL24:CL25"/>
    <mergeCell ref="B26:B27"/>
    <mergeCell ref="R26:T27"/>
    <mergeCell ref="U26:W27"/>
    <mergeCell ref="X26:Z27"/>
    <mergeCell ref="AJ26:AL27"/>
    <mergeCell ref="AM26:AO27"/>
    <mergeCell ref="F26:K27"/>
    <mergeCell ref="L26:Q27"/>
    <mergeCell ref="C26:E27"/>
    <mergeCell ref="AA26:AC27"/>
    <mergeCell ref="BN26:BP27"/>
    <mergeCell ref="BK26:BM27"/>
    <mergeCell ref="B20:B21"/>
    <mergeCell ref="B22:B23"/>
    <mergeCell ref="R20:T21"/>
    <mergeCell ref="U20:W21"/>
    <mergeCell ref="X20:Z21"/>
    <mergeCell ref="F24:K25"/>
    <mergeCell ref="C20:E21"/>
    <mergeCell ref="C22:E23"/>
    <mergeCell ref="AA18:AC19"/>
    <mergeCell ref="AP18:AR19"/>
    <mergeCell ref="CL22:CL23"/>
    <mergeCell ref="CM22:CM23"/>
    <mergeCell ref="CN22:CN23"/>
    <mergeCell ref="CO22:CO23"/>
    <mergeCell ref="CP22:CP23"/>
    <mergeCell ref="CQ22:CQ23"/>
    <mergeCell ref="CM24:CM25"/>
    <mergeCell ref="CN24:CN25"/>
    <mergeCell ref="CG18:CG19"/>
    <mergeCell ref="CF24:CF25"/>
    <mergeCell ref="CG24:CG25"/>
    <mergeCell ref="CH18:CH19"/>
    <mergeCell ref="CI18:CI19"/>
    <mergeCell ref="CJ18:CJ19"/>
    <mergeCell ref="CK18:CK19"/>
    <mergeCell ref="CL18:CL19"/>
    <mergeCell ref="CM18:CM19"/>
    <mergeCell ref="CN18:CN19"/>
    <mergeCell ref="CL20:CL21"/>
    <mergeCell ref="CM20:CM21"/>
    <mergeCell ref="CN20:CN21"/>
    <mergeCell ref="B24:B25"/>
    <mergeCell ref="R24:T25"/>
    <mergeCell ref="U24:W25"/>
    <mergeCell ref="X24:Z25"/>
    <mergeCell ref="L24:Q25"/>
    <mergeCell ref="CE24:CE25"/>
    <mergeCell ref="BS26:BS27"/>
    <mergeCell ref="BT26:BT27"/>
    <mergeCell ref="BH26:BJ27"/>
    <mergeCell ref="CB26:CB27"/>
    <mergeCell ref="CC26:CC27"/>
    <mergeCell ref="CM26:CM27"/>
    <mergeCell ref="CH24:CH25"/>
    <mergeCell ref="CI24:CI25"/>
    <mergeCell ref="BS24:BS25"/>
    <mergeCell ref="BT24:BT25"/>
    <mergeCell ref="BN24:BP25"/>
    <mergeCell ref="AV25:BA25"/>
    <mergeCell ref="AY24:BA24"/>
    <mergeCell ref="AA24:AC25"/>
    <mergeCell ref="CF26:CF27"/>
    <mergeCell ref="CG26:CG27"/>
    <mergeCell ref="CH26:CH27"/>
    <mergeCell ref="CI26:CI27"/>
    <mergeCell ref="CJ26:CJ27"/>
    <mergeCell ref="CK26:CK27"/>
    <mergeCell ref="CL26:CL27"/>
    <mergeCell ref="AP26:AR27"/>
    <mergeCell ref="AJ24:AL25"/>
    <mergeCell ref="AM24:AO25"/>
    <mergeCell ref="AP24:AR25"/>
    <mergeCell ref="AD24:AI25"/>
    <mergeCell ref="CP28:CP29"/>
    <mergeCell ref="AV26:AX26"/>
    <mergeCell ref="AY26:BA26"/>
    <mergeCell ref="AV27:BA27"/>
    <mergeCell ref="AV28:AX28"/>
    <mergeCell ref="AY28:BA28"/>
    <mergeCell ref="AV29:BA29"/>
    <mergeCell ref="AS24:AU25"/>
    <mergeCell ref="AS26:AU27"/>
    <mergeCell ref="AV24:AX24"/>
    <mergeCell ref="CO24:CO25"/>
    <mergeCell ref="CP24:CP25"/>
    <mergeCell ref="BV24:BV25"/>
    <mergeCell ref="BW24:BW25"/>
    <mergeCell ref="BX24:BX25"/>
    <mergeCell ref="BY24:BY25"/>
    <mergeCell ref="CN26:CN27"/>
    <mergeCell ref="CO26:CO27"/>
    <mergeCell ref="CP26:CP27"/>
    <mergeCell ref="B28:B29"/>
    <mergeCell ref="R28:T29"/>
    <mergeCell ref="U28:W29"/>
    <mergeCell ref="X28:Z29"/>
    <mergeCell ref="F28:K29"/>
    <mergeCell ref="L28:Q29"/>
    <mergeCell ref="C28:E29"/>
    <mergeCell ref="AA28:AC29"/>
    <mergeCell ref="AS28:AU29"/>
    <mergeCell ref="AD30:AI31"/>
    <mergeCell ref="AY30:BA30"/>
    <mergeCell ref="AV31:BA31"/>
    <mergeCell ref="BS28:BS29"/>
    <mergeCell ref="BT28:BT29"/>
    <mergeCell ref="CB28:CB29"/>
    <mergeCell ref="F30:K31"/>
    <mergeCell ref="L30:Q31"/>
    <mergeCell ref="BF30:BG31"/>
    <mergeCell ref="BB30:BC31"/>
    <mergeCell ref="BD30:BE31"/>
    <mergeCell ref="AJ28:AL29"/>
    <mergeCell ref="AM28:AO29"/>
    <mergeCell ref="AP28:AR29"/>
    <mergeCell ref="AP30:AR31"/>
    <mergeCell ref="AA30:AC31"/>
    <mergeCell ref="BS32:BS33"/>
    <mergeCell ref="BT32:BT33"/>
    <mergeCell ref="CJ32:CJ33"/>
    <mergeCell ref="CK32:CK33"/>
    <mergeCell ref="CB32:CB33"/>
    <mergeCell ref="CC32:CC33"/>
    <mergeCell ref="CD32:CD33"/>
    <mergeCell ref="B30:B31"/>
    <mergeCell ref="R30:T31"/>
    <mergeCell ref="U30:W31"/>
    <mergeCell ref="X30:Z31"/>
    <mergeCell ref="AJ30:AL31"/>
    <mergeCell ref="AM30:AO31"/>
    <mergeCell ref="BH30:BJ31"/>
    <mergeCell ref="CB30:CB31"/>
    <mergeCell ref="CC30:CC31"/>
    <mergeCell ref="B32:B33"/>
    <mergeCell ref="R32:T33"/>
    <mergeCell ref="U32:W33"/>
    <mergeCell ref="X32:Z33"/>
    <mergeCell ref="F34:K35"/>
    <mergeCell ref="AD32:AI33"/>
    <mergeCell ref="AV35:BA35"/>
    <mergeCell ref="AV32:AX32"/>
    <mergeCell ref="AY32:BA32"/>
    <mergeCell ref="AM36:AO37"/>
    <mergeCell ref="F36:K37"/>
    <mergeCell ref="L36:Q37"/>
    <mergeCell ref="B34:B35"/>
    <mergeCell ref="R34:T35"/>
    <mergeCell ref="U34:W35"/>
    <mergeCell ref="B36:B37"/>
    <mergeCell ref="R36:T37"/>
    <mergeCell ref="U36:W37"/>
    <mergeCell ref="X36:Z37"/>
    <mergeCell ref="C36:E37"/>
    <mergeCell ref="AJ36:AL37"/>
    <mergeCell ref="AA32:AC33"/>
    <mergeCell ref="AJ32:AL33"/>
    <mergeCell ref="AM32:AO33"/>
    <mergeCell ref="AP32:AR33"/>
    <mergeCell ref="F32:K33"/>
    <mergeCell ref="L32:Q33"/>
    <mergeCell ref="C34:E35"/>
    <mergeCell ref="X34:Z35"/>
    <mergeCell ref="AJ34:AL35"/>
    <mergeCell ref="AM34:AO35"/>
    <mergeCell ref="BF34:BG35"/>
    <mergeCell ref="BS34:BS35"/>
    <mergeCell ref="CE36:CE37"/>
    <mergeCell ref="CF36:CF37"/>
    <mergeCell ref="CG36:CG37"/>
    <mergeCell ref="CH36:CH37"/>
    <mergeCell ref="CI36:CI37"/>
    <mergeCell ref="BS36:BS37"/>
    <mergeCell ref="BT36:BT37"/>
    <mergeCell ref="BV36:BV37"/>
    <mergeCell ref="BW36:BW37"/>
    <mergeCell ref="BX36:BX37"/>
    <mergeCell ref="BY36:BY37"/>
    <mergeCell ref="BZ36:BZ37"/>
    <mergeCell ref="CI34:CI35"/>
    <mergeCell ref="CB34:CB35"/>
    <mergeCell ref="CC34:CC35"/>
    <mergeCell ref="BT34:BT35"/>
    <mergeCell ref="BK34:BM35"/>
    <mergeCell ref="BN34:BP35"/>
    <mergeCell ref="BV34:BV35"/>
    <mergeCell ref="BW34:BW35"/>
    <mergeCell ref="BX34:BX35"/>
    <mergeCell ref="BY34:BY35"/>
    <mergeCell ref="BZ34:BZ35"/>
    <mergeCell ref="BN36:BP37"/>
    <mergeCell ref="BH34:BJ35"/>
    <mergeCell ref="CT36:CT37"/>
    <mergeCell ref="CJ36:CJ37"/>
    <mergeCell ref="CK36:CK37"/>
    <mergeCell ref="CL36:CL37"/>
    <mergeCell ref="CM36:CM37"/>
    <mergeCell ref="CN36:CN37"/>
    <mergeCell ref="CO36:CO37"/>
    <mergeCell ref="CP36:CP37"/>
    <mergeCell ref="CQ36:CQ37"/>
    <mergeCell ref="CR36:CR37"/>
    <mergeCell ref="CT32:CT33"/>
    <mergeCell ref="CR32:CR33"/>
    <mergeCell ref="CS32:CS33"/>
    <mergeCell ref="CJ34:CJ35"/>
    <mergeCell ref="CK34:CK35"/>
    <mergeCell ref="CD36:CD37"/>
    <mergeCell ref="CN34:CN35"/>
    <mergeCell ref="CO34:CO35"/>
    <mergeCell ref="CP34:CP35"/>
    <mergeCell ref="CQ34:CQ35"/>
    <mergeCell ref="CR34:CR35"/>
    <mergeCell ref="CD34:CD35"/>
    <mergeCell ref="CE34:CE35"/>
    <mergeCell ref="CF34:CF35"/>
    <mergeCell ref="CG34:CG35"/>
    <mergeCell ref="CH34:CH35"/>
    <mergeCell ref="CE32:CE33"/>
    <mergeCell ref="CF32:CF33"/>
    <mergeCell ref="CG32:CG33"/>
    <mergeCell ref="CH32:CH33"/>
    <mergeCell ref="CI32:CI33"/>
    <mergeCell ref="BV18:BV19"/>
    <mergeCell ref="CQ28:CQ29"/>
    <mergeCell ref="CR28:CR29"/>
    <mergeCell ref="CC28:CC29"/>
    <mergeCell ref="CD28:CD29"/>
    <mergeCell ref="CE28:CE29"/>
    <mergeCell ref="CF28:CF29"/>
    <mergeCell ref="CG28:CG29"/>
    <mergeCell ref="CH28:CH29"/>
    <mergeCell ref="CI28:CI29"/>
    <mergeCell ref="CV18:CV19"/>
    <mergeCell ref="CW18:CW19"/>
    <mergeCell ref="CX18:CX19"/>
    <mergeCell ref="CV20:CV21"/>
    <mergeCell ref="CW20:CW21"/>
    <mergeCell ref="CX20:CX21"/>
    <mergeCell ref="CV22:CV23"/>
    <mergeCell ref="CW22:CW23"/>
    <mergeCell ref="CX22:CX23"/>
    <mergeCell ref="CQ24:CQ25"/>
    <mergeCell ref="CR24:CR25"/>
    <mergeCell ref="CS24:CS25"/>
    <mergeCell ref="CU24:CU25"/>
    <mergeCell ref="CU26:CU27"/>
    <mergeCell ref="CU28:CU29"/>
    <mergeCell ref="CR18:CR19"/>
    <mergeCell ref="CU18:CU19"/>
    <mergeCell ref="CS28:CS29"/>
    <mergeCell ref="CT28:CT29"/>
    <mergeCell ref="CQ18:CQ19"/>
    <mergeCell ref="CT20:CT21"/>
    <mergeCell ref="CT22:CT23"/>
    <mergeCell ref="CX16:CX17"/>
    <mergeCell ref="AK9:AO11"/>
    <mergeCell ref="CO16:CO17"/>
    <mergeCell ref="CP16:CP17"/>
    <mergeCell ref="CG16:CG17"/>
    <mergeCell ref="CH16:CH17"/>
    <mergeCell ref="CI16:CI17"/>
    <mergeCell ref="CJ16:CJ17"/>
    <mergeCell ref="CK16:CK17"/>
    <mergeCell ref="CB16:CB17"/>
    <mergeCell ref="CC16:CC17"/>
    <mergeCell ref="CD16:CD17"/>
    <mergeCell ref="CE16:CE17"/>
    <mergeCell ref="CF16:CF17"/>
    <mergeCell ref="BK16:BM17"/>
    <mergeCell ref="CL16:CL17"/>
    <mergeCell ref="CM16:CM17"/>
    <mergeCell ref="CN16:CN17"/>
    <mergeCell ref="AH14:AK14"/>
    <mergeCell ref="AL14:AO14"/>
    <mergeCell ref="AQ12:BA13"/>
    <mergeCell ref="AQ14:BA14"/>
    <mergeCell ref="BF16:BG17"/>
    <mergeCell ref="BV14:BZ15"/>
    <mergeCell ref="BV16:BV17"/>
    <mergeCell ref="BW16:BW17"/>
    <mergeCell ref="BX16:BX17"/>
    <mergeCell ref="BY16:BY17"/>
    <mergeCell ref="BZ16:BZ17"/>
    <mergeCell ref="CU16:CU17"/>
    <mergeCell ref="BW18:BW19"/>
    <mergeCell ref="BX18:BX19"/>
    <mergeCell ref="BY18:BY19"/>
    <mergeCell ref="BZ18:BZ19"/>
    <mergeCell ref="BV22:BV23"/>
    <mergeCell ref="CS26:CS27"/>
    <mergeCell ref="CT26:CT27"/>
    <mergeCell ref="CT24:CT25"/>
    <mergeCell ref="CD30:CD31"/>
    <mergeCell ref="CE30:CE31"/>
    <mergeCell ref="CF30:CF31"/>
    <mergeCell ref="CG30:CG31"/>
    <mergeCell ref="CH30:CH31"/>
    <mergeCell ref="CI30:CI31"/>
    <mergeCell ref="BK28:BM29"/>
    <mergeCell ref="BN28:BP29"/>
    <mergeCell ref="BK30:BM31"/>
    <mergeCell ref="BK22:BM23"/>
    <mergeCell ref="BN22:BP23"/>
    <mergeCell ref="CB24:CB25"/>
    <mergeCell ref="CC24:CC25"/>
    <mergeCell ref="CS30:CS31"/>
    <mergeCell ref="CT30:CT31"/>
    <mergeCell ref="CJ30:CJ31"/>
    <mergeCell ref="CK30:CK31"/>
    <mergeCell ref="CL30:CL31"/>
    <mergeCell ref="CM30:CM31"/>
    <mergeCell ref="CN30:CN31"/>
    <mergeCell ref="CO30:CO31"/>
    <mergeCell ref="CP30:CP31"/>
    <mergeCell ref="CJ28:CJ29"/>
    <mergeCell ref="CR26:CR27"/>
    <mergeCell ref="AD26:AI27"/>
    <mergeCell ref="AD28:AI29"/>
    <mergeCell ref="CX24:CX25"/>
    <mergeCell ref="BB24:BC25"/>
    <mergeCell ref="BD24:BE25"/>
    <mergeCell ref="BB26:BC27"/>
    <mergeCell ref="BD26:BE27"/>
    <mergeCell ref="BB28:BC29"/>
    <mergeCell ref="BD28:BE29"/>
    <mergeCell ref="BH28:BJ29"/>
    <mergeCell ref="CX30:CX31"/>
    <mergeCell ref="CV32:CV33"/>
    <mergeCell ref="CW32:CW33"/>
    <mergeCell ref="CX32:CX33"/>
    <mergeCell ref="BS30:BS31"/>
    <mergeCell ref="BT30:BT31"/>
    <mergeCell ref="CM28:CM29"/>
    <mergeCell ref="CN28:CN29"/>
    <mergeCell ref="CX26:CX27"/>
    <mergeCell ref="CV28:CV29"/>
    <mergeCell ref="CW28:CW29"/>
    <mergeCell ref="CX28:CX29"/>
    <mergeCell ref="CK28:CK29"/>
    <mergeCell ref="CL28:CL29"/>
    <mergeCell ref="CQ30:CQ31"/>
    <mergeCell ref="CR30:CR31"/>
    <mergeCell ref="CL32:CL33"/>
    <mergeCell ref="CQ26:CQ27"/>
    <mergeCell ref="CD26:CD27"/>
    <mergeCell ref="CE26:CE27"/>
    <mergeCell ref="BH32:BJ33"/>
    <mergeCell ref="CO28:CO29"/>
    <mergeCell ref="CW36:CW37"/>
    <mergeCell ref="BB16:BE16"/>
    <mergeCell ref="BB17:BC17"/>
    <mergeCell ref="BD17:BE17"/>
    <mergeCell ref="BB22:BC23"/>
    <mergeCell ref="CT16:CT17"/>
    <mergeCell ref="CU20:CU21"/>
    <mergeCell ref="CU22:CU23"/>
    <mergeCell ref="CV34:CV35"/>
    <mergeCell ref="BN16:BP17"/>
    <mergeCell ref="BF18:BG19"/>
    <mergeCell ref="BK18:BM19"/>
    <mergeCell ref="BN18:BP19"/>
    <mergeCell ref="BF20:BG21"/>
    <mergeCell ref="BK20:BM21"/>
    <mergeCell ref="BN20:BP21"/>
    <mergeCell ref="BF22:BG23"/>
    <mergeCell ref="CD24:CD25"/>
    <mergeCell ref="CO18:CO19"/>
    <mergeCell ref="CP18:CP19"/>
    <mergeCell ref="CU30:CU31"/>
    <mergeCell ref="CU32:CU33"/>
    <mergeCell ref="CS36:CS37"/>
    <mergeCell ref="CV16:CV17"/>
    <mergeCell ref="CW16:CW17"/>
    <mergeCell ref="CV26:CV27"/>
    <mergeCell ref="CW26:CW27"/>
    <mergeCell ref="CM32:CM33"/>
    <mergeCell ref="CN32:CN33"/>
    <mergeCell ref="CO32:CO33"/>
    <mergeCell ref="CP32:CP33"/>
    <mergeCell ref="CQ32:CQ33"/>
    <mergeCell ref="CX36:CX37"/>
    <mergeCell ref="CW34:CW35"/>
    <mergeCell ref="CX34:CX35"/>
    <mergeCell ref="CV24:CV25"/>
    <mergeCell ref="CW24:CW25"/>
    <mergeCell ref="AS30:AU31"/>
    <mergeCell ref="AS32:AU33"/>
    <mergeCell ref="AS34:AU35"/>
    <mergeCell ref="BB18:BC19"/>
    <mergeCell ref="BD18:BE19"/>
    <mergeCell ref="BB20:BC21"/>
    <mergeCell ref="BD20:BE21"/>
    <mergeCell ref="BF24:BG25"/>
    <mergeCell ref="BH24:BJ25"/>
    <mergeCell ref="BF28:BG29"/>
    <mergeCell ref="BF26:BG27"/>
    <mergeCell ref="CS34:CS35"/>
    <mergeCell ref="CT34:CT35"/>
    <mergeCell ref="CR22:CR23"/>
    <mergeCell ref="CT18:CT19"/>
    <mergeCell ref="CS18:CS19"/>
    <mergeCell ref="CS22:CS23"/>
    <mergeCell ref="CV30:CV31"/>
    <mergeCell ref="CW30:CW31"/>
    <mergeCell ref="CL34:CL35"/>
    <mergeCell ref="CU34:CU35"/>
    <mergeCell ref="CM34:CM35"/>
    <mergeCell ref="CU36:CU37"/>
    <mergeCell ref="CB36:CB37"/>
    <mergeCell ref="CC36:CC37"/>
    <mergeCell ref="BN32:BP33"/>
    <mergeCell ref="CV36:CV37"/>
    <mergeCell ref="DY18:DY19"/>
    <mergeCell ref="DZ18:DZ19"/>
    <mergeCell ref="DY20:DY21"/>
    <mergeCell ref="DZ20:DZ21"/>
    <mergeCell ref="DY22:DY23"/>
    <mergeCell ref="DZ22:DZ23"/>
    <mergeCell ref="DY24:DY25"/>
    <mergeCell ref="DZ24:DZ25"/>
    <mergeCell ref="DY26:DY27"/>
    <mergeCell ref="DZ26:DZ27"/>
    <mergeCell ref="DY28:DY29"/>
    <mergeCell ref="DZ28:DZ29"/>
    <mergeCell ref="DY30:DY31"/>
    <mergeCell ref="DZ30:DZ31"/>
    <mergeCell ref="DY32:DY33"/>
    <mergeCell ref="DZ32:DZ33"/>
    <mergeCell ref="DY34:DY35"/>
    <mergeCell ref="DZ34:DZ35"/>
    <mergeCell ref="DY36:DY37"/>
    <mergeCell ref="DZ36:DZ37"/>
    <mergeCell ref="BK24:BM25"/>
    <mergeCell ref="BN30:BP31"/>
    <mergeCell ref="BF32:BG33"/>
    <mergeCell ref="BK32:BM33"/>
    <mergeCell ref="CZ16:CZ17"/>
    <mergeCell ref="DA16:DA17"/>
    <mergeCell ref="CZ18:CZ19"/>
    <mergeCell ref="DA18:DA19"/>
    <mergeCell ref="CZ20:CZ21"/>
    <mergeCell ref="DA20:DA21"/>
    <mergeCell ref="CZ22:CZ23"/>
    <mergeCell ref="DA22:DA23"/>
    <mergeCell ref="CZ24:CZ25"/>
    <mergeCell ref="DA24:DA25"/>
    <mergeCell ref="BZ24:BZ25"/>
    <mergeCell ref="BV26:BV27"/>
    <mergeCell ref="BW26:BW27"/>
    <mergeCell ref="BX26:BX27"/>
    <mergeCell ref="BY26:BY27"/>
    <mergeCell ref="BZ26:BZ27"/>
    <mergeCell ref="BV28:BV29"/>
    <mergeCell ref="BW28:BW29"/>
    <mergeCell ref="BX28:BX29"/>
    <mergeCell ref="BY28:BY29"/>
    <mergeCell ref="BZ28:BZ29"/>
    <mergeCell ref="BV20:BV21"/>
    <mergeCell ref="BW20:BW21"/>
    <mergeCell ref="BX20:BX21"/>
    <mergeCell ref="BY20:BY21"/>
    <mergeCell ref="BZ20:BZ21"/>
    <mergeCell ref="R200:AR201"/>
    <mergeCell ref="CZ36:CZ37"/>
    <mergeCell ref="DA36:DA37"/>
    <mergeCell ref="CZ26:CZ27"/>
    <mergeCell ref="DA26:DA27"/>
    <mergeCell ref="CZ28:CZ29"/>
    <mergeCell ref="DA28:DA29"/>
    <mergeCell ref="CZ30:CZ31"/>
    <mergeCell ref="DA30:DA31"/>
    <mergeCell ref="CZ32:CZ33"/>
    <mergeCell ref="DA32:DA33"/>
    <mergeCell ref="CZ34:CZ35"/>
    <mergeCell ref="DA34:DA35"/>
    <mergeCell ref="BV30:BV31"/>
    <mergeCell ref="BW30:BW31"/>
    <mergeCell ref="BX30:BX31"/>
    <mergeCell ref="BY30:BY31"/>
    <mergeCell ref="BZ30:BZ31"/>
    <mergeCell ref="BV32:BV33"/>
    <mergeCell ref="BW32:BW33"/>
    <mergeCell ref="BX32:BX33"/>
    <mergeCell ref="BY32:BY33"/>
    <mergeCell ref="BZ32:BZ33"/>
    <mergeCell ref="BK36:BM37"/>
    <mergeCell ref="BB32:BC33"/>
    <mergeCell ref="BD32:BE33"/>
    <mergeCell ref="BB34:BC35"/>
    <mergeCell ref="BD34:BE35"/>
    <mergeCell ref="AV30:AX30"/>
    <mergeCell ref="AV33:BA33"/>
    <mergeCell ref="AV34:AX34"/>
    <mergeCell ref="AY34:BA34"/>
    <mergeCell ref="EJ18:EJ19"/>
    <mergeCell ref="EK18:EK19"/>
    <mergeCell ref="EL18:EL19"/>
    <mergeCell ref="EM18:EM19"/>
    <mergeCell ref="EN18:EN19"/>
    <mergeCell ref="EA20:EA21"/>
    <mergeCell ref="EB20:EB21"/>
    <mergeCell ref="EC20:EC21"/>
    <mergeCell ref="ED20:ED21"/>
    <mergeCell ref="EE20:EE21"/>
    <mergeCell ref="EF20:EF21"/>
    <mergeCell ref="EG20:EG21"/>
    <mergeCell ref="EH20:EH21"/>
    <mergeCell ref="EI20:EI21"/>
    <mergeCell ref="EJ20:EJ21"/>
    <mergeCell ref="EK20:EK21"/>
    <mergeCell ref="EL20:EL21"/>
    <mergeCell ref="EM20:EM21"/>
    <mergeCell ref="EN20:EN21"/>
    <mergeCell ref="EA18:EA19"/>
    <mergeCell ref="EB18:EB19"/>
    <mergeCell ref="EC18:EC19"/>
    <mergeCell ref="ED18:ED19"/>
    <mergeCell ref="EE18:EE19"/>
    <mergeCell ref="EF18:EF19"/>
    <mergeCell ref="EG18:EG19"/>
    <mergeCell ref="EH18:EH19"/>
    <mergeCell ref="EI18:EI19"/>
    <mergeCell ref="EJ22:EJ23"/>
    <mergeCell ref="EK22:EK23"/>
    <mergeCell ref="EL22:EL23"/>
    <mergeCell ref="EM22:EM23"/>
    <mergeCell ref="EN22:EN23"/>
    <mergeCell ref="EA24:EA25"/>
    <mergeCell ref="EB24:EB25"/>
    <mergeCell ref="EC24:EC25"/>
    <mergeCell ref="ED24:ED25"/>
    <mergeCell ref="EE24:EE25"/>
    <mergeCell ref="EF24:EF25"/>
    <mergeCell ref="EG24:EG25"/>
    <mergeCell ref="EH24:EH25"/>
    <mergeCell ref="EI24:EI25"/>
    <mergeCell ref="EJ24:EJ25"/>
    <mergeCell ref="EK24:EK25"/>
    <mergeCell ref="EL24:EL25"/>
    <mergeCell ref="EM24:EM25"/>
    <mergeCell ref="EN24:EN25"/>
    <mergeCell ref="EA22:EA23"/>
    <mergeCell ref="EB22:EB23"/>
    <mergeCell ref="EC22:EC23"/>
    <mergeCell ref="ED22:ED23"/>
    <mergeCell ref="EE22:EE23"/>
    <mergeCell ref="EF22:EF23"/>
    <mergeCell ref="EG22:EG23"/>
    <mergeCell ref="EH22:EH23"/>
    <mergeCell ref="EI22:EI23"/>
    <mergeCell ref="EJ26:EJ27"/>
    <mergeCell ref="EK26:EK27"/>
    <mergeCell ref="EL26:EL27"/>
    <mergeCell ref="EM26:EM27"/>
    <mergeCell ref="EN26:EN27"/>
    <mergeCell ref="EA28:EA29"/>
    <mergeCell ref="EB28:EB29"/>
    <mergeCell ref="EC28:EC29"/>
    <mergeCell ref="ED28:ED29"/>
    <mergeCell ref="EE28:EE29"/>
    <mergeCell ref="EF28:EF29"/>
    <mergeCell ref="EG28:EG29"/>
    <mergeCell ref="EH28:EH29"/>
    <mergeCell ref="EI28:EI29"/>
    <mergeCell ref="EJ28:EJ29"/>
    <mergeCell ref="EK28:EK29"/>
    <mergeCell ref="EL28:EL29"/>
    <mergeCell ref="EM28:EM29"/>
    <mergeCell ref="EN28:EN29"/>
    <mergeCell ref="EA26:EA27"/>
    <mergeCell ref="EB26:EB27"/>
    <mergeCell ref="EC26:EC27"/>
    <mergeCell ref="ED26:ED27"/>
    <mergeCell ref="EE26:EE27"/>
    <mergeCell ref="EF26:EF27"/>
    <mergeCell ref="EG26:EG27"/>
    <mergeCell ref="EH26:EH27"/>
    <mergeCell ref="EI26:EI27"/>
    <mergeCell ref="EJ30:EJ31"/>
    <mergeCell ref="EK30:EK31"/>
    <mergeCell ref="EL30:EL31"/>
    <mergeCell ref="EM30:EM31"/>
    <mergeCell ref="EN30:EN31"/>
    <mergeCell ref="EA32:EA33"/>
    <mergeCell ref="EB32:EB33"/>
    <mergeCell ref="EC32:EC33"/>
    <mergeCell ref="ED32:ED33"/>
    <mergeCell ref="EE32:EE33"/>
    <mergeCell ref="EF32:EF33"/>
    <mergeCell ref="EG32:EG33"/>
    <mergeCell ref="EH32:EH33"/>
    <mergeCell ref="EI32:EI33"/>
    <mergeCell ref="EJ32:EJ33"/>
    <mergeCell ref="EK32:EK33"/>
    <mergeCell ref="EL32:EL33"/>
    <mergeCell ref="EM32:EM33"/>
    <mergeCell ref="EN32:EN33"/>
    <mergeCell ref="EA30:EA31"/>
    <mergeCell ref="EB30:EB31"/>
    <mergeCell ref="EC30:EC31"/>
    <mergeCell ref="ED30:ED31"/>
    <mergeCell ref="EE30:EE31"/>
    <mergeCell ref="EF30:EF31"/>
    <mergeCell ref="EG30:EG31"/>
    <mergeCell ref="EH30:EH31"/>
    <mergeCell ref="EI30:EI31"/>
    <mergeCell ref="EJ34:EJ35"/>
    <mergeCell ref="EK34:EK35"/>
    <mergeCell ref="EL34:EL35"/>
    <mergeCell ref="EM34:EM35"/>
    <mergeCell ref="EN34:EN35"/>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A34:EA35"/>
    <mergeCell ref="EB34:EB35"/>
    <mergeCell ref="EC34:EC35"/>
    <mergeCell ref="ED34:ED35"/>
    <mergeCell ref="EE34:EE35"/>
    <mergeCell ref="EF34:EF35"/>
    <mergeCell ref="EG34:EG35"/>
    <mergeCell ref="EH34:EH35"/>
    <mergeCell ref="EI34:EI35"/>
  </mergeCells>
  <phoneticPr fontId="78" type="noConversion"/>
  <conditionalFormatting sqref="C18 L18 AD18 AJ18 AM18 AP18 AY18 BB18 BD18 AV18:AV37 C20 L20 AD20 AJ20 AM20 AP20 AY20 BB20 BD20 C22 L22 AD22 AJ22 AM22 AP22 AY22 BB22 BD22 C24 L24 AD24 AJ24 AM24 AP24 AY24 BB24 BD24 C26 L26 AD26 AJ26 AM26 AP26 AY26 BB26 BD26 C28 L28 AD28 AJ28 AM28 AP28 AY28 BB28 BD28 C30 L30 AD30 AJ30 AM30 AP30 AY30 BB30 BD30 C32 L32 AD32 AJ32 AM32 AP32 AY32 BB32 BD32 C34 L34 AD34 AJ34 AM34 AP34 AY34 BB34 BD34 C36 L36 AD36 AJ36 AM36 AP36 AY36 BB36 BD36">
    <cfRule type="expression" dxfId="351" priority="19">
      <formula>AND(ISBLANK($F18)=FALSE,OR(ISBLANK(C18)=TRUE,C18=""))</formula>
    </cfRule>
  </conditionalFormatting>
  <conditionalFormatting sqref="R18:AC37">
    <cfRule type="expression" dxfId="350" priority="4">
      <formula>AND(ISBLANK($F18)=FALSE,OR(ISBLANK(R18)=TRUE,R18=""))</formula>
    </cfRule>
  </conditionalFormatting>
  <conditionalFormatting sqref="AS18 AS20 AS22 AS24 AS26 AS28 AS30 AS32 AS34 AS36">
    <cfRule type="expression" dxfId="349" priority="3">
      <formula>AND(ISBLANK($F18)=FALSE,OR(ISBLANK(AS18)=TRUE,AS18=""))</formula>
    </cfRule>
  </conditionalFormatting>
  <conditionalFormatting sqref="AV18 AY18 AV20 AY20 AV22 AY22 AV24 AY24 AV26 AY26 AV28 AY28 AV30 AY30 AV32 AY32 AV34 AY34 AV36 AY36">
    <cfRule type="expression" dxfId="348" priority="2082">
      <formula>AND($F18&lt;&gt;"",$P18&lt;&gt;"",AV18="")</formula>
    </cfRule>
  </conditionalFormatting>
  <conditionalFormatting sqref="AV19 AV21 AV23 AV25 AV27 AV29 AV31 AV33 AV35 AV37">
    <cfRule type="expression" dxfId="347" priority="11">
      <formula>AND($F18&lt;&gt;"",AV19="")</formula>
    </cfRule>
  </conditionalFormatting>
  <conditionalFormatting sqref="BA8:BF8">
    <cfRule type="expression" dxfId="346" priority="6">
      <formula>IF($AO$8=PROJSTATMEASURE,FALSE,TRUE)</formula>
    </cfRule>
  </conditionalFormatting>
  <conditionalFormatting sqref="BH18 BH20 BH22 BH24 BH26 BH28 BH30 BH32 BH34 BH36">
    <cfRule type="expression" dxfId="345" priority="2127" stopIfTrue="1">
      <formula>ISNUMBER($BH18)=FALSE</formula>
    </cfRule>
    <cfRule type="expression" dxfId="344" priority="2128">
      <formula>$BH18 &lt;&gt; #REF!</formula>
    </cfRule>
  </conditionalFormatting>
  <conditionalFormatting sqref="BY18:BZ37">
    <cfRule type="expression" dxfId="343" priority="1">
      <formula>$BX18&lt;&gt;"Dual"</formula>
    </cfRule>
  </conditionalFormatting>
  <dataValidations xWindow="132" yWindow="623" count="20">
    <dataValidation type="list" allowBlank="1" showInputMessage="1" showErrorMessage="1" prompt="Select Custom Measure Category." sqref="F18 F20 F22 F24 F26 F28 F30 F32 F34 F36" xr:uid="{86E4F604-E72E-43CA-A217-660814AC0B36}">
      <formula1>List_Cust_HVAC</formula1>
    </dataValidation>
    <dataValidation type="decimal" allowBlank="1" showInputMessage="1" showErrorMessage="1" prompt="This is the TOTAL Labor Cost of the measure, NOT a per unit basis." sqref="BD18 BD20 BD22 BD24 BD26 BD28 BD30 BD32 BD34 BD36" xr:uid="{4271C660-7FA6-4957-BC53-D816B072266D}">
      <formula1>0</formula1>
      <formula2>999999999</formula2>
    </dataValidation>
    <dataValidation type="decimal" allowBlank="1" showInputMessage="1" showErrorMessage="1" prompt="This is the TOTAL Material Cost of the measure, NOT a per unit basis." sqref="BB18 BB20 BB22 BB24 BB26 BB28 BB30 BB32 BB34 BB36" xr:uid="{A30370F1-4EFB-45D5-903C-F00D508EC94B}">
      <formula1>0</formula1>
      <formula2>999999999</formula2>
    </dataValidation>
    <dataValidation allowBlank="1" showInputMessage="1" showErrorMessage="1" prompt="Install Location should describe the area where the equipment is installed. (e.g. Room 201, Garage, Mechanical Room)." sqref="C18 C20 C22 C24 C26 C28 C30 C32 C34 C36" xr:uid="{01A6641B-419E-4EA3-A242-732153BED94C}"/>
    <dataValidation allowBlank="1" showInputMessage="1" showErrorMessage="1" prompt="Enter the Manufacturer name as it appears in technical documents and invoices." sqref="AV18 AV20 AV22 AV24 AV26 AV28 AV30 AV32 AV34 AV36" xr:uid="{79A61B1B-678D-47B6-B449-862EB2EE9E08}"/>
    <dataValidation allowBlank="1" showInputMessage="1" showErrorMessage="1" prompt="Enter the Model number as it appears in technical documents and invoices." sqref="AY18 AY20 AY22 AY24 AY26 AY28 AY30 AY32 AY34 AY36" xr:uid="{28AEF822-CB29-4D15-96DB-8FEEE1A6B796}"/>
    <dataValidation allowBlank="1" showInputMessage="1" showErrorMessage="1" prompt="Provide a brief description of the Existing Equipment." sqref="L18 L20 L22 L24 L26 L28 L30 L32 L34 L36" xr:uid="{69595C94-52B9-437C-8AA9-F3AD82165A25}"/>
    <dataValidation allowBlank="1" showInputMessage="1" showErrorMessage="1" prompt="Enter the Serial number as it appears in technical documents and invoices." sqref="AV19 AV21 AV23 AV25 AV27 AV29 AV31 AV33 AV35 AV37" xr:uid="{ED32740D-1CD5-4C5E-B0A2-22F94AF3B054}"/>
    <dataValidation type="custom" operator="greaterThanOrEqual" allowBlank="1" showInputMessage="1" showErrorMessage="1" errorTitle="Invalid Entry" error="Please enter no more than 4 decimals." prompt="Enter the Total Annual kWh Usage for the Existing measure, NOT per unit." sqref="R18:T37" xr:uid="{B54C24D6-9F1F-43F8-8ECA-4B1809C4986B}">
      <formula1>AND(R18&gt;=0,R18=ROUND(R18,4))</formula1>
    </dataValidation>
    <dataValidation type="custom" operator="greaterThanOrEqual" allowBlank="1" showInputMessage="1" showErrorMessage="1" errorTitle="Invalid Entry" error="Please enter no more than 6 decimals." prompt="Enter the Total Annual kW Demand for the Existing measure, NOT per unit." sqref="U18:W37" xr:uid="{7FD4ED51-8641-4044-8ABC-29FC52551F66}">
      <formula1>AND(U18&gt;=0,U18=ROUND(U18,6))</formula1>
    </dataValidation>
    <dataValidation type="custom" operator="greaterThanOrEqual" allowBlank="1" showInputMessage="1" showErrorMessage="1" errorTitle="Invalid Entry" error="Please enter no more than 4 decimals." prompt="Enter the Total Annual kWh Usage for the Proposed measure, NOT per unit." sqref="AJ18 AJ20 AJ22 AJ24 AJ26 AJ28 AJ30 AJ32 AJ34 AJ36" xr:uid="{B34F14F2-34D3-44DE-BA0B-3197FF618E2A}">
      <formula1>AND(AJ18&gt;=0,AJ18=ROUND(AJ18,4))</formula1>
    </dataValidation>
    <dataValidation type="custom" operator="greaterThanOrEqual" allowBlank="1" showInputMessage="1" showErrorMessage="1" errorTitle="Invalid Entry" error="Please enter no more than 6 decimals." prompt="Enter the Total Annual kW Demand for the Proposed measure, NOT per unit." sqref="AM18 AM20 AM22 AM24 AM26 AM28 AM30 AM32 AM34 AM36" xr:uid="{A2733374-7771-49A1-8B3D-93DE2EFB097C}">
      <formula1>AND(AM18&gt;=0,AM18=ROUND(AM18,6))</formula1>
    </dataValidation>
    <dataValidation type="textLength" errorStyle="warning" operator="lessThan" allowBlank="1" showInputMessage="1" showErrorMessage="1" errorTitle="*Important*" error="Text length must be less than 255 characters." prompt="Provide a brief description of the Proposed Equipment." sqref="AD18 AD20 AD22 AD24 AD26 AD28 AD30 AD32 AD34 AD36" xr:uid="{EA02E1B6-DD7B-4815-B8E9-700F099238F8}">
      <formula1>255</formula1>
    </dataValidation>
    <dataValidation type="custom" operator="greaterThanOrEqual" allowBlank="1" showInputMessage="1" showErrorMessage="1" errorTitle="Invalid Entry" error="Please enter no more than 6 decimals." prompt="Enter the Total Annual therm Usage for the Existing measure, NOT per unit." sqref="X18:Z37" xr:uid="{56E0262D-A718-4136-BCAF-7C6DDB4C2CE8}">
      <formula1>AND(X18&gt;=0,X18=ROUND(X18,6))</formula1>
    </dataValidation>
    <dataValidation type="custom" operator="greaterThanOrEqual" allowBlank="1" showInputMessage="1" showErrorMessage="1" errorTitle="Invalid Entry" error="Please enter no more than 6 decimals." prompt="Enter the Peak Day therm Usage for the Existing measure, NOT per unit." sqref="AA18:AC37" xr:uid="{0F9D7F1B-6A27-4E99-A4C8-027A58D938A8}">
      <formula1>AND(AA18&gt;=0,AA18=ROUND(AA18,6))</formula1>
    </dataValidation>
    <dataValidation type="custom" operator="greaterThanOrEqual" allowBlank="1" showInputMessage="1" showErrorMessage="1" errorTitle="Invalid Entry" error="Please enter no more than 6 decimals." prompt="Enter the Total Annual therm Usage for the Proposed measure, NOT per unit." sqref="AP18:AR37" xr:uid="{7C805B5B-637F-49BB-AACA-5D4992621593}">
      <formula1>AND(AP18&gt;=0,AP18=ROUND(AP18,6))</formula1>
    </dataValidation>
    <dataValidation type="custom" operator="greaterThanOrEqual" allowBlank="1" showInputMessage="1" showErrorMessage="1" errorTitle="Invalid Entry" error="Please enter no more than 6 decimals." prompt="Enter the Peak Day therm Usage for the Proposed measure, NOT per unit." sqref="AS18:AU37" xr:uid="{F7161A1C-ADD9-49A9-866E-ED93CB49D4EA}">
      <formula1>AND(AS18&gt;=0,AS18=ROUND(AS18,6))</formula1>
    </dataValidation>
    <dataValidation type="custom" allowBlank="1" showInputMessage="1" showErrorMessage="1" sqref="BZ18:BZ37" xr:uid="{E971D618-1B86-40A0-BE13-57A712BC52AA}">
      <formula1>AND(BZ18&gt;=0,BZ18=ROUND(BZ18,6))</formula1>
    </dataValidation>
    <dataValidation type="custom" allowBlank="1" showInputMessage="1" showErrorMessage="1" sqref="BY18:BY37" xr:uid="{CE2826CF-0D94-4126-9750-56808327C6CA}">
      <formula1>AND(BY18&gt;=0,BY18=ROUND(BY18,4))</formula1>
    </dataValidation>
    <dataValidation type="whole" operator="greaterThan" allowBlank="1" showInputMessage="1" showErrorMessage="1" sqref="BV18:BW37" xr:uid="{16B35DFF-BE02-44D3-BC40-B1B73B914121}">
      <formula1>0</formula1>
    </dataValidation>
  </dataValidations>
  <hyperlinks>
    <hyperlink ref="J1:M3" location="'M01-S02'!J1" tooltip="Instructions" display="'M01-S02'!J1" xr:uid="{C7BB0B48-DAAC-4F11-B3B0-9F198DAA77B0}"/>
    <hyperlink ref="AX1:BA3" location="'M05-S05'!AL1" tooltip=" " display="'M05-S05'!AL1" xr:uid="{5370FB06-DF8E-41BD-A854-2AC920DE354F}"/>
    <hyperlink ref="BH1:BK3" location="'M01-S03'!AP1" tooltip="Contact" display="'M01-S03'!AP1" xr:uid="{6312B583-348F-48FE-B07B-08380B2CCC93}"/>
    <hyperlink ref="AT1:AW3" location="'M05-S04'!AH1" tooltip=" " display="'M05-S04'!AH1" xr:uid="{9DCC3778-E56F-4750-BA80-227AC610C4FD}"/>
    <hyperlink ref="AP1:AS3" location="'M05-S05'!AL1" tooltip=" " display="'M05-S05'!AL1" xr:uid="{AC2A44D9-4663-40E1-9DBF-BEBDB4CF9B68}"/>
    <hyperlink ref="W9:Z11" location="Custom_WH_Tax" tooltip="Refrigeration" display="Custom_WH_Tax" xr:uid="{F0823523-F8B1-4694-8239-716D6D8BABFC}"/>
    <hyperlink ref="AP9:AS11" location="Custom_PL_Tax" tooltip="Motors and Drives" display="Custom_PL_Tax" xr:uid="{9FD13F84-88D5-4271-B442-4B002B88C818}"/>
    <hyperlink ref="K9:N11" location="Custom_Lighting_Tax" display="Custom_Lighting_Tax" xr:uid="{44F08128-DE8A-46D9-917B-8474132DF672}"/>
    <hyperlink ref="O9:R11" location="Custom_HVAC_Tax" display="Custom_HVAC_Tax" xr:uid="{174749A2-42E9-477F-A5A1-14FBEDFE5A15}"/>
    <hyperlink ref="S9:V11" location="Custom_Heating_Tax" display="Custom_Heating_Tax" xr:uid="{570BC1D8-FA66-42AC-9587-AE4BFF984C3B}"/>
    <hyperlink ref="AF9:AJ11" location="Custom_FS_Tax" display="Custom_FS_Tax" xr:uid="{11BFFF97-7C37-448D-80E3-D943C2066879}"/>
    <hyperlink ref="AK9:AO11" location="Custom_AG_Tax" display="Custom_AG_Tax" xr:uid="{DCFA108A-1344-42DA-B3A7-33D172690AA0}"/>
    <hyperlink ref="AT9:AW11" location="Custom_RA_Tax" display="Custom_RA_Tax" xr:uid="{043F3C57-FD10-447F-BC9C-1372A75B7603}"/>
    <hyperlink ref="AX9:BA11" location="Custom_Misc_Tax" display="Custom_Misc_Tax" xr:uid="{929C2960-81D1-40C4-957B-988C9F723D31}"/>
    <hyperlink ref="AA9:AE11" location="Custom_Refrig_Tax" display="Custom_Refrig_Tax" xr:uid="{A8C9F77D-FCAC-44A6-B8D1-F4F85EF7C895}"/>
  </hyperlinks>
  <printOptions horizontalCentered="1"/>
  <pageMargins left="0" right="0" top="0.25" bottom="0.25" header="0.25" footer="0.25"/>
  <pageSetup scale="48" fitToHeight="0" orientation="landscape" r:id="rId1"/>
  <drawing r:id="rId2"/>
  <extLst>
    <ext xmlns:x14="http://schemas.microsoft.com/office/spreadsheetml/2009/9/main" uri="{CCE6A557-97BC-4b89-ADB6-D9C93CAAB3DF}">
      <x14:dataValidations xmlns:xm="http://schemas.microsoft.com/office/excel/2006/main" xWindow="132" yWindow="623" count="1">
        <x14:dataValidation type="list" allowBlank="1" showInputMessage="1" showErrorMessage="1" xr:uid="{EDAA69FC-01D7-4595-BEA6-45593C60CEE6}">
          <x14:formula1>
            <xm:f>'DATA TABLES_Project'!$A$112:$A$113</xm:f>
          </x14:formula1>
          <xm:sqref>BX18:BX37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C419-291E-4B55-B556-CACC2915A764}">
  <sheetPr codeName="Sheet28">
    <tabColor rgb="FF142C41"/>
    <pageSetUpPr fitToPage="1"/>
  </sheetPr>
  <dimension ref="A1:EN204"/>
  <sheetViews>
    <sheetView showGridLines="0" showRowColHeaders="0" zoomScale="90" zoomScaleNormal="90" workbookViewId="0">
      <selection activeCell="AQ14" sqref="AQ14:BA14"/>
    </sheetView>
  </sheetViews>
  <sheetFormatPr defaultColWidth="0" defaultRowHeight="0" customHeight="1" zeroHeight="1"/>
  <cols>
    <col min="1" max="70" width="4.5703125" customWidth="1"/>
    <col min="71" max="71" width="11.5703125" hidden="1" customWidth="1"/>
    <col min="72" max="72" width="80.5703125" hidden="1" customWidth="1"/>
    <col min="73" max="73" width="4.5703125" hidden="1" customWidth="1"/>
    <col min="74" max="76" width="12" hidden="1" customWidth="1"/>
    <col min="77" max="77" width="15.28515625" hidden="1" customWidth="1"/>
    <col min="78" max="78" width="15.140625" hidden="1" customWidth="1"/>
    <col min="79" max="79" width="4.5703125" hidden="1" customWidth="1"/>
    <col min="80" max="98" width="12" hidden="1" customWidth="1"/>
    <col min="99" max="99" width="8.5703125" hidden="1" customWidth="1"/>
    <col min="100" max="102" width="12" hidden="1" customWidth="1"/>
    <col min="103" max="103" width="25.140625" hidden="1" customWidth="1"/>
    <col min="104" max="107" width="12" hidden="1" customWidth="1"/>
    <col min="108" max="128" width="28.5703125" hidden="1" customWidth="1"/>
    <col min="129" max="129" width="26.7109375" hidden="1" customWidth="1"/>
    <col min="130" max="130" width="15.85546875" hidden="1" customWidth="1"/>
    <col min="131" max="144" width="28.5703125" hidden="1" customWidth="1"/>
    <col min="145" max="16384" width="4.5703125" hidden="1"/>
  </cols>
  <sheetData>
    <row r="1" spans="1:113" ht="16.350000000000001" customHeight="1">
      <c r="A1" s="12"/>
      <c r="B1" s="36"/>
      <c r="C1" s="36"/>
      <c r="D1" s="36"/>
      <c r="E1" s="36"/>
      <c r="F1" s="750" t="str">
        <f>M1S1</f>
        <v>WELCOME</v>
      </c>
      <c r="G1" s="750"/>
      <c r="H1" s="750"/>
      <c r="I1" s="750"/>
      <c r="J1" s="727" t="str">
        <f>M1S2</f>
        <v>INSTRUCTIONS</v>
      </c>
      <c r="K1" s="727"/>
      <c r="L1" s="727"/>
      <c r="M1" s="727"/>
      <c r="N1" s="166"/>
      <c r="O1" s="166"/>
      <c r="P1" s="166"/>
      <c r="Q1" s="166"/>
      <c r="R1" s="166"/>
      <c r="S1" s="166"/>
      <c r="T1" s="166"/>
      <c r="U1" s="189"/>
      <c r="V1" s="190" t="s">
        <v>118</v>
      </c>
      <c r="W1" s="190"/>
      <c r="X1" s="190"/>
      <c r="Y1" s="190"/>
      <c r="Z1" s="166"/>
      <c r="AA1" s="166"/>
      <c r="AB1" s="166"/>
      <c r="AC1" s="166"/>
      <c r="AD1" s="166"/>
      <c r="AE1" s="166"/>
      <c r="AF1" s="166"/>
      <c r="AG1" s="166"/>
      <c r="AH1" s="166"/>
      <c r="AI1" s="166"/>
      <c r="AP1" s="734" t="str">
        <f>IF(ACTIVEINSPECT="Yes","Complete "&amp;M5S4,"")</f>
        <v/>
      </c>
      <c r="AQ1" s="734"/>
      <c r="AR1" s="734"/>
      <c r="AS1" s="734"/>
      <c r="AT1" s="730" t="str">
        <f>IF(ACTIVEOFFER="Yes","Sign "&amp;M5S6,"")</f>
        <v>Sign OBR: Repayment Agreement</v>
      </c>
      <c r="AU1" s="730"/>
      <c r="AV1" s="730"/>
      <c r="AW1" s="730"/>
      <c r="AX1" s="730" t="str">
        <f>IF(ACTIVECOMPL="Yes","Sign "&amp;M5S5,"")</f>
        <v xml:space="preserve">Sign Project Completion Certification </v>
      </c>
      <c r="AY1" s="730"/>
      <c r="AZ1" s="730"/>
      <c r="BA1" s="730"/>
      <c r="BB1" s="732" t="str">
        <f>M1S4</f>
        <v>INCENTIVE RATES &amp; REQUIREMENTS</v>
      </c>
      <c r="BC1" s="732"/>
      <c r="BD1" s="732"/>
      <c r="BE1" s="732"/>
      <c r="BF1" s="732"/>
      <c r="BG1" s="732"/>
      <c r="BH1" s="722" t="s">
        <v>119</v>
      </c>
      <c r="BI1" s="723"/>
      <c r="BJ1" s="723"/>
      <c r="BK1" s="723"/>
      <c r="BL1" s="676"/>
      <c r="BM1" s="676"/>
      <c r="BN1" s="676"/>
      <c r="BO1" s="676"/>
      <c r="BP1" s="676"/>
      <c r="BQ1" s="676"/>
      <c r="BR1" s="676"/>
    </row>
    <row r="2" spans="1:113" ht="16.350000000000001" customHeight="1">
      <c r="B2" s="36"/>
      <c r="C2" s="36"/>
      <c r="D2" s="36"/>
      <c r="E2" s="36"/>
      <c r="F2" s="750"/>
      <c r="G2" s="750"/>
      <c r="H2" s="750"/>
      <c r="I2" s="750"/>
      <c r="J2" s="728"/>
      <c r="K2" s="728"/>
      <c r="L2" s="728"/>
      <c r="M2" s="728"/>
      <c r="N2" s="166"/>
      <c r="O2" s="166"/>
      <c r="P2" s="166"/>
      <c r="Q2" s="166"/>
      <c r="R2" s="166"/>
      <c r="S2" s="166"/>
      <c r="T2" s="166"/>
      <c r="U2" s="189"/>
      <c r="V2" s="190"/>
      <c r="W2" s="190"/>
      <c r="X2" s="190"/>
      <c r="Y2" s="190"/>
      <c r="Z2" s="166"/>
      <c r="AA2" s="166"/>
      <c r="AB2" s="166"/>
      <c r="AC2" s="166"/>
      <c r="AD2" s="166"/>
      <c r="AE2" s="166"/>
      <c r="AF2" s="166"/>
      <c r="AG2" s="166"/>
      <c r="AH2" s="166"/>
      <c r="AI2" s="166"/>
      <c r="AP2" s="734"/>
      <c r="AQ2" s="734"/>
      <c r="AR2" s="734"/>
      <c r="AS2" s="734"/>
      <c r="AT2" s="730"/>
      <c r="AU2" s="730"/>
      <c r="AV2" s="730"/>
      <c r="AW2" s="730"/>
      <c r="AX2" s="730"/>
      <c r="AY2" s="730"/>
      <c r="AZ2" s="730"/>
      <c r="BA2" s="730"/>
      <c r="BB2" s="732"/>
      <c r="BC2" s="732"/>
      <c r="BD2" s="732"/>
      <c r="BE2" s="732"/>
      <c r="BF2" s="732"/>
      <c r="BG2" s="732"/>
      <c r="BH2" s="723"/>
      <c r="BI2" s="723"/>
      <c r="BJ2" s="723"/>
      <c r="BK2" s="723"/>
      <c r="BL2" s="676"/>
      <c r="BM2" s="676"/>
      <c r="BN2" s="676"/>
      <c r="BO2" s="676"/>
      <c r="BP2" s="676"/>
      <c r="BQ2" s="676"/>
      <c r="BR2" s="676"/>
    </row>
    <row r="3" spans="1:113" s="614" customFormat="1" ht="16.350000000000001" customHeight="1" thickBot="1">
      <c r="B3" s="627"/>
      <c r="C3" s="627"/>
      <c r="D3" s="627"/>
      <c r="E3" s="627"/>
      <c r="F3" s="875"/>
      <c r="G3" s="875"/>
      <c r="H3" s="875"/>
      <c r="I3" s="875"/>
      <c r="J3" s="876"/>
      <c r="K3" s="876"/>
      <c r="L3" s="876"/>
      <c r="M3" s="876"/>
      <c r="N3" s="608"/>
      <c r="O3" s="608"/>
      <c r="P3" s="608"/>
      <c r="Q3" s="608"/>
      <c r="R3" s="608"/>
      <c r="S3" s="608"/>
      <c r="T3" s="608"/>
      <c r="U3" s="608"/>
      <c r="V3" s="609"/>
      <c r="W3" s="609"/>
      <c r="X3" s="609"/>
      <c r="Y3" s="609"/>
      <c r="AP3" s="868"/>
      <c r="AQ3" s="868"/>
      <c r="AR3" s="868"/>
      <c r="AS3" s="868"/>
      <c r="AT3" s="869"/>
      <c r="AU3" s="869"/>
      <c r="AV3" s="869"/>
      <c r="AW3" s="869"/>
      <c r="AX3" s="869"/>
      <c r="AY3" s="869"/>
      <c r="AZ3" s="869"/>
      <c r="BA3" s="869"/>
      <c r="BB3" s="1009"/>
      <c r="BC3" s="1009"/>
      <c r="BD3" s="1009"/>
      <c r="BE3" s="1009"/>
      <c r="BF3" s="1009"/>
      <c r="BG3" s="1009"/>
      <c r="BH3" s="871"/>
      <c r="BI3" s="871"/>
      <c r="BJ3" s="871"/>
      <c r="BK3" s="871"/>
      <c r="BL3" s="677"/>
      <c r="BM3" s="677"/>
      <c r="BN3" s="677"/>
      <c r="BO3" s="677"/>
      <c r="BP3" s="677"/>
      <c r="BQ3" s="677"/>
      <c r="BR3" s="677"/>
    </row>
    <row r="4" spans="1:113" s="496" customFormat="1" ht="16.350000000000001" customHeight="1">
      <c r="A4" s="632"/>
      <c r="B4" s="632"/>
      <c r="C4" s="632"/>
      <c r="D4" s="632"/>
      <c r="E4" s="632"/>
      <c r="F4" s="632"/>
      <c r="G4" s="632"/>
      <c r="H4" s="632"/>
      <c r="I4" s="632"/>
      <c r="J4" s="632"/>
      <c r="K4" s="632"/>
      <c r="L4" s="632"/>
      <c r="M4" s="632"/>
      <c r="N4" s="633"/>
      <c r="O4" s="498"/>
      <c r="P4" s="632"/>
      <c r="Q4" s="632"/>
      <c r="R4" s="632"/>
      <c r="S4" s="632"/>
      <c r="T4" s="634" t="s">
        <v>707</v>
      </c>
      <c r="U4" s="635" t="str">
        <f>M05S07F07</f>
        <v>Custom</v>
      </c>
      <c r="V4" s="497"/>
      <c r="W4" s="497"/>
      <c r="X4" s="636"/>
      <c r="Y4" s="636"/>
      <c r="Z4" s="636"/>
      <c r="AA4" s="632"/>
      <c r="AB4" s="632"/>
      <c r="AC4" s="634" t="s">
        <v>708</v>
      </c>
      <c r="AD4" s="635" t="str">
        <f>IF(M02S02F02="","[Project Name]",LEFT(M02S02F02,25))</f>
        <v>[Project Name]</v>
      </c>
      <c r="AE4" s="647"/>
      <c r="AF4" s="647"/>
      <c r="AG4" s="647"/>
      <c r="AH4" s="647"/>
      <c r="AI4" s="647"/>
      <c r="AJ4" s="647"/>
      <c r="AK4" s="497"/>
      <c r="AL4" s="634" t="s">
        <v>709</v>
      </c>
      <c r="AM4" s="637" t="str">
        <f>IF(M02S02F27="Yes",Status_Final,Status_Pre)</f>
        <v>Draft Pre-Application</v>
      </c>
      <c r="AN4" s="497"/>
      <c r="AO4" s="498"/>
      <c r="AP4" s="632"/>
      <c r="AQ4" s="632"/>
      <c r="AR4" s="498"/>
      <c r="AS4" s="498"/>
      <c r="AT4" s="632"/>
      <c r="AU4" s="632"/>
      <c r="AV4" s="632"/>
      <c r="AW4" s="634" t="s">
        <v>710</v>
      </c>
      <c r="AX4" s="872">
        <f>Incent_Total_Cap_All</f>
        <v>0</v>
      </c>
      <c r="AY4" s="872"/>
      <c r="AZ4" s="872"/>
      <c r="BA4" s="872"/>
      <c r="BB4" s="873" t="s">
        <v>711</v>
      </c>
      <c r="BC4" s="873"/>
      <c r="BD4" s="873"/>
      <c r="BE4" s="873"/>
      <c r="BF4" s="873"/>
      <c r="BG4" s="872" t="str">
        <f>OBR_Amount_Requested</f>
        <v/>
      </c>
      <c r="BH4" s="872"/>
      <c r="BI4" s="872"/>
      <c r="BJ4" s="872"/>
      <c r="BK4" s="498"/>
      <c r="BL4" s="617"/>
      <c r="BM4" s="617"/>
      <c r="BN4" s="617"/>
      <c r="BO4" s="617"/>
      <c r="BP4" s="617"/>
      <c r="BQ4" s="617"/>
      <c r="BR4" s="617"/>
    </row>
    <row r="5" spans="1:113"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142"/>
      <c r="BK5" s="142"/>
    </row>
    <row r="6" spans="1:113"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113"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113"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14"/>
      <c r="BK8" s="614"/>
    </row>
    <row r="9" spans="1:113" s="43" customFormat="1" ht="16.350000000000001" customHeight="1">
      <c r="B9" s="44"/>
      <c r="C9" s="44"/>
      <c r="D9" s="44"/>
      <c r="E9" s="44"/>
      <c r="F9"/>
      <c r="K9" s="1051" t="str">
        <f>M4S2</f>
        <v>Lighting &amp; Lighting Controls</v>
      </c>
      <c r="L9" s="1014"/>
      <c r="M9" s="1014"/>
      <c r="N9" s="1014"/>
      <c r="O9" s="1005" t="str">
        <f>M4S3</f>
        <v>HVAC</v>
      </c>
      <c r="P9" s="1005"/>
      <c r="Q9" s="1005"/>
      <c r="R9" s="1005"/>
      <c r="S9" s="1054" t="str">
        <f>M4S4</f>
        <v>Heating</v>
      </c>
      <c r="T9" s="1054"/>
      <c r="U9" s="1054"/>
      <c r="V9" s="1054"/>
      <c r="W9" s="1005" t="str">
        <f>M4S5</f>
        <v>Water Heating &amp; Boilers</v>
      </c>
      <c r="X9" s="1005"/>
      <c r="Y9" s="1005"/>
      <c r="Z9" s="1005"/>
      <c r="AA9" s="1029" t="str">
        <f>M4S6</f>
        <v>Refrigeration</v>
      </c>
      <c r="AB9" s="1030"/>
      <c r="AC9" s="1030"/>
      <c r="AD9" s="1030"/>
      <c r="AE9" s="1031"/>
      <c r="AF9" s="1010" t="str">
        <f>M4S7</f>
        <v>Food Service</v>
      </c>
      <c r="AG9" s="1011"/>
      <c r="AH9" s="1011"/>
      <c r="AI9" s="1011"/>
      <c r="AJ9" s="1012"/>
      <c r="AK9" s="1010" t="str">
        <f>M4S8</f>
        <v>Agriculture</v>
      </c>
      <c r="AL9" s="1011"/>
      <c r="AM9" s="1011"/>
      <c r="AN9" s="1011"/>
      <c r="AO9" s="1012"/>
      <c r="AP9" s="1005" t="str">
        <f>M4S9</f>
        <v>Plug Load</v>
      </c>
      <c r="AQ9" s="1005"/>
      <c r="AR9" s="1005"/>
      <c r="AS9" s="1005"/>
      <c r="AT9" s="1005" t="str">
        <f>M4S10</f>
        <v>Residential Appliances</v>
      </c>
      <c r="AU9" s="1005"/>
      <c r="AV9" s="1005"/>
      <c r="AW9" s="1005"/>
      <c r="AX9" s="1005" t="str">
        <f>M4S11</f>
        <v>Miscellaneous</v>
      </c>
      <c r="AY9" s="1005"/>
      <c r="AZ9" s="1005"/>
      <c r="BA9" s="1005"/>
      <c r="BE9" s="122"/>
      <c r="BF9" s="122"/>
      <c r="DD9"/>
      <c r="DE9"/>
      <c r="DF9"/>
      <c r="DG9"/>
      <c r="DH9"/>
      <c r="DI9"/>
    </row>
    <row r="10" spans="1:113" s="43" customFormat="1" ht="16.350000000000001" customHeight="1">
      <c r="B10" s="44"/>
      <c r="C10" s="44"/>
      <c r="D10" s="44"/>
      <c r="E10" s="44"/>
      <c r="F10"/>
      <c r="K10" s="1051"/>
      <c r="L10" s="1014"/>
      <c r="M10" s="1014"/>
      <c r="N10" s="1014"/>
      <c r="O10" s="1005"/>
      <c r="P10" s="1005"/>
      <c r="Q10" s="1005"/>
      <c r="R10" s="1005"/>
      <c r="S10" s="1054"/>
      <c r="T10" s="1054"/>
      <c r="U10" s="1054"/>
      <c r="V10" s="1054"/>
      <c r="W10" s="1005"/>
      <c r="X10" s="1005"/>
      <c r="Y10" s="1005"/>
      <c r="Z10" s="1005"/>
      <c r="AA10" s="1032"/>
      <c r="AB10" s="1033"/>
      <c r="AC10" s="1033"/>
      <c r="AD10" s="1033"/>
      <c r="AE10" s="1034"/>
      <c r="AF10" s="1013"/>
      <c r="AG10" s="1014"/>
      <c r="AH10" s="1014"/>
      <c r="AI10" s="1014"/>
      <c r="AJ10" s="1015"/>
      <c r="AK10" s="1013"/>
      <c r="AL10" s="1014"/>
      <c r="AM10" s="1014"/>
      <c r="AN10" s="1014"/>
      <c r="AO10" s="1015"/>
      <c r="AP10" s="1005"/>
      <c r="AQ10" s="1005"/>
      <c r="AR10" s="1005"/>
      <c r="AS10" s="1005"/>
      <c r="AT10" s="1005"/>
      <c r="AU10" s="1005"/>
      <c r="AV10" s="1005"/>
      <c r="AW10" s="1005"/>
      <c r="AX10" s="1005"/>
      <c r="AY10" s="1005"/>
      <c r="AZ10" s="1005"/>
      <c r="BA10" s="1005"/>
      <c r="BF10" s="122"/>
      <c r="DD10"/>
      <c r="DE10"/>
      <c r="DF10"/>
      <c r="DG10"/>
      <c r="DH10"/>
      <c r="DI10"/>
    </row>
    <row r="11" spans="1:113" ht="16.350000000000001" customHeight="1">
      <c r="B11" s="49"/>
      <c r="C11" s="49"/>
      <c r="D11" s="49"/>
      <c r="E11" s="49"/>
      <c r="K11" s="1052"/>
      <c r="L11" s="1053"/>
      <c r="M11" s="1053"/>
      <c r="N11" s="1053"/>
      <c r="O11" s="1006"/>
      <c r="P11" s="1006"/>
      <c r="Q11" s="1006"/>
      <c r="R11" s="1006"/>
      <c r="S11" s="1055"/>
      <c r="T11" s="1055"/>
      <c r="U11" s="1055"/>
      <c r="V11" s="1055"/>
      <c r="W11" s="1006"/>
      <c r="X11" s="1006"/>
      <c r="Y11" s="1006"/>
      <c r="Z11" s="1006"/>
      <c r="AA11" s="1035"/>
      <c r="AB11" s="1036"/>
      <c r="AC11" s="1036"/>
      <c r="AD11" s="1036"/>
      <c r="AE11" s="1037"/>
      <c r="AF11" s="1016"/>
      <c r="AG11" s="1017"/>
      <c r="AH11" s="1017"/>
      <c r="AI11" s="1017"/>
      <c r="AJ11" s="1018"/>
      <c r="AK11" s="1016"/>
      <c r="AL11" s="1017"/>
      <c r="AM11" s="1017"/>
      <c r="AN11" s="1017"/>
      <c r="AO11" s="1018"/>
      <c r="AP11" s="1006"/>
      <c r="AQ11" s="1006"/>
      <c r="AR11" s="1006"/>
      <c r="AS11" s="1006"/>
      <c r="AT11" s="1006"/>
      <c r="AU11" s="1006"/>
      <c r="AV11" s="1006"/>
      <c r="AW11" s="1006"/>
      <c r="AX11" s="1006"/>
      <c r="AY11" s="1006"/>
      <c r="AZ11" s="1006"/>
      <c r="BA11" s="1006"/>
      <c r="BB11" s="43"/>
      <c r="BC11" s="43"/>
      <c r="BD11" s="43"/>
      <c r="BF11" s="122"/>
    </row>
    <row r="12" spans="1:113" ht="16.350000000000001" customHeight="1">
      <c r="A12" s="41"/>
      <c r="B12" s="41"/>
      <c r="C12" s="41"/>
      <c r="D12" s="41"/>
      <c r="E12" s="41"/>
      <c r="F12" s="41"/>
      <c r="Y12" s="1004">
        <f>IFERROR(SUM(BF18:BG225,AQ14),0)</f>
        <v>0</v>
      </c>
      <c r="Z12" s="1004"/>
      <c r="AA12" s="1004"/>
      <c r="AB12" s="1004"/>
      <c r="AC12" s="1004">
        <f>IFERROR(SUM(BH18:BJ225),0)</f>
        <v>0</v>
      </c>
      <c r="AD12" s="1004"/>
      <c r="AE12" s="1004"/>
      <c r="AF12" s="1004"/>
      <c r="AG12" s="1004"/>
      <c r="AH12" s="1007">
        <f>IFERROR(SUMIF(BH18:BJ225,"&gt;0",BK18:BM225),0)</f>
        <v>0</v>
      </c>
      <c r="AI12" s="1007"/>
      <c r="AJ12" s="1007"/>
      <c r="AK12" s="1007"/>
      <c r="AL12" s="1008">
        <f>IFERROR(SUMIF(BH18:BJ225,"&gt;0",BN18:BP225),0)</f>
        <v>0</v>
      </c>
      <c r="AM12" s="1008"/>
      <c r="AN12" s="1008"/>
      <c r="AO12" s="1008"/>
      <c r="AQ12" s="1020" t="s">
        <v>1399</v>
      </c>
      <c r="AR12" s="1020"/>
      <c r="AS12" s="1020"/>
      <c r="AT12" s="1020"/>
      <c r="AU12" s="1020"/>
      <c r="AV12" s="1020"/>
      <c r="AW12" s="1020"/>
      <c r="AX12" s="1019"/>
      <c r="AY12" s="1019"/>
      <c r="AZ12" s="1019"/>
      <c r="BA12" s="1019"/>
      <c r="BC12" s="43"/>
      <c r="BD12" s="43"/>
    </row>
    <row r="13" spans="1:113" ht="16.350000000000001" customHeight="1">
      <c r="A13" s="41"/>
      <c r="B13" s="41"/>
      <c r="Y13" s="1004"/>
      <c r="Z13" s="1004"/>
      <c r="AA13" s="1004"/>
      <c r="AB13" s="1004"/>
      <c r="AC13" s="1004"/>
      <c r="AD13" s="1004"/>
      <c r="AE13" s="1004"/>
      <c r="AF13" s="1004"/>
      <c r="AG13" s="1004"/>
      <c r="AH13" s="1007"/>
      <c r="AI13" s="1007"/>
      <c r="AJ13" s="1007"/>
      <c r="AK13" s="1007"/>
      <c r="AL13" s="1008"/>
      <c r="AM13" s="1008"/>
      <c r="AN13" s="1008"/>
      <c r="AO13" s="1008"/>
      <c r="AQ13" s="1020"/>
      <c r="AR13" s="1020"/>
      <c r="AS13" s="1020"/>
      <c r="AT13" s="1020"/>
      <c r="AU13" s="1020"/>
      <c r="AV13" s="1020"/>
      <c r="AW13" s="1020"/>
      <c r="AX13" s="1020"/>
      <c r="AY13" s="1020"/>
      <c r="AZ13" s="1020"/>
      <c r="BA13" s="1020"/>
      <c r="CW13" s="1041" t="s">
        <v>1400</v>
      </c>
      <c r="CX13" s="1041"/>
      <c r="CY13" s="1041"/>
    </row>
    <row r="14" spans="1:113" ht="16.350000000000001" customHeight="1">
      <c r="Y14" s="1003" t="s">
        <v>1401</v>
      </c>
      <c r="Z14" s="1003"/>
      <c r="AA14" s="1003"/>
      <c r="AB14" s="1003"/>
      <c r="AC14" s="1003" t="s">
        <v>1402</v>
      </c>
      <c r="AD14" s="1003"/>
      <c r="AE14" s="1003"/>
      <c r="AF14" s="1003"/>
      <c r="AG14" s="1003"/>
      <c r="AH14" s="1003" t="s">
        <v>1403</v>
      </c>
      <c r="AI14" s="1003"/>
      <c r="AJ14" s="1003"/>
      <c r="AK14" s="1003"/>
      <c r="AL14" s="1003" t="s">
        <v>1403</v>
      </c>
      <c r="AM14" s="1003"/>
      <c r="AN14" s="1003"/>
      <c r="AO14" s="1003"/>
      <c r="AQ14" s="1021"/>
      <c r="AR14" s="1021"/>
      <c r="AS14" s="1021"/>
      <c r="AT14" s="1021"/>
      <c r="AU14" s="1021"/>
      <c r="AV14" s="1021"/>
      <c r="AW14" s="1021"/>
      <c r="AX14" s="1021"/>
      <c r="AY14" s="1021"/>
      <c r="AZ14" s="1021"/>
      <c r="BA14" s="1021"/>
      <c r="BV14" s="1040" t="s">
        <v>1404</v>
      </c>
      <c r="BW14" s="1040"/>
      <c r="BX14" s="1040"/>
      <c r="BY14" s="1040"/>
      <c r="BZ14" s="1040"/>
      <c r="CW14" s="1041"/>
      <c r="CX14" s="1041"/>
      <c r="CY14" s="1041"/>
    </row>
    <row r="15" spans="1:113" ht="16.350000000000001" customHeight="1">
      <c r="D15" s="47"/>
      <c r="E15" s="47"/>
      <c r="F15" s="47"/>
      <c r="G15" s="47"/>
      <c r="H15" s="47"/>
      <c r="I15" s="47"/>
      <c r="J15" s="47"/>
      <c r="K15" s="47"/>
      <c r="L15" s="1038" t="s">
        <v>1405</v>
      </c>
      <c r="M15" s="1038"/>
      <c r="N15" s="1038"/>
      <c r="O15" s="1038"/>
      <c r="P15" s="1038"/>
      <c r="Q15" s="1038"/>
      <c r="R15" s="1038"/>
      <c r="S15" s="1038"/>
      <c r="T15" s="1038"/>
      <c r="U15" s="1038"/>
      <c r="V15" s="1038"/>
      <c r="W15" s="1038"/>
      <c r="X15" s="1038"/>
      <c r="Y15" s="1038"/>
      <c r="Z15" s="1038"/>
      <c r="AA15" s="1038" t="s">
        <v>1406</v>
      </c>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679"/>
      <c r="AW15" s="679"/>
      <c r="AX15" s="679"/>
      <c r="AY15" s="679"/>
      <c r="AZ15" s="679"/>
      <c r="BA15" s="679"/>
      <c r="BV15" s="1040"/>
      <c r="BW15" s="1040"/>
      <c r="BX15" s="1040"/>
      <c r="BY15" s="1040"/>
      <c r="BZ15" s="1040"/>
      <c r="CW15" s="595"/>
      <c r="CX15" s="595"/>
      <c r="CY15" s="595"/>
    </row>
    <row r="16" spans="1:113" ht="16.350000000000001" customHeight="1">
      <c r="C16" s="992" t="s">
        <v>1407</v>
      </c>
      <c r="D16" s="992"/>
      <c r="E16" s="992"/>
      <c r="F16" s="991" t="s">
        <v>1408</v>
      </c>
      <c r="G16" s="991"/>
      <c r="H16" s="991"/>
      <c r="I16" s="991"/>
      <c r="J16" s="991"/>
      <c r="K16" s="991"/>
      <c r="L16" s="991" t="s">
        <v>1409</v>
      </c>
      <c r="M16" s="991"/>
      <c r="N16" s="991"/>
      <c r="O16" s="991"/>
      <c r="P16" s="991"/>
      <c r="Q16" s="991"/>
      <c r="R16" s="991" t="s">
        <v>1410</v>
      </c>
      <c r="S16" s="991"/>
      <c r="T16" s="991"/>
      <c r="U16" s="991" t="s">
        <v>1411</v>
      </c>
      <c r="V16" s="991"/>
      <c r="W16" s="991"/>
      <c r="X16" s="991" t="s">
        <v>1412</v>
      </c>
      <c r="Y16" s="991"/>
      <c r="Z16" s="991"/>
      <c r="AA16" s="991" t="s">
        <v>1413</v>
      </c>
      <c r="AB16" s="991"/>
      <c r="AC16" s="991"/>
      <c r="AD16" s="1022" t="s">
        <v>1409</v>
      </c>
      <c r="AE16" s="991"/>
      <c r="AF16" s="991"/>
      <c r="AG16" s="991"/>
      <c r="AH16" s="991"/>
      <c r="AI16" s="991"/>
      <c r="AJ16" s="991" t="s">
        <v>1410</v>
      </c>
      <c r="AK16" s="991"/>
      <c r="AL16" s="991"/>
      <c r="AM16" s="991" t="s">
        <v>1411</v>
      </c>
      <c r="AN16" s="991"/>
      <c r="AO16" s="991"/>
      <c r="AP16" s="991" t="s">
        <v>1412</v>
      </c>
      <c r="AQ16" s="991"/>
      <c r="AR16" s="991"/>
      <c r="AS16" s="991" t="s">
        <v>1413</v>
      </c>
      <c r="AT16" s="991"/>
      <c r="AU16" s="991"/>
      <c r="AV16" s="1024" t="s">
        <v>1414</v>
      </c>
      <c r="AW16" s="1024"/>
      <c r="AX16" s="1024"/>
      <c r="AY16" s="1024" t="s">
        <v>1415</v>
      </c>
      <c r="AZ16" s="1024"/>
      <c r="BA16" s="1024"/>
      <c r="BB16" s="989" t="s">
        <v>1416</v>
      </c>
      <c r="BC16" s="989"/>
      <c r="BD16" s="989"/>
      <c r="BE16" s="989"/>
      <c r="BF16" s="991" t="s">
        <v>224</v>
      </c>
      <c r="BG16" s="991"/>
      <c r="BH16" s="991" t="s">
        <v>1417</v>
      </c>
      <c r="BI16" s="991"/>
      <c r="BJ16" s="991"/>
      <c r="BK16" s="991" t="s">
        <v>1418</v>
      </c>
      <c r="BL16" s="991"/>
      <c r="BM16" s="991"/>
      <c r="BN16" s="991" t="s">
        <v>1419</v>
      </c>
      <c r="BO16" s="991"/>
      <c r="BP16" s="991"/>
      <c r="BS16" s="987" t="s">
        <v>1420</v>
      </c>
      <c r="BT16" s="987" t="s">
        <v>1421</v>
      </c>
      <c r="BV16" s="987" t="s">
        <v>1422</v>
      </c>
      <c r="BW16" s="987" t="s">
        <v>1423</v>
      </c>
      <c r="BX16" s="987" t="s">
        <v>1424</v>
      </c>
      <c r="BY16" s="987" t="s">
        <v>1425</v>
      </c>
      <c r="BZ16" s="987" t="s">
        <v>1426</v>
      </c>
      <c r="CB16" s="987" t="s">
        <v>1427</v>
      </c>
      <c r="CC16" s="987" t="s">
        <v>779</v>
      </c>
      <c r="CD16" s="987" t="s">
        <v>1428</v>
      </c>
      <c r="CE16" s="987" t="s">
        <v>1429</v>
      </c>
      <c r="CF16" s="987" t="s">
        <v>1430</v>
      </c>
      <c r="CG16" s="987" t="s">
        <v>1431</v>
      </c>
      <c r="CH16" s="987" t="s">
        <v>1432</v>
      </c>
      <c r="CI16" s="987" t="s">
        <v>1433</v>
      </c>
      <c r="CJ16" s="987" t="s">
        <v>1434</v>
      </c>
      <c r="CK16" s="987" t="s">
        <v>1435</v>
      </c>
      <c r="CL16" s="987" t="s">
        <v>1436</v>
      </c>
      <c r="CM16" s="987" t="s">
        <v>1437</v>
      </c>
      <c r="CN16" s="987" t="s">
        <v>1438</v>
      </c>
      <c r="CO16" s="987" t="s">
        <v>1439</v>
      </c>
      <c r="CP16" s="987" t="s">
        <v>1440</v>
      </c>
      <c r="CQ16" s="987" t="s">
        <v>1441</v>
      </c>
      <c r="CR16" s="987" t="s">
        <v>1442</v>
      </c>
      <c r="CS16" s="987" t="s">
        <v>1443</v>
      </c>
      <c r="CT16" s="987" t="s">
        <v>1444</v>
      </c>
      <c r="CU16" s="987" t="s">
        <v>1445</v>
      </c>
      <c r="CV16" s="919" t="s">
        <v>1446</v>
      </c>
      <c r="CW16" s="919" t="s">
        <v>1447</v>
      </c>
      <c r="CX16" s="919" t="s">
        <v>1448</v>
      </c>
      <c r="CY16" s="1042" t="s">
        <v>1449</v>
      </c>
      <c r="CZ16" s="1042" t="s">
        <v>1450</v>
      </c>
      <c r="DA16" s="1042" t="s">
        <v>1491</v>
      </c>
    </row>
    <row r="17" spans="1:144" ht="16.350000000000001" customHeight="1">
      <c r="B17" s="12"/>
      <c r="C17" s="993"/>
      <c r="D17" s="993"/>
      <c r="E17" s="993"/>
      <c r="F17" s="990"/>
      <c r="G17" s="990"/>
      <c r="H17" s="990"/>
      <c r="I17" s="990"/>
      <c r="J17" s="990"/>
      <c r="K17" s="990"/>
      <c r="L17" s="990"/>
      <c r="M17" s="990"/>
      <c r="N17" s="990"/>
      <c r="O17" s="990"/>
      <c r="P17" s="990"/>
      <c r="Q17" s="990"/>
      <c r="R17" s="991"/>
      <c r="S17" s="991"/>
      <c r="T17" s="991"/>
      <c r="U17" s="991"/>
      <c r="V17" s="991"/>
      <c r="W17" s="991"/>
      <c r="X17" s="991"/>
      <c r="Y17" s="991"/>
      <c r="Z17" s="991"/>
      <c r="AA17" s="991"/>
      <c r="AB17" s="991"/>
      <c r="AC17" s="991"/>
      <c r="AD17" s="1023"/>
      <c r="AE17" s="990"/>
      <c r="AF17" s="990"/>
      <c r="AG17" s="990"/>
      <c r="AH17" s="990"/>
      <c r="AI17" s="990"/>
      <c r="AJ17" s="990"/>
      <c r="AK17" s="990"/>
      <c r="AL17" s="990"/>
      <c r="AM17" s="990"/>
      <c r="AN17" s="990"/>
      <c r="AO17" s="990"/>
      <c r="AP17" s="990"/>
      <c r="AQ17" s="990"/>
      <c r="AR17" s="990"/>
      <c r="AS17" s="990"/>
      <c r="AT17" s="990"/>
      <c r="AU17" s="990"/>
      <c r="AV17" s="1039" t="s">
        <v>1451</v>
      </c>
      <c r="AW17" s="1039"/>
      <c r="AX17" s="1039"/>
      <c r="AY17" s="1039"/>
      <c r="AZ17" s="1039"/>
      <c r="BA17" s="1039"/>
      <c r="BB17" s="990" t="s">
        <v>1452</v>
      </c>
      <c r="BC17" s="990"/>
      <c r="BD17" s="990" t="s">
        <v>1453</v>
      </c>
      <c r="BE17" s="990"/>
      <c r="BF17" s="990"/>
      <c r="BG17" s="990"/>
      <c r="BH17" s="990"/>
      <c r="BI17" s="990"/>
      <c r="BJ17" s="990"/>
      <c r="BK17" s="990"/>
      <c r="BL17" s="990"/>
      <c r="BM17" s="990"/>
      <c r="BN17" s="990"/>
      <c r="BO17" s="990"/>
      <c r="BP17" s="990"/>
      <c r="BS17" s="987"/>
      <c r="BT17" s="987"/>
      <c r="BV17" s="988"/>
      <c r="BW17" s="988"/>
      <c r="BX17" s="988"/>
      <c r="BY17" s="988"/>
      <c r="BZ17" s="988"/>
      <c r="CB17" s="988"/>
      <c r="CC17" s="988"/>
      <c r="CD17" s="988"/>
      <c r="CE17" s="988"/>
      <c r="CF17" s="988"/>
      <c r="CG17" s="988"/>
      <c r="CH17" s="988"/>
      <c r="CI17" s="988"/>
      <c r="CJ17" s="988"/>
      <c r="CK17" s="988"/>
      <c r="CL17" s="988"/>
      <c r="CM17" s="988"/>
      <c r="CN17" s="988"/>
      <c r="CO17" s="988"/>
      <c r="CP17" s="988"/>
      <c r="CQ17" s="988"/>
      <c r="CR17" s="988"/>
      <c r="CS17" s="988"/>
      <c r="CT17" s="988"/>
      <c r="CU17" s="987"/>
      <c r="CV17" s="919"/>
      <c r="CW17" s="919"/>
      <c r="CX17" s="919"/>
      <c r="CY17" s="1042"/>
      <c r="CZ17" s="1042"/>
      <c r="DA17" s="1042"/>
      <c r="DD17" s="670" t="s">
        <v>1454</v>
      </c>
      <c r="DE17" s="670" t="s">
        <v>1455</v>
      </c>
      <c r="DF17" s="670" t="s">
        <v>1456</v>
      </c>
      <c r="DG17" s="670" t="s">
        <v>1457</v>
      </c>
      <c r="DH17" s="670" t="s">
        <v>1458</v>
      </c>
      <c r="DI17" s="670" t="s">
        <v>1459</v>
      </c>
      <c r="DJ17" s="670" t="s">
        <v>1460</v>
      </c>
      <c r="DK17" s="670" t="s">
        <v>1461</v>
      </c>
      <c r="DL17" s="670" t="s">
        <v>1462</v>
      </c>
      <c r="DM17" s="670" t="s">
        <v>1463</v>
      </c>
      <c r="DN17" s="670" t="s">
        <v>1464</v>
      </c>
      <c r="DO17" s="670" t="s">
        <v>1465</v>
      </c>
      <c r="DP17" s="670" t="s">
        <v>1466</v>
      </c>
      <c r="DQ17" s="670" t="s">
        <v>1467</v>
      </c>
      <c r="DR17" s="670" t="s">
        <v>1468</v>
      </c>
      <c r="DS17" s="670" t="s">
        <v>1469</v>
      </c>
      <c r="DT17" s="670" t="s">
        <v>1470</v>
      </c>
      <c r="DU17" s="670" t="s">
        <v>1471</v>
      </c>
      <c r="DV17" s="670" t="s">
        <v>1472</v>
      </c>
      <c r="DW17" s="670" t="s">
        <v>1473</v>
      </c>
      <c r="DX17" s="670" t="s">
        <v>1474</v>
      </c>
      <c r="DY17" s="670" t="s">
        <v>1475</v>
      </c>
      <c r="DZ17" s="670" t="s">
        <v>1476</v>
      </c>
      <c r="EA17" s="703" t="s">
        <v>1477</v>
      </c>
      <c r="EB17" s="703" t="s">
        <v>1478</v>
      </c>
      <c r="EC17" s="703" t="s">
        <v>1479</v>
      </c>
      <c r="ED17" s="703" t="s">
        <v>1480</v>
      </c>
      <c r="EE17" s="703" t="s">
        <v>1481</v>
      </c>
      <c r="EF17" s="703" t="s">
        <v>1482</v>
      </c>
      <c r="EG17" s="703" t="s">
        <v>1483</v>
      </c>
      <c r="EH17" s="703" t="s">
        <v>1484</v>
      </c>
      <c r="EI17" s="703" t="s">
        <v>1485</v>
      </c>
      <c r="EJ17" s="703" t="s">
        <v>1486</v>
      </c>
      <c r="EK17" s="703" t="s">
        <v>1487</v>
      </c>
      <c r="EL17" s="703" t="s">
        <v>1488</v>
      </c>
      <c r="EM17" s="703" t="s">
        <v>1489</v>
      </c>
      <c r="EN17" s="703" t="s">
        <v>1490</v>
      </c>
    </row>
    <row r="18" spans="1:144" ht="16.350000000000001" customHeight="1">
      <c r="A18" s="462"/>
      <c r="B18" s="994">
        <v>1</v>
      </c>
      <c r="C18" s="995"/>
      <c r="D18" s="996"/>
      <c r="E18" s="997"/>
      <c r="F18" s="961"/>
      <c r="G18" s="962"/>
      <c r="H18" s="962"/>
      <c r="I18" s="962"/>
      <c r="J18" s="962"/>
      <c r="K18" s="963"/>
      <c r="L18" s="961"/>
      <c r="M18" s="962"/>
      <c r="N18" s="962"/>
      <c r="O18" s="962"/>
      <c r="P18" s="962"/>
      <c r="Q18" s="963"/>
      <c r="R18" s="1044"/>
      <c r="S18" s="1044"/>
      <c r="T18" s="1044"/>
      <c r="U18" s="1044"/>
      <c r="V18" s="1044"/>
      <c r="W18" s="1044"/>
      <c r="X18" s="1045"/>
      <c r="Y18" s="1045"/>
      <c r="Z18" s="1045"/>
      <c r="AA18" s="1045"/>
      <c r="AB18" s="1045"/>
      <c r="AC18" s="1045"/>
      <c r="AD18" s="961"/>
      <c r="AE18" s="962"/>
      <c r="AF18" s="962"/>
      <c r="AG18" s="962"/>
      <c r="AH18" s="962"/>
      <c r="AI18" s="963"/>
      <c r="AJ18" s="949"/>
      <c r="AK18" s="950"/>
      <c r="AL18" s="951"/>
      <c r="AM18" s="949"/>
      <c r="AN18" s="950"/>
      <c r="AO18" s="951"/>
      <c r="AP18" s="955"/>
      <c r="AQ18" s="956"/>
      <c r="AR18" s="957"/>
      <c r="AS18" s="955"/>
      <c r="AT18" s="956"/>
      <c r="AU18" s="957"/>
      <c r="AV18" s="968"/>
      <c r="AW18" s="969"/>
      <c r="AX18" s="970"/>
      <c r="AY18" s="968"/>
      <c r="AZ18" s="969"/>
      <c r="BA18" s="970"/>
      <c r="BB18" s="945"/>
      <c r="BC18" s="946"/>
      <c r="BD18" s="945"/>
      <c r="BE18" s="946"/>
      <c r="BF18" s="929" t="str">
        <f>IF(CB18="OK",ROUND(BB18+BD18,2),"")</f>
        <v/>
      </c>
      <c r="BG18" s="930"/>
      <c r="BH18" s="971" t="str">
        <f>IFERROR(IF(AND($CB18="OK",$CU18="OK"),$CI18,IF($CB18&lt;&gt;"OK",$CB18,$CU18)),"")</f>
        <v/>
      </c>
      <c r="BI18" s="972"/>
      <c r="BJ18" s="973"/>
      <c r="BK18" s="933" t="str">
        <f>IF($CB18="OK",CM18,"")</f>
        <v/>
      </c>
      <c r="BL18" s="934"/>
      <c r="BM18" s="935"/>
      <c r="BN18" s="939" t="str">
        <f>IF($CB18="OK",$CR18,"")</f>
        <v/>
      </c>
      <c r="BO18" s="940"/>
      <c r="BP18" s="941"/>
      <c r="BS18" s="967"/>
      <c r="BT18" s="967"/>
      <c r="BV18" s="926" t="str">
        <f>IFERROR(ROUND(IF(AND(CB18="OK",CU18="OK"),CT18,""),0),"")</f>
        <v/>
      </c>
      <c r="BW18" s="926" t="str">
        <f>IFERROR(ROUND(IF(AND(CB18="OK",CU18="OK"),BV18/3,""),0),"")</f>
        <v/>
      </c>
      <c r="BX18" s="926"/>
      <c r="BY18" s="927"/>
      <c r="BZ18" s="928"/>
      <c r="CB18" s="986" t="str">
        <f>IF(AND(C18="",F18="",R18="",AD18="",U18="",X18="",L18="",AJ18="",AV18="",AM18="",AP18="",AY18="",AV19="",BB18="",BD18="",AA18="",AS18=""),"",
IF(OR(C18="",F18="",R18="",AD18="",U18="",X18="",L18="",AJ18="",AV18="",AM18="",AP18="",AY18="",AV19="",BB18="",BD18="",AA18="",AS18=""),"Missing Fields",
IF(AND(M02S04F04disp="Required",M02S04F04=""),"TA Info Incomplete",
"OK")))</f>
        <v/>
      </c>
      <c r="CC18" s="925" t="str">
        <f>IF(AND(CB18="OK",CU18="OK"),INDEX(Tbl_Cust_Heat[Measure Number], MATCH(F18,Tbl_Cust_Heat[Proj Desc 1],0)),"")</f>
        <v/>
      </c>
      <c r="CD18" s="925"/>
      <c r="CE18" s="925" t="str">
        <f>IF(CB18="OK","Measure","")</f>
        <v/>
      </c>
      <c r="CF18" s="925" t="str">
        <f>IF(CB18="OK",1,"")</f>
        <v/>
      </c>
      <c r="CG18" s="978" t="str">
        <f>IFERROR(CI18/CF18,"")</f>
        <v/>
      </c>
      <c r="CH18" s="978" t="str">
        <f>IF(CB18="OK",IF(CM18&gt;0,CM18*Incent_Rate_kWh,0)+IF(CO18&gt;0,CO18*Incent_Rate_thm,0),"")</f>
        <v/>
      </c>
      <c r="CI18" s="978" t="str">
        <f>IFERROR(IF($CB18="OK",IF(INCENTTOCOST_CUST&gt;CostCap_Cust,
CH18*CostCap_Cust/INCENTTOCOST_CUST,CH18),""),"")</f>
        <v/>
      </c>
      <c r="CJ18" s="977">
        <f t="shared" ref="CJ18" si="0">CM18</f>
        <v>0</v>
      </c>
      <c r="CK18" s="977">
        <f>CN18</f>
        <v>0</v>
      </c>
      <c r="CL18" s="977">
        <f>CO18</f>
        <v>0</v>
      </c>
      <c r="CM18" s="977">
        <f>R18-AJ18</f>
        <v>0</v>
      </c>
      <c r="CN18" s="977">
        <f>U18-AM18</f>
        <v>0</v>
      </c>
      <c r="CO18" s="977">
        <f>IF(CR18&gt;0,CR18,0)</f>
        <v>0</v>
      </c>
      <c r="CP18" s="977">
        <f>CM18</f>
        <v>0</v>
      </c>
      <c r="CQ18" s="977">
        <f>CN18</f>
        <v>0</v>
      </c>
      <c r="CR18" s="977">
        <f>X18-AP18</f>
        <v>0</v>
      </c>
      <c r="CS18" s="983"/>
      <c r="CT18" s="982" t="str">
        <f>IF(CB18="OK",INDEX(Tbl_Cust_Heat[EUL], MATCH(F18,Tbl_Cust_Heat[Proj Desc 1],0)),"")</f>
        <v/>
      </c>
      <c r="CU18" s="979" t="str">
        <f>IFERROR(IF(AND($CM18&lt;=0,$CN18&lt;=0,$CO18&lt;=0),"No Savings","OK"),"")</f>
        <v>No Savings</v>
      </c>
      <c r="CV18" s="925" t="str">
        <f>IF(AND(CB18="OK",CU18="OK"),"1","")</f>
        <v/>
      </c>
      <c r="CW18" s="1043" t="str">
        <f>IFERROR(IF($CB18="OK",ROUND($AQ$14-SUM($CW$20:$CW$37),2),""),"")</f>
        <v/>
      </c>
      <c r="CX18" s="925" t="str">
        <f>IFERROR(IF(M02S04F04="Customer/Self-Installed",CW18,IF($CB18="OK",CW18+BD18,"")),"")</f>
        <v/>
      </c>
      <c r="CY18" s="925" t="str">
        <f>IFERROR(IF($CB18="OK",CX18+BB18,""),"")</f>
        <v/>
      </c>
      <c r="CZ18" s="925" t="str">
        <f>IF(CB18="OK",INDEX(MEASURES3_M!$O$24, MATCH(F18,MEASURES3_M!$C$24,0)),"")</f>
        <v/>
      </c>
      <c r="DA18" s="925" t="str">
        <f>IF(CB18="OK",INDEX(MEASURES3_M!$P$24, MATCH(F18,MEASURES3_M!$C$24,0)),"")</f>
        <v/>
      </c>
      <c r="DD18" s="980" t="str">
        <f>IFERROR(IF(CB18&lt;&gt;"OK","",CM18*VLOOKUP('DATA TABLES_Project'!$C$247,'DATA TABLES_Project'!$A$250:$B$285,2,FALSE)),"")</f>
        <v/>
      </c>
      <c r="DE18" s="925" t="str">
        <f>IFERROR(IF(CB18&lt;&gt;"OK","",CM18*CZ18*0.92),"")</f>
        <v/>
      </c>
      <c r="DF18" s="925" t="str">
        <f>IFERROR(IF(CB18&lt;&gt;"OK","",CM18*CZ18*0.92*VLOOKUP('DATA TABLES_Project'!$C$247,'DATA TABLES_Project'!$A$250:$B$285,2,FALSE)),"")</f>
        <v/>
      </c>
      <c r="DG18" s="925" t="str">
        <f>IFERROR(IF(CB18&lt;&gt;"OK","",CM18*BV18),IF(BX18="Dual",(CM18*BW18)+((BY18-AJ18)*(BV18-BW18)),""))</f>
        <v/>
      </c>
      <c r="DH18" s="925" t="str">
        <f ca="1">IFERROR(IF(CB18&lt;&gt;"OK","",IF(OR(BX18="Single",BX18=""), CM18*BV18*AVERAGE(INDEX('DATA TABLES_Project'!$B$250:$B$285, MATCH('DATA TABLES_Project'!$C$247,'DATA TABLES_Project'!$A$250:$A$285, 0)):OFFSET(INDEX('DATA TABLES_Project'!$B$250:$B$285, MATCH('DATA TABLES_Project'!$C$247,'DATA TABLES_Project'!$A$250:$A$285, 0)),BV18-1,0)),CM18*BW18*AVERAGE(INDEX('DATA TABLES_Project'!$B$250:$B$285, MATCH('DATA TABLES_Project'!$C$247,'DATA TABLES_Project'!$A$250:$A$285, 0)):OFFSET(INDEX('DATA TABLES_Project'!$B$250:$B$285, MATCH('DATA TABLES_Project'!$C$247,'DATA TABLES_Project'!$A$250:$A$285, 0)),BW18-1,0)) + ((BY18-AJ18)*(BV18-BW18)*AVERAGE(OFFSET(INDEX('DATA TABLES_Project'!$B$250:$B$285, MATCH('DATA TABLES_Project'!$C$247,'DATA TABLES_Project'!$A$250:$A$285, 0)),BW18,0):OFFSET(INDEX('DATA TABLES_Project'!$B$250:$B$285, MATCH('DATA TABLES_Project'!$C$247,'DATA TABLES_Project'!$A$250:$A$285, 0)),BV18-1,0))))), "")</f>
        <v/>
      </c>
      <c r="DI18" s="925" t="str">
        <f>IFERROR(IF(CB18&lt;&gt;"OK","",IF(BX18="Dual",(CM18*BW18)+((BY18-AJ18)*(BV18-BW18))*CZ18*0.92,CM18*CZ18*BV18*0.92)),"")</f>
        <v/>
      </c>
      <c r="DJ18" s="925" t="str">
        <f ca="1">IFERROR(IF(CB18&lt;&gt;"OK","",IF(OR(BX18="Single",BX18=""),0.92*CZ18*CM18*BV18*AVERAGE(INDEX('DATA TABLES_Project'!$B$250:$B$285, MATCH('DATA TABLES_Project'!$C$247,'DATA TABLES_Project'!$A$250:$A$285, 0)):OFFSET(INDEX('DATA TABLES_Project'!$B$250:$B$285, MATCH('DATA TABLES_Project'!$C$247,'DATA TABLES_Project'!$A$250:$A$285, 0)),BV18-1,0)),0.92*CZ18*CM18*BW18*AVERAGE(INDEX('DATA TABLES_Project'!$B$250:$B$285, MATCH('DATA TABLES_Project'!$C$247,'DATA TABLES_Project'!$A$250:$A$285, 0)):OFFSET(INDEX('DATA TABLES_Project'!$B$250:$B$285, MATCH('DATA TABLES_Project'!$C$247,'DATA TABLES_Project'!$A$250:$A$285, 0)),BW18-1,0)) + (0.92*CZ18*(BY18-AJ18)*(BV18-BW18)*AVERAGE(OFFSET(INDEX('DATA TABLES_Project'!$B$250:$B$285, MATCH('DATA TABLES_Project'!$C$247,'DATA TABLES_Project'!$A$250:$A$285, 0)),BW18,0):OFFSET(INDEX('DATA TABLES_Project'!$B$250:$B$285, MATCH('DATA TABLES_Project'!$C$247,'DATA TABLES_Project'!$A$250:$A$285, 0)),BV18-1,0))))), "")</f>
        <v/>
      </c>
      <c r="DK18" s="925" t="str">
        <f>IFERROR(IF(CB18&lt;&gt;"OK","",CO18*'DATA TABLES_Project'!$C$250),"")</f>
        <v/>
      </c>
      <c r="DL18" s="925" t="str">
        <f>IFERROR(IF(CB18&lt;&gt;"OK","",CO18*DA18*0.92),"")</f>
        <v/>
      </c>
      <c r="DM18" s="925" t="str">
        <f>IFERROR(IF(CB18&lt;&gt;"OK","",CO18*'DATA TABLES_Project'!$C$250*DA18*0.92),"")</f>
        <v/>
      </c>
      <c r="DN18" s="925" t="str">
        <f>IFERROR(IF(CB18&lt;&gt;"OK","",CO18*BV18),IF(BX18="Dual",(CO18*BW18)+((BZ18-AP18)*(BV18-BW18)),""))</f>
        <v/>
      </c>
      <c r="DO18" s="925" t="str">
        <f ca="1">IFERROR(IF(CB18&lt;&gt;"OK","",CO18*BV18*AVERAGE('DATA TABLES_Project'!$C$250:OFFSET('DATA TABLES_Project'!$C$250,BV18,0))),IF(BX18="Dual",(CO18*BW18*AVERAGE('DATA TABLES_Project'!$C$251:$C$259))+((BZ18-AP18)*(BV18-BW18)*AVERAGE('DATA TABLES_Project'!$C$260:$C$279)),""))</f>
        <v/>
      </c>
      <c r="DP18" s="925" t="str">
        <f>IFERROR(IF(CB18&lt;&gt;"OK","",IF(BX18="Dual",((CO18*BW18)+(BZ18-AP18)*(BV18-BW18))*DA18*0.92,CO18*BV18*DA18*0.92)),"")</f>
        <v/>
      </c>
      <c r="DQ18" s="925" t="str">
        <f ca="1">IFERROR(IF(CB18&lt;&gt;"OK","",IF(BX18="Dual",(0.92*DA18*CO18*BW18*AVERAGE('DATA TABLES_Project'!$C$251:$C$259))+(0.92*DA18*(BZ18-AP18)*(BV18-BW18)*AVERAGE('DATA TABLES_Project'!$C$260:$C$279)),0.92*DA18*CO18*BV18*AVERAGE('DATA TABLES_Project'!$C$250:OFFSET('DATA TABLES_Project'!$C$250,BV18,0)))),"")</f>
        <v/>
      </c>
      <c r="DR18" s="925" t="str">
        <f>IFERROR(IF($CB18&lt;&gt;"OK","",CM18*'DATA TABLES_Project'!$B$290+IF(CO18&lt;0,0,CO18*'DATA TABLES_Project'!$B$291)),"")</f>
        <v/>
      </c>
      <c r="DS18" s="925" t="str">
        <f>IFERROR(IF($CB18&lt;&gt;"OK","",DD18*'DATA TABLES_Project'!$B$290+IF(DK18&lt;0,0,DK18*'DATA TABLES_Project'!$B$291)),"")</f>
        <v/>
      </c>
      <c r="DT18" s="925" t="str">
        <f>IFERROR(IF($CB18&lt;&gt;"OK","",DE18*'DATA TABLES_Project'!$B$290+IF(DL18&lt;0,0,DL18*'DATA TABLES_Project'!$B$291)),"")</f>
        <v/>
      </c>
      <c r="DU18" s="925" t="str">
        <f>IFERROR(IF($CB18&lt;&gt;"OK","",DF18*'DATA TABLES_Project'!$B$290+IF(DM18&lt;0,0,DM18*'DATA TABLES_Project'!$B$291)),"")</f>
        <v/>
      </c>
      <c r="DV18" s="925" t="str">
        <f>IFERROR(IF($CB18&lt;&gt;"OK","",DG18*'DATA TABLES_Project'!$B$290+IF(DN18&lt;0,0,DN18*'DATA TABLES_Project'!$B$291)),"")</f>
        <v/>
      </c>
      <c r="DW18" s="925" t="str">
        <f>IFERROR(IF($CB18&lt;&gt;"OK","",DH18*'DATA TABLES_Project'!$B$290+IF(DO18&lt;0,0,DO18*'DATA TABLES_Project'!$B$291)),"")</f>
        <v/>
      </c>
      <c r="DX18" s="925" t="str">
        <f>IFERROR(IF($CB18&lt;&gt;"OK","",DI18*'DATA TABLES_Project'!$B$290+IF(DP18&lt;0,0,DP18*'DATA TABLES_Project'!$B$291)),"")</f>
        <v/>
      </c>
      <c r="DY18" s="925" t="str">
        <f>IFERROR(IF($CB18&lt;&gt;"OK","",DJ18*'DATA TABLES_Project'!$B$290+IF(DQ18&lt;0,0,DQ18*'DATA TABLES_Project'!$B$291)),"")</f>
        <v/>
      </c>
      <c r="DZ18" s="925" t="str">
        <f>IFERROR(IF($CB18&lt;&gt;"OK","",AS18),"")</f>
        <v/>
      </c>
      <c r="EA18" s="925" t="str">
        <f>IFERROR(IF(CB18&lt;&gt;"OK","",CN18*'DATA TABLES_Project'!$B$250*CZ18*1.03),"")</f>
        <v/>
      </c>
      <c r="EB18" s="925" t="str">
        <f>IFERROR(IF(CB18&lt;&gt;"OK","",CN18*CZ18*1.03),"")</f>
        <v/>
      </c>
      <c r="EC18" s="925" t="str">
        <f>IFERROR(IF(CB18&lt;&gt;"OK","",CZ18*DZ18*'DATA TABLES_Project'!$C$250*0.92),"")</f>
        <v/>
      </c>
      <c r="ED18" s="925" t="str">
        <f>IFERROR(IF(CB18&lt;&gt;"OK","",CZ18*DZ18*'DATA TABLES_Project'!$C$250*0.92),"")</f>
        <v/>
      </c>
      <c r="EE18" s="925" t="str">
        <f>IFERROR(IF(CB18&lt;&gt;"OK","",CZ18*DZ18*0.92),"")</f>
        <v/>
      </c>
      <c r="EF18" s="925" t="str">
        <f>IFERROR(IF(CB18&lt;&gt;"OK","",CZ18*DZ18*0.92),"")</f>
        <v/>
      </c>
      <c r="EG18" s="925" t="str">
        <f>IFERROR(IF($CB18&lt;&gt;"OK","",CM18*'DATA TABLES_Project'!$B$290+CO18*'DATA TABLES_Project'!$B$291),"")</f>
        <v/>
      </c>
      <c r="EH18" s="925" t="str">
        <f>IFERROR(IF($CB18&lt;&gt;"OK","",DD18*'DATA TABLES_Project'!$B$290+DK18*'DATA TABLES_Project'!$B$291),"")</f>
        <v/>
      </c>
      <c r="EI18" s="925" t="str">
        <f>IFERROR(IF($CB18&lt;&gt;"OK","",DE18*'DATA TABLES_Project'!$B$290+DL18*'DATA TABLES_Project'!$B$291),"")</f>
        <v/>
      </c>
      <c r="EJ18" s="925" t="str">
        <f>IFERROR(IF($CB18&lt;&gt;"OK","",DF18*'DATA TABLES_Project'!$B$290+DM18*'DATA TABLES_Project'!$B$291),"")</f>
        <v/>
      </c>
      <c r="EK18" s="925" t="str">
        <f>IFERROR(IF($CB18&lt;&gt;"OK","",DG18*'DATA TABLES_Project'!$B$290+DN18*'DATA TABLES_Project'!$B$291),"")</f>
        <v/>
      </c>
      <c r="EL18" s="925" t="str">
        <f>IFERROR(IF($CB18&lt;&gt;"OK","",DH18*'DATA TABLES_Project'!$B$290+DO18*'DATA TABLES_Project'!$B$291),"")</f>
        <v/>
      </c>
      <c r="EM18" s="925" t="str">
        <f>IFERROR(IF($CB18&lt;&gt;"OK","",DI18*'DATA TABLES_Project'!$B$290+DP18*'DATA TABLES_Project'!$B$291),"")</f>
        <v/>
      </c>
      <c r="EN18" s="925" t="str">
        <f>IFERROR(IF($CB18&lt;&gt;"OK","",DJ18*'DATA TABLES_Project'!$B$290+DQ18*'DATA TABLES_Project'!$B$291),"")</f>
        <v/>
      </c>
    </row>
    <row r="19" spans="1:144" ht="16.350000000000001" customHeight="1">
      <c r="A19" s="462"/>
      <c r="B19" s="994"/>
      <c r="C19" s="998"/>
      <c r="D19" s="999"/>
      <c r="E19" s="1000"/>
      <c r="F19" s="964"/>
      <c r="G19" s="965"/>
      <c r="H19" s="965"/>
      <c r="I19" s="965"/>
      <c r="J19" s="965"/>
      <c r="K19" s="966"/>
      <c r="L19" s="964"/>
      <c r="M19" s="965"/>
      <c r="N19" s="965"/>
      <c r="O19" s="965"/>
      <c r="P19" s="965"/>
      <c r="Q19" s="966"/>
      <c r="R19" s="1044"/>
      <c r="S19" s="1044"/>
      <c r="T19" s="1044"/>
      <c r="U19" s="1044"/>
      <c r="V19" s="1044"/>
      <c r="W19" s="1044"/>
      <c r="X19" s="1045"/>
      <c r="Y19" s="1045"/>
      <c r="Z19" s="1045"/>
      <c r="AA19" s="1045"/>
      <c r="AB19" s="1045"/>
      <c r="AC19" s="1045"/>
      <c r="AD19" s="964"/>
      <c r="AE19" s="965"/>
      <c r="AF19" s="965"/>
      <c r="AG19" s="965"/>
      <c r="AH19" s="965"/>
      <c r="AI19" s="966"/>
      <c r="AJ19" s="952"/>
      <c r="AK19" s="953"/>
      <c r="AL19" s="954"/>
      <c r="AM19" s="952"/>
      <c r="AN19" s="953"/>
      <c r="AO19" s="954"/>
      <c r="AP19" s="958"/>
      <c r="AQ19" s="959"/>
      <c r="AR19" s="960"/>
      <c r="AS19" s="958"/>
      <c r="AT19" s="959"/>
      <c r="AU19" s="960"/>
      <c r="AV19" s="968"/>
      <c r="AW19" s="969"/>
      <c r="AX19" s="969"/>
      <c r="AY19" s="969"/>
      <c r="AZ19" s="969"/>
      <c r="BA19" s="970"/>
      <c r="BB19" s="947"/>
      <c r="BC19" s="948"/>
      <c r="BD19" s="947"/>
      <c r="BE19" s="948"/>
      <c r="BF19" s="931"/>
      <c r="BG19" s="932"/>
      <c r="BH19" s="974"/>
      <c r="BI19" s="975"/>
      <c r="BJ19" s="976"/>
      <c r="BK19" s="936"/>
      <c r="BL19" s="937"/>
      <c r="BM19" s="938"/>
      <c r="BN19" s="942"/>
      <c r="BO19" s="943"/>
      <c r="BP19" s="944"/>
      <c r="BS19" s="967"/>
      <c r="BT19" s="967"/>
      <c r="BV19" s="926"/>
      <c r="BW19" s="926"/>
      <c r="BX19" s="926"/>
      <c r="BY19" s="927"/>
      <c r="BZ19" s="928"/>
      <c r="CB19" s="986"/>
      <c r="CC19" s="925"/>
      <c r="CD19" s="925"/>
      <c r="CE19" s="925"/>
      <c r="CF19" s="925"/>
      <c r="CG19" s="925"/>
      <c r="CH19" s="925"/>
      <c r="CI19" s="925"/>
      <c r="CJ19" s="977"/>
      <c r="CK19" s="977"/>
      <c r="CL19" s="977"/>
      <c r="CM19" s="977"/>
      <c r="CN19" s="977"/>
      <c r="CO19" s="977"/>
      <c r="CP19" s="977"/>
      <c r="CQ19" s="977"/>
      <c r="CR19" s="977"/>
      <c r="CS19" s="983"/>
      <c r="CT19" s="982"/>
      <c r="CU19" s="979"/>
      <c r="CV19" s="925"/>
      <c r="CW19" s="1043"/>
      <c r="CX19" s="925"/>
      <c r="CY19" s="925"/>
      <c r="CZ19" s="925"/>
      <c r="DA19" s="925"/>
      <c r="DD19" s="981"/>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row>
    <row r="20" spans="1:144" ht="16.350000000000001" customHeight="1">
      <c r="A20" s="462"/>
      <c r="B20" s="994">
        <v>2</v>
      </c>
      <c r="C20" s="995"/>
      <c r="D20" s="996"/>
      <c r="E20" s="997"/>
      <c r="F20" s="961"/>
      <c r="G20" s="962"/>
      <c r="H20" s="962"/>
      <c r="I20" s="962"/>
      <c r="J20" s="962"/>
      <c r="K20" s="963"/>
      <c r="L20" s="961"/>
      <c r="M20" s="962"/>
      <c r="N20" s="962"/>
      <c r="O20" s="962"/>
      <c r="P20" s="962"/>
      <c r="Q20" s="963"/>
      <c r="R20" s="1044"/>
      <c r="S20" s="1044"/>
      <c r="T20" s="1044"/>
      <c r="U20" s="1044"/>
      <c r="V20" s="1044"/>
      <c r="W20" s="1044"/>
      <c r="X20" s="1045"/>
      <c r="Y20" s="1045"/>
      <c r="Z20" s="1045"/>
      <c r="AA20" s="1045"/>
      <c r="AB20" s="1045"/>
      <c r="AC20" s="1045"/>
      <c r="AD20" s="961"/>
      <c r="AE20" s="962"/>
      <c r="AF20" s="962"/>
      <c r="AG20" s="962"/>
      <c r="AH20" s="962"/>
      <c r="AI20" s="963"/>
      <c r="AJ20" s="949"/>
      <c r="AK20" s="950"/>
      <c r="AL20" s="951"/>
      <c r="AM20" s="949"/>
      <c r="AN20" s="950"/>
      <c r="AO20" s="951"/>
      <c r="AP20" s="955"/>
      <c r="AQ20" s="956"/>
      <c r="AR20" s="957"/>
      <c r="AS20" s="955"/>
      <c r="AT20" s="956"/>
      <c r="AU20" s="957"/>
      <c r="AV20" s="968"/>
      <c r="AW20" s="969"/>
      <c r="AX20" s="970"/>
      <c r="AY20" s="968"/>
      <c r="AZ20" s="969"/>
      <c r="BA20" s="970"/>
      <c r="BB20" s="945"/>
      <c r="BC20" s="946"/>
      <c r="BD20" s="945"/>
      <c r="BE20" s="946"/>
      <c r="BF20" s="929" t="str">
        <f>IF(CB20="OK",ROUND(BB20+BD20,2),"")</f>
        <v/>
      </c>
      <c r="BG20" s="930"/>
      <c r="BH20" s="971" t="str">
        <f t="shared" ref="BH20" si="1">IFERROR(IF(AND($CB20="OK",$CU20="OK"),$CI20,IF($CB20&lt;&gt;"OK",$CB20,$CU20)),"")</f>
        <v/>
      </c>
      <c r="BI20" s="972"/>
      <c r="BJ20" s="973"/>
      <c r="BK20" s="933" t="str">
        <f t="shared" ref="BK20" si="2">IF($CB20="OK",CM20,"")</f>
        <v/>
      </c>
      <c r="BL20" s="934"/>
      <c r="BM20" s="935"/>
      <c r="BN20" s="939" t="str">
        <f t="shared" ref="BN20" si="3">IF($CB20="OK",$CR20,"")</f>
        <v/>
      </c>
      <c r="BO20" s="940"/>
      <c r="BP20" s="941"/>
      <c r="BS20" s="967"/>
      <c r="BT20" s="967"/>
      <c r="BV20" s="926" t="str">
        <f t="shared" ref="BV20" si="4">IFERROR(ROUND(IF(AND(CB20="OK",CU20="OK"),CT20,""),0),"")</f>
        <v/>
      </c>
      <c r="BW20" s="926" t="str">
        <f t="shared" ref="BW20" si="5">IFERROR(ROUND(IF(AND(CB20="OK",CU20="OK"),BV20/3,""),0),"")</f>
        <v/>
      </c>
      <c r="BX20" s="926"/>
      <c r="BY20" s="927"/>
      <c r="BZ20" s="928"/>
      <c r="CB20" s="986" t="str">
        <f>IF(AND(C20="",F20="",R20="",AD20="",U20="",X20="",L20="",AJ20="",AV20="",AM20="",AP20="",AY20="",AV21="",BB20="",BD20="",AA20="",AS20=""),"",
IF(OR(C20="",F20="",R20="",AD20="",U20="",X20="",L20="",AJ20="",AV20="",AM20="",AP20="",AY20="",AV21="",BB20="",BD20="",AA20="",AS20=""),"Missing Fields",
IF(AND(M02S04F04disp="Required",M02S04F04=""),"TA Info Incomplete",
"OK")))</f>
        <v/>
      </c>
      <c r="CC20" s="925" t="str">
        <f>IF(AND(CB20="OK",CU20="OK"),INDEX(Tbl_Cust_Heat[Measure Number], MATCH(F20,Tbl_Cust_Heat[Proj Desc 1],0)),"")</f>
        <v/>
      </c>
      <c r="CD20" s="925"/>
      <c r="CE20" s="925" t="str">
        <f t="shared" ref="CE20" si="6">IF(CB20="OK","Measure","")</f>
        <v/>
      </c>
      <c r="CF20" s="925" t="str">
        <f t="shared" ref="CF20" si="7">IF(CB20="OK",1,"")</f>
        <v/>
      </c>
      <c r="CG20" s="978" t="str">
        <f t="shared" ref="CG20" si="8">IFERROR(CI20/CF20,"")</f>
        <v/>
      </c>
      <c r="CH20" s="978" t="str">
        <f>IF(CB20="OK",IF(CM20&gt;0,CM20*Incent_Rate_kWh,0)+IF(CO20&gt;0,CO20*Incent_Rate_thm,0),"")</f>
        <v/>
      </c>
      <c r="CI20" s="978" t="str">
        <f>IFERROR(IF($CB20="OK",IF(INCENTTOCOST_CUST&gt;CostCap_Cust,
CH20*CostCap_Cust/INCENTTOCOST_CUST,CH20),""),"")</f>
        <v/>
      </c>
      <c r="CJ20" s="977">
        <f t="shared" ref="CJ20" si="9">CM20</f>
        <v>0</v>
      </c>
      <c r="CK20" s="977">
        <f t="shared" ref="CK20" si="10">CN20</f>
        <v>0</v>
      </c>
      <c r="CL20" s="977">
        <f t="shared" ref="CL20" si="11">CO20</f>
        <v>0</v>
      </c>
      <c r="CM20" s="977">
        <f>R20-AJ20</f>
        <v>0</v>
      </c>
      <c r="CN20" s="977">
        <f>U20-AM20</f>
        <v>0</v>
      </c>
      <c r="CO20" s="977">
        <f t="shared" ref="CO20" si="12">IF(CR20&gt;0,CR20,0)</f>
        <v>0</v>
      </c>
      <c r="CP20" s="977">
        <f t="shared" ref="CP20" si="13">CM20</f>
        <v>0</v>
      </c>
      <c r="CQ20" s="977">
        <f t="shared" ref="CQ20" si="14">CN20</f>
        <v>0</v>
      </c>
      <c r="CR20" s="977">
        <f>X20-AP20</f>
        <v>0</v>
      </c>
      <c r="CS20" s="983"/>
      <c r="CT20" s="982" t="str">
        <f>IF(CB20="OK",INDEX(Tbl_Cust_Heat[EUL], MATCH(F20,Tbl_Cust_Heat[Proj Desc 1],0)),"")</f>
        <v/>
      </c>
      <c r="CU20" s="979" t="str">
        <f t="shared" ref="CU20" si="15">IFERROR(IF(AND($CM20&lt;=0,$CN20&lt;=0,$CO20&lt;=0),"No Savings","OK"),"")</f>
        <v>No Savings</v>
      </c>
      <c r="CV20" s="925" t="str">
        <f t="shared" ref="CV20" si="16">IF(AND(CB20="OK",CU20="OK"),"1","")</f>
        <v/>
      </c>
      <c r="CW20" s="925" t="str">
        <f>IFERROR(IF($CB20="OK",ROUND($AQ$14*SUM(BB20:BE21)/SUM($BF$18:$BG$37),2),""),"")</f>
        <v/>
      </c>
      <c r="CX20" s="925" t="str">
        <f>IFERROR(IF(M02S04F04="Customer/Self-Installed",CW20,IF($CB20="OK",CW20+BD20,"")),"")</f>
        <v/>
      </c>
      <c r="CY20" s="925" t="str">
        <f>IFERROR(IF($CB20="OK",CX20+BB20,""),"")</f>
        <v/>
      </c>
      <c r="CZ20" s="925" t="str">
        <f>IF(CB20="OK",INDEX(MEASURES3_M!$O$24, MATCH(F20,MEASURES3_M!$C$24,0)),"")</f>
        <v/>
      </c>
      <c r="DA20" s="925" t="str">
        <f>IF(CB20="OK",INDEX(MEASURES3_M!$P$24, MATCH(F20,MEASURES3_M!$C$24,0)),"")</f>
        <v/>
      </c>
      <c r="DD20" s="980" t="str">
        <f>IFERROR(IF(CB20&lt;&gt;"OK","",CM20*VLOOKUP('DATA TABLES_Project'!$C$247,'DATA TABLES_Project'!$A$250:$B$285,2,FALSE)),"")</f>
        <v/>
      </c>
      <c r="DE20" s="925" t="str">
        <f t="shared" ref="DE20" si="17">IFERROR(IF(CB20&lt;&gt;"OK","",CM20*CZ20*0.92),"")</f>
        <v/>
      </c>
      <c r="DF20" s="980" t="str">
        <f>IFERROR(IF(CB20&lt;&gt;"OK","",CM20*CZ20*0.92*VLOOKUP('DATA TABLES_Project'!$C$247,'DATA TABLES_Project'!$A$250:$B$285,2,FALSE)),"")</f>
        <v/>
      </c>
      <c r="DG20" s="925" t="str">
        <f t="shared" ref="DG20" si="18">IFERROR(IF(CB20&lt;&gt;"OK","",CM20*BV20),IF(BX20="Dual",(CM20*BW20)+((BY20-AJ20)*(BV20-BW20)),""))</f>
        <v/>
      </c>
      <c r="DH20" s="925" t="str">
        <f ca="1">IFERROR(IF(CB20&lt;&gt;"OK","",IF(OR(BX20="Single",BX20=""), CM20*BV20*AVERAGE(INDEX('DATA TABLES_Project'!$B$250:$B$285, MATCH('DATA TABLES_Project'!$C$247,'DATA TABLES_Project'!$A$250:$A$285, 0)):OFFSET(INDEX('DATA TABLES_Project'!$B$250:$B$285, MATCH('DATA TABLES_Project'!$C$247,'DATA TABLES_Project'!$A$250:$A$285, 0)),BV20-1,0)),CM20*BW20*AVERAGE(INDEX('DATA TABLES_Project'!$B$250:$B$285, MATCH('DATA TABLES_Project'!$C$247,'DATA TABLES_Project'!$A$250:$A$285, 0)):OFFSET(INDEX('DATA TABLES_Project'!$B$250:$B$285, MATCH('DATA TABLES_Project'!$C$247,'DATA TABLES_Project'!$A$250:$A$285, 0)),BW20-1,0)) + ((BY20-AJ20)*(BV20-BW20)*AVERAGE(OFFSET(INDEX('DATA TABLES_Project'!$B$250:$B$285, MATCH('DATA TABLES_Project'!$C$247,'DATA TABLES_Project'!$A$250:$A$285, 0)),BW20,0):OFFSET(INDEX('DATA TABLES_Project'!$B$250:$B$285, MATCH('DATA TABLES_Project'!$C$247,'DATA TABLES_Project'!$A$250:$A$285, 0)),BV20-1,0))))), "")</f>
        <v/>
      </c>
      <c r="DI20" s="925" t="str">
        <f t="shared" ref="DI20" si="19">IFERROR(IF(CB20&lt;&gt;"OK","",IF(BX20="Dual",(CM20*BW20)+((BY20-AJ20)*(BV20-BW20))*CZ20*0.92,CM20*CZ20*BV20*0.92)),"")</f>
        <v/>
      </c>
      <c r="DJ20" s="925" t="str">
        <f ca="1">IFERROR(IF(CB20&lt;&gt;"OK","",IF(OR(BX20="Single",BX20=""),0.92*CZ20*CM20*BV20*AVERAGE(INDEX('DATA TABLES_Project'!$B$250:$B$285, MATCH('DATA TABLES_Project'!$C$247,'DATA TABLES_Project'!$A$250:$A$285, 0)):OFFSET(INDEX('DATA TABLES_Project'!$B$250:$B$285, MATCH('DATA TABLES_Project'!$C$247,'DATA TABLES_Project'!$A$250:$A$285, 0)),BV20-1,0)),0.92*CZ20*CM20*BW20*AVERAGE(INDEX('DATA TABLES_Project'!$B$250:$B$285, MATCH('DATA TABLES_Project'!$C$247,'DATA TABLES_Project'!$A$250:$A$285, 0)):OFFSET(INDEX('DATA TABLES_Project'!$B$250:$B$285, MATCH('DATA TABLES_Project'!$C$247,'DATA TABLES_Project'!$A$250:$A$285, 0)),BW20-1,0)) + (0.92*CZ20*(BY20-AJ20)*(BV20-BW20)*AVERAGE(OFFSET(INDEX('DATA TABLES_Project'!$B$250:$B$285, MATCH('DATA TABLES_Project'!$C$247,'DATA TABLES_Project'!$A$250:$A$285, 0)),BW20,0):OFFSET(INDEX('DATA TABLES_Project'!$B$250:$B$285, MATCH('DATA TABLES_Project'!$C$247,'DATA TABLES_Project'!$A$250:$A$285, 0)),BV20-1,0))))), "")</f>
        <v/>
      </c>
      <c r="DK20" s="925" t="str">
        <f>IFERROR(IF(CB20&lt;&gt;"OK","",CO20*'DATA TABLES_Project'!$C$250),"")</f>
        <v/>
      </c>
      <c r="DL20" s="925" t="str">
        <f t="shared" ref="DL20" si="20">IFERROR(IF(CB20&lt;&gt;"OK","",CO20*DA20*0.92),"")</f>
        <v/>
      </c>
      <c r="DM20" s="925" t="str">
        <f>IFERROR(IF(CB20&lt;&gt;"OK","",CO20*'DATA TABLES_Project'!$C$250*DA20*0.92),"")</f>
        <v/>
      </c>
      <c r="DN20" s="925" t="str">
        <f t="shared" ref="DN20" si="21">IFERROR(IF(CB20&lt;&gt;"OK","",CO20*BV20),IF(BX20="Dual",(CO20*BW20)+((BZ20-AP20)*(BV20-BW20)),""))</f>
        <v/>
      </c>
      <c r="DO20" s="925" t="str">
        <f ca="1">IFERROR(IF(CB20&lt;&gt;"OK","",CO20*BV20*AVERAGE('DATA TABLES_Project'!$C$250:OFFSET('DATA TABLES_Project'!$C$250,BV20,0))),IF(BX20="Dual",(CO20*BW20*AVERAGE('DATA TABLES_Project'!$C$251:$C$259))+((BZ20-AP20)*(BV20-BW20)*AVERAGE('DATA TABLES_Project'!$C$260:$C$279)),""))</f>
        <v/>
      </c>
      <c r="DP20" s="925" t="str">
        <f t="shared" ref="DP20" si="22">IFERROR(IF(CB20&lt;&gt;"OK","",IF(BX20="Dual",((CO20*BW20)+(BZ20-AP20)*(BV20-BW20))*DA20*0.92,CO20*BV20*DA20*0.92)),"")</f>
        <v/>
      </c>
      <c r="DQ20" s="925" t="str">
        <f ca="1">IFERROR(IF(CB20&lt;&gt;"OK","",IF(BX20="Dual",(0.92*DA20*CO20*BW20*AVERAGE('DATA TABLES_Project'!$C$251:$C$259))+(0.92*DA20*(BZ20-AP20)*(BV20-BW20)*AVERAGE('DATA TABLES_Project'!$C$260:$C$279)),0.92*DA20*CO20*BV20*AVERAGE('DATA TABLES_Project'!$C$250:OFFSET('DATA TABLES_Project'!$C$250,BV20,0)))),"")</f>
        <v/>
      </c>
      <c r="DR20" s="980" t="str">
        <f>IFERROR(IF($CB20&lt;&gt;"OK","",CM20*'DATA TABLES_Project'!$B$290+IF(CO20&lt;0,0,CO20*'DATA TABLES_Project'!$B$291)),"")</f>
        <v/>
      </c>
      <c r="DS20" s="980" t="str">
        <f>IFERROR(IF($CB20&lt;&gt;"OK","",DD20*'DATA TABLES_Project'!$B$290+IF(DK20&lt;0,0,DK20*'DATA TABLES_Project'!$B$291)),"")</f>
        <v/>
      </c>
      <c r="DT20" s="980" t="str">
        <f>IFERROR(IF($CB20&lt;&gt;"OK","",DE20*'DATA TABLES_Project'!$B$290+IF(DL20&lt;0,0,DL20*'DATA TABLES_Project'!$B$291)),"")</f>
        <v/>
      </c>
      <c r="DU20" s="980" t="str">
        <f>IFERROR(IF($CB20&lt;&gt;"OK","",DF20*'DATA TABLES_Project'!$B$290+IF(DM20&lt;0,0,DM20*'DATA TABLES_Project'!$B$291)),"")</f>
        <v/>
      </c>
      <c r="DV20" s="980" t="str">
        <f>IFERROR(IF($CB20&lt;&gt;"OK","",DG20*'DATA TABLES_Project'!$B$290+IF(DN20&lt;0,0,DN20*'DATA TABLES_Project'!$B$291)),"")</f>
        <v/>
      </c>
      <c r="DW20" s="980" t="str">
        <f>IFERROR(IF($CB20&lt;&gt;"OK","",DH20*'DATA TABLES_Project'!$B$290+IF(DO20&lt;0,0,DO20*'DATA TABLES_Project'!$B$291)),"")</f>
        <v/>
      </c>
      <c r="DX20" s="980" t="str">
        <f>IFERROR(IF($CB20&lt;&gt;"OK","",DI20*'DATA TABLES_Project'!$B$290+IF(DP20&lt;0,0,DP20*'DATA TABLES_Project'!$B$291)),"")</f>
        <v/>
      </c>
      <c r="DY20" s="925" t="str">
        <f>IFERROR(IF($CB20&lt;&gt;"OK","",DJ20*'DATA TABLES_Project'!$B$290+IF(DQ20&lt;0,0,DQ20*'DATA TABLES_Project'!$B$291)),"")</f>
        <v/>
      </c>
      <c r="DZ20" s="925" t="str">
        <f t="shared" ref="DZ20" si="23">IFERROR(IF($CB20&lt;&gt;"OK","",AS20),"")</f>
        <v/>
      </c>
      <c r="EA20" s="925" t="str">
        <f>IFERROR(IF(CB20&lt;&gt;"OK","",CN20*'DATA TABLES_Project'!$B$250*CZ20*1.03),"")</f>
        <v/>
      </c>
      <c r="EB20" s="925" t="str">
        <f t="shared" ref="EB20" si="24">IFERROR(IF(CB20&lt;&gt;"OK","",CN20*CZ20*1.03),"")</f>
        <v/>
      </c>
      <c r="EC20" s="925" t="str">
        <f>IFERROR(IF(CB20&lt;&gt;"OK","",CZ20*DZ20*'DATA TABLES_Project'!$C$250*0.92),"")</f>
        <v/>
      </c>
      <c r="ED20" s="925" t="str">
        <f>IFERROR(IF(CB20&lt;&gt;"OK","",CZ20*DZ20*'DATA TABLES_Project'!$C$250*0.92),"")</f>
        <v/>
      </c>
      <c r="EE20" s="925" t="str">
        <f t="shared" ref="EE20" si="25">IFERROR(IF(CB20&lt;&gt;"OK","",CZ20*DZ20*0.92),"")</f>
        <v/>
      </c>
      <c r="EF20" s="925" t="str">
        <f t="shared" ref="EF20" si="26">IFERROR(IF(CB20&lt;&gt;"OK","",CZ20*DZ20*0.92),"")</f>
        <v/>
      </c>
      <c r="EG20" s="925" t="str">
        <f>IFERROR(IF($CB20&lt;&gt;"OK","",CM20*'DATA TABLES_Project'!$B$290+CO20*'DATA TABLES_Project'!$B$291),"")</f>
        <v/>
      </c>
      <c r="EH20" s="925" t="str">
        <f>IFERROR(IF($CB20&lt;&gt;"OK","",DD20*'DATA TABLES_Project'!$B$290+DK20*'DATA TABLES_Project'!$B$291),"")</f>
        <v/>
      </c>
      <c r="EI20" s="925" t="str">
        <f>IFERROR(IF($CB20&lt;&gt;"OK","",DE20*'DATA TABLES_Project'!$B$290+DL20*'DATA TABLES_Project'!$B$291),"")</f>
        <v/>
      </c>
      <c r="EJ20" s="925" t="str">
        <f>IFERROR(IF($CB20&lt;&gt;"OK","",DF20*'DATA TABLES_Project'!$B$290+DM20*'DATA TABLES_Project'!$B$291),"")</f>
        <v/>
      </c>
      <c r="EK20" s="925" t="str">
        <f>IFERROR(IF($CB20&lt;&gt;"OK","",DG20*'DATA TABLES_Project'!$B$290+DN20*'DATA TABLES_Project'!$B$291),"")</f>
        <v/>
      </c>
      <c r="EL20" s="925" t="str">
        <f>IFERROR(IF($CB20&lt;&gt;"OK","",DH20*'DATA TABLES_Project'!$B$290+DO20*'DATA TABLES_Project'!$B$291),"")</f>
        <v/>
      </c>
      <c r="EM20" s="925" t="str">
        <f>IFERROR(IF($CB20&lt;&gt;"OK","",DI20*'DATA TABLES_Project'!$B$290+DP20*'DATA TABLES_Project'!$B$291),"")</f>
        <v/>
      </c>
      <c r="EN20" s="925" t="str">
        <f>IFERROR(IF($CB20&lt;&gt;"OK","",DJ20*'DATA TABLES_Project'!$B$290+DQ20*'DATA TABLES_Project'!$B$291),"")</f>
        <v/>
      </c>
    </row>
    <row r="21" spans="1:144" ht="16.350000000000001" customHeight="1">
      <c r="A21" s="462"/>
      <c r="B21" s="994"/>
      <c r="C21" s="998"/>
      <c r="D21" s="999"/>
      <c r="E21" s="1000"/>
      <c r="F21" s="964"/>
      <c r="G21" s="965"/>
      <c r="H21" s="965"/>
      <c r="I21" s="965"/>
      <c r="J21" s="965"/>
      <c r="K21" s="966"/>
      <c r="L21" s="964"/>
      <c r="M21" s="965"/>
      <c r="N21" s="965"/>
      <c r="O21" s="965"/>
      <c r="P21" s="965"/>
      <c r="Q21" s="966"/>
      <c r="R21" s="1044"/>
      <c r="S21" s="1044"/>
      <c r="T21" s="1044"/>
      <c r="U21" s="1044"/>
      <c r="V21" s="1044"/>
      <c r="W21" s="1044"/>
      <c r="X21" s="1045"/>
      <c r="Y21" s="1045"/>
      <c r="Z21" s="1045"/>
      <c r="AA21" s="1045"/>
      <c r="AB21" s="1045"/>
      <c r="AC21" s="1045"/>
      <c r="AD21" s="964"/>
      <c r="AE21" s="965"/>
      <c r="AF21" s="965"/>
      <c r="AG21" s="965"/>
      <c r="AH21" s="965"/>
      <c r="AI21" s="966"/>
      <c r="AJ21" s="952"/>
      <c r="AK21" s="953"/>
      <c r="AL21" s="954"/>
      <c r="AM21" s="952"/>
      <c r="AN21" s="953"/>
      <c r="AO21" s="954"/>
      <c r="AP21" s="958"/>
      <c r="AQ21" s="959"/>
      <c r="AR21" s="960"/>
      <c r="AS21" s="958"/>
      <c r="AT21" s="959"/>
      <c r="AU21" s="960"/>
      <c r="AV21" s="968"/>
      <c r="AW21" s="969"/>
      <c r="AX21" s="969"/>
      <c r="AY21" s="969"/>
      <c r="AZ21" s="969"/>
      <c r="BA21" s="970"/>
      <c r="BB21" s="947"/>
      <c r="BC21" s="948"/>
      <c r="BD21" s="947"/>
      <c r="BE21" s="948"/>
      <c r="BF21" s="931"/>
      <c r="BG21" s="932"/>
      <c r="BH21" s="974"/>
      <c r="BI21" s="975"/>
      <c r="BJ21" s="976"/>
      <c r="BK21" s="936"/>
      <c r="BL21" s="937"/>
      <c r="BM21" s="938"/>
      <c r="BN21" s="942"/>
      <c r="BO21" s="943"/>
      <c r="BP21" s="944"/>
      <c r="BS21" s="967"/>
      <c r="BT21" s="967"/>
      <c r="BV21" s="926"/>
      <c r="BW21" s="926"/>
      <c r="BX21" s="926"/>
      <c r="BY21" s="927"/>
      <c r="BZ21" s="928"/>
      <c r="CB21" s="986"/>
      <c r="CC21" s="925"/>
      <c r="CD21" s="925"/>
      <c r="CE21" s="925"/>
      <c r="CF21" s="925"/>
      <c r="CG21" s="925"/>
      <c r="CH21" s="925"/>
      <c r="CI21" s="925"/>
      <c r="CJ21" s="977"/>
      <c r="CK21" s="977"/>
      <c r="CL21" s="977"/>
      <c r="CM21" s="977"/>
      <c r="CN21" s="977"/>
      <c r="CO21" s="977"/>
      <c r="CP21" s="977"/>
      <c r="CQ21" s="977"/>
      <c r="CR21" s="977"/>
      <c r="CS21" s="983"/>
      <c r="CT21" s="982"/>
      <c r="CU21" s="979"/>
      <c r="CV21" s="925"/>
      <c r="CW21" s="925"/>
      <c r="CX21" s="925"/>
      <c r="CY21" s="925"/>
      <c r="CZ21" s="925"/>
      <c r="DA21" s="925"/>
      <c r="DD21" s="981"/>
      <c r="DE21" s="925"/>
      <c r="DF21" s="981"/>
      <c r="DG21" s="925"/>
      <c r="DH21" s="925"/>
      <c r="DI21" s="925"/>
      <c r="DJ21" s="925"/>
      <c r="DK21" s="925"/>
      <c r="DL21" s="925"/>
      <c r="DM21" s="925"/>
      <c r="DN21" s="925"/>
      <c r="DO21" s="925"/>
      <c r="DP21" s="925"/>
      <c r="DQ21" s="925"/>
      <c r="DR21" s="981"/>
      <c r="DS21" s="981"/>
      <c r="DT21" s="981"/>
      <c r="DU21" s="981"/>
      <c r="DV21" s="981"/>
      <c r="DW21" s="981"/>
      <c r="DX21" s="981"/>
      <c r="DY21" s="925"/>
      <c r="DZ21" s="925"/>
      <c r="EA21" s="925"/>
      <c r="EB21" s="925"/>
      <c r="EC21" s="925"/>
      <c r="ED21" s="925"/>
      <c r="EE21" s="925"/>
      <c r="EF21" s="925"/>
      <c r="EG21" s="925"/>
      <c r="EH21" s="925"/>
      <c r="EI21" s="925"/>
      <c r="EJ21" s="925"/>
      <c r="EK21" s="925"/>
      <c r="EL21" s="925"/>
      <c r="EM21" s="925"/>
      <c r="EN21" s="925"/>
    </row>
    <row r="22" spans="1:144" ht="16.350000000000001" customHeight="1">
      <c r="A22" s="462"/>
      <c r="B22" s="994">
        <v>3</v>
      </c>
      <c r="C22" s="995"/>
      <c r="D22" s="996"/>
      <c r="E22" s="997"/>
      <c r="F22" s="961"/>
      <c r="G22" s="962"/>
      <c r="H22" s="962"/>
      <c r="I22" s="962"/>
      <c r="J22" s="962"/>
      <c r="K22" s="963"/>
      <c r="L22" s="961"/>
      <c r="M22" s="962"/>
      <c r="N22" s="962"/>
      <c r="O22" s="962"/>
      <c r="P22" s="962"/>
      <c r="Q22" s="963"/>
      <c r="R22" s="1044"/>
      <c r="S22" s="1044"/>
      <c r="T22" s="1044"/>
      <c r="U22" s="1044"/>
      <c r="V22" s="1044"/>
      <c r="W22" s="1044"/>
      <c r="X22" s="1045"/>
      <c r="Y22" s="1045"/>
      <c r="Z22" s="1045"/>
      <c r="AA22" s="1045"/>
      <c r="AB22" s="1045"/>
      <c r="AC22" s="1045"/>
      <c r="AD22" s="961"/>
      <c r="AE22" s="962"/>
      <c r="AF22" s="962"/>
      <c r="AG22" s="962"/>
      <c r="AH22" s="962"/>
      <c r="AI22" s="963"/>
      <c r="AJ22" s="949"/>
      <c r="AK22" s="950"/>
      <c r="AL22" s="951"/>
      <c r="AM22" s="949"/>
      <c r="AN22" s="950"/>
      <c r="AO22" s="951"/>
      <c r="AP22" s="955"/>
      <c r="AQ22" s="956"/>
      <c r="AR22" s="957"/>
      <c r="AS22" s="955"/>
      <c r="AT22" s="956"/>
      <c r="AU22" s="957"/>
      <c r="AV22" s="968"/>
      <c r="AW22" s="969"/>
      <c r="AX22" s="970"/>
      <c r="AY22" s="968"/>
      <c r="AZ22" s="969"/>
      <c r="BA22" s="970"/>
      <c r="BB22" s="945"/>
      <c r="BC22" s="946"/>
      <c r="BD22" s="945"/>
      <c r="BE22" s="946"/>
      <c r="BF22" s="929" t="str">
        <f>IF(CB22="OK",ROUND(BB22+BD22,2),"")</f>
        <v/>
      </c>
      <c r="BG22" s="930"/>
      <c r="BH22" s="971" t="str">
        <f t="shared" ref="BH22" si="27">IFERROR(IF(AND($CB22="OK",$CU22="OK"),$CI22,IF($CB22&lt;&gt;"OK",$CB22,$CU22)),"")</f>
        <v/>
      </c>
      <c r="BI22" s="972"/>
      <c r="BJ22" s="973"/>
      <c r="BK22" s="933" t="str">
        <f t="shared" ref="BK22" si="28">IF($CB22="OK",CM22,"")</f>
        <v/>
      </c>
      <c r="BL22" s="934"/>
      <c r="BM22" s="935"/>
      <c r="BN22" s="939" t="str">
        <f t="shared" ref="BN22" si="29">IF($CB22="OK",$CR22,"")</f>
        <v/>
      </c>
      <c r="BO22" s="940"/>
      <c r="BP22" s="941"/>
      <c r="BS22" s="967"/>
      <c r="BT22" s="967"/>
      <c r="BV22" s="926" t="str">
        <f t="shared" ref="BV22" si="30">IFERROR(ROUND(IF(AND(CB22="OK",CU22="OK"),CT22,""),0),"")</f>
        <v/>
      </c>
      <c r="BW22" s="926" t="str">
        <f t="shared" ref="BW22" si="31">IFERROR(ROUND(IF(AND(CB22="OK",CU22="OK"),BV22/3,""),0),"")</f>
        <v/>
      </c>
      <c r="BX22" s="926"/>
      <c r="BY22" s="927"/>
      <c r="BZ22" s="928"/>
      <c r="CB22" s="986" t="str">
        <f>IF(AND(C22="",F22="",R22="",AD22="",U22="",X22="",L22="",AJ22="",AV22="",AM22="",AP22="",AY22="",AV23="",BB22="",BD22="",AA22="",AS22=""),"",
IF(OR(C22="",F22="",R22="",AD22="",U22="",X22="",L22="",AJ22="",AV22="",AM22="",AP22="",AY22="",AV23="",BB22="",BD22="",AA22="",AS22=""),"Missing Fields",
IF(AND(M02S04F04disp="Required",M02S04F04=""),"TA Info Incomplete",
"OK")))</f>
        <v/>
      </c>
      <c r="CC22" s="925" t="str">
        <f>IF(AND(CB22="OK",CU22="OK"),INDEX(Tbl_Cust_Heat[Measure Number], MATCH(F22,Tbl_Cust_Heat[Proj Desc 1],0)),"")</f>
        <v/>
      </c>
      <c r="CD22" s="925"/>
      <c r="CE22" s="925" t="str">
        <f t="shared" ref="CE22" si="32">IF(CB22="OK","Measure","")</f>
        <v/>
      </c>
      <c r="CF22" s="925" t="str">
        <f t="shared" ref="CF22" si="33">IF(CB22="OK",1,"")</f>
        <v/>
      </c>
      <c r="CG22" s="978" t="str">
        <f t="shared" ref="CG22" si="34">IFERROR(CI22/CF22,"")</f>
        <v/>
      </c>
      <c r="CH22" s="978" t="str">
        <f>IF(CB22="OK",IF(CM22&gt;0,CM22*Incent_Rate_kWh,0)+IF(CO22&gt;0,CO22*Incent_Rate_thm,0),"")</f>
        <v/>
      </c>
      <c r="CI22" s="978" t="str">
        <f>IFERROR(IF($CB22="OK",IF(INCENTTOCOST_CUST&gt;CostCap_Cust,
CH22*CostCap_Cust/INCENTTOCOST_CUST,CH22),""),"")</f>
        <v/>
      </c>
      <c r="CJ22" s="977">
        <f t="shared" ref="CJ22" si="35">CM22</f>
        <v>0</v>
      </c>
      <c r="CK22" s="977">
        <f t="shared" ref="CK22" si="36">CN22</f>
        <v>0</v>
      </c>
      <c r="CL22" s="977">
        <f t="shared" ref="CL22" si="37">CO22</f>
        <v>0</v>
      </c>
      <c r="CM22" s="977">
        <f>R22-AJ22</f>
        <v>0</v>
      </c>
      <c r="CN22" s="977">
        <f>U22-AM22</f>
        <v>0</v>
      </c>
      <c r="CO22" s="977">
        <f t="shared" ref="CO22" si="38">IF(CR22&gt;0,CR22,0)</f>
        <v>0</v>
      </c>
      <c r="CP22" s="977">
        <f t="shared" ref="CP22" si="39">CM22</f>
        <v>0</v>
      </c>
      <c r="CQ22" s="977">
        <f t="shared" ref="CQ22" si="40">CN22</f>
        <v>0</v>
      </c>
      <c r="CR22" s="977">
        <f>X22-AP22</f>
        <v>0</v>
      </c>
      <c r="CS22" s="983"/>
      <c r="CT22" s="982" t="str">
        <f>IF(CB22="OK",INDEX(Tbl_Cust_Heat[EUL], MATCH(F22,Tbl_Cust_Heat[Proj Desc 1],0)),"")</f>
        <v/>
      </c>
      <c r="CU22" s="979" t="str">
        <f t="shared" ref="CU22" si="41">IFERROR(IF(AND($CM22&lt;=0,$CN22&lt;=0,$CO22&lt;=0),"No Savings","OK"),"")</f>
        <v>No Savings</v>
      </c>
      <c r="CV22" s="925" t="str">
        <f t="shared" ref="CV22" si="42">IF(AND(CB22="OK",CU22="OK"),"1","")</f>
        <v/>
      </c>
      <c r="CW22" s="925" t="str">
        <f>IFERROR(IF($CB22="OK",ROUND($AQ$14*SUM(BB22:BE23)/SUM($BF$18:$BG$37),2),""),"")</f>
        <v/>
      </c>
      <c r="CX22" s="925" t="str">
        <f>IFERROR(IF(M02S04F04="Customer/Self-Installed",CW22,IF($CB22="OK",CW22+BD22,"")),"")</f>
        <v/>
      </c>
      <c r="CY22" s="925" t="str">
        <f>IFERROR(IF($CB22="OK",CX22+BB22,""),"")</f>
        <v/>
      </c>
      <c r="CZ22" s="925" t="str">
        <f>IF(CB22="OK",INDEX(MEASURES3_M!$O$24, MATCH(F22,MEASURES3_M!$C$24,0)),"")</f>
        <v/>
      </c>
      <c r="DA22" s="925" t="str">
        <f>IF(CB22="OK",INDEX(MEASURES3_M!$P$24, MATCH(F22,MEASURES3_M!$C$24,0)),"")</f>
        <v/>
      </c>
      <c r="DD22" s="980" t="str">
        <f>IFERROR(IF(CB22&lt;&gt;"OK","",CM22*VLOOKUP('DATA TABLES_Project'!$C$247,'DATA TABLES_Project'!$A$250:$B$285,2,FALSE)),"")</f>
        <v/>
      </c>
      <c r="DE22" s="925" t="str">
        <f t="shared" ref="DE22" si="43">IFERROR(IF(CB22&lt;&gt;"OK","",CM22*CZ22*0.92),"")</f>
        <v/>
      </c>
      <c r="DF22" s="980" t="str">
        <f>IFERROR(IF(CB22&lt;&gt;"OK","",CM22*CZ22*0.92*VLOOKUP('DATA TABLES_Project'!$C$247,'DATA TABLES_Project'!$A$250:$B$285,2,FALSE)),"")</f>
        <v/>
      </c>
      <c r="DG22" s="925" t="str">
        <f t="shared" ref="DG22" si="44">IFERROR(IF(CB22&lt;&gt;"OK","",CM22*BV22),IF(BX22="Dual",(CM22*BW22)+((BY22-AJ22)*(BV22-BW22)),""))</f>
        <v/>
      </c>
      <c r="DH22" s="925" t="str">
        <f ca="1">IFERROR(IF(CB22&lt;&gt;"OK","",IF(OR(BX22="Single",BX22=""), CM22*BV22*AVERAGE(INDEX('DATA TABLES_Project'!$B$250:$B$285, MATCH('DATA TABLES_Project'!$C$247,'DATA TABLES_Project'!$A$250:$A$285, 0)):OFFSET(INDEX('DATA TABLES_Project'!$B$250:$B$285, MATCH('DATA TABLES_Project'!$C$247,'DATA TABLES_Project'!$A$250:$A$285, 0)),BV22-1,0)),CM22*BW22*AVERAGE(INDEX('DATA TABLES_Project'!$B$250:$B$285, MATCH('DATA TABLES_Project'!$C$247,'DATA TABLES_Project'!$A$250:$A$285, 0)):OFFSET(INDEX('DATA TABLES_Project'!$B$250:$B$285, MATCH('DATA TABLES_Project'!$C$247,'DATA TABLES_Project'!$A$250:$A$285, 0)),BW22-1,0)) + ((BY22-AJ22)*(BV22-BW22)*AVERAGE(OFFSET(INDEX('DATA TABLES_Project'!$B$250:$B$285, MATCH('DATA TABLES_Project'!$C$247,'DATA TABLES_Project'!$A$250:$A$285, 0)),BW22,0):OFFSET(INDEX('DATA TABLES_Project'!$B$250:$B$285, MATCH('DATA TABLES_Project'!$C$247,'DATA TABLES_Project'!$A$250:$A$285, 0)),BV22-1,0))))), "")</f>
        <v/>
      </c>
      <c r="DI22" s="925" t="str">
        <f t="shared" ref="DI22" si="45">IFERROR(IF(CB22&lt;&gt;"OK","",IF(BX22="Dual",(CM22*BW22)+((BY22-AJ22)*(BV22-BW22))*CZ22*0.92,CM22*CZ22*BV22*0.92)),"")</f>
        <v/>
      </c>
      <c r="DJ22" s="925" t="str">
        <f ca="1">IFERROR(IF(CB22&lt;&gt;"OK","",IF(OR(BX22="Single",BX22=""),0.92*CZ22*CM22*BV22*AVERAGE(INDEX('DATA TABLES_Project'!$B$250:$B$285, MATCH('DATA TABLES_Project'!$C$247,'DATA TABLES_Project'!$A$250:$A$285, 0)):OFFSET(INDEX('DATA TABLES_Project'!$B$250:$B$285, MATCH('DATA TABLES_Project'!$C$247,'DATA TABLES_Project'!$A$250:$A$285, 0)),BV22-1,0)),0.92*CZ22*CM22*BW22*AVERAGE(INDEX('DATA TABLES_Project'!$B$250:$B$285, MATCH('DATA TABLES_Project'!$C$247,'DATA TABLES_Project'!$A$250:$A$285, 0)):OFFSET(INDEX('DATA TABLES_Project'!$B$250:$B$285, MATCH('DATA TABLES_Project'!$C$247,'DATA TABLES_Project'!$A$250:$A$285, 0)),BW22-1,0)) + (0.92*CZ22*(BY22-AJ22)*(BV22-BW22)*AVERAGE(OFFSET(INDEX('DATA TABLES_Project'!$B$250:$B$285, MATCH('DATA TABLES_Project'!$C$247,'DATA TABLES_Project'!$A$250:$A$285, 0)),BW22,0):OFFSET(INDEX('DATA TABLES_Project'!$B$250:$B$285, MATCH('DATA TABLES_Project'!$C$247,'DATA TABLES_Project'!$A$250:$A$285, 0)),BV22-1,0))))), "")</f>
        <v/>
      </c>
      <c r="DK22" s="925" t="str">
        <f>IFERROR(IF(CB22&lt;&gt;"OK","",CO22*'DATA TABLES_Project'!$C$250),"")</f>
        <v/>
      </c>
      <c r="DL22" s="925" t="str">
        <f t="shared" ref="DL22" si="46">IFERROR(IF(CB22&lt;&gt;"OK","",CO22*DA22*0.92),"")</f>
        <v/>
      </c>
      <c r="DM22" s="925" t="str">
        <f>IFERROR(IF(CB22&lt;&gt;"OK","",CO22*'DATA TABLES_Project'!$C$250*DA22*0.92),"")</f>
        <v/>
      </c>
      <c r="DN22" s="925" t="str">
        <f t="shared" ref="DN22" si="47">IFERROR(IF(CB22&lt;&gt;"OK","",CO22*BV22),IF(BX22="Dual",(CO22*BW22)+((BZ22-AP22)*(BV22-BW22)),""))</f>
        <v/>
      </c>
      <c r="DO22" s="925" t="str">
        <f ca="1">IFERROR(IF(CB22&lt;&gt;"OK","",CO22*BV22*AVERAGE('DATA TABLES_Project'!$C$250:OFFSET('DATA TABLES_Project'!$C$250,BV22,0))),IF(BX22="Dual",(CO22*BW22*AVERAGE('DATA TABLES_Project'!$C$251:$C$259))+((BZ22-AP22)*(BV22-BW22)*AVERAGE('DATA TABLES_Project'!$C$260:$C$279)),""))</f>
        <v/>
      </c>
      <c r="DP22" s="925" t="str">
        <f t="shared" ref="DP22" si="48">IFERROR(IF(CB22&lt;&gt;"OK","",IF(BX22="Dual",((CO22*BW22)+(BZ22-AP22)*(BV22-BW22))*DA22*0.92,CO22*BV22*DA22*0.92)),"")</f>
        <v/>
      </c>
      <c r="DQ22" s="925" t="str">
        <f ca="1">IFERROR(IF(CB22&lt;&gt;"OK","",IF(BX22="Dual",(0.92*DA22*CO22*BW22*AVERAGE('DATA TABLES_Project'!$C$251:$C$259))+(0.92*DA22*(BZ22-AP22)*(BV22-BW22)*AVERAGE('DATA TABLES_Project'!$C$260:$C$279)),0.92*DA22*CO22*BV22*AVERAGE('DATA TABLES_Project'!$C$250:OFFSET('DATA TABLES_Project'!$C$250,BV22,0)))),"")</f>
        <v/>
      </c>
      <c r="DR22" s="980" t="str">
        <f>IFERROR(IF($CB22&lt;&gt;"OK","",CM22*'DATA TABLES_Project'!$B$290+IF(CO22&lt;0,0,CO22*'DATA TABLES_Project'!$B$291)),"")</f>
        <v/>
      </c>
      <c r="DS22" s="980" t="str">
        <f>IFERROR(IF($CB22&lt;&gt;"OK","",DD22*'DATA TABLES_Project'!$B$290+IF(DK22&lt;0,0,DK22*'DATA TABLES_Project'!$B$291)),"")</f>
        <v/>
      </c>
      <c r="DT22" s="980" t="str">
        <f>IFERROR(IF($CB22&lt;&gt;"OK","",DE22*'DATA TABLES_Project'!$B$290+IF(DL22&lt;0,0,DL22*'DATA TABLES_Project'!$B$291)),"")</f>
        <v/>
      </c>
      <c r="DU22" s="980" t="str">
        <f>IFERROR(IF($CB22&lt;&gt;"OK","",DF22*'DATA TABLES_Project'!$B$290+IF(DM22&lt;0,0,DM22*'DATA TABLES_Project'!$B$291)),"")</f>
        <v/>
      </c>
      <c r="DV22" s="980" t="str">
        <f>IFERROR(IF($CB22&lt;&gt;"OK","",DG22*'DATA TABLES_Project'!$B$290+IF(DN22&lt;0,0,DN22*'DATA TABLES_Project'!$B$291)),"")</f>
        <v/>
      </c>
      <c r="DW22" s="980" t="str">
        <f>IFERROR(IF($CB22&lt;&gt;"OK","",DH22*'DATA TABLES_Project'!$B$290+IF(DO22&lt;0,0,DO22*'DATA TABLES_Project'!$B$291)),"")</f>
        <v/>
      </c>
      <c r="DX22" s="980" t="str">
        <f>IFERROR(IF($CB22&lt;&gt;"OK","",DI22*'DATA TABLES_Project'!$B$290+IF(DP22&lt;0,0,DP22*'DATA TABLES_Project'!$B$291)),"")</f>
        <v/>
      </c>
      <c r="DY22" s="925" t="str">
        <f>IFERROR(IF($CB22&lt;&gt;"OK","",DJ22*'DATA TABLES_Project'!$B$290+IF(DQ22&lt;0,0,DQ22*'DATA TABLES_Project'!$B$291)),"")</f>
        <v/>
      </c>
      <c r="DZ22" s="925" t="str">
        <f t="shared" ref="DZ22" si="49">IFERROR(IF($CB22&lt;&gt;"OK","",AS22),"")</f>
        <v/>
      </c>
      <c r="EA22" s="925" t="str">
        <f>IFERROR(IF(CB22&lt;&gt;"OK","",CN22*'DATA TABLES_Project'!$B$250*CZ22*1.03),"")</f>
        <v/>
      </c>
      <c r="EB22" s="925" t="str">
        <f t="shared" ref="EB22" si="50">IFERROR(IF(CB22&lt;&gt;"OK","",CN22*CZ22*1.03),"")</f>
        <v/>
      </c>
      <c r="EC22" s="925" t="str">
        <f>IFERROR(IF(CB22&lt;&gt;"OK","",CZ22*DZ22*'DATA TABLES_Project'!$C$250*0.92),"")</f>
        <v/>
      </c>
      <c r="ED22" s="925" t="str">
        <f>IFERROR(IF(CB22&lt;&gt;"OK","",CZ22*DZ22*'DATA TABLES_Project'!$C$250*0.92),"")</f>
        <v/>
      </c>
      <c r="EE22" s="925" t="str">
        <f t="shared" ref="EE22" si="51">IFERROR(IF(CB22&lt;&gt;"OK","",CZ22*DZ22*0.92),"")</f>
        <v/>
      </c>
      <c r="EF22" s="925" t="str">
        <f t="shared" ref="EF22" si="52">IFERROR(IF(CB22&lt;&gt;"OK","",CZ22*DZ22*0.92),"")</f>
        <v/>
      </c>
      <c r="EG22" s="925" t="str">
        <f>IFERROR(IF($CB22&lt;&gt;"OK","",CM22*'DATA TABLES_Project'!$B$290+CO22*'DATA TABLES_Project'!$B$291),"")</f>
        <v/>
      </c>
      <c r="EH22" s="925" t="str">
        <f>IFERROR(IF($CB22&lt;&gt;"OK","",DD22*'DATA TABLES_Project'!$B$290+DK22*'DATA TABLES_Project'!$B$291),"")</f>
        <v/>
      </c>
      <c r="EI22" s="925" t="str">
        <f>IFERROR(IF($CB22&lt;&gt;"OK","",DE22*'DATA TABLES_Project'!$B$290+DL22*'DATA TABLES_Project'!$B$291),"")</f>
        <v/>
      </c>
      <c r="EJ22" s="925" t="str">
        <f>IFERROR(IF($CB22&lt;&gt;"OK","",DF22*'DATA TABLES_Project'!$B$290+DM22*'DATA TABLES_Project'!$B$291),"")</f>
        <v/>
      </c>
      <c r="EK22" s="925" t="str">
        <f>IFERROR(IF($CB22&lt;&gt;"OK","",DG22*'DATA TABLES_Project'!$B$290+DN22*'DATA TABLES_Project'!$B$291),"")</f>
        <v/>
      </c>
      <c r="EL22" s="925" t="str">
        <f>IFERROR(IF($CB22&lt;&gt;"OK","",DH22*'DATA TABLES_Project'!$B$290+DO22*'DATA TABLES_Project'!$B$291),"")</f>
        <v/>
      </c>
      <c r="EM22" s="925" t="str">
        <f>IFERROR(IF($CB22&lt;&gt;"OK","",DI22*'DATA TABLES_Project'!$B$290+DP22*'DATA TABLES_Project'!$B$291),"")</f>
        <v/>
      </c>
      <c r="EN22" s="925" t="str">
        <f>IFERROR(IF($CB22&lt;&gt;"OK","",DJ22*'DATA TABLES_Project'!$B$290+DQ22*'DATA TABLES_Project'!$B$291),"")</f>
        <v/>
      </c>
    </row>
    <row r="23" spans="1:144" ht="16.350000000000001" customHeight="1">
      <c r="A23" s="462"/>
      <c r="B23" s="994"/>
      <c r="C23" s="998"/>
      <c r="D23" s="999"/>
      <c r="E23" s="1000"/>
      <c r="F23" s="964"/>
      <c r="G23" s="965"/>
      <c r="H23" s="965"/>
      <c r="I23" s="965"/>
      <c r="J23" s="965"/>
      <c r="K23" s="966"/>
      <c r="L23" s="964"/>
      <c r="M23" s="965"/>
      <c r="N23" s="965"/>
      <c r="O23" s="965"/>
      <c r="P23" s="965"/>
      <c r="Q23" s="966"/>
      <c r="R23" s="1044"/>
      <c r="S23" s="1044"/>
      <c r="T23" s="1044"/>
      <c r="U23" s="1044"/>
      <c r="V23" s="1044"/>
      <c r="W23" s="1044"/>
      <c r="X23" s="1045"/>
      <c r="Y23" s="1045"/>
      <c r="Z23" s="1045"/>
      <c r="AA23" s="1045"/>
      <c r="AB23" s="1045"/>
      <c r="AC23" s="1045"/>
      <c r="AD23" s="964"/>
      <c r="AE23" s="965"/>
      <c r="AF23" s="965"/>
      <c r="AG23" s="965"/>
      <c r="AH23" s="965"/>
      <c r="AI23" s="966"/>
      <c r="AJ23" s="952"/>
      <c r="AK23" s="953"/>
      <c r="AL23" s="954"/>
      <c r="AM23" s="952"/>
      <c r="AN23" s="953"/>
      <c r="AO23" s="954"/>
      <c r="AP23" s="958"/>
      <c r="AQ23" s="959"/>
      <c r="AR23" s="960"/>
      <c r="AS23" s="958"/>
      <c r="AT23" s="959"/>
      <c r="AU23" s="960"/>
      <c r="AV23" s="968"/>
      <c r="AW23" s="969"/>
      <c r="AX23" s="969"/>
      <c r="AY23" s="969"/>
      <c r="AZ23" s="969"/>
      <c r="BA23" s="970"/>
      <c r="BB23" s="947"/>
      <c r="BC23" s="948"/>
      <c r="BD23" s="947"/>
      <c r="BE23" s="948"/>
      <c r="BF23" s="931"/>
      <c r="BG23" s="932"/>
      <c r="BH23" s="974"/>
      <c r="BI23" s="975"/>
      <c r="BJ23" s="976"/>
      <c r="BK23" s="936"/>
      <c r="BL23" s="937"/>
      <c r="BM23" s="938"/>
      <c r="BN23" s="942"/>
      <c r="BO23" s="943"/>
      <c r="BP23" s="944"/>
      <c r="BS23" s="967"/>
      <c r="BT23" s="967"/>
      <c r="BV23" s="926"/>
      <c r="BW23" s="926"/>
      <c r="BX23" s="926"/>
      <c r="BY23" s="927"/>
      <c r="BZ23" s="928"/>
      <c r="CB23" s="986"/>
      <c r="CC23" s="925"/>
      <c r="CD23" s="925"/>
      <c r="CE23" s="925"/>
      <c r="CF23" s="925"/>
      <c r="CG23" s="925"/>
      <c r="CH23" s="925"/>
      <c r="CI23" s="925"/>
      <c r="CJ23" s="977"/>
      <c r="CK23" s="977"/>
      <c r="CL23" s="977"/>
      <c r="CM23" s="977"/>
      <c r="CN23" s="977"/>
      <c r="CO23" s="977"/>
      <c r="CP23" s="977"/>
      <c r="CQ23" s="977"/>
      <c r="CR23" s="977"/>
      <c r="CS23" s="983"/>
      <c r="CT23" s="982"/>
      <c r="CU23" s="979"/>
      <c r="CV23" s="925"/>
      <c r="CW23" s="925"/>
      <c r="CX23" s="925"/>
      <c r="CY23" s="925"/>
      <c r="CZ23" s="925"/>
      <c r="DA23" s="925"/>
      <c r="DD23" s="981"/>
      <c r="DE23" s="925"/>
      <c r="DF23" s="981"/>
      <c r="DG23" s="925"/>
      <c r="DH23" s="925"/>
      <c r="DI23" s="925"/>
      <c r="DJ23" s="925"/>
      <c r="DK23" s="925"/>
      <c r="DL23" s="925"/>
      <c r="DM23" s="925"/>
      <c r="DN23" s="925"/>
      <c r="DO23" s="925"/>
      <c r="DP23" s="925"/>
      <c r="DQ23" s="925"/>
      <c r="DR23" s="981"/>
      <c r="DS23" s="981"/>
      <c r="DT23" s="981"/>
      <c r="DU23" s="981"/>
      <c r="DV23" s="981"/>
      <c r="DW23" s="981"/>
      <c r="DX23" s="981"/>
      <c r="DY23" s="925"/>
      <c r="DZ23" s="925"/>
      <c r="EA23" s="925"/>
      <c r="EB23" s="925"/>
      <c r="EC23" s="925"/>
      <c r="ED23" s="925"/>
      <c r="EE23" s="925"/>
      <c r="EF23" s="925"/>
      <c r="EG23" s="925"/>
      <c r="EH23" s="925"/>
      <c r="EI23" s="925"/>
      <c r="EJ23" s="925"/>
      <c r="EK23" s="925"/>
      <c r="EL23" s="925"/>
      <c r="EM23" s="925"/>
      <c r="EN23" s="925"/>
    </row>
    <row r="24" spans="1:144" ht="16.350000000000001" customHeight="1">
      <c r="A24" s="462"/>
      <c r="B24" s="994">
        <v>4</v>
      </c>
      <c r="C24" s="995"/>
      <c r="D24" s="996"/>
      <c r="E24" s="997"/>
      <c r="F24" s="961"/>
      <c r="G24" s="962"/>
      <c r="H24" s="962"/>
      <c r="I24" s="962"/>
      <c r="J24" s="962"/>
      <c r="K24" s="963"/>
      <c r="L24" s="961"/>
      <c r="M24" s="962"/>
      <c r="N24" s="962"/>
      <c r="O24" s="962"/>
      <c r="P24" s="962"/>
      <c r="Q24" s="963"/>
      <c r="R24" s="1044"/>
      <c r="S24" s="1044"/>
      <c r="T24" s="1044"/>
      <c r="U24" s="1044"/>
      <c r="V24" s="1044"/>
      <c r="W24" s="1044"/>
      <c r="X24" s="1045"/>
      <c r="Y24" s="1045"/>
      <c r="Z24" s="1045"/>
      <c r="AA24" s="1045"/>
      <c r="AB24" s="1045"/>
      <c r="AC24" s="1045"/>
      <c r="AD24" s="961"/>
      <c r="AE24" s="962"/>
      <c r="AF24" s="962"/>
      <c r="AG24" s="962"/>
      <c r="AH24" s="962"/>
      <c r="AI24" s="963"/>
      <c r="AJ24" s="949"/>
      <c r="AK24" s="950"/>
      <c r="AL24" s="951"/>
      <c r="AM24" s="949"/>
      <c r="AN24" s="950"/>
      <c r="AO24" s="951"/>
      <c r="AP24" s="955"/>
      <c r="AQ24" s="956"/>
      <c r="AR24" s="957"/>
      <c r="AS24" s="955"/>
      <c r="AT24" s="956"/>
      <c r="AU24" s="957"/>
      <c r="AV24" s="968"/>
      <c r="AW24" s="969"/>
      <c r="AX24" s="970"/>
      <c r="AY24" s="968"/>
      <c r="AZ24" s="969"/>
      <c r="BA24" s="970"/>
      <c r="BB24" s="945"/>
      <c r="BC24" s="946"/>
      <c r="BD24" s="945"/>
      <c r="BE24" s="946"/>
      <c r="BF24" s="929" t="str">
        <f>IF(CB24="OK",ROUND(BB24+BD24,2),"")</f>
        <v/>
      </c>
      <c r="BG24" s="930"/>
      <c r="BH24" s="971" t="str">
        <f t="shared" ref="BH24" si="53">IFERROR(IF(AND($CB24="OK",$CU24="OK"),$CI24,IF($CB24&lt;&gt;"OK",$CB24,$CU24)),"")</f>
        <v/>
      </c>
      <c r="BI24" s="972"/>
      <c r="BJ24" s="973"/>
      <c r="BK24" s="933" t="str">
        <f t="shared" ref="BK24" si="54">IF($CB24="OK",CM24,"")</f>
        <v/>
      </c>
      <c r="BL24" s="934"/>
      <c r="BM24" s="935"/>
      <c r="BN24" s="939" t="str">
        <f t="shared" ref="BN24" si="55">IF($CB24="OK",$CR24,"")</f>
        <v/>
      </c>
      <c r="BO24" s="940"/>
      <c r="BP24" s="941"/>
      <c r="BS24" s="967"/>
      <c r="BT24" s="967"/>
      <c r="BV24" s="926" t="str">
        <f t="shared" ref="BV24" si="56">IFERROR(ROUND(IF(AND(CB24="OK",CU24="OK"),CT24,""),0),"")</f>
        <v/>
      </c>
      <c r="BW24" s="926" t="str">
        <f t="shared" ref="BW24" si="57">IFERROR(ROUND(IF(AND(CB24="OK",CU24="OK"),BV24/3,""),0),"")</f>
        <v/>
      </c>
      <c r="BX24" s="926"/>
      <c r="BY24" s="927"/>
      <c r="BZ24" s="928"/>
      <c r="CB24" s="986" t="str">
        <f>IF(AND(C24="",F24="",R24="",AD24="",U24="",X24="",L24="",AJ24="",AV24="",AM24="",AP24="",AY24="",AV25="",BB24="",BD24="",AA24="",AS24=""),"",
IF(OR(C24="",F24="",R24="",AD24="",U24="",X24="",L24="",AJ24="",AV24="",AM24="",AP24="",AY24="",AV25="",BB24="",BD24="",AA24="",AS24=""),"Missing Fields",
IF(AND(M02S04F04disp="Required",M02S04F04=""),"TA Info Incomplete",
"OK")))</f>
        <v/>
      </c>
      <c r="CC24" s="925" t="str">
        <f>IF(AND(CB24="OK",CU24="OK"),INDEX(Tbl_Cust_Heat[Measure Number], MATCH(F24,Tbl_Cust_Heat[Proj Desc 1],0)),"")</f>
        <v/>
      </c>
      <c r="CD24" s="925"/>
      <c r="CE24" s="925" t="str">
        <f t="shared" ref="CE24" si="58">IF(CB24="OK","Measure","")</f>
        <v/>
      </c>
      <c r="CF24" s="925" t="str">
        <f t="shared" ref="CF24" si="59">IF(CB24="OK",1,"")</f>
        <v/>
      </c>
      <c r="CG24" s="978" t="str">
        <f t="shared" ref="CG24" si="60">IFERROR(CI24/CF24,"")</f>
        <v/>
      </c>
      <c r="CH24" s="978" t="str">
        <f>IF(CB24="OK",IF(CM24&gt;0,CM24*Incent_Rate_kWh,0)+IF(CO24&gt;0,CO24*Incent_Rate_thm,0),"")</f>
        <v/>
      </c>
      <c r="CI24" s="978" t="str">
        <f>IFERROR(IF($CB24="OK",IF(INCENTTOCOST_CUST&gt;CostCap_Cust,
CH24*CostCap_Cust/INCENTTOCOST_CUST,CH24),""),"")</f>
        <v/>
      </c>
      <c r="CJ24" s="977">
        <f t="shared" ref="CJ24" si="61">CM24</f>
        <v>0</v>
      </c>
      <c r="CK24" s="977">
        <f t="shared" ref="CK24" si="62">CN24</f>
        <v>0</v>
      </c>
      <c r="CL24" s="977">
        <f t="shared" ref="CL24" si="63">CO24</f>
        <v>0</v>
      </c>
      <c r="CM24" s="977">
        <f>R24-AJ24</f>
        <v>0</v>
      </c>
      <c r="CN24" s="977">
        <f>U24-AM24</f>
        <v>0</v>
      </c>
      <c r="CO24" s="977">
        <f t="shared" ref="CO24" si="64">IF(CR24&gt;0,CR24,0)</f>
        <v>0</v>
      </c>
      <c r="CP24" s="977">
        <f t="shared" ref="CP24" si="65">CM24</f>
        <v>0</v>
      </c>
      <c r="CQ24" s="977">
        <f t="shared" ref="CQ24" si="66">CN24</f>
        <v>0</v>
      </c>
      <c r="CR24" s="977">
        <f>X24-AP24</f>
        <v>0</v>
      </c>
      <c r="CS24" s="983"/>
      <c r="CT24" s="982" t="str">
        <f>IF(CB24="OK",INDEX(Tbl_Cust_Heat[EUL], MATCH(F24,Tbl_Cust_Heat[Proj Desc 1],0)),"")</f>
        <v/>
      </c>
      <c r="CU24" s="979" t="str">
        <f t="shared" ref="CU24" si="67">IFERROR(IF(AND($CM24&lt;=0,$CN24&lt;=0,$CO24&lt;=0),"No Savings","OK"),"")</f>
        <v>No Savings</v>
      </c>
      <c r="CV24" s="925" t="str">
        <f t="shared" ref="CV24" si="68">IF(AND(CB24="OK",CU24="OK"),"1","")</f>
        <v/>
      </c>
      <c r="CW24" s="925" t="str">
        <f>IFERROR(IF($CB24="OK",ROUND($AQ$14*SUM(BB24:BE25)/SUM($BF$18:$BG$37),2),""),"")</f>
        <v/>
      </c>
      <c r="CX24" s="925" t="str">
        <f>IFERROR(IF(M02S04F04="Customer/Self-Installed",CW24,IF($CB24="OK",CW24+BD24,"")),"")</f>
        <v/>
      </c>
      <c r="CY24" s="925" t="str">
        <f>IFERROR(IF($CB24="OK",CX24+BB24,""),"")</f>
        <v/>
      </c>
      <c r="CZ24" s="925" t="str">
        <f>IF(CB24="OK",INDEX(MEASURES3_M!$O$24, MATCH(F24,MEASURES3_M!$C$24,0)),"")</f>
        <v/>
      </c>
      <c r="DA24" s="925" t="str">
        <f>IF(CB24="OK",INDEX(MEASURES3_M!$P$24, MATCH(F24,MEASURES3_M!$C$24,0)),"")</f>
        <v/>
      </c>
      <c r="DD24" s="980" t="str">
        <f>IFERROR(IF(CB24&lt;&gt;"OK","",CM24*VLOOKUP('DATA TABLES_Project'!$C$247,'DATA TABLES_Project'!$A$250:$B$285,2,FALSE)),"")</f>
        <v/>
      </c>
      <c r="DE24" s="925" t="str">
        <f t="shared" ref="DE24" si="69">IFERROR(IF(CB24&lt;&gt;"OK","",CM24*CZ24*0.92),"")</f>
        <v/>
      </c>
      <c r="DF24" s="980" t="str">
        <f>IFERROR(IF(CB24&lt;&gt;"OK","",CM24*CZ24*0.92*VLOOKUP('DATA TABLES_Project'!$C$247,'DATA TABLES_Project'!$A$250:$B$285,2,FALSE)),"")</f>
        <v/>
      </c>
      <c r="DG24" s="925" t="str">
        <f t="shared" ref="DG24" si="70">IFERROR(IF(CB24&lt;&gt;"OK","",CM24*BV24),IF(BX24="Dual",(CM24*BW24)+((BY24-AJ24)*(BV24-BW24)),""))</f>
        <v/>
      </c>
      <c r="DH24" s="925" t="str">
        <f ca="1">IFERROR(IF(CB24&lt;&gt;"OK","",IF(OR(BX24="Single",BX24=""), CM24*BV24*AVERAGE(INDEX('DATA TABLES_Project'!$B$250:$B$285, MATCH('DATA TABLES_Project'!$C$247,'DATA TABLES_Project'!$A$250:$A$285, 0)):OFFSET(INDEX('DATA TABLES_Project'!$B$250:$B$285, MATCH('DATA TABLES_Project'!$C$247,'DATA TABLES_Project'!$A$250:$A$285, 0)),BV24-1,0)),CM24*BW24*AVERAGE(INDEX('DATA TABLES_Project'!$B$250:$B$285, MATCH('DATA TABLES_Project'!$C$247,'DATA TABLES_Project'!$A$250:$A$285, 0)):OFFSET(INDEX('DATA TABLES_Project'!$B$250:$B$285, MATCH('DATA TABLES_Project'!$C$247,'DATA TABLES_Project'!$A$250:$A$285, 0)),BW24-1,0)) + ((BY24-AJ24)*(BV24-BW24)*AVERAGE(OFFSET(INDEX('DATA TABLES_Project'!$B$250:$B$285, MATCH('DATA TABLES_Project'!$C$247,'DATA TABLES_Project'!$A$250:$A$285, 0)),BW24,0):OFFSET(INDEX('DATA TABLES_Project'!$B$250:$B$285, MATCH('DATA TABLES_Project'!$C$247,'DATA TABLES_Project'!$A$250:$A$285, 0)),BV24-1,0))))), "")</f>
        <v/>
      </c>
      <c r="DI24" s="925" t="str">
        <f t="shared" ref="DI24" si="71">IFERROR(IF(CB24&lt;&gt;"OK","",IF(BX24="Dual",(CM24*BW24)+((BY24-AJ24)*(BV24-BW24))*CZ24*0.92,CM24*CZ24*BV24*0.92)),"")</f>
        <v/>
      </c>
      <c r="DJ24" s="925" t="str">
        <f ca="1">IFERROR(IF(CB24&lt;&gt;"OK","",IF(OR(BX24="Single",BX24=""),0.92*CZ24*CM24*BV24*AVERAGE(INDEX('DATA TABLES_Project'!$B$250:$B$285, MATCH('DATA TABLES_Project'!$C$247,'DATA TABLES_Project'!$A$250:$A$285, 0)):OFFSET(INDEX('DATA TABLES_Project'!$B$250:$B$285, MATCH('DATA TABLES_Project'!$C$247,'DATA TABLES_Project'!$A$250:$A$285, 0)),BV24-1,0)),0.92*CZ24*CM24*BW24*AVERAGE(INDEX('DATA TABLES_Project'!$B$250:$B$285, MATCH('DATA TABLES_Project'!$C$247,'DATA TABLES_Project'!$A$250:$A$285, 0)):OFFSET(INDEX('DATA TABLES_Project'!$B$250:$B$285, MATCH('DATA TABLES_Project'!$C$247,'DATA TABLES_Project'!$A$250:$A$285, 0)),BW24-1,0)) + (0.92*CZ24*(BY24-AJ24)*(BV24-BW24)*AVERAGE(OFFSET(INDEX('DATA TABLES_Project'!$B$250:$B$285, MATCH('DATA TABLES_Project'!$C$247,'DATA TABLES_Project'!$A$250:$A$285, 0)),BW24,0):OFFSET(INDEX('DATA TABLES_Project'!$B$250:$B$285, MATCH('DATA TABLES_Project'!$C$247,'DATA TABLES_Project'!$A$250:$A$285, 0)),BV24-1,0))))), "")</f>
        <v/>
      </c>
      <c r="DK24" s="925" t="str">
        <f>IFERROR(IF(CB24&lt;&gt;"OK","",CO24*'DATA TABLES_Project'!$C$250),"")</f>
        <v/>
      </c>
      <c r="DL24" s="925" t="str">
        <f t="shared" ref="DL24" si="72">IFERROR(IF(CB24&lt;&gt;"OK","",CO24*DA24*0.92),"")</f>
        <v/>
      </c>
      <c r="DM24" s="925" t="str">
        <f>IFERROR(IF(CB24&lt;&gt;"OK","",CO24*'DATA TABLES_Project'!$C$250*DA24*0.92),"")</f>
        <v/>
      </c>
      <c r="DN24" s="925" t="str">
        <f t="shared" ref="DN24" si="73">IFERROR(IF(CB24&lt;&gt;"OK","",CO24*BV24),IF(BX24="Dual",(CO24*BW24)+((BZ24-AP24)*(BV24-BW24)),""))</f>
        <v/>
      </c>
      <c r="DO24" s="925" t="str">
        <f ca="1">IFERROR(IF(CB24&lt;&gt;"OK","",CO24*BV24*AVERAGE('DATA TABLES_Project'!$C$250:OFFSET('DATA TABLES_Project'!$C$250,BV24,0))),IF(BX24="Dual",(CO24*BW24*AVERAGE('DATA TABLES_Project'!$C$251:$C$259))+((BZ24-AP24)*(BV24-BW24)*AVERAGE('DATA TABLES_Project'!$C$260:$C$279)),""))</f>
        <v/>
      </c>
      <c r="DP24" s="925" t="str">
        <f t="shared" ref="DP24" si="74">IFERROR(IF(CB24&lt;&gt;"OK","",IF(BX24="Dual",((CO24*BW24)+(BZ24-AP24)*(BV24-BW24))*DA24*0.92,CO24*BV24*DA24*0.92)),"")</f>
        <v/>
      </c>
      <c r="DQ24" s="925" t="str">
        <f ca="1">IFERROR(IF(CB24&lt;&gt;"OK","",IF(BX24="Dual",(0.92*DA24*CO24*BW24*AVERAGE('DATA TABLES_Project'!$C$251:$C$259))+(0.92*DA24*(BZ24-AP24)*(BV24-BW24)*AVERAGE('DATA TABLES_Project'!$C$260:$C$279)),0.92*DA24*CO24*BV24*AVERAGE('DATA TABLES_Project'!$C$250:OFFSET('DATA TABLES_Project'!$C$250,BV24,0)))),"")</f>
        <v/>
      </c>
      <c r="DR24" s="980" t="str">
        <f>IFERROR(IF($CB24&lt;&gt;"OK","",CM24*'DATA TABLES_Project'!$B$290+IF(CO24&lt;0,0,CO24*'DATA TABLES_Project'!$B$291)),"")</f>
        <v/>
      </c>
      <c r="DS24" s="980" t="str">
        <f>IFERROR(IF($CB24&lt;&gt;"OK","",DD24*'DATA TABLES_Project'!$B$290+IF(DK24&lt;0,0,DK24*'DATA TABLES_Project'!$B$291)),"")</f>
        <v/>
      </c>
      <c r="DT24" s="980" t="str">
        <f>IFERROR(IF($CB24&lt;&gt;"OK","",DE24*'DATA TABLES_Project'!$B$290+IF(DL24&lt;0,0,DL24*'DATA TABLES_Project'!$B$291)),"")</f>
        <v/>
      </c>
      <c r="DU24" s="980" t="str">
        <f>IFERROR(IF($CB24&lt;&gt;"OK","",DF24*'DATA TABLES_Project'!$B$290+IF(DM24&lt;0,0,DM24*'DATA TABLES_Project'!$B$291)),"")</f>
        <v/>
      </c>
      <c r="DV24" s="980" t="str">
        <f>IFERROR(IF($CB24&lt;&gt;"OK","",DG24*'DATA TABLES_Project'!$B$290+IF(DN24&lt;0,0,DN24*'DATA TABLES_Project'!$B$291)),"")</f>
        <v/>
      </c>
      <c r="DW24" s="980" t="str">
        <f>IFERROR(IF($CB24&lt;&gt;"OK","",DH24*'DATA TABLES_Project'!$B$290+IF(DO24&lt;0,0,DO24*'DATA TABLES_Project'!$B$291)),"")</f>
        <v/>
      </c>
      <c r="DX24" s="980" t="str">
        <f>IFERROR(IF($CB24&lt;&gt;"OK","",DI24*'DATA TABLES_Project'!$B$290+IF(DP24&lt;0,0,DP24*'DATA TABLES_Project'!$B$291)),"")</f>
        <v/>
      </c>
      <c r="DY24" s="925" t="str">
        <f>IFERROR(IF($CB24&lt;&gt;"OK","",DJ24*'DATA TABLES_Project'!$B$290+IF(DQ24&lt;0,0,DQ24*'DATA TABLES_Project'!$B$291)),"")</f>
        <v/>
      </c>
      <c r="DZ24" s="925" t="str">
        <f t="shared" ref="DZ24" si="75">IFERROR(IF($CB24&lt;&gt;"OK","",AS24),"")</f>
        <v/>
      </c>
      <c r="EA24" s="925" t="str">
        <f>IFERROR(IF(CB24&lt;&gt;"OK","",CN24*'DATA TABLES_Project'!$B$250*CZ24*1.03),"")</f>
        <v/>
      </c>
      <c r="EB24" s="925" t="str">
        <f t="shared" ref="EB24" si="76">IFERROR(IF(CB24&lt;&gt;"OK","",CN24*CZ24*1.03),"")</f>
        <v/>
      </c>
      <c r="EC24" s="925" t="str">
        <f>IFERROR(IF(CB24&lt;&gt;"OK","",CZ24*DZ24*'DATA TABLES_Project'!$C$250*0.92),"")</f>
        <v/>
      </c>
      <c r="ED24" s="925" t="str">
        <f>IFERROR(IF(CB24&lt;&gt;"OK","",CZ24*DZ24*'DATA TABLES_Project'!$C$250*0.92),"")</f>
        <v/>
      </c>
      <c r="EE24" s="925" t="str">
        <f t="shared" ref="EE24" si="77">IFERROR(IF(CB24&lt;&gt;"OK","",CZ24*DZ24*0.92),"")</f>
        <v/>
      </c>
      <c r="EF24" s="925" t="str">
        <f t="shared" ref="EF24" si="78">IFERROR(IF(CB24&lt;&gt;"OK","",CZ24*DZ24*0.92),"")</f>
        <v/>
      </c>
      <c r="EG24" s="925" t="str">
        <f>IFERROR(IF($CB24&lt;&gt;"OK","",CM24*'DATA TABLES_Project'!$B$290+CO24*'DATA TABLES_Project'!$B$291),"")</f>
        <v/>
      </c>
      <c r="EH24" s="925" t="str">
        <f>IFERROR(IF($CB24&lt;&gt;"OK","",DD24*'DATA TABLES_Project'!$B$290+DK24*'DATA TABLES_Project'!$B$291),"")</f>
        <v/>
      </c>
      <c r="EI24" s="925" t="str">
        <f>IFERROR(IF($CB24&lt;&gt;"OK","",DE24*'DATA TABLES_Project'!$B$290+DL24*'DATA TABLES_Project'!$B$291),"")</f>
        <v/>
      </c>
      <c r="EJ24" s="925" t="str">
        <f>IFERROR(IF($CB24&lt;&gt;"OK","",DF24*'DATA TABLES_Project'!$B$290+DM24*'DATA TABLES_Project'!$B$291),"")</f>
        <v/>
      </c>
      <c r="EK24" s="925" t="str">
        <f>IFERROR(IF($CB24&lt;&gt;"OK","",DG24*'DATA TABLES_Project'!$B$290+DN24*'DATA TABLES_Project'!$B$291),"")</f>
        <v/>
      </c>
      <c r="EL24" s="925" t="str">
        <f>IFERROR(IF($CB24&lt;&gt;"OK","",DH24*'DATA TABLES_Project'!$B$290+DO24*'DATA TABLES_Project'!$B$291),"")</f>
        <v/>
      </c>
      <c r="EM24" s="925" t="str">
        <f>IFERROR(IF($CB24&lt;&gt;"OK","",DI24*'DATA TABLES_Project'!$B$290+DP24*'DATA TABLES_Project'!$B$291),"")</f>
        <v/>
      </c>
      <c r="EN24" s="925" t="str">
        <f>IFERROR(IF($CB24&lt;&gt;"OK","",DJ24*'DATA TABLES_Project'!$B$290+DQ24*'DATA TABLES_Project'!$B$291),"")</f>
        <v/>
      </c>
    </row>
    <row r="25" spans="1:144" ht="16.350000000000001" customHeight="1">
      <c r="A25" s="462"/>
      <c r="B25" s="994"/>
      <c r="C25" s="998"/>
      <c r="D25" s="999"/>
      <c r="E25" s="1000"/>
      <c r="F25" s="964"/>
      <c r="G25" s="965"/>
      <c r="H25" s="965"/>
      <c r="I25" s="965"/>
      <c r="J25" s="965"/>
      <c r="K25" s="966"/>
      <c r="L25" s="964"/>
      <c r="M25" s="965"/>
      <c r="N25" s="965"/>
      <c r="O25" s="965"/>
      <c r="P25" s="965"/>
      <c r="Q25" s="966"/>
      <c r="R25" s="1044"/>
      <c r="S25" s="1044"/>
      <c r="T25" s="1044"/>
      <c r="U25" s="1044"/>
      <c r="V25" s="1044"/>
      <c r="W25" s="1044"/>
      <c r="X25" s="1045"/>
      <c r="Y25" s="1045"/>
      <c r="Z25" s="1045"/>
      <c r="AA25" s="1045"/>
      <c r="AB25" s="1045"/>
      <c r="AC25" s="1045"/>
      <c r="AD25" s="964"/>
      <c r="AE25" s="965"/>
      <c r="AF25" s="965"/>
      <c r="AG25" s="965"/>
      <c r="AH25" s="965"/>
      <c r="AI25" s="966"/>
      <c r="AJ25" s="952"/>
      <c r="AK25" s="953"/>
      <c r="AL25" s="954"/>
      <c r="AM25" s="952"/>
      <c r="AN25" s="953"/>
      <c r="AO25" s="954"/>
      <c r="AP25" s="958"/>
      <c r="AQ25" s="959"/>
      <c r="AR25" s="960"/>
      <c r="AS25" s="958"/>
      <c r="AT25" s="959"/>
      <c r="AU25" s="960"/>
      <c r="AV25" s="968"/>
      <c r="AW25" s="969"/>
      <c r="AX25" s="969"/>
      <c r="AY25" s="969"/>
      <c r="AZ25" s="969"/>
      <c r="BA25" s="970"/>
      <c r="BB25" s="947"/>
      <c r="BC25" s="948"/>
      <c r="BD25" s="947"/>
      <c r="BE25" s="948"/>
      <c r="BF25" s="931"/>
      <c r="BG25" s="932"/>
      <c r="BH25" s="974"/>
      <c r="BI25" s="975"/>
      <c r="BJ25" s="976"/>
      <c r="BK25" s="936"/>
      <c r="BL25" s="937"/>
      <c r="BM25" s="938"/>
      <c r="BN25" s="942"/>
      <c r="BO25" s="943"/>
      <c r="BP25" s="944"/>
      <c r="BS25" s="967"/>
      <c r="BT25" s="967"/>
      <c r="BV25" s="926"/>
      <c r="BW25" s="926"/>
      <c r="BX25" s="926"/>
      <c r="BY25" s="927"/>
      <c r="BZ25" s="928"/>
      <c r="CB25" s="986"/>
      <c r="CC25" s="925"/>
      <c r="CD25" s="925"/>
      <c r="CE25" s="925"/>
      <c r="CF25" s="925"/>
      <c r="CG25" s="925"/>
      <c r="CH25" s="925"/>
      <c r="CI25" s="925"/>
      <c r="CJ25" s="977"/>
      <c r="CK25" s="977"/>
      <c r="CL25" s="977"/>
      <c r="CM25" s="977"/>
      <c r="CN25" s="977"/>
      <c r="CO25" s="977"/>
      <c r="CP25" s="977"/>
      <c r="CQ25" s="977"/>
      <c r="CR25" s="977"/>
      <c r="CS25" s="983"/>
      <c r="CT25" s="982"/>
      <c r="CU25" s="979"/>
      <c r="CV25" s="925"/>
      <c r="CW25" s="925"/>
      <c r="CX25" s="925"/>
      <c r="CY25" s="925"/>
      <c r="CZ25" s="925"/>
      <c r="DA25" s="925"/>
      <c r="DD25" s="981"/>
      <c r="DE25" s="925"/>
      <c r="DF25" s="981"/>
      <c r="DG25" s="925"/>
      <c r="DH25" s="925"/>
      <c r="DI25" s="925"/>
      <c r="DJ25" s="925"/>
      <c r="DK25" s="925"/>
      <c r="DL25" s="925"/>
      <c r="DM25" s="925"/>
      <c r="DN25" s="925"/>
      <c r="DO25" s="925"/>
      <c r="DP25" s="925"/>
      <c r="DQ25" s="925"/>
      <c r="DR25" s="981"/>
      <c r="DS25" s="981"/>
      <c r="DT25" s="981"/>
      <c r="DU25" s="981"/>
      <c r="DV25" s="981"/>
      <c r="DW25" s="981"/>
      <c r="DX25" s="981"/>
      <c r="DY25" s="925"/>
      <c r="DZ25" s="925"/>
      <c r="EA25" s="925"/>
      <c r="EB25" s="925"/>
      <c r="EC25" s="925"/>
      <c r="ED25" s="925"/>
      <c r="EE25" s="925"/>
      <c r="EF25" s="925"/>
      <c r="EG25" s="925"/>
      <c r="EH25" s="925"/>
      <c r="EI25" s="925"/>
      <c r="EJ25" s="925"/>
      <c r="EK25" s="925"/>
      <c r="EL25" s="925"/>
      <c r="EM25" s="925"/>
      <c r="EN25" s="925"/>
    </row>
    <row r="26" spans="1:144" ht="16.350000000000001" customHeight="1">
      <c r="A26" s="462"/>
      <c r="B26" s="994">
        <v>5</v>
      </c>
      <c r="C26" s="995"/>
      <c r="D26" s="996"/>
      <c r="E26" s="997"/>
      <c r="F26" s="961"/>
      <c r="G26" s="962"/>
      <c r="H26" s="962"/>
      <c r="I26" s="962"/>
      <c r="J26" s="962"/>
      <c r="K26" s="963"/>
      <c r="L26" s="961"/>
      <c r="M26" s="962"/>
      <c r="N26" s="962"/>
      <c r="O26" s="962"/>
      <c r="P26" s="962"/>
      <c r="Q26" s="963"/>
      <c r="R26" s="1044"/>
      <c r="S26" s="1044"/>
      <c r="T26" s="1044"/>
      <c r="U26" s="1044"/>
      <c r="V26" s="1044"/>
      <c r="W26" s="1044"/>
      <c r="X26" s="1045"/>
      <c r="Y26" s="1045"/>
      <c r="Z26" s="1045"/>
      <c r="AA26" s="1045"/>
      <c r="AB26" s="1045"/>
      <c r="AC26" s="1045"/>
      <c r="AD26" s="961"/>
      <c r="AE26" s="962"/>
      <c r="AF26" s="962"/>
      <c r="AG26" s="962"/>
      <c r="AH26" s="962"/>
      <c r="AI26" s="963"/>
      <c r="AJ26" s="949"/>
      <c r="AK26" s="950"/>
      <c r="AL26" s="951"/>
      <c r="AM26" s="949"/>
      <c r="AN26" s="950"/>
      <c r="AO26" s="951"/>
      <c r="AP26" s="955"/>
      <c r="AQ26" s="956"/>
      <c r="AR26" s="957"/>
      <c r="AS26" s="955"/>
      <c r="AT26" s="956"/>
      <c r="AU26" s="957"/>
      <c r="AV26" s="968"/>
      <c r="AW26" s="969"/>
      <c r="AX26" s="970"/>
      <c r="AY26" s="968"/>
      <c r="AZ26" s="969"/>
      <c r="BA26" s="970"/>
      <c r="BB26" s="945"/>
      <c r="BC26" s="946"/>
      <c r="BD26" s="945"/>
      <c r="BE26" s="946"/>
      <c r="BF26" s="929" t="str">
        <f>IF(CB26="OK",ROUND(BB26+BD26,2),"")</f>
        <v/>
      </c>
      <c r="BG26" s="930"/>
      <c r="BH26" s="971" t="str">
        <f t="shared" ref="BH26" si="79">IFERROR(IF(AND($CB26="OK",$CU26="OK"),$CI26,IF($CB26&lt;&gt;"OK",$CB26,$CU26)),"")</f>
        <v/>
      </c>
      <c r="BI26" s="972"/>
      <c r="BJ26" s="973"/>
      <c r="BK26" s="933" t="str">
        <f t="shared" ref="BK26" si="80">IF($CB26="OK",CM26,"")</f>
        <v/>
      </c>
      <c r="BL26" s="934"/>
      <c r="BM26" s="935"/>
      <c r="BN26" s="939" t="str">
        <f t="shared" ref="BN26" si="81">IF($CB26="OK",$CR26,"")</f>
        <v/>
      </c>
      <c r="BO26" s="940"/>
      <c r="BP26" s="941"/>
      <c r="BS26" s="967"/>
      <c r="BT26" s="967"/>
      <c r="BV26" s="926" t="str">
        <f t="shared" ref="BV26" si="82">IFERROR(ROUND(IF(AND(CB26="OK",CU26="OK"),CT26,""),0),"")</f>
        <v/>
      </c>
      <c r="BW26" s="926" t="str">
        <f t="shared" ref="BW26" si="83">IFERROR(ROUND(IF(AND(CB26="OK",CU26="OK"),BV26/3,""),0),"")</f>
        <v/>
      </c>
      <c r="BX26" s="926"/>
      <c r="BY26" s="927"/>
      <c r="BZ26" s="928"/>
      <c r="CB26" s="986" t="str">
        <f>IF(AND(C26="",F26="",R26="",AD26="",U26="",X26="",L26="",AJ26="",AV26="",AM26="",AP26="",AY26="",AV27="",BB26="",BD26="",AA26="",AS26=""),"",
IF(OR(C26="",F26="",R26="",AD26="",U26="",X26="",L26="",AJ26="",AV26="",AM26="",AP26="",AY26="",AV27="",BB26="",BD26="",AA26="",AS26=""),"Missing Fields",
IF(AND(M02S04F04disp="Required",M02S04F04=""),"TA Info Incomplete",
"OK")))</f>
        <v/>
      </c>
      <c r="CC26" s="925" t="str">
        <f>IF(AND(CB26="OK",CU26="OK"),INDEX(Tbl_Cust_Heat[Measure Number], MATCH(F26,Tbl_Cust_Heat[Proj Desc 1],0)),"")</f>
        <v/>
      </c>
      <c r="CD26" s="925"/>
      <c r="CE26" s="925" t="str">
        <f t="shared" ref="CE26" si="84">IF(CB26="OK","Measure","")</f>
        <v/>
      </c>
      <c r="CF26" s="925" t="str">
        <f t="shared" ref="CF26" si="85">IF(CB26="OK",1,"")</f>
        <v/>
      </c>
      <c r="CG26" s="978" t="str">
        <f t="shared" ref="CG26" si="86">IFERROR(CI26/CF26,"")</f>
        <v/>
      </c>
      <c r="CH26" s="978" t="str">
        <f>IF(CB26="OK",IF(CM26&gt;0,CM26*Incent_Rate_kWh,0)+IF(CO26&gt;0,CO26*Incent_Rate_thm,0),"")</f>
        <v/>
      </c>
      <c r="CI26" s="978" t="str">
        <f>IFERROR(IF($CB26="OK",IF(INCENTTOCOST_CUST&gt;CostCap_Cust,
CH26*CostCap_Cust/INCENTTOCOST_CUST,CH26),""),"")</f>
        <v/>
      </c>
      <c r="CJ26" s="977">
        <f t="shared" ref="CJ26" si="87">CM26</f>
        <v>0</v>
      </c>
      <c r="CK26" s="977">
        <f t="shared" ref="CK26" si="88">CN26</f>
        <v>0</v>
      </c>
      <c r="CL26" s="977">
        <f t="shared" ref="CL26" si="89">CO26</f>
        <v>0</v>
      </c>
      <c r="CM26" s="977">
        <f>R26-AJ26</f>
        <v>0</v>
      </c>
      <c r="CN26" s="977">
        <f>U26-AM26</f>
        <v>0</v>
      </c>
      <c r="CO26" s="977">
        <f t="shared" ref="CO26" si="90">IF(CR26&gt;0,CR26,0)</f>
        <v>0</v>
      </c>
      <c r="CP26" s="977">
        <f t="shared" ref="CP26" si="91">CM26</f>
        <v>0</v>
      </c>
      <c r="CQ26" s="977">
        <f t="shared" ref="CQ26" si="92">CN26</f>
        <v>0</v>
      </c>
      <c r="CR26" s="977">
        <f>X26-AP26</f>
        <v>0</v>
      </c>
      <c r="CS26" s="983"/>
      <c r="CT26" s="982" t="str">
        <f>IF(CB26="OK",INDEX(Tbl_Cust_Heat[EUL], MATCH(F26,Tbl_Cust_Heat[Proj Desc 1],0)),"")</f>
        <v/>
      </c>
      <c r="CU26" s="979" t="str">
        <f t="shared" ref="CU26" si="93">IFERROR(IF(AND($CM26&lt;=0,$CN26&lt;=0,$CO26&lt;=0),"No Savings","OK"),"")</f>
        <v>No Savings</v>
      </c>
      <c r="CV26" s="925" t="str">
        <f t="shared" ref="CV26" si="94">IF(AND(CB26="OK",CU26="OK"),"1","")</f>
        <v/>
      </c>
      <c r="CW26" s="925" t="str">
        <f>IFERROR(IF($CB26="OK",ROUND($AQ$14*SUM(BB26:BE27)/SUM($BF$18:$BG$37),2),""),"")</f>
        <v/>
      </c>
      <c r="CX26" s="925" t="str">
        <f>IFERROR(IF(M02S04F04="Customer/Self-Installed",CW26,IF($CB26="OK",CW26+BD26,"")),"")</f>
        <v/>
      </c>
      <c r="CY26" s="925" t="str">
        <f>IFERROR(IF($CB26="OK",CX26+BB26,""),"")</f>
        <v/>
      </c>
      <c r="CZ26" s="925" t="str">
        <f>IF(CB26="OK",INDEX(MEASURES3_M!$O$24, MATCH(F26,MEASURES3_M!$C$24,0)),"")</f>
        <v/>
      </c>
      <c r="DA26" s="925" t="str">
        <f>IF(CB26="OK",INDEX(MEASURES3_M!$P$24, MATCH(F26,MEASURES3_M!$C$24,0)),"")</f>
        <v/>
      </c>
      <c r="DD26" s="980" t="str">
        <f>IFERROR(IF(CB26&lt;&gt;"OK","",CM26*VLOOKUP('DATA TABLES_Project'!$C$247,'DATA TABLES_Project'!$A$250:$B$285,2,FALSE)),"")</f>
        <v/>
      </c>
      <c r="DE26" s="925" t="str">
        <f t="shared" ref="DE26" si="95">IFERROR(IF(CB26&lt;&gt;"OK","",CM26*CZ26*0.92),"")</f>
        <v/>
      </c>
      <c r="DF26" s="980" t="str">
        <f>IFERROR(IF(CB26&lt;&gt;"OK","",CM26*CZ26*0.92*VLOOKUP('DATA TABLES_Project'!$C$247,'DATA TABLES_Project'!$A$250:$B$285,2,FALSE)),"")</f>
        <v/>
      </c>
      <c r="DG26" s="925" t="str">
        <f t="shared" ref="DG26" si="96">IFERROR(IF(CB26&lt;&gt;"OK","",CM26*BV26),IF(BX26="Dual",(CM26*BW26)+((BY26-AJ26)*(BV26-BW26)),""))</f>
        <v/>
      </c>
      <c r="DH26" s="925" t="str">
        <f ca="1">IFERROR(IF(CB26&lt;&gt;"OK","",IF(OR(BX26="Single",BX26=""), CM26*BV26*AVERAGE(INDEX('DATA TABLES_Project'!$B$250:$B$285, MATCH('DATA TABLES_Project'!$C$247,'DATA TABLES_Project'!$A$250:$A$285, 0)):OFFSET(INDEX('DATA TABLES_Project'!$B$250:$B$285, MATCH('DATA TABLES_Project'!$C$247,'DATA TABLES_Project'!$A$250:$A$285, 0)),BV26-1,0)),CM26*BW26*AVERAGE(INDEX('DATA TABLES_Project'!$B$250:$B$285, MATCH('DATA TABLES_Project'!$C$247,'DATA TABLES_Project'!$A$250:$A$285, 0)):OFFSET(INDEX('DATA TABLES_Project'!$B$250:$B$285, MATCH('DATA TABLES_Project'!$C$247,'DATA TABLES_Project'!$A$250:$A$285, 0)),BW26-1,0)) + ((BY26-AJ26)*(BV26-BW26)*AVERAGE(OFFSET(INDEX('DATA TABLES_Project'!$B$250:$B$285, MATCH('DATA TABLES_Project'!$C$247,'DATA TABLES_Project'!$A$250:$A$285, 0)),BW26,0):OFFSET(INDEX('DATA TABLES_Project'!$B$250:$B$285, MATCH('DATA TABLES_Project'!$C$247,'DATA TABLES_Project'!$A$250:$A$285, 0)),BV26-1,0))))), "")</f>
        <v/>
      </c>
      <c r="DI26" s="925" t="str">
        <f t="shared" ref="DI26" si="97">IFERROR(IF(CB26&lt;&gt;"OK","",IF(BX26="Dual",(CM26*BW26)+((BY26-AJ26)*(BV26-BW26))*CZ26*0.92,CM26*CZ26*BV26*0.92)),"")</f>
        <v/>
      </c>
      <c r="DJ26" s="925" t="str">
        <f ca="1">IFERROR(IF(CB26&lt;&gt;"OK","",IF(OR(BX26="Single",BX26=""),0.92*CZ26*CM26*BV26*AVERAGE(INDEX('DATA TABLES_Project'!$B$250:$B$285, MATCH('DATA TABLES_Project'!$C$247,'DATA TABLES_Project'!$A$250:$A$285, 0)):OFFSET(INDEX('DATA TABLES_Project'!$B$250:$B$285, MATCH('DATA TABLES_Project'!$C$247,'DATA TABLES_Project'!$A$250:$A$285, 0)),BV26-1,0)),0.92*CZ26*CM26*BW26*AVERAGE(INDEX('DATA TABLES_Project'!$B$250:$B$285, MATCH('DATA TABLES_Project'!$C$247,'DATA TABLES_Project'!$A$250:$A$285, 0)):OFFSET(INDEX('DATA TABLES_Project'!$B$250:$B$285, MATCH('DATA TABLES_Project'!$C$247,'DATA TABLES_Project'!$A$250:$A$285, 0)),BW26-1,0)) + (0.92*CZ26*(BY26-AJ26)*(BV26-BW26)*AVERAGE(OFFSET(INDEX('DATA TABLES_Project'!$B$250:$B$285, MATCH('DATA TABLES_Project'!$C$247,'DATA TABLES_Project'!$A$250:$A$285, 0)),BW26,0):OFFSET(INDEX('DATA TABLES_Project'!$B$250:$B$285, MATCH('DATA TABLES_Project'!$C$247,'DATA TABLES_Project'!$A$250:$A$285, 0)),BV26-1,0))))), "")</f>
        <v/>
      </c>
      <c r="DK26" s="925" t="str">
        <f>IFERROR(IF(CB26&lt;&gt;"OK","",CO26*'DATA TABLES_Project'!$C$250),"")</f>
        <v/>
      </c>
      <c r="DL26" s="925" t="str">
        <f t="shared" ref="DL26" si="98">IFERROR(IF(CB26&lt;&gt;"OK","",CO26*DA26*0.92),"")</f>
        <v/>
      </c>
      <c r="DM26" s="925" t="str">
        <f>IFERROR(IF(CB26&lt;&gt;"OK","",CO26*'DATA TABLES_Project'!$C$250*DA26*0.92),"")</f>
        <v/>
      </c>
      <c r="DN26" s="925" t="str">
        <f t="shared" ref="DN26" si="99">IFERROR(IF(CB26&lt;&gt;"OK","",CO26*BV26),IF(BX26="Dual",(CO26*BW26)+((BZ26-AP26)*(BV26-BW26)),""))</f>
        <v/>
      </c>
      <c r="DO26" s="925" t="str">
        <f ca="1">IFERROR(IF(CB26&lt;&gt;"OK","",CO26*BV26*AVERAGE('DATA TABLES_Project'!$C$250:OFFSET('DATA TABLES_Project'!$C$250,BV26,0))),IF(BX26="Dual",(CO26*BW26*AVERAGE('DATA TABLES_Project'!$C$251:$C$259))+((BZ26-AP26)*(BV26-BW26)*AVERAGE('DATA TABLES_Project'!$C$260:$C$279)),""))</f>
        <v/>
      </c>
      <c r="DP26" s="925" t="str">
        <f t="shared" ref="DP26" si="100">IFERROR(IF(CB26&lt;&gt;"OK","",IF(BX26="Dual",((CO26*BW26)+(BZ26-AP26)*(BV26-BW26))*DA26*0.92,CO26*BV26*DA26*0.92)),"")</f>
        <v/>
      </c>
      <c r="DQ26" s="925" t="str">
        <f ca="1">IFERROR(IF(CB26&lt;&gt;"OK","",IF(BX26="Dual",(0.92*DA26*CO26*BW26*AVERAGE('DATA TABLES_Project'!$C$251:$C$259))+(0.92*DA26*(BZ26-AP26)*(BV26-BW26)*AVERAGE('DATA TABLES_Project'!$C$260:$C$279)),0.92*DA26*CO26*BV26*AVERAGE('DATA TABLES_Project'!$C$250:OFFSET('DATA TABLES_Project'!$C$250,BV26,0)))),"")</f>
        <v/>
      </c>
      <c r="DR26" s="980" t="str">
        <f>IFERROR(IF($CB26&lt;&gt;"OK","",CM26*'DATA TABLES_Project'!$B$290+IF(CO26&lt;0,0,CO26*'DATA TABLES_Project'!$B$291)),"")</f>
        <v/>
      </c>
      <c r="DS26" s="980" t="str">
        <f>IFERROR(IF($CB26&lt;&gt;"OK","",DD26*'DATA TABLES_Project'!$B$290+IF(DK26&lt;0,0,DK26*'DATA TABLES_Project'!$B$291)),"")</f>
        <v/>
      </c>
      <c r="DT26" s="980" t="str">
        <f>IFERROR(IF($CB26&lt;&gt;"OK","",DE26*'DATA TABLES_Project'!$B$290+IF(DL26&lt;0,0,DL26*'DATA TABLES_Project'!$B$291)),"")</f>
        <v/>
      </c>
      <c r="DU26" s="980" t="str">
        <f>IFERROR(IF($CB26&lt;&gt;"OK","",DF26*'DATA TABLES_Project'!$B$290+IF(DM26&lt;0,0,DM26*'DATA TABLES_Project'!$B$291)),"")</f>
        <v/>
      </c>
      <c r="DV26" s="980" t="str">
        <f>IFERROR(IF($CB26&lt;&gt;"OK","",DG26*'DATA TABLES_Project'!$B$290+IF(DN26&lt;0,0,DN26*'DATA TABLES_Project'!$B$291)),"")</f>
        <v/>
      </c>
      <c r="DW26" s="980" t="str">
        <f>IFERROR(IF($CB26&lt;&gt;"OK","",DH26*'DATA TABLES_Project'!$B$290+IF(DO26&lt;0,0,DO26*'DATA TABLES_Project'!$B$291)),"")</f>
        <v/>
      </c>
      <c r="DX26" s="980" t="str">
        <f>IFERROR(IF($CB26&lt;&gt;"OK","",DI26*'DATA TABLES_Project'!$B$290+IF(DP26&lt;0,0,DP26*'DATA TABLES_Project'!$B$291)),"")</f>
        <v/>
      </c>
      <c r="DY26" s="925" t="str">
        <f>IFERROR(IF($CB26&lt;&gt;"OK","",DJ26*'DATA TABLES_Project'!$B$290+IF(DQ26&lt;0,0,DQ26*'DATA TABLES_Project'!$B$291)),"")</f>
        <v/>
      </c>
      <c r="DZ26" s="925" t="str">
        <f t="shared" ref="DZ26" si="101">IFERROR(IF($CB26&lt;&gt;"OK","",AS26),"")</f>
        <v/>
      </c>
      <c r="EA26" s="925" t="str">
        <f>IFERROR(IF(CB26&lt;&gt;"OK","",CN26*'DATA TABLES_Project'!$B$250*CZ26*1.03),"")</f>
        <v/>
      </c>
      <c r="EB26" s="925" t="str">
        <f t="shared" ref="EB26" si="102">IFERROR(IF(CB26&lt;&gt;"OK","",CN26*CZ26*1.03),"")</f>
        <v/>
      </c>
      <c r="EC26" s="925" t="str">
        <f>IFERROR(IF(CB26&lt;&gt;"OK","",CZ26*DZ26*'DATA TABLES_Project'!$C$250*0.92),"")</f>
        <v/>
      </c>
      <c r="ED26" s="925" t="str">
        <f>IFERROR(IF(CB26&lt;&gt;"OK","",CZ26*DZ26*'DATA TABLES_Project'!$C$250*0.92),"")</f>
        <v/>
      </c>
      <c r="EE26" s="925" t="str">
        <f t="shared" ref="EE26" si="103">IFERROR(IF(CB26&lt;&gt;"OK","",CZ26*DZ26*0.92),"")</f>
        <v/>
      </c>
      <c r="EF26" s="925" t="str">
        <f t="shared" ref="EF26" si="104">IFERROR(IF(CB26&lt;&gt;"OK","",CZ26*DZ26*0.92),"")</f>
        <v/>
      </c>
      <c r="EG26" s="925" t="str">
        <f>IFERROR(IF($CB26&lt;&gt;"OK","",CM26*'DATA TABLES_Project'!$B$290+CO26*'DATA TABLES_Project'!$B$291),"")</f>
        <v/>
      </c>
      <c r="EH26" s="925" t="str">
        <f>IFERROR(IF($CB26&lt;&gt;"OK","",DD26*'DATA TABLES_Project'!$B$290+DK26*'DATA TABLES_Project'!$B$291),"")</f>
        <v/>
      </c>
      <c r="EI26" s="925" t="str">
        <f>IFERROR(IF($CB26&lt;&gt;"OK","",DE26*'DATA TABLES_Project'!$B$290+DL26*'DATA TABLES_Project'!$B$291),"")</f>
        <v/>
      </c>
      <c r="EJ26" s="925" t="str">
        <f>IFERROR(IF($CB26&lt;&gt;"OK","",DF26*'DATA TABLES_Project'!$B$290+DM26*'DATA TABLES_Project'!$B$291),"")</f>
        <v/>
      </c>
      <c r="EK26" s="925" t="str">
        <f>IFERROR(IF($CB26&lt;&gt;"OK","",DG26*'DATA TABLES_Project'!$B$290+DN26*'DATA TABLES_Project'!$B$291),"")</f>
        <v/>
      </c>
      <c r="EL26" s="925" t="str">
        <f>IFERROR(IF($CB26&lt;&gt;"OK","",DH26*'DATA TABLES_Project'!$B$290+DO26*'DATA TABLES_Project'!$B$291),"")</f>
        <v/>
      </c>
      <c r="EM26" s="925" t="str">
        <f>IFERROR(IF($CB26&lt;&gt;"OK","",DI26*'DATA TABLES_Project'!$B$290+DP26*'DATA TABLES_Project'!$B$291),"")</f>
        <v/>
      </c>
      <c r="EN26" s="925" t="str">
        <f>IFERROR(IF($CB26&lt;&gt;"OK","",DJ26*'DATA TABLES_Project'!$B$290+DQ26*'DATA TABLES_Project'!$B$291),"")</f>
        <v/>
      </c>
    </row>
    <row r="27" spans="1:144" ht="16.350000000000001" customHeight="1">
      <c r="A27" s="462"/>
      <c r="B27" s="994"/>
      <c r="C27" s="998"/>
      <c r="D27" s="999"/>
      <c r="E27" s="1000"/>
      <c r="F27" s="964"/>
      <c r="G27" s="965"/>
      <c r="H27" s="965"/>
      <c r="I27" s="965"/>
      <c r="J27" s="965"/>
      <c r="K27" s="966"/>
      <c r="L27" s="964"/>
      <c r="M27" s="965"/>
      <c r="N27" s="965"/>
      <c r="O27" s="965"/>
      <c r="P27" s="965"/>
      <c r="Q27" s="966"/>
      <c r="R27" s="1044"/>
      <c r="S27" s="1044"/>
      <c r="T27" s="1044"/>
      <c r="U27" s="1044"/>
      <c r="V27" s="1044"/>
      <c r="W27" s="1044"/>
      <c r="X27" s="1045"/>
      <c r="Y27" s="1045"/>
      <c r="Z27" s="1045"/>
      <c r="AA27" s="1045"/>
      <c r="AB27" s="1045"/>
      <c r="AC27" s="1045"/>
      <c r="AD27" s="964"/>
      <c r="AE27" s="965"/>
      <c r="AF27" s="965"/>
      <c r="AG27" s="965"/>
      <c r="AH27" s="965"/>
      <c r="AI27" s="966"/>
      <c r="AJ27" s="952"/>
      <c r="AK27" s="953"/>
      <c r="AL27" s="954"/>
      <c r="AM27" s="952"/>
      <c r="AN27" s="953"/>
      <c r="AO27" s="954"/>
      <c r="AP27" s="958"/>
      <c r="AQ27" s="959"/>
      <c r="AR27" s="960"/>
      <c r="AS27" s="958"/>
      <c r="AT27" s="959"/>
      <c r="AU27" s="960"/>
      <c r="AV27" s="968"/>
      <c r="AW27" s="969"/>
      <c r="AX27" s="969"/>
      <c r="AY27" s="969"/>
      <c r="AZ27" s="969"/>
      <c r="BA27" s="970"/>
      <c r="BB27" s="947"/>
      <c r="BC27" s="948"/>
      <c r="BD27" s="947"/>
      <c r="BE27" s="948"/>
      <c r="BF27" s="931"/>
      <c r="BG27" s="932"/>
      <c r="BH27" s="974"/>
      <c r="BI27" s="975"/>
      <c r="BJ27" s="976"/>
      <c r="BK27" s="936"/>
      <c r="BL27" s="937"/>
      <c r="BM27" s="938"/>
      <c r="BN27" s="942"/>
      <c r="BO27" s="943"/>
      <c r="BP27" s="944"/>
      <c r="BS27" s="967"/>
      <c r="BT27" s="967"/>
      <c r="BV27" s="926"/>
      <c r="BW27" s="926"/>
      <c r="BX27" s="926"/>
      <c r="BY27" s="927"/>
      <c r="BZ27" s="928"/>
      <c r="CB27" s="986"/>
      <c r="CC27" s="925"/>
      <c r="CD27" s="925"/>
      <c r="CE27" s="925"/>
      <c r="CF27" s="925"/>
      <c r="CG27" s="925"/>
      <c r="CH27" s="925"/>
      <c r="CI27" s="925"/>
      <c r="CJ27" s="977"/>
      <c r="CK27" s="977"/>
      <c r="CL27" s="977"/>
      <c r="CM27" s="977"/>
      <c r="CN27" s="977"/>
      <c r="CO27" s="977"/>
      <c r="CP27" s="977"/>
      <c r="CQ27" s="977"/>
      <c r="CR27" s="977"/>
      <c r="CS27" s="983"/>
      <c r="CT27" s="982"/>
      <c r="CU27" s="979"/>
      <c r="CV27" s="925"/>
      <c r="CW27" s="925"/>
      <c r="CX27" s="925"/>
      <c r="CY27" s="925"/>
      <c r="CZ27" s="925"/>
      <c r="DA27" s="925"/>
      <c r="DD27" s="981"/>
      <c r="DE27" s="925"/>
      <c r="DF27" s="981"/>
      <c r="DG27" s="925"/>
      <c r="DH27" s="925"/>
      <c r="DI27" s="925"/>
      <c r="DJ27" s="925"/>
      <c r="DK27" s="925"/>
      <c r="DL27" s="925"/>
      <c r="DM27" s="925"/>
      <c r="DN27" s="925"/>
      <c r="DO27" s="925"/>
      <c r="DP27" s="925"/>
      <c r="DQ27" s="925"/>
      <c r="DR27" s="981"/>
      <c r="DS27" s="981"/>
      <c r="DT27" s="981"/>
      <c r="DU27" s="981"/>
      <c r="DV27" s="981"/>
      <c r="DW27" s="981"/>
      <c r="DX27" s="981"/>
      <c r="DY27" s="925"/>
      <c r="DZ27" s="925"/>
      <c r="EA27" s="925"/>
      <c r="EB27" s="925"/>
      <c r="EC27" s="925"/>
      <c r="ED27" s="925"/>
      <c r="EE27" s="925"/>
      <c r="EF27" s="925"/>
      <c r="EG27" s="925"/>
      <c r="EH27" s="925"/>
      <c r="EI27" s="925"/>
      <c r="EJ27" s="925"/>
      <c r="EK27" s="925"/>
      <c r="EL27" s="925"/>
      <c r="EM27" s="925"/>
      <c r="EN27" s="925"/>
    </row>
    <row r="28" spans="1:144" ht="16.350000000000001" customHeight="1">
      <c r="A28" s="462"/>
      <c r="B28" s="994">
        <v>6</v>
      </c>
      <c r="C28" s="995"/>
      <c r="D28" s="996"/>
      <c r="E28" s="997"/>
      <c r="F28" s="961"/>
      <c r="G28" s="962"/>
      <c r="H28" s="962"/>
      <c r="I28" s="962"/>
      <c r="J28" s="962"/>
      <c r="K28" s="963"/>
      <c r="L28" s="961"/>
      <c r="M28" s="962"/>
      <c r="N28" s="962"/>
      <c r="O28" s="962"/>
      <c r="P28" s="962"/>
      <c r="Q28" s="963"/>
      <c r="R28" s="1044"/>
      <c r="S28" s="1044"/>
      <c r="T28" s="1044"/>
      <c r="U28" s="1044"/>
      <c r="V28" s="1044"/>
      <c r="W28" s="1044"/>
      <c r="X28" s="1045"/>
      <c r="Y28" s="1045"/>
      <c r="Z28" s="1045"/>
      <c r="AA28" s="1045"/>
      <c r="AB28" s="1045"/>
      <c r="AC28" s="1045"/>
      <c r="AD28" s="961"/>
      <c r="AE28" s="962"/>
      <c r="AF28" s="962"/>
      <c r="AG28" s="962"/>
      <c r="AH28" s="962"/>
      <c r="AI28" s="963"/>
      <c r="AJ28" s="949"/>
      <c r="AK28" s="950"/>
      <c r="AL28" s="951"/>
      <c r="AM28" s="949"/>
      <c r="AN28" s="950"/>
      <c r="AO28" s="951"/>
      <c r="AP28" s="955"/>
      <c r="AQ28" s="956"/>
      <c r="AR28" s="957"/>
      <c r="AS28" s="955"/>
      <c r="AT28" s="956"/>
      <c r="AU28" s="957"/>
      <c r="AV28" s="968"/>
      <c r="AW28" s="969"/>
      <c r="AX28" s="970"/>
      <c r="AY28" s="968"/>
      <c r="AZ28" s="969"/>
      <c r="BA28" s="970"/>
      <c r="BB28" s="945"/>
      <c r="BC28" s="946"/>
      <c r="BD28" s="945"/>
      <c r="BE28" s="946"/>
      <c r="BF28" s="929" t="str">
        <f>IF(CB28="OK",ROUND(BB28+BD28,2),"")</f>
        <v/>
      </c>
      <c r="BG28" s="930"/>
      <c r="BH28" s="971" t="str">
        <f t="shared" ref="BH28" si="105">IFERROR(IF(AND($CB28="OK",$CU28="OK"),$CI28,IF($CB28&lt;&gt;"OK",$CB28,$CU28)),"")</f>
        <v/>
      </c>
      <c r="BI28" s="972"/>
      <c r="BJ28" s="973"/>
      <c r="BK28" s="933" t="str">
        <f t="shared" ref="BK28" si="106">IF($CB28="OK",CM28,"")</f>
        <v/>
      </c>
      <c r="BL28" s="934"/>
      <c r="BM28" s="935"/>
      <c r="BN28" s="939" t="str">
        <f t="shared" ref="BN28" si="107">IF($CB28="OK",$CR28,"")</f>
        <v/>
      </c>
      <c r="BO28" s="940"/>
      <c r="BP28" s="941"/>
      <c r="BS28" s="967"/>
      <c r="BT28" s="967"/>
      <c r="BV28" s="926" t="str">
        <f t="shared" ref="BV28" si="108">IFERROR(ROUND(IF(AND(CB28="OK",CU28="OK"),CT28,""),0),"")</f>
        <v/>
      </c>
      <c r="BW28" s="926" t="str">
        <f t="shared" ref="BW28" si="109">IFERROR(ROUND(IF(AND(CB28="OK",CU28="OK"),BV28/3,""),0),"")</f>
        <v/>
      </c>
      <c r="BX28" s="926"/>
      <c r="BY28" s="927"/>
      <c r="BZ28" s="928"/>
      <c r="CB28" s="986" t="str">
        <f>IF(AND(C28="",F28="",R28="",AD28="",U28="",X28="",L28="",AJ28="",AV28="",AM28="",AP28="",AY28="",AV29="",BB28="",BD28="",AA28="",AS28=""),"",
IF(OR(C28="",F28="",R28="",AD28="",U28="",X28="",L28="",AJ28="",AV28="",AM28="",AP28="",AY28="",AV29="",BB28="",BD28="",AA28="",AS28=""),"Missing Fields",
IF(AND(M02S04F04disp="Required",M02S04F04=""),"TA Info Incomplete",
"OK")))</f>
        <v/>
      </c>
      <c r="CC28" s="925" t="str">
        <f>IF(AND(CB28="OK",CU28="OK"),INDEX(Tbl_Cust_Heat[Measure Number], MATCH(F28,Tbl_Cust_Heat[Proj Desc 1],0)),"")</f>
        <v/>
      </c>
      <c r="CD28" s="925"/>
      <c r="CE28" s="925" t="str">
        <f t="shared" ref="CE28" si="110">IF(CB28="OK","Measure","")</f>
        <v/>
      </c>
      <c r="CF28" s="925" t="str">
        <f t="shared" ref="CF28" si="111">IF(CB28="OK",1,"")</f>
        <v/>
      </c>
      <c r="CG28" s="978" t="str">
        <f t="shared" ref="CG28" si="112">IFERROR(CI28/CF28,"")</f>
        <v/>
      </c>
      <c r="CH28" s="978" t="str">
        <f>IF(CB28="OK",IF(CM28&gt;0,CM28*Incent_Rate_kWh,0)+IF(CO28&gt;0,CO28*Incent_Rate_thm,0),"")</f>
        <v/>
      </c>
      <c r="CI28" s="978" t="str">
        <f>IFERROR(IF($CB28="OK",IF(INCENTTOCOST_CUST&gt;CostCap_Cust,
CH28*CostCap_Cust/INCENTTOCOST_CUST,CH28),""),"")</f>
        <v/>
      </c>
      <c r="CJ28" s="977">
        <f t="shared" ref="CJ28" si="113">CM28</f>
        <v>0</v>
      </c>
      <c r="CK28" s="977">
        <f t="shared" ref="CK28" si="114">CN28</f>
        <v>0</v>
      </c>
      <c r="CL28" s="977">
        <f t="shared" ref="CL28" si="115">CO28</f>
        <v>0</v>
      </c>
      <c r="CM28" s="977">
        <f>R28-AJ28</f>
        <v>0</v>
      </c>
      <c r="CN28" s="977">
        <f>U28-AM28</f>
        <v>0</v>
      </c>
      <c r="CO28" s="977">
        <f t="shared" ref="CO28" si="116">IF(CR28&gt;0,CR28,0)</f>
        <v>0</v>
      </c>
      <c r="CP28" s="977">
        <f t="shared" ref="CP28" si="117">CM28</f>
        <v>0</v>
      </c>
      <c r="CQ28" s="977">
        <f t="shared" ref="CQ28" si="118">CN28</f>
        <v>0</v>
      </c>
      <c r="CR28" s="977">
        <f>X28-AP28</f>
        <v>0</v>
      </c>
      <c r="CS28" s="983"/>
      <c r="CT28" s="982" t="str">
        <f>IF(CB28="OK",INDEX(Tbl_Cust_Heat[EUL], MATCH(F28,Tbl_Cust_Heat[Proj Desc 1],0)),"")</f>
        <v/>
      </c>
      <c r="CU28" s="979" t="str">
        <f t="shared" ref="CU28" si="119">IFERROR(IF(AND($CM28&lt;=0,$CN28&lt;=0,$CO28&lt;=0),"No Savings","OK"),"")</f>
        <v>No Savings</v>
      </c>
      <c r="CV28" s="925" t="str">
        <f t="shared" ref="CV28" si="120">IF(AND(CB28="OK",CU28="OK"),"1","")</f>
        <v/>
      </c>
      <c r="CW28" s="925" t="str">
        <f>IFERROR(IF($CB28="OK",ROUND($AQ$14*SUM(BB28:BE29)/SUM($BF$18:$BG$37),2),""),"")</f>
        <v/>
      </c>
      <c r="CX28" s="925" t="str">
        <f>IFERROR(IF(M02S04F04="Customer/Self-Installed",CW28,IF($CB28="OK",CW28+BD28,"")),"")</f>
        <v/>
      </c>
      <c r="CY28" s="925" t="str">
        <f>IFERROR(IF($CB28="OK",CX28+BB28,""),"")</f>
        <v/>
      </c>
      <c r="CZ28" s="925" t="str">
        <f>IF(CB28="OK",INDEX(MEASURES3_M!$O$24, MATCH(F28,MEASURES3_M!$C$24,0)),"")</f>
        <v/>
      </c>
      <c r="DA28" s="925" t="str">
        <f>IF(CB28="OK",INDEX(MEASURES3_M!$P$24, MATCH(F28,MEASURES3_M!$C$24,0)),"")</f>
        <v/>
      </c>
      <c r="DD28" s="980" t="str">
        <f>IFERROR(IF(CB28&lt;&gt;"OK","",CM28*VLOOKUP('DATA TABLES_Project'!$C$247,'DATA TABLES_Project'!$A$250:$B$285,2,FALSE)),"")</f>
        <v/>
      </c>
      <c r="DE28" s="925" t="str">
        <f t="shared" ref="DE28" si="121">IFERROR(IF(CB28&lt;&gt;"OK","",CM28*CZ28*0.92),"")</f>
        <v/>
      </c>
      <c r="DF28" s="980" t="str">
        <f>IFERROR(IF(CB28&lt;&gt;"OK","",CM28*CZ28*0.92*VLOOKUP('DATA TABLES_Project'!$C$247,'DATA TABLES_Project'!$A$250:$B$285,2,FALSE)),"")</f>
        <v/>
      </c>
      <c r="DG28" s="925" t="str">
        <f t="shared" ref="DG28" si="122">IFERROR(IF(CB28&lt;&gt;"OK","",CM28*BV28),IF(BX28="Dual",(CM28*BW28)+((BY28-AJ28)*(BV28-BW28)),""))</f>
        <v/>
      </c>
      <c r="DH28" s="925" t="str">
        <f ca="1">IFERROR(IF(CB28&lt;&gt;"OK","",IF(OR(BX28="Single",BX28=""), CM28*BV28*AVERAGE(INDEX('DATA TABLES_Project'!$B$250:$B$285, MATCH('DATA TABLES_Project'!$C$247,'DATA TABLES_Project'!$A$250:$A$285, 0)):OFFSET(INDEX('DATA TABLES_Project'!$B$250:$B$285, MATCH('DATA TABLES_Project'!$C$247,'DATA TABLES_Project'!$A$250:$A$285, 0)),BV28-1,0)),CM28*BW28*AVERAGE(INDEX('DATA TABLES_Project'!$B$250:$B$285, MATCH('DATA TABLES_Project'!$C$247,'DATA TABLES_Project'!$A$250:$A$285, 0)):OFFSET(INDEX('DATA TABLES_Project'!$B$250:$B$285, MATCH('DATA TABLES_Project'!$C$247,'DATA TABLES_Project'!$A$250:$A$285, 0)),BW28-1,0)) + ((BY28-AJ28)*(BV28-BW28)*AVERAGE(OFFSET(INDEX('DATA TABLES_Project'!$B$250:$B$285, MATCH('DATA TABLES_Project'!$C$247,'DATA TABLES_Project'!$A$250:$A$285, 0)),BW28,0):OFFSET(INDEX('DATA TABLES_Project'!$B$250:$B$285, MATCH('DATA TABLES_Project'!$C$247,'DATA TABLES_Project'!$A$250:$A$285, 0)),BV28-1,0))))), "")</f>
        <v/>
      </c>
      <c r="DI28" s="925" t="str">
        <f t="shared" ref="DI28" si="123">IFERROR(IF(CB28&lt;&gt;"OK","",IF(BX28="Dual",(CM28*BW28)+((BY28-AJ28)*(BV28-BW28))*CZ28*0.92,CM28*CZ28*BV28*0.92)),"")</f>
        <v/>
      </c>
      <c r="DJ28" s="925" t="str">
        <f ca="1">IFERROR(IF(CB28&lt;&gt;"OK","",IF(OR(BX28="Single",BX28=""),0.92*CZ28*CM28*BV28*AVERAGE(INDEX('DATA TABLES_Project'!$B$250:$B$285, MATCH('DATA TABLES_Project'!$C$247,'DATA TABLES_Project'!$A$250:$A$285, 0)):OFFSET(INDEX('DATA TABLES_Project'!$B$250:$B$285, MATCH('DATA TABLES_Project'!$C$247,'DATA TABLES_Project'!$A$250:$A$285, 0)),BV28-1,0)),0.92*CZ28*CM28*BW28*AVERAGE(INDEX('DATA TABLES_Project'!$B$250:$B$285, MATCH('DATA TABLES_Project'!$C$247,'DATA TABLES_Project'!$A$250:$A$285, 0)):OFFSET(INDEX('DATA TABLES_Project'!$B$250:$B$285, MATCH('DATA TABLES_Project'!$C$247,'DATA TABLES_Project'!$A$250:$A$285, 0)),BW28-1,0)) + (0.92*CZ28*(BY28-AJ28)*(BV28-BW28)*AVERAGE(OFFSET(INDEX('DATA TABLES_Project'!$B$250:$B$285, MATCH('DATA TABLES_Project'!$C$247,'DATA TABLES_Project'!$A$250:$A$285, 0)),BW28,0):OFFSET(INDEX('DATA TABLES_Project'!$B$250:$B$285, MATCH('DATA TABLES_Project'!$C$247,'DATA TABLES_Project'!$A$250:$A$285, 0)),BV28-1,0))))), "")</f>
        <v/>
      </c>
      <c r="DK28" s="925" t="str">
        <f>IFERROR(IF(CB28&lt;&gt;"OK","",CO28*'DATA TABLES_Project'!$C$250),"")</f>
        <v/>
      </c>
      <c r="DL28" s="925" t="str">
        <f t="shared" ref="DL28" si="124">IFERROR(IF(CB28&lt;&gt;"OK","",CO28*DA28*0.92),"")</f>
        <v/>
      </c>
      <c r="DM28" s="925" t="str">
        <f>IFERROR(IF(CB28&lt;&gt;"OK","",CO28*'DATA TABLES_Project'!$C$250*DA28*0.92),"")</f>
        <v/>
      </c>
      <c r="DN28" s="925" t="str">
        <f t="shared" ref="DN28" si="125">IFERROR(IF(CB28&lt;&gt;"OK","",CO28*BV28),IF(BX28="Dual",(CO28*BW28)+((BZ28-AP28)*(BV28-BW28)),""))</f>
        <v/>
      </c>
      <c r="DO28" s="925" t="str">
        <f ca="1">IFERROR(IF(CB28&lt;&gt;"OK","",CO28*BV28*AVERAGE('DATA TABLES_Project'!$C$250:OFFSET('DATA TABLES_Project'!$C$250,BV28,0))),IF(BX28="Dual",(CO28*BW28*AVERAGE('DATA TABLES_Project'!$C$251:$C$259))+((BZ28-AP28)*(BV28-BW28)*AVERAGE('DATA TABLES_Project'!$C$260:$C$279)),""))</f>
        <v/>
      </c>
      <c r="DP28" s="925" t="str">
        <f t="shared" ref="DP28" si="126">IFERROR(IF(CB28&lt;&gt;"OK","",IF(BX28="Dual",((CO28*BW28)+(BZ28-AP28)*(BV28-BW28))*DA28*0.92,CO28*BV28*DA28*0.92)),"")</f>
        <v/>
      </c>
      <c r="DQ28" s="925" t="str">
        <f ca="1">IFERROR(IF(CB28&lt;&gt;"OK","",IF(BX28="Dual",(0.92*DA28*CO28*BW28*AVERAGE('DATA TABLES_Project'!$C$251:$C$259))+(0.92*DA28*(BZ28-AP28)*(BV28-BW28)*AVERAGE('DATA TABLES_Project'!$C$260:$C$279)),0.92*DA28*CO28*BV28*AVERAGE('DATA TABLES_Project'!$C$250:OFFSET('DATA TABLES_Project'!$C$250,BV28,0)))),"")</f>
        <v/>
      </c>
      <c r="DR28" s="980" t="str">
        <f>IFERROR(IF($CB28&lt;&gt;"OK","",CM28*'DATA TABLES_Project'!$B$290+IF(CO28&lt;0,0,CO28*'DATA TABLES_Project'!$B$291)),"")</f>
        <v/>
      </c>
      <c r="DS28" s="980" t="str">
        <f>IFERROR(IF($CB28&lt;&gt;"OK","",DD28*'DATA TABLES_Project'!$B$290+IF(DK28&lt;0,0,DK28*'DATA TABLES_Project'!$B$291)),"")</f>
        <v/>
      </c>
      <c r="DT28" s="980" t="str">
        <f>IFERROR(IF($CB28&lt;&gt;"OK","",DE28*'DATA TABLES_Project'!$B$290+IF(DL28&lt;0,0,DL28*'DATA TABLES_Project'!$B$291)),"")</f>
        <v/>
      </c>
      <c r="DU28" s="980" t="str">
        <f>IFERROR(IF($CB28&lt;&gt;"OK","",DF28*'DATA TABLES_Project'!$B$290+IF(DM28&lt;0,0,DM28*'DATA TABLES_Project'!$B$291)),"")</f>
        <v/>
      </c>
      <c r="DV28" s="980" t="str">
        <f>IFERROR(IF($CB28&lt;&gt;"OK","",DG28*'DATA TABLES_Project'!$B$290+IF(DN28&lt;0,0,DN28*'DATA TABLES_Project'!$B$291)),"")</f>
        <v/>
      </c>
      <c r="DW28" s="980" t="str">
        <f>IFERROR(IF($CB28&lt;&gt;"OK","",DH28*'DATA TABLES_Project'!$B$290+IF(DO28&lt;0,0,DO28*'DATA TABLES_Project'!$B$291)),"")</f>
        <v/>
      </c>
      <c r="DX28" s="980" t="str">
        <f>IFERROR(IF($CB28&lt;&gt;"OK","",DI28*'DATA TABLES_Project'!$B$290+IF(DP28&lt;0,0,DP28*'DATA TABLES_Project'!$B$291)),"")</f>
        <v/>
      </c>
      <c r="DY28" s="925" t="str">
        <f>IFERROR(IF($CB28&lt;&gt;"OK","",DJ28*'DATA TABLES_Project'!$B$290+IF(DQ28&lt;0,0,DQ28*'DATA TABLES_Project'!$B$291)),"")</f>
        <v/>
      </c>
      <c r="DZ28" s="925" t="str">
        <f t="shared" ref="DZ28" si="127">IFERROR(IF($CB28&lt;&gt;"OK","",AS28),"")</f>
        <v/>
      </c>
      <c r="EA28" s="925" t="str">
        <f>IFERROR(IF(CB28&lt;&gt;"OK","",CN28*'DATA TABLES_Project'!$B$250*CZ28*1.03),"")</f>
        <v/>
      </c>
      <c r="EB28" s="925" t="str">
        <f t="shared" ref="EB28" si="128">IFERROR(IF(CB28&lt;&gt;"OK","",CN28*CZ28*1.03),"")</f>
        <v/>
      </c>
      <c r="EC28" s="925" t="str">
        <f>IFERROR(IF(CB28&lt;&gt;"OK","",CZ28*DZ28*'DATA TABLES_Project'!$C$250*0.92),"")</f>
        <v/>
      </c>
      <c r="ED28" s="925" t="str">
        <f>IFERROR(IF(CB28&lt;&gt;"OK","",CZ28*DZ28*'DATA TABLES_Project'!$C$250*0.92),"")</f>
        <v/>
      </c>
      <c r="EE28" s="925" t="str">
        <f t="shared" ref="EE28" si="129">IFERROR(IF(CB28&lt;&gt;"OK","",CZ28*DZ28*0.92),"")</f>
        <v/>
      </c>
      <c r="EF28" s="925" t="str">
        <f t="shared" ref="EF28" si="130">IFERROR(IF(CB28&lt;&gt;"OK","",CZ28*DZ28*0.92),"")</f>
        <v/>
      </c>
      <c r="EG28" s="925" t="str">
        <f>IFERROR(IF($CB28&lt;&gt;"OK","",CM28*'DATA TABLES_Project'!$B$290+CO28*'DATA TABLES_Project'!$B$291),"")</f>
        <v/>
      </c>
      <c r="EH28" s="925" t="str">
        <f>IFERROR(IF($CB28&lt;&gt;"OK","",DD28*'DATA TABLES_Project'!$B$290+DK28*'DATA TABLES_Project'!$B$291),"")</f>
        <v/>
      </c>
      <c r="EI28" s="925" t="str">
        <f>IFERROR(IF($CB28&lt;&gt;"OK","",DE28*'DATA TABLES_Project'!$B$290+DL28*'DATA TABLES_Project'!$B$291),"")</f>
        <v/>
      </c>
      <c r="EJ28" s="925" t="str">
        <f>IFERROR(IF($CB28&lt;&gt;"OK","",DF28*'DATA TABLES_Project'!$B$290+DM28*'DATA TABLES_Project'!$B$291),"")</f>
        <v/>
      </c>
      <c r="EK28" s="925" t="str">
        <f>IFERROR(IF($CB28&lt;&gt;"OK","",DG28*'DATA TABLES_Project'!$B$290+DN28*'DATA TABLES_Project'!$B$291),"")</f>
        <v/>
      </c>
      <c r="EL28" s="925" t="str">
        <f>IFERROR(IF($CB28&lt;&gt;"OK","",DH28*'DATA TABLES_Project'!$B$290+DO28*'DATA TABLES_Project'!$B$291),"")</f>
        <v/>
      </c>
      <c r="EM28" s="925" t="str">
        <f>IFERROR(IF($CB28&lt;&gt;"OK","",DI28*'DATA TABLES_Project'!$B$290+DP28*'DATA TABLES_Project'!$B$291),"")</f>
        <v/>
      </c>
      <c r="EN28" s="925" t="str">
        <f>IFERROR(IF($CB28&lt;&gt;"OK","",DJ28*'DATA TABLES_Project'!$B$290+DQ28*'DATA TABLES_Project'!$B$291),"")</f>
        <v/>
      </c>
    </row>
    <row r="29" spans="1:144" ht="16.350000000000001" customHeight="1">
      <c r="A29" s="462"/>
      <c r="B29" s="994"/>
      <c r="C29" s="998"/>
      <c r="D29" s="999"/>
      <c r="E29" s="1000"/>
      <c r="F29" s="964"/>
      <c r="G29" s="965"/>
      <c r="H29" s="965"/>
      <c r="I29" s="965"/>
      <c r="J29" s="965"/>
      <c r="K29" s="966"/>
      <c r="L29" s="964"/>
      <c r="M29" s="965"/>
      <c r="N29" s="965"/>
      <c r="O29" s="965"/>
      <c r="P29" s="965"/>
      <c r="Q29" s="966"/>
      <c r="R29" s="1044"/>
      <c r="S29" s="1044"/>
      <c r="T29" s="1044"/>
      <c r="U29" s="1044"/>
      <c r="V29" s="1044"/>
      <c r="W29" s="1044"/>
      <c r="X29" s="1045"/>
      <c r="Y29" s="1045"/>
      <c r="Z29" s="1045"/>
      <c r="AA29" s="1045"/>
      <c r="AB29" s="1045"/>
      <c r="AC29" s="1045"/>
      <c r="AD29" s="964"/>
      <c r="AE29" s="965"/>
      <c r="AF29" s="965"/>
      <c r="AG29" s="965"/>
      <c r="AH29" s="965"/>
      <c r="AI29" s="966"/>
      <c r="AJ29" s="952"/>
      <c r="AK29" s="953"/>
      <c r="AL29" s="954"/>
      <c r="AM29" s="952"/>
      <c r="AN29" s="953"/>
      <c r="AO29" s="954"/>
      <c r="AP29" s="958"/>
      <c r="AQ29" s="959"/>
      <c r="AR29" s="960"/>
      <c r="AS29" s="958"/>
      <c r="AT29" s="959"/>
      <c r="AU29" s="960"/>
      <c r="AV29" s="968"/>
      <c r="AW29" s="969"/>
      <c r="AX29" s="969"/>
      <c r="AY29" s="969"/>
      <c r="AZ29" s="969"/>
      <c r="BA29" s="970"/>
      <c r="BB29" s="947"/>
      <c r="BC29" s="948"/>
      <c r="BD29" s="947"/>
      <c r="BE29" s="948"/>
      <c r="BF29" s="931"/>
      <c r="BG29" s="932"/>
      <c r="BH29" s="974"/>
      <c r="BI29" s="975"/>
      <c r="BJ29" s="976"/>
      <c r="BK29" s="936"/>
      <c r="BL29" s="937"/>
      <c r="BM29" s="938"/>
      <c r="BN29" s="942"/>
      <c r="BO29" s="943"/>
      <c r="BP29" s="944"/>
      <c r="BS29" s="967"/>
      <c r="BT29" s="967"/>
      <c r="BV29" s="926"/>
      <c r="BW29" s="926"/>
      <c r="BX29" s="926"/>
      <c r="BY29" s="927"/>
      <c r="BZ29" s="928"/>
      <c r="CB29" s="986"/>
      <c r="CC29" s="925"/>
      <c r="CD29" s="925"/>
      <c r="CE29" s="925"/>
      <c r="CF29" s="925"/>
      <c r="CG29" s="925"/>
      <c r="CH29" s="925"/>
      <c r="CI29" s="925"/>
      <c r="CJ29" s="977"/>
      <c r="CK29" s="977"/>
      <c r="CL29" s="977"/>
      <c r="CM29" s="977"/>
      <c r="CN29" s="977"/>
      <c r="CO29" s="977"/>
      <c r="CP29" s="977"/>
      <c r="CQ29" s="977"/>
      <c r="CR29" s="977"/>
      <c r="CS29" s="983"/>
      <c r="CT29" s="982"/>
      <c r="CU29" s="979"/>
      <c r="CV29" s="925"/>
      <c r="CW29" s="925"/>
      <c r="CX29" s="925"/>
      <c r="CY29" s="925"/>
      <c r="CZ29" s="925"/>
      <c r="DA29" s="925"/>
      <c r="DD29" s="981"/>
      <c r="DE29" s="925"/>
      <c r="DF29" s="981"/>
      <c r="DG29" s="925"/>
      <c r="DH29" s="925"/>
      <c r="DI29" s="925"/>
      <c r="DJ29" s="925"/>
      <c r="DK29" s="925"/>
      <c r="DL29" s="925"/>
      <c r="DM29" s="925"/>
      <c r="DN29" s="925"/>
      <c r="DO29" s="925"/>
      <c r="DP29" s="925"/>
      <c r="DQ29" s="925"/>
      <c r="DR29" s="981"/>
      <c r="DS29" s="981"/>
      <c r="DT29" s="981"/>
      <c r="DU29" s="981"/>
      <c r="DV29" s="981"/>
      <c r="DW29" s="981"/>
      <c r="DX29" s="981"/>
      <c r="DY29" s="925"/>
      <c r="DZ29" s="925"/>
      <c r="EA29" s="925"/>
      <c r="EB29" s="925"/>
      <c r="EC29" s="925"/>
      <c r="ED29" s="925"/>
      <c r="EE29" s="925"/>
      <c r="EF29" s="925"/>
      <c r="EG29" s="925"/>
      <c r="EH29" s="925"/>
      <c r="EI29" s="925"/>
      <c r="EJ29" s="925"/>
      <c r="EK29" s="925"/>
      <c r="EL29" s="925"/>
      <c r="EM29" s="925"/>
      <c r="EN29" s="925"/>
    </row>
    <row r="30" spans="1:144" ht="16.350000000000001" customHeight="1">
      <c r="A30" s="462"/>
      <c r="B30" s="994">
        <v>7</v>
      </c>
      <c r="C30" s="995"/>
      <c r="D30" s="996"/>
      <c r="E30" s="997"/>
      <c r="F30" s="961"/>
      <c r="G30" s="962"/>
      <c r="H30" s="962"/>
      <c r="I30" s="962"/>
      <c r="J30" s="962"/>
      <c r="K30" s="963"/>
      <c r="L30" s="961"/>
      <c r="M30" s="962"/>
      <c r="N30" s="962"/>
      <c r="O30" s="962"/>
      <c r="P30" s="962"/>
      <c r="Q30" s="963"/>
      <c r="R30" s="1044"/>
      <c r="S30" s="1044"/>
      <c r="T30" s="1044"/>
      <c r="U30" s="1044"/>
      <c r="V30" s="1044"/>
      <c r="W30" s="1044"/>
      <c r="X30" s="1045"/>
      <c r="Y30" s="1045"/>
      <c r="Z30" s="1045"/>
      <c r="AA30" s="1045"/>
      <c r="AB30" s="1045"/>
      <c r="AC30" s="1045"/>
      <c r="AD30" s="961"/>
      <c r="AE30" s="962"/>
      <c r="AF30" s="962"/>
      <c r="AG30" s="962"/>
      <c r="AH30" s="962"/>
      <c r="AI30" s="963"/>
      <c r="AJ30" s="949"/>
      <c r="AK30" s="950"/>
      <c r="AL30" s="951"/>
      <c r="AM30" s="949"/>
      <c r="AN30" s="950"/>
      <c r="AO30" s="951"/>
      <c r="AP30" s="955"/>
      <c r="AQ30" s="956"/>
      <c r="AR30" s="957"/>
      <c r="AS30" s="955"/>
      <c r="AT30" s="956"/>
      <c r="AU30" s="957"/>
      <c r="AV30" s="968"/>
      <c r="AW30" s="969"/>
      <c r="AX30" s="970"/>
      <c r="AY30" s="968"/>
      <c r="AZ30" s="969"/>
      <c r="BA30" s="970"/>
      <c r="BB30" s="945"/>
      <c r="BC30" s="946"/>
      <c r="BD30" s="945"/>
      <c r="BE30" s="946"/>
      <c r="BF30" s="929" t="str">
        <f>IF(CB30="OK",ROUND(BB30+BD30,2),"")</f>
        <v/>
      </c>
      <c r="BG30" s="930"/>
      <c r="BH30" s="971" t="str">
        <f t="shared" ref="BH30" si="131">IFERROR(IF(AND($CB30="OK",$CU30="OK"),$CI30,IF($CB30&lt;&gt;"OK",$CB30,$CU30)),"")</f>
        <v/>
      </c>
      <c r="BI30" s="972"/>
      <c r="BJ30" s="973"/>
      <c r="BK30" s="933" t="str">
        <f t="shared" ref="BK30" si="132">IF($CB30="OK",CM30,"")</f>
        <v/>
      </c>
      <c r="BL30" s="934"/>
      <c r="BM30" s="935"/>
      <c r="BN30" s="939" t="str">
        <f t="shared" ref="BN30" si="133">IF($CB30="OK",$CR30,"")</f>
        <v/>
      </c>
      <c r="BO30" s="940"/>
      <c r="BP30" s="941"/>
      <c r="BS30" s="967"/>
      <c r="BT30" s="967"/>
      <c r="BV30" s="926" t="str">
        <f t="shared" ref="BV30" si="134">IFERROR(ROUND(IF(AND(CB30="OK",CU30="OK"),CT30,""),0),"")</f>
        <v/>
      </c>
      <c r="BW30" s="926" t="str">
        <f t="shared" ref="BW30" si="135">IFERROR(ROUND(IF(AND(CB30="OK",CU30="OK"),BV30/3,""),0),"")</f>
        <v/>
      </c>
      <c r="BX30" s="926"/>
      <c r="BY30" s="927"/>
      <c r="BZ30" s="928"/>
      <c r="CB30" s="986" t="str">
        <f>IF(AND(C30="",F30="",R30="",AD30="",U30="",X30="",L30="",AJ30="",AV30="",AM30="",AP30="",AY30="",AV31="",BB30="",BD30="",AA30="",AS30=""),"",
IF(OR(C30="",F30="",R30="",AD30="",U30="",X30="",L30="",AJ30="",AV30="",AM30="",AP30="",AY30="",AV31="",BB30="",BD30="",AA30="",AS30=""),"Missing Fields",
IF(AND(M02S04F04disp="Required",M02S04F04=""),"TA Info Incomplete",
"OK")))</f>
        <v/>
      </c>
      <c r="CC30" s="925" t="str">
        <f>IF(AND(CB30="OK",CU30="OK"),INDEX(Tbl_Cust_Heat[Measure Number], MATCH(F30,Tbl_Cust_Heat[Proj Desc 1],0)),"")</f>
        <v/>
      </c>
      <c r="CD30" s="925"/>
      <c r="CE30" s="925" t="str">
        <f t="shared" ref="CE30" si="136">IF(CB30="OK","Measure","")</f>
        <v/>
      </c>
      <c r="CF30" s="925" t="str">
        <f t="shared" ref="CF30" si="137">IF(CB30="OK",1,"")</f>
        <v/>
      </c>
      <c r="CG30" s="978" t="str">
        <f t="shared" ref="CG30" si="138">IFERROR(CI30/CF30,"")</f>
        <v/>
      </c>
      <c r="CH30" s="978" t="str">
        <f>IF(CB30="OK",IF(CM30&gt;0,CM30*Incent_Rate_kWh,0)+IF(CO30&gt;0,CO30*Incent_Rate_thm,0),"")</f>
        <v/>
      </c>
      <c r="CI30" s="978" t="str">
        <f>IFERROR(IF($CB30="OK",IF(INCENTTOCOST_CUST&gt;CostCap_Cust,
CH30*CostCap_Cust/INCENTTOCOST_CUST,CH30),""),"")</f>
        <v/>
      </c>
      <c r="CJ30" s="977">
        <f t="shared" ref="CJ30" si="139">CM30</f>
        <v>0</v>
      </c>
      <c r="CK30" s="977">
        <f t="shared" ref="CK30" si="140">CN30</f>
        <v>0</v>
      </c>
      <c r="CL30" s="977">
        <f t="shared" ref="CL30" si="141">CO30</f>
        <v>0</v>
      </c>
      <c r="CM30" s="977">
        <f>R30-AJ30</f>
        <v>0</v>
      </c>
      <c r="CN30" s="977">
        <f>U30-AM30</f>
        <v>0</v>
      </c>
      <c r="CO30" s="977">
        <f t="shared" ref="CO30" si="142">IF(CR30&gt;0,CR30,0)</f>
        <v>0</v>
      </c>
      <c r="CP30" s="977">
        <f t="shared" ref="CP30" si="143">CM30</f>
        <v>0</v>
      </c>
      <c r="CQ30" s="977">
        <f t="shared" ref="CQ30" si="144">CN30</f>
        <v>0</v>
      </c>
      <c r="CR30" s="977">
        <f>X30-AP30</f>
        <v>0</v>
      </c>
      <c r="CS30" s="983"/>
      <c r="CT30" s="982" t="str">
        <f>IF(CB30="OK",INDEX(Tbl_Cust_Heat[EUL], MATCH(F30,Tbl_Cust_Heat[Proj Desc 1],0)),"")</f>
        <v/>
      </c>
      <c r="CU30" s="979" t="str">
        <f t="shared" ref="CU30" si="145">IFERROR(IF(AND($CM30&lt;=0,$CN30&lt;=0,$CO30&lt;=0),"No Savings","OK"),"")</f>
        <v>No Savings</v>
      </c>
      <c r="CV30" s="925" t="str">
        <f t="shared" ref="CV30" si="146">IF(AND(CB30="OK",CU30="OK"),"1","")</f>
        <v/>
      </c>
      <c r="CW30" s="925" t="str">
        <f>IFERROR(IF($CB30="OK",ROUND($AQ$14*SUM(BB30:BE31)/SUM($BF$18:$BG$37),2),""),"")</f>
        <v/>
      </c>
      <c r="CX30" s="925" t="str">
        <f>IFERROR(IF(M02S04F04="Customer/Self-Installed",CW30,IF($CB30="OK",CW30+BD30,"")),"")</f>
        <v/>
      </c>
      <c r="CY30" s="925" t="str">
        <f>IFERROR(IF($CB30="OK",CX30+BB30,""),"")</f>
        <v/>
      </c>
      <c r="CZ30" s="925" t="str">
        <f>IF(CB30="OK",INDEX(MEASURES3_M!$O$24, MATCH(F30,MEASURES3_M!$C$24,0)),"")</f>
        <v/>
      </c>
      <c r="DA30" s="925" t="str">
        <f>IF(CB30="OK",INDEX(MEASURES3_M!$P$24, MATCH(F30,MEASURES3_M!$C$24,0)),"")</f>
        <v/>
      </c>
      <c r="DD30" s="980" t="str">
        <f>IFERROR(IF(CB30&lt;&gt;"OK","",CM30*VLOOKUP('DATA TABLES_Project'!$C$247,'DATA TABLES_Project'!$A$250:$B$285,2,FALSE)),"")</f>
        <v/>
      </c>
      <c r="DE30" s="925" t="str">
        <f t="shared" ref="DE30" si="147">IFERROR(IF(CB30&lt;&gt;"OK","",CM30*CZ30*0.92),"")</f>
        <v/>
      </c>
      <c r="DF30" s="980" t="str">
        <f>IFERROR(IF(CB30&lt;&gt;"OK","",CM30*CZ30*0.92*VLOOKUP('DATA TABLES_Project'!$C$247,'DATA TABLES_Project'!$A$250:$B$285,2,FALSE)),"")</f>
        <v/>
      </c>
      <c r="DG30" s="925" t="str">
        <f t="shared" ref="DG30" si="148">IFERROR(IF(CB30&lt;&gt;"OK","",CM30*BV30),IF(BX30="Dual",(CM30*BW30)+((BY30-AJ30)*(BV30-BW30)),""))</f>
        <v/>
      </c>
      <c r="DH30" s="925" t="str">
        <f ca="1">IFERROR(IF(CB30&lt;&gt;"OK","",IF(OR(BX30="Single",BX30=""), CM30*BV30*AVERAGE(INDEX('DATA TABLES_Project'!$B$250:$B$285, MATCH('DATA TABLES_Project'!$C$247,'DATA TABLES_Project'!$A$250:$A$285, 0)):OFFSET(INDEX('DATA TABLES_Project'!$B$250:$B$285, MATCH('DATA TABLES_Project'!$C$247,'DATA TABLES_Project'!$A$250:$A$285, 0)),BV30-1,0)),CM30*BW30*AVERAGE(INDEX('DATA TABLES_Project'!$B$250:$B$285, MATCH('DATA TABLES_Project'!$C$247,'DATA TABLES_Project'!$A$250:$A$285, 0)):OFFSET(INDEX('DATA TABLES_Project'!$B$250:$B$285, MATCH('DATA TABLES_Project'!$C$247,'DATA TABLES_Project'!$A$250:$A$285, 0)),BW30-1,0)) + ((BY30-AJ30)*(BV30-BW30)*AVERAGE(OFFSET(INDEX('DATA TABLES_Project'!$B$250:$B$285, MATCH('DATA TABLES_Project'!$C$247,'DATA TABLES_Project'!$A$250:$A$285, 0)),BW30,0):OFFSET(INDEX('DATA TABLES_Project'!$B$250:$B$285, MATCH('DATA TABLES_Project'!$C$247,'DATA TABLES_Project'!$A$250:$A$285, 0)),BV30-1,0))))), "")</f>
        <v/>
      </c>
      <c r="DI30" s="925" t="str">
        <f t="shared" ref="DI30" si="149">IFERROR(IF(CB30&lt;&gt;"OK","",IF(BX30="Dual",(CM30*BW30)+((BY30-AJ30)*(BV30-BW30))*CZ30*0.92,CM30*CZ30*BV30*0.92)),"")</f>
        <v/>
      </c>
      <c r="DJ30" s="925" t="str">
        <f ca="1">IFERROR(IF(CB30&lt;&gt;"OK","",IF(OR(BX30="Single",BX30=""),0.92*CZ30*CM30*BV30*AVERAGE(INDEX('DATA TABLES_Project'!$B$250:$B$285, MATCH('DATA TABLES_Project'!$C$247,'DATA TABLES_Project'!$A$250:$A$285, 0)):OFFSET(INDEX('DATA TABLES_Project'!$B$250:$B$285, MATCH('DATA TABLES_Project'!$C$247,'DATA TABLES_Project'!$A$250:$A$285, 0)),BV30-1,0)),0.92*CZ30*CM30*BW30*AVERAGE(INDEX('DATA TABLES_Project'!$B$250:$B$285, MATCH('DATA TABLES_Project'!$C$247,'DATA TABLES_Project'!$A$250:$A$285, 0)):OFFSET(INDEX('DATA TABLES_Project'!$B$250:$B$285, MATCH('DATA TABLES_Project'!$C$247,'DATA TABLES_Project'!$A$250:$A$285, 0)),BW30-1,0)) + (0.92*CZ30*(BY30-AJ30)*(BV30-BW30)*AVERAGE(OFFSET(INDEX('DATA TABLES_Project'!$B$250:$B$285, MATCH('DATA TABLES_Project'!$C$247,'DATA TABLES_Project'!$A$250:$A$285, 0)),BW30,0):OFFSET(INDEX('DATA TABLES_Project'!$B$250:$B$285, MATCH('DATA TABLES_Project'!$C$247,'DATA TABLES_Project'!$A$250:$A$285, 0)),BV30-1,0))))), "")</f>
        <v/>
      </c>
      <c r="DK30" s="925" t="str">
        <f>IFERROR(IF(CB30&lt;&gt;"OK","",CO30*'DATA TABLES_Project'!$C$250),"")</f>
        <v/>
      </c>
      <c r="DL30" s="925" t="str">
        <f t="shared" ref="DL30" si="150">IFERROR(IF(CB30&lt;&gt;"OK","",CO30*DA30*0.92),"")</f>
        <v/>
      </c>
      <c r="DM30" s="925" t="str">
        <f>IFERROR(IF(CB30&lt;&gt;"OK","",CO30*'DATA TABLES_Project'!$C$250*DA30*0.92),"")</f>
        <v/>
      </c>
      <c r="DN30" s="925" t="str">
        <f t="shared" ref="DN30" si="151">IFERROR(IF(CB30&lt;&gt;"OK","",CO30*BV30),IF(BX30="Dual",(CO30*BW30)+((BZ30-AP30)*(BV30-BW30)),""))</f>
        <v/>
      </c>
      <c r="DO30" s="925" t="str">
        <f ca="1">IFERROR(IF(CB30&lt;&gt;"OK","",CO30*BV30*AVERAGE('DATA TABLES_Project'!$C$250:OFFSET('DATA TABLES_Project'!$C$250,BV30,0))),IF(BX30="Dual",(CO30*BW30*AVERAGE('DATA TABLES_Project'!$C$251:$C$259))+((BZ30-AP30)*(BV30-BW30)*AVERAGE('DATA TABLES_Project'!$C$260:$C$279)),""))</f>
        <v/>
      </c>
      <c r="DP30" s="925" t="str">
        <f t="shared" ref="DP30" si="152">IFERROR(IF(CB30&lt;&gt;"OK","",IF(BX30="Dual",((CO30*BW30)+(BZ30-AP30)*(BV30-BW30))*DA30*0.92,CO30*BV30*DA30*0.92)),"")</f>
        <v/>
      </c>
      <c r="DQ30" s="925" t="str">
        <f ca="1">IFERROR(IF(CB30&lt;&gt;"OK","",IF(BX30="Dual",(0.92*DA30*CO30*BW30*AVERAGE('DATA TABLES_Project'!$C$251:$C$259))+(0.92*DA30*(BZ30-AP30)*(BV30-BW30)*AVERAGE('DATA TABLES_Project'!$C$260:$C$279)),0.92*DA30*CO30*BV30*AVERAGE('DATA TABLES_Project'!$C$250:OFFSET('DATA TABLES_Project'!$C$250,BV30,0)))),"")</f>
        <v/>
      </c>
      <c r="DR30" s="980" t="str">
        <f>IFERROR(IF($CB30&lt;&gt;"OK","",CM30*'DATA TABLES_Project'!$B$290+IF(CO30&lt;0,0,CO30*'DATA TABLES_Project'!$B$291)),"")</f>
        <v/>
      </c>
      <c r="DS30" s="980" t="str">
        <f>IFERROR(IF($CB30&lt;&gt;"OK","",DD30*'DATA TABLES_Project'!$B$290+IF(DK30&lt;0,0,DK30*'DATA TABLES_Project'!$B$291)),"")</f>
        <v/>
      </c>
      <c r="DT30" s="980" t="str">
        <f>IFERROR(IF($CB30&lt;&gt;"OK","",DE30*'DATA TABLES_Project'!$B$290+IF(DL30&lt;0,0,DL30*'DATA TABLES_Project'!$B$291)),"")</f>
        <v/>
      </c>
      <c r="DU30" s="980" t="str">
        <f>IFERROR(IF($CB30&lt;&gt;"OK","",DF30*'DATA TABLES_Project'!$B$290+IF(DM30&lt;0,0,DM30*'DATA TABLES_Project'!$B$291)),"")</f>
        <v/>
      </c>
      <c r="DV30" s="980" t="str">
        <f>IFERROR(IF($CB30&lt;&gt;"OK","",DG30*'DATA TABLES_Project'!$B$290+IF(DN30&lt;0,0,DN30*'DATA TABLES_Project'!$B$291)),"")</f>
        <v/>
      </c>
      <c r="DW30" s="980" t="str">
        <f>IFERROR(IF($CB30&lt;&gt;"OK","",DH30*'DATA TABLES_Project'!$B$290+IF(DO30&lt;0,0,DO30*'DATA TABLES_Project'!$B$291)),"")</f>
        <v/>
      </c>
      <c r="DX30" s="980" t="str">
        <f>IFERROR(IF($CB30&lt;&gt;"OK","",DI30*'DATA TABLES_Project'!$B$290+IF(DP30&lt;0,0,DP30*'DATA TABLES_Project'!$B$291)),"")</f>
        <v/>
      </c>
      <c r="DY30" s="925" t="str">
        <f>IFERROR(IF($CB30&lt;&gt;"OK","",DJ30*'DATA TABLES_Project'!$B$290+IF(DQ30&lt;0,0,DQ30*'DATA TABLES_Project'!$B$291)),"")</f>
        <v/>
      </c>
      <c r="DZ30" s="925" t="str">
        <f t="shared" ref="DZ30" si="153">IFERROR(IF($CB30&lt;&gt;"OK","",AS30),"")</f>
        <v/>
      </c>
      <c r="EA30" s="925" t="str">
        <f>IFERROR(IF(CB30&lt;&gt;"OK","",CN30*'DATA TABLES_Project'!$B$250*CZ30*1.03),"")</f>
        <v/>
      </c>
      <c r="EB30" s="925" t="str">
        <f t="shared" ref="EB30" si="154">IFERROR(IF(CB30&lt;&gt;"OK","",CN30*CZ30*1.03),"")</f>
        <v/>
      </c>
      <c r="EC30" s="925" t="str">
        <f>IFERROR(IF(CB30&lt;&gt;"OK","",CZ30*DZ30*'DATA TABLES_Project'!$C$250*0.92),"")</f>
        <v/>
      </c>
      <c r="ED30" s="925" t="str">
        <f>IFERROR(IF(CB30&lt;&gt;"OK","",CZ30*DZ30*'DATA TABLES_Project'!$C$250*0.92),"")</f>
        <v/>
      </c>
      <c r="EE30" s="925" t="str">
        <f t="shared" ref="EE30" si="155">IFERROR(IF(CB30&lt;&gt;"OK","",CZ30*DZ30*0.92),"")</f>
        <v/>
      </c>
      <c r="EF30" s="925" t="str">
        <f t="shared" ref="EF30" si="156">IFERROR(IF(CB30&lt;&gt;"OK","",CZ30*DZ30*0.92),"")</f>
        <v/>
      </c>
      <c r="EG30" s="925" t="str">
        <f>IFERROR(IF($CB30&lt;&gt;"OK","",CM30*'DATA TABLES_Project'!$B$290+CO30*'DATA TABLES_Project'!$B$291),"")</f>
        <v/>
      </c>
      <c r="EH30" s="925" t="str">
        <f>IFERROR(IF($CB30&lt;&gt;"OK","",DD30*'DATA TABLES_Project'!$B$290+DK30*'DATA TABLES_Project'!$B$291),"")</f>
        <v/>
      </c>
      <c r="EI30" s="925" t="str">
        <f>IFERROR(IF($CB30&lt;&gt;"OK","",DE30*'DATA TABLES_Project'!$B$290+DL30*'DATA TABLES_Project'!$B$291),"")</f>
        <v/>
      </c>
      <c r="EJ30" s="925" t="str">
        <f>IFERROR(IF($CB30&lt;&gt;"OK","",DF30*'DATA TABLES_Project'!$B$290+DM30*'DATA TABLES_Project'!$B$291),"")</f>
        <v/>
      </c>
      <c r="EK30" s="925" t="str">
        <f>IFERROR(IF($CB30&lt;&gt;"OK","",DG30*'DATA TABLES_Project'!$B$290+DN30*'DATA TABLES_Project'!$B$291),"")</f>
        <v/>
      </c>
      <c r="EL30" s="925" t="str">
        <f>IFERROR(IF($CB30&lt;&gt;"OK","",DH30*'DATA TABLES_Project'!$B$290+DO30*'DATA TABLES_Project'!$B$291),"")</f>
        <v/>
      </c>
      <c r="EM30" s="925" t="str">
        <f>IFERROR(IF($CB30&lt;&gt;"OK","",DI30*'DATA TABLES_Project'!$B$290+DP30*'DATA TABLES_Project'!$B$291),"")</f>
        <v/>
      </c>
      <c r="EN30" s="925" t="str">
        <f>IFERROR(IF($CB30&lt;&gt;"OK","",DJ30*'DATA TABLES_Project'!$B$290+DQ30*'DATA TABLES_Project'!$B$291),"")</f>
        <v/>
      </c>
    </row>
    <row r="31" spans="1:144" ht="16.350000000000001" customHeight="1">
      <c r="A31" s="462"/>
      <c r="B31" s="994"/>
      <c r="C31" s="998"/>
      <c r="D31" s="999"/>
      <c r="E31" s="1000"/>
      <c r="F31" s="964"/>
      <c r="G31" s="965"/>
      <c r="H31" s="965"/>
      <c r="I31" s="965"/>
      <c r="J31" s="965"/>
      <c r="K31" s="966"/>
      <c r="L31" s="964"/>
      <c r="M31" s="965"/>
      <c r="N31" s="965"/>
      <c r="O31" s="965"/>
      <c r="P31" s="965"/>
      <c r="Q31" s="966"/>
      <c r="R31" s="1044"/>
      <c r="S31" s="1044"/>
      <c r="T31" s="1044"/>
      <c r="U31" s="1044"/>
      <c r="V31" s="1044"/>
      <c r="W31" s="1044"/>
      <c r="X31" s="1045"/>
      <c r="Y31" s="1045"/>
      <c r="Z31" s="1045"/>
      <c r="AA31" s="1045"/>
      <c r="AB31" s="1045"/>
      <c r="AC31" s="1045"/>
      <c r="AD31" s="964"/>
      <c r="AE31" s="965"/>
      <c r="AF31" s="965"/>
      <c r="AG31" s="965"/>
      <c r="AH31" s="965"/>
      <c r="AI31" s="966"/>
      <c r="AJ31" s="952"/>
      <c r="AK31" s="953"/>
      <c r="AL31" s="954"/>
      <c r="AM31" s="952"/>
      <c r="AN31" s="953"/>
      <c r="AO31" s="954"/>
      <c r="AP31" s="958"/>
      <c r="AQ31" s="959"/>
      <c r="AR31" s="960"/>
      <c r="AS31" s="958"/>
      <c r="AT31" s="959"/>
      <c r="AU31" s="960"/>
      <c r="AV31" s="968"/>
      <c r="AW31" s="969"/>
      <c r="AX31" s="969"/>
      <c r="AY31" s="969"/>
      <c r="AZ31" s="969"/>
      <c r="BA31" s="970"/>
      <c r="BB31" s="947"/>
      <c r="BC31" s="948"/>
      <c r="BD31" s="947"/>
      <c r="BE31" s="948"/>
      <c r="BF31" s="931"/>
      <c r="BG31" s="932"/>
      <c r="BH31" s="974"/>
      <c r="BI31" s="975"/>
      <c r="BJ31" s="976"/>
      <c r="BK31" s="936"/>
      <c r="BL31" s="937"/>
      <c r="BM31" s="938"/>
      <c r="BN31" s="942"/>
      <c r="BO31" s="943"/>
      <c r="BP31" s="944"/>
      <c r="BS31" s="967"/>
      <c r="BT31" s="967"/>
      <c r="BV31" s="926"/>
      <c r="BW31" s="926"/>
      <c r="BX31" s="926"/>
      <c r="BY31" s="927"/>
      <c r="BZ31" s="928"/>
      <c r="CB31" s="986"/>
      <c r="CC31" s="925"/>
      <c r="CD31" s="925"/>
      <c r="CE31" s="925"/>
      <c r="CF31" s="925"/>
      <c r="CG31" s="925"/>
      <c r="CH31" s="925"/>
      <c r="CI31" s="925"/>
      <c r="CJ31" s="977"/>
      <c r="CK31" s="977"/>
      <c r="CL31" s="977"/>
      <c r="CM31" s="977"/>
      <c r="CN31" s="977"/>
      <c r="CO31" s="977"/>
      <c r="CP31" s="977"/>
      <c r="CQ31" s="977"/>
      <c r="CR31" s="977"/>
      <c r="CS31" s="983"/>
      <c r="CT31" s="982"/>
      <c r="CU31" s="979"/>
      <c r="CV31" s="925"/>
      <c r="CW31" s="925"/>
      <c r="CX31" s="925"/>
      <c r="CY31" s="925"/>
      <c r="CZ31" s="925"/>
      <c r="DA31" s="925"/>
      <c r="DD31" s="981"/>
      <c r="DE31" s="925"/>
      <c r="DF31" s="981"/>
      <c r="DG31" s="925"/>
      <c r="DH31" s="925"/>
      <c r="DI31" s="925"/>
      <c r="DJ31" s="925"/>
      <c r="DK31" s="925"/>
      <c r="DL31" s="925"/>
      <c r="DM31" s="925"/>
      <c r="DN31" s="925"/>
      <c r="DO31" s="925"/>
      <c r="DP31" s="925"/>
      <c r="DQ31" s="925"/>
      <c r="DR31" s="981"/>
      <c r="DS31" s="981"/>
      <c r="DT31" s="981"/>
      <c r="DU31" s="981"/>
      <c r="DV31" s="981"/>
      <c r="DW31" s="981"/>
      <c r="DX31" s="981"/>
      <c r="DY31" s="925"/>
      <c r="DZ31" s="925"/>
      <c r="EA31" s="925"/>
      <c r="EB31" s="925"/>
      <c r="EC31" s="925"/>
      <c r="ED31" s="925"/>
      <c r="EE31" s="925"/>
      <c r="EF31" s="925"/>
      <c r="EG31" s="925"/>
      <c r="EH31" s="925"/>
      <c r="EI31" s="925"/>
      <c r="EJ31" s="925"/>
      <c r="EK31" s="925"/>
      <c r="EL31" s="925"/>
      <c r="EM31" s="925"/>
      <c r="EN31" s="925"/>
    </row>
    <row r="32" spans="1:144" ht="16.350000000000001" customHeight="1">
      <c r="A32" s="462"/>
      <c r="B32" s="994">
        <v>8</v>
      </c>
      <c r="C32" s="995"/>
      <c r="D32" s="996"/>
      <c r="E32" s="997"/>
      <c r="F32" s="961"/>
      <c r="G32" s="962"/>
      <c r="H32" s="962"/>
      <c r="I32" s="962"/>
      <c r="J32" s="962"/>
      <c r="K32" s="963"/>
      <c r="L32" s="961"/>
      <c r="M32" s="962"/>
      <c r="N32" s="962"/>
      <c r="O32" s="962"/>
      <c r="P32" s="962"/>
      <c r="Q32" s="963"/>
      <c r="R32" s="1044"/>
      <c r="S32" s="1044"/>
      <c r="T32" s="1044"/>
      <c r="U32" s="1044"/>
      <c r="V32" s="1044"/>
      <c r="W32" s="1044"/>
      <c r="X32" s="1045"/>
      <c r="Y32" s="1045"/>
      <c r="Z32" s="1045"/>
      <c r="AA32" s="1045"/>
      <c r="AB32" s="1045"/>
      <c r="AC32" s="1045"/>
      <c r="AD32" s="961"/>
      <c r="AE32" s="962"/>
      <c r="AF32" s="962"/>
      <c r="AG32" s="962"/>
      <c r="AH32" s="962"/>
      <c r="AI32" s="963"/>
      <c r="AJ32" s="949"/>
      <c r="AK32" s="950"/>
      <c r="AL32" s="951"/>
      <c r="AM32" s="949"/>
      <c r="AN32" s="950"/>
      <c r="AO32" s="951"/>
      <c r="AP32" s="955"/>
      <c r="AQ32" s="956"/>
      <c r="AR32" s="957"/>
      <c r="AS32" s="955"/>
      <c r="AT32" s="956"/>
      <c r="AU32" s="957"/>
      <c r="AV32" s="968"/>
      <c r="AW32" s="969"/>
      <c r="AX32" s="970"/>
      <c r="AY32" s="968"/>
      <c r="AZ32" s="969"/>
      <c r="BA32" s="970"/>
      <c r="BB32" s="945"/>
      <c r="BC32" s="946"/>
      <c r="BD32" s="945"/>
      <c r="BE32" s="946"/>
      <c r="BF32" s="929" t="str">
        <f>IF(CB32="OK",ROUND(BB32+BD32,2),"")</f>
        <v/>
      </c>
      <c r="BG32" s="930"/>
      <c r="BH32" s="971" t="str">
        <f t="shared" ref="BH32" si="157">IFERROR(IF(AND($CB32="OK",$CU32="OK"),$CI32,IF($CB32&lt;&gt;"OK",$CB32,$CU32)),"")</f>
        <v/>
      </c>
      <c r="BI32" s="972"/>
      <c r="BJ32" s="973"/>
      <c r="BK32" s="933" t="str">
        <f t="shared" ref="BK32" si="158">IF($CB32="OK",CM32,"")</f>
        <v/>
      </c>
      <c r="BL32" s="934"/>
      <c r="BM32" s="935"/>
      <c r="BN32" s="939" t="str">
        <f t="shared" ref="BN32" si="159">IF($CB32="OK",$CR32,"")</f>
        <v/>
      </c>
      <c r="BO32" s="940"/>
      <c r="BP32" s="941"/>
      <c r="BS32" s="967"/>
      <c r="BT32" s="967"/>
      <c r="BV32" s="926" t="str">
        <f t="shared" ref="BV32" si="160">IFERROR(ROUND(IF(AND(CB32="OK",CU32="OK"),CT32,""),0),"")</f>
        <v/>
      </c>
      <c r="BW32" s="926" t="str">
        <f t="shared" ref="BW32" si="161">IFERROR(ROUND(IF(AND(CB32="OK",CU32="OK"),BV32/3,""),0),"")</f>
        <v/>
      </c>
      <c r="BX32" s="926"/>
      <c r="BY32" s="927"/>
      <c r="BZ32" s="928"/>
      <c r="CB32" s="986" t="str">
        <f>IF(AND(C32="",F32="",R32="",AD32="",U32="",X32="",L32="",AJ32="",AV32="",AM32="",AP32="",AY32="",AV33="",BB32="",BD32="",AA32="",AS32=""),"",
IF(OR(C32="",F32="",R32="",AD32="",U32="",X32="",L32="",AJ32="",AV32="",AM32="",AP32="",AY32="",AV33="",BB32="",BD32="",AA32="",AS32=""),"Missing Fields",
IF(AND(M02S04F04disp="Required",M02S04F04=""),"TA Info Incomplete",
"OK")))</f>
        <v/>
      </c>
      <c r="CC32" s="925" t="str">
        <f>IF(AND(CB32="OK",CU32="OK"),INDEX(Tbl_Cust_Heat[Measure Number], MATCH(F32,Tbl_Cust_Heat[Proj Desc 1],0)),"")</f>
        <v/>
      </c>
      <c r="CD32" s="925"/>
      <c r="CE32" s="925" t="str">
        <f t="shared" ref="CE32" si="162">IF(CB32="OK","Measure","")</f>
        <v/>
      </c>
      <c r="CF32" s="925" t="str">
        <f t="shared" ref="CF32" si="163">IF(CB32="OK",1,"")</f>
        <v/>
      </c>
      <c r="CG32" s="978" t="str">
        <f t="shared" ref="CG32" si="164">IFERROR(CI32/CF32,"")</f>
        <v/>
      </c>
      <c r="CH32" s="978" t="str">
        <f>IF(CB32="OK",IF(CM32&gt;0,CM32*Incent_Rate_kWh,0)+IF(CO32&gt;0,CO32*Incent_Rate_thm,0),"")</f>
        <v/>
      </c>
      <c r="CI32" s="978" t="str">
        <f>IFERROR(IF($CB32="OK",IF(INCENTTOCOST_CUST&gt;CostCap_Cust,
CH32*CostCap_Cust/INCENTTOCOST_CUST,CH32),""),"")</f>
        <v/>
      </c>
      <c r="CJ32" s="977">
        <f t="shared" ref="CJ32" si="165">CM32</f>
        <v>0</v>
      </c>
      <c r="CK32" s="977">
        <f t="shared" ref="CK32" si="166">CN32</f>
        <v>0</v>
      </c>
      <c r="CL32" s="977">
        <f t="shared" ref="CL32" si="167">CO32</f>
        <v>0</v>
      </c>
      <c r="CM32" s="977">
        <f>R32-AJ32</f>
        <v>0</v>
      </c>
      <c r="CN32" s="977">
        <f>U32-AM32</f>
        <v>0</v>
      </c>
      <c r="CO32" s="977">
        <f t="shared" ref="CO32" si="168">IF(CR32&gt;0,CR32,0)</f>
        <v>0</v>
      </c>
      <c r="CP32" s="977">
        <f t="shared" ref="CP32" si="169">CM32</f>
        <v>0</v>
      </c>
      <c r="CQ32" s="977">
        <f t="shared" ref="CQ32" si="170">CN32</f>
        <v>0</v>
      </c>
      <c r="CR32" s="977">
        <f>X32-AP32</f>
        <v>0</v>
      </c>
      <c r="CS32" s="983"/>
      <c r="CT32" s="982" t="str">
        <f>IF(CB32="OK",INDEX(Tbl_Cust_Heat[EUL], MATCH(F32,Tbl_Cust_Heat[Proj Desc 1],0)),"")</f>
        <v/>
      </c>
      <c r="CU32" s="979" t="str">
        <f t="shared" ref="CU32" si="171">IFERROR(IF(AND($CM32&lt;=0,$CN32&lt;=0,$CO32&lt;=0),"No Savings","OK"),"")</f>
        <v>No Savings</v>
      </c>
      <c r="CV32" s="925" t="str">
        <f t="shared" ref="CV32" si="172">IF(AND(CB32="OK",CU32="OK"),"1","")</f>
        <v/>
      </c>
      <c r="CW32" s="925" t="str">
        <f>IFERROR(IF($CB32="OK",ROUND($AQ$14*SUM(BB32:BE33)/SUM($BF$18:$BG$37),2),""),"")</f>
        <v/>
      </c>
      <c r="CX32" s="925" t="str">
        <f>IFERROR(IF(M02S04F04="Customer/Self-Installed",CW32,IF($CB32="OK",CW32+BD32,"")),"")</f>
        <v/>
      </c>
      <c r="CY32" s="925" t="str">
        <f>IFERROR(IF($CB32="OK",CX32+BB32,""),"")</f>
        <v/>
      </c>
      <c r="CZ32" s="925" t="str">
        <f>IF(CB32="OK",INDEX(MEASURES3_M!$O$24, MATCH(F32,MEASURES3_M!$C$24,0)),"")</f>
        <v/>
      </c>
      <c r="DA32" s="925" t="str">
        <f>IF(CB32="OK",INDEX(MEASURES3_M!$P$24, MATCH(F32,MEASURES3_M!$C$24,0)),"")</f>
        <v/>
      </c>
      <c r="DD32" s="980" t="str">
        <f>IFERROR(IF(CB32&lt;&gt;"OK","",CM32*VLOOKUP('DATA TABLES_Project'!$C$247,'DATA TABLES_Project'!$A$250:$B$285,2,FALSE)),"")</f>
        <v/>
      </c>
      <c r="DE32" s="925" t="str">
        <f t="shared" ref="DE32" si="173">IFERROR(IF(CB32&lt;&gt;"OK","",CM32*CZ32*0.92),"")</f>
        <v/>
      </c>
      <c r="DF32" s="980" t="str">
        <f>IFERROR(IF(CB32&lt;&gt;"OK","",CM32*CZ32*0.92*VLOOKUP('DATA TABLES_Project'!$C$247,'DATA TABLES_Project'!$A$250:$B$285,2,FALSE)),"")</f>
        <v/>
      </c>
      <c r="DG32" s="925" t="str">
        <f t="shared" ref="DG32" si="174">IFERROR(IF(CB32&lt;&gt;"OK","",CM32*BV32),IF(BX32="Dual",(CM32*BW32)+((BY32-AJ32)*(BV32-BW32)),""))</f>
        <v/>
      </c>
      <c r="DH32" s="925" t="str">
        <f ca="1">IFERROR(IF(CB32&lt;&gt;"OK","",IF(OR(BX32="Single",BX32=""), CM32*BV32*AVERAGE(INDEX('DATA TABLES_Project'!$B$250:$B$285, MATCH('DATA TABLES_Project'!$C$247,'DATA TABLES_Project'!$A$250:$A$285, 0)):OFFSET(INDEX('DATA TABLES_Project'!$B$250:$B$285, MATCH('DATA TABLES_Project'!$C$247,'DATA TABLES_Project'!$A$250:$A$285, 0)),BV32-1,0)),CM32*BW32*AVERAGE(INDEX('DATA TABLES_Project'!$B$250:$B$285, MATCH('DATA TABLES_Project'!$C$247,'DATA TABLES_Project'!$A$250:$A$285, 0)):OFFSET(INDEX('DATA TABLES_Project'!$B$250:$B$285, MATCH('DATA TABLES_Project'!$C$247,'DATA TABLES_Project'!$A$250:$A$285, 0)),BW32-1,0)) + ((BY32-AJ32)*(BV32-BW32)*AVERAGE(OFFSET(INDEX('DATA TABLES_Project'!$B$250:$B$285, MATCH('DATA TABLES_Project'!$C$247,'DATA TABLES_Project'!$A$250:$A$285, 0)),BW32,0):OFFSET(INDEX('DATA TABLES_Project'!$B$250:$B$285, MATCH('DATA TABLES_Project'!$C$247,'DATA TABLES_Project'!$A$250:$A$285, 0)),BV32-1,0))))), "")</f>
        <v/>
      </c>
      <c r="DI32" s="925" t="str">
        <f t="shared" ref="DI32" si="175">IFERROR(IF(CB32&lt;&gt;"OK","",IF(BX32="Dual",(CM32*BW32)+((BY32-AJ32)*(BV32-BW32))*CZ32*0.92,CM32*CZ32*BV32*0.92)),"")</f>
        <v/>
      </c>
      <c r="DJ32" s="925" t="str">
        <f ca="1">IFERROR(IF(CB32&lt;&gt;"OK","",IF(OR(BX32="Single",BX32=""),0.92*CZ32*CM32*BV32*AVERAGE(INDEX('DATA TABLES_Project'!$B$250:$B$285, MATCH('DATA TABLES_Project'!$C$247,'DATA TABLES_Project'!$A$250:$A$285, 0)):OFFSET(INDEX('DATA TABLES_Project'!$B$250:$B$285, MATCH('DATA TABLES_Project'!$C$247,'DATA TABLES_Project'!$A$250:$A$285, 0)),BV32-1,0)),0.92*CZ32*CM32*BW32*AVERAGE(INDEX('DATA TABLES_Project'!$B$250:$B$285, MATCH('DATA TABLES_Project'!$C$247,'DATA TABLES_Project'!$A$250:$A$285, 0)):OFFSET(INDEX('DATA TABLES_Project'!$B$250:$B$285, MATCH('DATA TABLES_Project'!$C$247,'DATA TABLES_Project'!$A$250:$A$285, 0)),BW32-1,0)) + (0.92*CZ32*(BY32-AJ32)*(BV32-BW32)*AVERAGE(OFFSET(INDEX('DATA TABLES_Project'!$B$250:$B$285, MATCH('DATA TABLES_Project'!$C$247,'DATA TABLES_Project'!$A$250:$A$285, 0)),BW32,0):OFFSET(INDEX('DATA TABLES_Project'!$B$250:$B$285, MATCH('DATA TABLES_Project'!$C$247,'DATA TABLES_Project'!$A$250:$A$285, 0)),BV32-1,0))))), "")</f>
        <v/>
      </c>
      <c r="DK32" s="925" t="str">
        <f>IFERROR(IF(CB32&lt;&gt;"OK","",CO32*'DATA TABLES_Project'!$C$250),"")</f>
        <v/>
      </c>
      <c r="DL32" s="925" t="str">
        <f t="shared" ref="DL32" si="176">IFERROR(IF(CB32&lt;&gt;"OK","",CO32*DA32*0.92),"")</f>
        <v/>
      </c>
      <c r="DM32" s="925" t="str">
        <f>IFERROR(IF(CB32&lt;&gt;"OK","",CO32*'DATA TABLES_Project'!$C$250*DA32*0.92),"")</f>
        <v/>
      </c>
      <c r="DN32" s="925" t="str">
        <f t="shared" ref="DN32" si="177">IFERROR(IF(CB32&lt;&gt;"OK","",CO32*BV32),IF(BX32="Dual",(CO32*BW32)+((BZ32-AP32)*(BV32-BW32)),""))</f>
        <v/>
      </c>
      <c r="DO32" s="925" t="str">
        <f ca="1">IFERROR(IF(CB32&lt;&gt;"OK","",CO32*BV32*AVERAGE('DATA TABLES_Project'!$C$250:OFFSET('DATA TABLES_Project'!$C$250,BV32,0))),IF(BX32="Dual",(CO32*BW32*AVERAGE('DATA TABLES_Project'!$C$251:$C$259))+((BZ32-AP32)*(BV32-BW32)*AVERAGE('DATA TABLES_Project'!$C$260:$C$279)),""))</f>
        <v/>
      </c>
      <c r="DP32" s="925" t="str">
        <f t="shared" ref="DP32" si="178">IFERROR(IF(CB32&lt;&gt;"OK","",IF(BX32="Dual",((CO32*BW32)+(BZ32-AP32)*(BV32-BW32))*DA32*0.92,CO32*BV32*DA32*0.92)),"")</f>
        <v/>
      </c>
      <c r="DQ32" s="925" t="str">
        <f ca="1">IFERROR(IF(CB32&lt;&gt;"OK","",IF(BX32="Dual",(0.92*DA32*CO32*BW32*AVERAGE('DATA TABLES_Project'!$C$251:$C$259))+(0.92*DA32*(BZ32-AP32)*(BV32-BW32)*AVERAGE('DATA TABLES_Project'!$C$260:$C$279)),0.92*DA32*CO32*BV32*AVERAGE('DATA TABLES_Project'!$C$250:OFFSET('DATA TABLES_Project'!$C$250,BV32,0)))),"")</f>
        <v/>
      </c>
      <c r="DR32" s="980" t="str">
        <f>IFERROR(IF($CB32&lt;&gt;"OK","",CM32*'DATA TABLES_Project'!$B$290+IF(CO32&lt;0,0,CO32*'DATA TABLES_Project'!$B$291)),"")</f>
        <v/>
      </c>
      <c r="DS32" s="980" t="str">
        <f>IFERROR(IF($CB32&lt;&gt;"OK","",DD32*'DATA TABLES_Project'!$B$290+IF(DK32&lt;0,0,DK32*'DATA TABLES_Project'!$B$291)),"")</f>
        <v/>
      </c>
      <c r="DT32" s="980" t="str">
        <f>IFERROR(IF($CB32&lt;&gt;"OK","",DE32*'DATA TABLES_Project'!$B$290+IF(DL32&lt;0,0,DL32*'DATA TABLES_Project'!$B$291)),"")</f>
        <v/>
      </c>
      <c r="DU32" s="980" t="str">
        <f>IFERROR(IF($CB32&lt;&gt;"OK","",DF32*'DATA TABLES_Project'!$B$290+IF(DM32&lt;0,0,DM32*'DATA TABLES_Project'!$B$291)),"")</f>
        <v/>
      </c>
      <c r="DV32" s="980" t="str">
        <f>IFERROR(IF($CB32&lt;&gt;"OK","",DG32*'DATA TABLES_Project'!$B$290+IF(DN32&lt;0,0,DN32*'DATA TABLES_Project'!$B$291)),"")</f>
        <v/>
      </c>
      <c r="DW32" s="980" t="str">
        <f>IFERROR(IF($CB32&lt;&gt;"OK","",DH32*'DATA TABLES_Project'!$B$290+IF(DO32&lt;0,0,DO32*'DATA TABLES_Project'!$B$291)),"")</f>
        <v/>
      </c>
      <c r="DX32" s="980" t="str">
        <f>IFERROR(IF($CB32&lt;&gt;"OK","",DI32*'DATA TABLES_Project'!$B$290+IF(DP32&lt;0,0,DP32*'DATA TABLES_Project'!$B$291)),"")</f>
        <v/>
      </c>
      <c r="DY32" s="925" t="str">
        <f>IFERROR(IF($CB32&lt;&gt;"OK","",DJ32*'DATA TABLES_Project'!$B$290+IF(DQ32&lt;0,0,DQ32*'DATA TABLES_Project'!$B$291)),"")</f>
        <v/>
      </c>
      <c r="DZ32" s="925" t="str">
        <f t="shared" ref="DZ32" si="179">IFERROR(IF($CB32&lt;&gt;"OK","",AS32),"")</f>
        <v/>
      </c>
      <c r="EA32" s="925" t="str">
        <f>IFERROR(IF(CB32&lt;&gt;"OK","",CN32*'DATA TABLES_Project'!$B$250*CZ32*1.03),"")</f>
        <v/>
      </c>
      <c r="EB32" s="925" t="str">
        <f t="shared" ref="EB32" si="180">IFERROR(IF(CB32&lt;&gt;"OK","",CN32*CZ32*1.03),"")</f>
        <v/>
      </c>
      <c r="EC32" s="925" t="str">
        <f>IFERROR(IF(CB32&lt;&gt;"OK","",CZ32*DZ32*'DATA TABLES_Project'!$C$250*0.92),"")</f>
        <v/>
      </c>
      <c r="ED32" s="925" t="str">
        <f>IFERROR(IF(CB32&lt;&gt;"OK","",CZ32*DZ32*'DATA TABLES_Project'!$C$250*0.92),"")</f>
        <v/>
      </c>
      <c r="EE32" s="925" t="str">
        <f t="shared" ref="EE32" si="181">IFERROR(IF(CB32&lt;&gt;"OK","",CZ32*DZ32*0.92),"")</f>
        <v/>
      </c>
      <c r="EF32" s="925" t="str">
        <f t="shared" ref="EF32" si="182">IFERROR(IF(CB32&lt;&gt;"OK","",CZ32*DZ32*0.92),"")</f>
        <v/>
      </c>
      <c r="EG32" s="925" t="str">
        <f>IFERROR(IF($CB32&lt;&gt;"OK","",CM32*'DATA TABLES_Project'!$B$290+CO32*'DATA TABLES_Project'!$B$291),"")</f>
        <v/>
      </c>
      <c r="EH32" s="925" t="str">
        <f>IFERROR(IF($CB32&lt;&gt;"OK","",DD32*'DATA TABLES_Project'!$B$290+DK32*'DATA TABLES_Project'!$B$291),"")</f>
        <v/>
      </c>
      <c r="EI32" s="925" t="str">
        <f>IFERROR(IF($CB32&lt;&gt;"OK","",DE32*'DATA TABLES_Project'!$B$290+DL32*'DATA TABLES_Project'!$B$291),"")</f>
        <v/>
      </c>
      <c r="EJ32" s="925" t="str">
        <f>IFERROR(IF($CB32&lt;&gt;"OK","",DF32*'DATA TABLES_Project'!$B$290+DM32*'DATA TABLES_Project'!$B$291),"")</f>
        <v/>
      </c>
      <c r="EK32" s="925" t="str">
        <f>IFERROR(IF($CB32&lt;&gt;"OK","",DG32*'DATA TABLES_Project'!$B$290+DN32*'DATA TABLES_Project'!$B$291),"")</f>
        <v/>
      </c>
      <c r="EL32" s="925" t="str">
        <f>IFERROR(IF($CB32&lt;&gt;"OK","",DH32*'DATA TABLES_Project'!$B$290+DO32*'DATA TABLES_Project'!$B$291),"")</f>
        <v/>
      </c>
      <c r="EM32" s="925" t="str">
        <f>IFERROR(IF($CB32&lt;&gt;"OK","",DI32*'DATA TABLES_Project'!$B$290+DP32*'DATA TABLES_Project'!$B$291),"")</f>
        <v/>
      </c>
      <c r="EN32" s="925" t="str">
        <f>IFERROR(IF($CB32&lt;&gt;"OK","",DJ32*'DATA TABLES_Project'!$B$290+DQ32*'DATA TABLES_Project'!$B$291),"")</f>
        <v/>
      </c>
    </row>
    <row r="33" spans="1:144" ht="16.350000000000001" customHeight="1">
      <c r="A33" s="462"/>
      <c r="B33" s="994"/>
      <c r="C33" s="998"/>
      <c r="D33" s="999"/>
      <c r="E33" s="1000"/>
      <c r="F33" s="964"/>
      <c r="G33" s="965"/>
      <c r="H33" s="965"/>
      <c r="I33" s="965"/>
      <c r="J33" s="965"/>
      <c r="K33" s="966"/>
      <c r="L33" s="964"/>
      <c r="M33" s="965"/>
      <c r="N33" s="965"/>
      <c r="O33" s="965"/>
      <c r="P33" s="965"/>
      <c r="Q33" s="966"/>
      <c r="R33" s="1044"/>
      <c r="S33" s="1044"/>
      <c r="T33" s="1044"/>
      <c r="U33" s="1044"/>
      <c r="V33" s="1044"/>
      <c r="W33" s="1044"/>
      <c r="X33" s="1045"/>
      <c r="Y33" s="1045"/>
      <c r="Z33" s="1045"/>
      <c r="AA33" s="1045"/>
      <c r="AB33" s="1045"/>
      <c r="AC33" s="1045"/>
      <c r="AD33" s="964"/>
      <c r="AE33" s="965"/>
      <c r="AF33" s="965"/>
      <c r="AG33" s="965"/>
      <c r="AH33" s="965"/>
      <c r="AI33" s="966"/>
      <c r="AJ33" s="952"/>
      <c r="AK33" s="953"/>
      <c r="AL33" s="954"/>
      <c r="AM33" s="952"/>
      <c r="AN33" s="953"/>
      <c r="AO33" s="954"/>
      <c r="AP33" s="958"/>
      <c r="AQ33" s="959"/>
      <c r="AR33" s="960"/>
      <c r="AS33" s="958"/>
      <c r="AT33" s="959"/>
      <c r="AU33" s="960"/>
      <c r="AV33" s="968"/>
      <c r="AW33" s="969"/>
      <c r="AX33" s="969"/>
      <c r="AY33" s="969"/>
      <c r="AZ33" s="969"/>
      <c r="BA33" s="970"/>
      <c r="BB33" s="947"/>
      <c r="BC33" s="948"/>
      <c r="BD33" s="947"/>
      <c r="BE33" s="948"/>
      <c r="BF33" s="931"/>
      <c r="BG33" s="932"/>
      <c r="BH33" s="974"/>
      <c r="BI33" s="975"/>
      <c r="BJ33" s="976"/>
      <c r="BK33" s="936"/>
      <c r="BL33" s="937"/>
      <c r="BM33" s="938"/>
      <c r="BN33" s="942"/>
      <c r="BO33" s="943"/>
      <c r="BP33" s="944"/>
      <c r="BS33" s="967"/>
      <c r="BT33" s="967"/>
      <c r="BV33" s="926"/>
      <c r="BW33" s="926"/>
      <c r="BX33" s="926"/>
      <c r="BY33" s="927"/>
      <c r="BZ33" s="928"/>
      <c r="CB33" s="986"/>
      <c r="CC33" s="925"/>
      <c r="CD33" s="925"/>
      <c r="CE33" s="925"/>
      <c r="CF33" s="925"/>
      <c r="CG33" s="925"/>
      <c r="CH33" s="925"/>
      <c r="CI33" s="925"/>
      <c r="CJ33" s="977"/>
      <c r="CK33" s="977"/>
      <c r="CL33" s="977"/>
      <c r="CM33" s="977"/>
      <c r="CN33" s="977"/>
      <c r="CO33" s="977"/>
      <c r="CP33" s="977"/>
      <c r="CQ33" s="977"/>
      <c r="CR33" s="977"/>
      <c r="CS33" s="983"/>
      <c r="CT33" s="982"/>
      <c r="CU33" s="979"/>
      <c r="CV33" s="925"/>
      <c r="CW33" s="925"/>
      <c r="CX33" s="925"/>
      <c r="CY33" s="925"/>
      <c r="CZ33" s="925"/>
      <c r="DA33" s="925"/>
      <c r="DD33" s="981"/>
      <c r="DE33" s="925"/>
      <c r="DF33" s="981"/>
      <c r="DG33" s="925"/>
      <c r="DH33" s="925"/>
      <c r="DI33" s="925"/>
      <c r="DJ33" s="925"/>
      <c r="DK33" s="925"/>
      <c r="DL33" s="925"/>
      <c r="DM33" s="925"/>
      <c r="DN33" s="925"/>
      <c r="DO33" s="925"/>
      <c r="DP33" s="925"/>
      <c r="DQ33" s="925"/>
      <c r="DR33" s="981"/>
      <c r="DS33" s="981"/>
      <c r="DT33" s="981"/>
      <c r="DU33" s="981"/>
      <c r="DV33" s="981"/>
      <c r="DW33" s="981"/>
      <c r="DX33" s="981"/>
      <c r="DY33" s="925"/>
      <c r="DZ33" s="925"/>
      <c r="EA33" s="925"/>
      <c r="EB33" s="925"/>
      <c r="EC33" s="925"/>
      <c r="ED33" s="925"/>
      <c r="EE33" s="925"/>
      <c r="EF33" s="925"/>
      <c r="EG33" s="925"/>
      <c r="EH33" s="925"/>
      <c r="EI33" s="925"/>
      <c r="EJ33" s="925"/>
      <c r="EK33" s="925"/>
      <c r="EL33" s="925"/>
      <c r="EM33" s="925"/>
      <c r="EN33" s="925"/>
    </row>
    <row r="34" spans="1:144" ht="16.350000000000001" customHeight="1">
      <c r="A34" s="462"/>
      <c r="B34" s="994">
        <v>9</v>
      </c>
      <c r="C34" s="995"/>
      <c r="D34" s="996"/>
      <c r="E34" s="997"/>
      <c r="F34" s="961"/>
      <c r="G34" s="962"/>
      <c r="H34" s="962"/>
      <c r="I34" s="962"/>
      <c r="J34" s="962"/>
      <c r="K34" s="963"/>
      <c r="L34" s="961"/>
      <c r="M34" s="962"/>
      <c r="N34" s="962"/>
      <c r="O34" s="962"/>
      <c r="P34" s="962"/>
      <c r="Q34" s="963"/>
      <c r="R34" s="1044"/>
      <c r="S34" s="1044"/>
      <c r="T34" s="1044"/>
      <c r="U34" s="1044"/>
      <c r="V34" s="1044"/>
      <c r="W34" s="1044"/>
      <c r="X34" s="1045"/>
      <c r="Y34" s="1045"/>
      <c r="Z34" s="1045"/>
      <c r="AA34" s="1045"/>
      <c r="AB34" s="1045"/>
      <c r="AC34" s="1045"/>
      <c r="AD34" s="961"/>
      <c r="AE34" s="962"/>
      <c r="AF34" s="962"/>
      <c r="AG34" s="962"/>
      <c r="AH34" s="962"/>
      <c r="AI34" s="963"/>
      <c r="AJ34" s="949"/>
      <c r="AK34" s="950"/>
      <c r="AL34" s="951"/>
      <c r="AM34" s="949"/>
      <c r="AN34" s="950"/>
      <c r="AO34" s="951"/>
      <c r="AP34" s="955"/>
      <c r="AQ34" s="956"/>
      <c r="AR34" s="957"/>
      <c r="AS34" s="955"/>
      <c r="AT34" s="956"/>
      <c r="AU34" s="957"/>
      <c r="AV34" s="968"/>
      <c r="AW34" s="969"/>
      <c r="AX34" s="970"/>
      <c r="AY34" s="968"/>
      <c r="AZ34" s="969"/>
      <c r="BA34" s="970"/>
      <c r="BB34" s="945"/>
      <c r="BC34" s="946"/>
      <c r="BD34" s="945"/>
      <c r="BE34" s="946"/>
      <c r="BF34" s="929" t="str">
        <f>IF(CB34="OK",ROUND(BB34+BD34,2),"")</f>
        <v/>
      </c>
      <c r="BG34" s="930"/>
      <c r="BH34" s="971" t="str">
        <f t="shared" ref="BH34" si="183">IFERROR(IF(AND($CB34="OK",$CU34="OK"),$CI34,IF($CB34&lt;&gt;"OK",$CB34,$CU34)),"")</f>
        <v/>
      </c>
      <c r="BI34" s="972"/>
      <c r="BJ34" s="973"/>
      <c r="BK34" s="933" t="str">
        <f t="shared" ref="BK34" si="184">IF($CB34="OK",CM34,"")</f>
        <v/>
      </c>
      <c r="BL34" s="934"/>
      <c r="BM34" s="935"/>
      <c r="BN34" s="939" t="str">
        <f t="shared" ref="BN34" si="185">IF($CB34="OK",$CR34,"")</f>
        <v/>
      </c>
      <c r="BO34" s="940"/>
      <c r="BP34" s="941"/>
      <c r="BS34" s="967"/>
      <c r="BT34" s="967"/>
      <c r="BV34" s="926" t="str">
        <f t="shared" ref="BV34" si="186">IFERROR(ROUND(IF(AND(CB34="OK",CU34="OK"),CT34,""),0),"")</f>
        <v/>
      </c>
      <c r="BW34" s="926" t="str">
        <f t="shared" ref="BW34" si="187">IFERROR(ROUND(IF(AND(CB34="OK",CU34="OK"),BV34/3,""),0),"")</f>
        <v/>
      </c>
      <c r="BX34" s="926"/>
      <c r="BY34" s="927"/>
      <c r="BZ34" s="928"/>
      <c r="CB34" s="986" t="str">
        <f>IF(AND(C34="",F34="",R34="",AD34="",U34="",X34="",L34="",AJ34="",AV34="",AM34="",AP34="",AY34="",AV35="",BB34="",BD34="",AA34="",AS34=""),"",
IF(OR(C34="",F34="",R34="",AD34="",U34="",X34="",L34="",AJ34="",AV34="",AM34="",AP34="",AY34="",AV35="",BB34="",BD34="",AA34="",AS34=""),"Missing Fields",
IF(AND(M02S04F04disp="Required",M02S04F04=""),"TA Info Incomplete",
"OK")))</f>
        <v/>
      </c>
      <c r="CC34" s="925" t="str">
        <f>IF(AND(CB34="OK",CU34="OK"),INDEX(Tbl_Cust_Heat[Measure Number], MATCH(F34,Tbl_Cust_Heat[Proj Desc 1],0)),"")</f>
        <v/>
      </c>
      <c r="CD34" s="925"/>
      <c r="CE34" s="925" t="str">
        <f t="shared" ref="CE34" si="188">IF(CB34="OK","Measure","")</f>
        <v/>
      </c>
      <c r="CF34" s="925" t="str">
        <f t="shared" ref="CF34" si="189">IF(CB34="OK",1,"")</f>
        <v/>
      </c>
      <c r="CG34" s="978" t="str">
        <f t="shared" ref="CG34" si="190">IFERROR(CI34/CF34,"")</f>
        <v/>
      </c>
      <c r="CH34" s="978" t="str">
        <f>IF(CB34="OK",IF(CM34&gt;0,CM34*Incent_Rate_kWh,0)+IF(CO34&gt;0,CO34*Incent_Rate_thm,0),"")</f>
        <v/>
      </c>
      <c r="CI34" s="978" t="str">
        <f>IFERROR(IF($CB34="OK",IF(INCENTTOCOST_CUST&gt;CostCap_Cust,
CH34*CostCap_Cust/INCENTTOCOST_CUST,CH34),""),"")</f>
        <v/>
      </c>
      <c r="CJ34" s="977">
        <f t="shared" ref="CJ34" si="191">CM34</f>
        <v>0</v>
      </c>
      <c r="CK34" s="977">
        <f t="shared" ref="CK34" si="192">CN34</f>
        <v>0</v>
      </c>
      <c r="CL34" s="977">
        <f t="shared" ref="CL34" si="193">CO34</f>
        <v>0</v>
      </c>
      <c r="CM34" s="977">
        <f>R34-AJ34</f>
        <v>0</v>
      </c>
      <c r="CN34" s="977">
        <f>U34-AM34</f>
        <v>0</v>
      </c>
      <c r="CO34" s="977">
        <f t="shared" ref="CO34" si="194">IF(CR34&gt;0,CR34,0)</f>
        <v>0</v>
      </c>
      <c r="CP34" s="977">
        <f t="shared" ref="CP34" si="195">CM34</f>
        <v>0</v>
      </c>
      <c r="CQ34" s="977">
        <f t="shared" ref="CQ34" si="196">CN34</f>
        <v>0</v>
      </c>
      <c r="CR34" s="977">
        <f>X34-AP34</f>
        <v>0</v>
      </c>
      <c r="CS34" s="983"/>
      <c r="CT34" s="982" t="str">
        <f>IF(CB34="OK",INDEX(Tbl_Cust_Heat[EUL], MATCH(F34,Tbl_Cust_Heat[Proj Desc 1],0)),"")</f>
        <v/>
      </c>
      <c r="CU34" s="979" t="str">
        <f t="shared" ref="CU34" si="197">IFERROR(IF(AND($CM34&lt;=0,$CN34&lt;=0,$CO34&lt;=0),"No Savings","OK"),"")</f>
        <v>No Savings</v>
      </c>
      <c r="CV34" s="925" t="str">
        <f t="shared" ref="CV34" si="198">IF(AND(CB34="OK",CU34="OK"),"1","")</f>
        <v/>
      </c>
      <c r="CW34" s="925" t="str">
        <f>IFERROR(IF($CB34="OK",ROUND($AQ$14*SUM(BB34:BE35)/SUM($BF$18:$BG$37),2),""),"")</f>
        <v/>
      </c>
      <c r="CX34" s="925" t="str">
        <f>IFERROR(IF(M02S04F04="Customer/Self-Installed",CW34,IF($CB34="OK",CW34+BD34,"")),"")</f>
        <v/>
      </c>
      <c r="CY34" s="925" t="str">
        <f>IFERROR(IF($CB34="OK",CX34+BB34,""),"")</f>
        <v/>
      </c>
      <c r="CZ34" s="925" t="str">
        <f>IF(CB34="OK",INDEX(MEASURES3_M!$O$24, MATCH(F34,MEASURES3_M!$C$24,0)),"")</f>
        <v/>
      </c>
      <c r="DA34" s="925" t="str">
        <f>IF(CB34="OK",INDEX(MEASURES3_M!$P$24, MATCH(F34,MEASURES3_M!$C$24,0)),"")</f>
        <v/>
      </c>
      <c r="DD34" s="980" t="str">
        <f>IFERROR(IF(CB34&lt;&gt;"OK","",CM34*VLOOKUP('DATA TABLES_Project'!$C$247,'DATA TABLES_Project'!$A$250:$B$285,2,FALSE)),"")</f>
        <v/>
      </c>
      <c r="DE34" s="925" t="str">
        <f t="shared" ref="DE34" si="199">IFERROR(IF(CB34&lt;&gt;"OK","",CM34*CZ34*0.92),"")</f>
        <v/>
      </c>
      <c r="DF34" s="980" t="str">
        <f>IFERROR(IF(CB34&lt;&gt;"OK","",CM34*CZ34*0.92*VLOOKUP('DATA TABLES_Project'!$C$247,'DATA TABLES_Project'!$A$250:$B$285,2,FALSE)),"")</f>
        <v/>
      </c>
      <c r="DG34" s="925" t="str">
        <f t="shared" ref="DG34" si="200">IFERROR(IF(CB34&lt;&gt;"OK","",CM34*BV34),IF(BX34="Dual",(CM34*BW34)+((BY34-AJ34)*(BV34-BW34)),""))</f>
        <v/>
      </c>
      <c r="DH34" s="925" t="str">
        <f ca="1">IFERROR(IF(CB34&lt;&gt;"OK","",IF(OR(BX34="Single",BX34=""), CM34*BV34*AVERAGE(INDEX('DATA TABLES_Project'!$B$250:$B$285, MATCH('DATA TABLES_Project'!$C$247,'DATA TABLES_Project'!$A$250:$A$285, 0)):OFFSET(INDEX('DATA TABLES_Project'!$B$250:$B$285, MATCH('DATA TABLES_Project'!$C$247,'DATA TABLES_Project'!$A$250:$A$285, 0)),BV34-1,0)),CM34*BW34*AVERAGE(INDEX('DATA TABLES_Project'!$B$250:$B$285, MATCH('DATA TABLES_Project'!$C$247,'DATA TABLES_Project'!$A$250:$A$285, 0)):OFFSET(INDEX('DATA TABLES_Project'!$B$250:$B$285, MATCH('DATA TABLES_Project'!$C$247,'DATA TABLES_Project'!$A$250:$A$285, 0)),BW34-1,0)) + ((BY34-AJ34)*(BV34-BW34)*AVERAGE(OFFSET(INDEX('DATA TABLES_Project'!$B$250:$B$285, MATCH('DATA TABLES_Project'!$C$247,'DATA TABLES_Project'!$A$250:$A$285, 0)),BW34,0):OFFSET(INDEX('DATA TABLES_Project'!$B$250:$B$285, MATCH('DATA TABLES_Project'!$C$247,'DATA TABLES_Project'!$A$250:$A$285, 0)),BV34-1,0))))), "")</f>
        <v/>
      </c>
      <c r="DI34" s="925" t="str">
        <f t="shared" ref="DI34" si="201">IFERROR(IF(CB34&lt;&gt;"OK","",IF(BX34="Dual",(CM34*BW34)+((BY34-AJ34)*(BV34-BW34))*CZ34*0.92,CM34*CZ34*BV34*0.92)),"")</f>
        <v/>
      </c>
      <c r="DJ34" s="925" t="str">
        <f ca="1">IFERROR(IF(CB34&lt;&gt;"OK","",IF(OR(BX34="Single",BX34=""),0.92*CZ34*CM34*BV34*AVERAGE(INDEX('DATA TABLES_Project'!$B$250:$B$285, MATCH('DATA TABLES_Project'!$C$247,'DATA TABLES_Project'!$A$250:$A$285, 0)):OFFSET(INDEX('DATA TABLES_Project'!$B$250:$B$285, MATCH('DATA TABLES_Project'!$C$247,'DATA TABLES_Project'!$A$250:$A$285, 0)),BV34-1,0)),0.92*CZ34*CM34*BW34*AVERAGE(INDEX('DATA TABLES_Project'!$B$250:$B$285, MATCH('DATA TABLES_Project'!$C$247,'DATA TABLES_Project'!$A$250:$A$285, 0)):OFFSET(INDEX('DATA TABLES_Project'!$B$250:$B$285, MATCH('DATA TABLES_Project'!$C$247,'DATA TABLES_Project'!$A$250:$A$285, 0)),BW34-1,0)) + (0.92*CZ34*(BY34-AJ34)*(BV34-BW34)*AVERAGE(OFFSET(INDEX('DATA TABLES_Project'!$B$250:$B$285, MATCH('DATA TABLES_Project'!$C$247,'DATA TABLES_Project'!$A$250:$A$285, 0)),BW34,0):OFFSET(INDEX('DATA TABLES_Project'!$B$250:$B$285, MATCH('DATA TABLES_Project'!$C$247,'DATA TABLES_Project'!$A$250:$A$285, 0)),BV34-1,0))))), "")</f>
        <v/>
      </c>
      <c r="DK34" s="925" t="str">
        <f>IFERROR(IF(CB34&lt;&gt;"OK","",CO34*'DATA TABLES_Project'!$C$250),"")</f>
        <v/>
      </c>
      <c r="DL34" s="925" t="str">
        <f t="shared" ref="DL34" si="202">IFERROR(IF(CB34&lt;&gt;"OK","",CO34*DA34*0.92),"")</f>
        <v/>
      </c>
      <c r="DM34" s="925" t="str">
        <f>IFERROR(IF(CB34&lt;&gt;"OK","",CO34*'DATA TABLES_Project'!$C$250*DA34*0.92),"")</f>
        <v/>
      </c>
      <c r="DN34" s="925" t="str">
        <f t="shared" ref="DN34" si="203">IFERROR(IF(CB34&lt;&gt;"OK","",CO34*BV34),IF(BX34="Dual",(CO34*BW34)+((BZ34-AP34)*(BV34-BW34)),""))</f>
        <v/>
      </c>
      <c r="DO34" s="925" t="str">
        <f ca="1">IFERROR(IF(CB34&lt;&gt;"OK","",CO34*BV34*AVERAGE('DATA TABLES_Project'!$C$250:OFFSET('DATA TABLES_Project'!$C$250,BV34,0))),IF(BX34="Dual",(CO34*BW34*AVERAGE('DATA TABLES_Project'!$C$251:$C$259))+((BZ34-AP34)*(BV34-BW34)*AVERAGE('DATA TABLES_Project'!$C$260:$C$279)),""))</f>
        <v/>
      </c>
      <c r="DP34" s="925" t="str">
        <f t="shared" ref="DP34" si="204">IFERROR(IF(CB34&lt;&gt;"OK","",IF(BX34="Dual",((CO34*BW34)+(BZ34-AP34)*(BV34-BW34))*DA34*0.92,CO34*BV34*DA34*0.92)),"")</f>
        <v/>
      </c>
      <c r="DQ34" s="925" t="str">
        <f ca="1">IFERROR(IF(CB34&lt;&gt;"OK","",IF(BX34="Dual",(0.92*DA34*CO34*BW34*AVERAGE('DATA TABLES_Project'!$C$251:$C$259))+(0.92*DA34*(BZ34-AP34)*(BV34-BW34)*AVERAGE('DATA TABLES_Project'!$C$260:$C$279)),0.92*DA34*CO34*BV34*AVERAGE('DATA TABLES_Project'!$C$250:OFFSET('DATA TABLES_Project'!$C$250,BV34,0)))),"")</f>
        <v/>
      </c>
      <c r="DR34" s="980" t="str">
        <f>IFERROR(IF($CB34&lt;&gt;"OK","",CM34*'DATA TABLES_Project'!$B$290+IF(CO34&lt;0,0,CO34*'DATA TABLES_Project'!$B$291)),"")</f>
        <v/>
      </c>
      <c r="DS34" s="980" t="str">
        <f>IFERROR(IF($CB34&lt;&gt;"OK","",DD34*'DATA TABLES_Project'!$B$290+IF(DK34&lt;0,0,DK34*'DATA TABLES_Project'!$B$291)),"")</f>
        <v/>
      </c>
      <c r="DT34" s="980" t="str">
        <f>IFERROR(IF($CB34&lt;&gt;"OK","",DE34*'DATA TABLES_Project'!$B$290+IF(DL34&lt;0,0,DL34*'DATA TABLES_Project'!$B$291)),"")</f>
        <v/>
      </c>
      <c r="DU34" s="980" t="str">
        <f>IFERROR(IF($CB34&lt;&gt;"OK","",DF34*'DATA TABLES_Project'!$B$290+IF(DM34&lt;0,0,DM34*'DATA TABLES_Project'!$B$291)),"")</f>
        <v/>
      </c>
      <c r="DV34" s="980" t="str">
        <f>IFERROR(IF($CB34&lt;&gt;"OK","",DG34*'DATA TABLES_Project'!$B$290+IF(DN34&lt;0,0,DN34*'DATA TABLES_Project'!$B$291)),"")</f>
        <v/>
      </c>
      <c r="DW34" s="980" t="str">
        <f>IFERROR(IF($CB34&lt;&gt;"OK","",DH34*'DATA TABLES_Project'!$B$290+IF(DO34&lt;0,0,DO34*'DATA TABLES_Project'!$B$291)),"")</f>
        <v/>
      </c>
      <c r="DX34" s="980" t="str">
        <f>IFERROR(IF($CB34&lt;&gt;"OK","",DI34*'DATA TABLES_Project'!$B$290+IF(DP34&lt;0,0,DP34*'DATA TABLES_Project'!$B$291)),"")</f>
        <v/>
      </c>
      <c r="DY34" s="925" t="str">
        <f>IFERROR(IF($CB34&lt;&gt;"OK","",DJ34*'DATA TABLES_Project'!$B$290+IF(DQ34&lt;0,0,DQ34*'DATA TABLES_Project'!$B$291)),"")</f>
        <v/>
      </c>
      <c r="DZ34" s="925" t="str">
        <f t="shared" ref="DZ34" si="205">IFERROR(IF($CB34&lt;&gt;"OK","",AS34),"")</f>
        <v/>
      </c>
      <c r="EA34" s="925" t="str">
        <f>IFERROR(IF(CB34&lt;&gt;"OK","",CN34*'DATA TABLES_Project'!$B$250*CZ34*1.03),"")</f>
        <v/>
      </c>
      <c r="EB34" s="925" t="str">
        <f t="shared" ref="EB34" si="206">IFERROR(IF(CB34&lt;&gt;"OK","",CN34*CZ34*1.03),"")</f>
        <v/>
      </c>
      <c r="EC34" s="925" t="str">
        <f>IFERROR(IF(CB34&lt;&gt;"OK","",CZ34*DZ34*'DATA TABLES_Project'!$C$250*0.92),"")</f>
        <v/>
      </c>
      <c r="ED34" s="925" t="str">
        <f>IFERROR(IF(CB34&lt;&gt;"OK","",CZ34*DZ34*'DATA TABLES_Project'!$C$250*0.92),"")</f>
        <v/>
      </c>
      <c r="EE34" s="925" t="str">
        <f t="shared" ref="EE34" si="207">IFERROR(IF(CB34&lt;&gt;"OK","",CZ34*DZ34*0.92),"")</f>
        <v/>
      </c>
      <c r="EF34" s="925" t="str">
        <f t="shared" ref="EF34" si="208">IFERROR(IF(CB34&lt;&gt;"OK","",CZ34*DZ34*0.92),"")</f>
        <v/>
      </c>
      <c r="EG34" s="925" t="str">
        <f>IFERROR(IF($CB34&lt;&gt;"OK","",CM34*'DATA TABLES_Project'!$B$290+CO34*'DATA TABLES_Project'!$B$291),"")</f>
        <v/>
      </c>
      <c r="EH34" s="925" t="str">
        <f>IFERROR(IF($CB34&lt;&gt;"OK","",DD34*'DATA TABLES_Project'!$B$290+DK34*'DATA TABLES_Project'!$B$291),"")</f>
        <v/>
      </c>
      <c r="EI34" s="925" t="str">
        <f>IFERROR(IF($CB34&lt;&gt;"OK","",DE34*'DATA TABLES_Project'!$B$290+DL34*'DATA TABLES_Project'!$B$291),"")</f>
        <v/>
      </c>
      <c r="EJ34" s="925" t="str">
        <f>IFERROR(IF($CB34&lt;&gt;"OK","",DF34*'DATA TABLES_Project'!$B$290+DM34*'DATA TABLES_Project'!$B$291),"")</f>
        <v/>
      </c>
      <c r="EK34" s="925" t="str">
        <f>IFERROR(IF($CB34&lt;&gt;"OK","",DG34*'DATA TABLES_Project'!$B$290+DN34*'DATA TABLES_Project'!$B$291),"")</f>
        <v/>
      </c>
      <c r="EL34" s="925" t="str">
        <f>IFERROR(IF($CB34&lt;&gt;"OK","",DH34*'DATA TABLES_Project'!$B$290+DO34*'DATA TABLES_Project'!$B$291),"")</f>
        <v/>
      </c>
      <c r="EM34" s="925" t="str">
        <f>IFERROR(IF($CB34&lt;&gt;"OK","",DI34*'DATA TABLES_Project'!$B$290+DP34*'DATA TABLES_Project'!$B$291),"")</f>
        <v/>
      </c>
      <c r="EN34" s="925" t="str">
        <f>IFERROR(IF($CB34&lt;&gt;"OK","",DJ34*'DATA TABLES_Project'!$B$290+DQ34*'DATA TABLES_Project'!$B$291),"")</f>
        <v/>
      </c>
    </row>
    <row r="35" spans="1:144" ht="16.350000000000001" customHeight="1">
      <c r="A35" s="462"/>
      <c r="B35" s="994"/>
      <c r="C35" s="998"/>
      <c r="D35" s="999"/>
      <c r="E35" s="1000"/>
      <c r="F35" s="964"/>
      <c r="G35" s="965"/>
      <c r="H35" s="965"/>
      <c r="I35" s="965"/>
      <c r="J35" s="965"/>
      <c r="K35" s="966"/>
      <c r="L35" s="964"/>
      <c r="M35" s="965"/>
      <c r="N35" s="965"/>
      <c r="O35" s="965"/>
      <c r="P35" s="965"/>
      <c r="Q35" s="966"/>
      <c r="R35" s="1044"/>
      <c r="S35" s="1044"/>
      <c r="T35" s="1044"/>
      <c r="U35" s="1044"/>
      <c r="V35" s="1044"/>
      <c r="W35" s="1044"/>
      <c r="X35" s="1045"/>
      <c r="Y35" s="1045"/>
      <c r="Z35" s="1045"/>
      <c r="AA35" s="1045"/>
      <c r="AB35" s="1045"/>
      <c r="AC35" s="1045"/>
      <c r="AD35" s="964"/>
      <c r="AE35" s="965"/>
      <c r="AF35" s="965"/>
      <c r="AG35" s="965"/>
      <c r="AH35" s="965"/>
      <c r="AI35" s="966"/>
      <c r="AJ35" s="952"/>
      <c r="AK35" s="953"/>
      <c r="AL35" s="954"/>
      <c r="AM35" s="952"/>
      <c r="AN35" s="953"/>
      <c r="AO35" s="954"/>
      <c r="AP35" s="958"/>
      <c r="AQ35" s="959"/>
      <c r="AR35" s="960"/>
      <c r="AS35" s="958"/>
      <c r="AT35" s="959"/>
      <c r="AU35" s="960"/>
      <c r="AV35" s="968"/>
      <c r="AW35" s="969"/>
      <c r="AX35" s="969"/>
      <c r="AY35" s="969"/>
      <c r="AZ35" s="969"/>
      <c r="BA35" s="970"/>
      <c r="BB35" s="947"/>
      <c r="BC35" s="948"/>
      <c r="BD35" s="947"/>
      <c r="BE35" s="948"/>
      <c r="BF35" s="931"/>
      <c r="BG35" s="932"/>
      <c r="BH35" s="974"/>
      <c r="BI35" s="975"/>
      <c r="BJ35" s="976"/>
      <c r="BK35" s="936"/>
      <c r="BL35" s="937"/>
      <c r="BM35" s="938"/>
      <c r="BN35" s="942"/>
      <c r="BO35" s="943"/>
      <c r="BP35" s="944"/>
      <c r="BS35" s="967"/>
      <c r="BT35" s="967"/>
      <c r="BV35" s="926"/>
      <c r="BW35" s="926"/>
      <c r="BX35" s="926"/>
      <c r="BY35" s="927"/>
      <c r="BZ35" s="928"/>
      <c r="CB35" s="986"/>
      <c r="CC35" s="925"/>
      <c r="CD35" s="925"/>
      <c r="CE35" s="925"/>
      <c r="CF35" s="925"/>
      <c r="CG35" s="925"/>
      <c r="CH35" s="925"/>
      <c r="CI35" s="925"/>
      <c r="CJ35" s="977"/>
      <c r="CK35" s="977"/>
      <c r="CL35" s="977"/>
      <c r="CM35" s="977"/>
      <c r="CN35" s="977"/>
      <c r="CO35" s="977"/>
      <c r="CP35" s="977"/>
      <c r="CQ35" s="977"/>
      <c r="CR35" s="977"/>
      <c r="CS35" s="983"/>
      <c r="CT35" s="982"/>
      <c r="CU35" s="979"/>
      <c r="CV35" s="925"/>
      <c r="CW35" s="925"/>
      <c r="CX35" s="925"/>
      <c r="CY35" s="925"/>
      <c r="CZ35" s="925"/>
      <c r="DA35" s="925"/>
      <c r="DD35" s="981"/>
      <c r="DE35" s="925"/>
      <c r="DF35" s="981"/>
      <c r="DG35" s="925"/>
      <c r="DH35" s="925"/>
      <c r="DI35" s="925"/>
      <c r="DJ35" s="925"/>
      <c r="DK35" s="925"/>
      <c r="DL35" s="925"/>
      <c r="DM35" s="925"/>
      <c r="DN35" s="925"/>
      <c r="DO35" s="925"/>
      <c r="DP35" s="925"/>
      <c r="DQ35" s="925"/>
      <c r="DR35" s="981"/>
      <c r="DS35" s="981"/>
      <c r="DT35" s="981"/>
      <c r="DU35" s="981"/>
      <c r="DV35" s="981"/>
      <c r="DW35" s="981"/>
      <c r="DX35" s="981"/>
      <c r="DY35" s="925"/>
      <c r="DZ35" s="925"/>
      <c r="EA35" s="925"/>
      <c r="EB35" s="925"/>
      <c r="EC35" s="925"/>
      <c r="ED35" s="925"/>
      <c r="EE35" s="925"/>
      <c r="EF35" s="925"/>
      <c r="EG35" s="925"/>
      <c r="EH35" s="925"/>
      <c r="EI35" s="925"/>
      <c r="EJ35" s="925"/>
      <c r="EK35" s="925"/>
      <c r="EL35" s="925"/>
      <c r="EM35" s="925"/>
      <c r="EN35" s="925"/>
    </row>
    <row r="36" spans="1:144" ht="16.350000000000001" customHeight="1">
      <c r="A36" s="462"/>
      <c r="B36" s="994">
        <v>10</v>
      </c>
      <c r="C36" s="995"/>
      <c r="D36" s="996"/>
      <c r="E36" s="997"/>
      <c r="F36" s="961"/>
      <c r="G36" s="962"/>
      <c r="H36" s="962"/>
      <c r="I36" s="962"/>
      <c r="J36" s="962"/>
      <c r="K36" s="963"/>
      <c r="L36" s="961"/>
      <c r="M36" s="962"/>
      <c r="N36" s="962"/>
      <c r="O36" s="962"/>
      <c r="P36" s="962"/>
      <c r="Q36" s="963"/>
      <c r="R36" s="1044"/>
      <c r="S36" s="1044"/>
      <c r="T36" s="1044"/>
      <c r="U36" s="1044"/>
      <c r="V36" s="1044"/>
      <c r="W36" s="1044"/>
      <c r="X36" s="1045"/>
      <c r="Y36" s="1045"/>
      <c r="Z36" s="1045"/>
      <c r="AA36" s="1045"/>
      <c r="AB36" s="1045"/>
      <c r="AC36" s="1045"/>
      <c r="AD36" s="961"/>
      <c r="AE36" s="962"/>
      <c r="AF36" s="962"/>
      <c r="AG36" s="962"/>
      <c r="AH36" s="962"/>
      <c r="AI36" s="963"/>
      <c r="AJ36" s="949"/>
      <c r="AK36" s="950"/>
      <c r="AL36" s="951"/>
      <c r="AM36" s="949"/>
      <c r="AN36" s="950"/>
      <c r="AO36" s="951"/>
      <c r="AP36" s="955"/>
      <c r="AQ36" s="956"/>
      <c r="AR36" s="957"/>
      <c r="AS36" s="955"/>
      <c r="AT36" s="956"/>
      <c r="AU36" s="957"/>
      <c r="AV36" s="968"/>
      <c r="AW36" s="969"/>
      <c r="AX36" s="970"/>
      <c r="AY36" s="968"/>
      <c r="AZ36" s="969"/>
      <c r="BA36" s="970"/>
      <c r="BB36" s="945"/>
      <c r="BC36" s="946"/>
      <c r="BD36" s="945"/>
      <c r="BE36" s="946"/>
      <c r="BF36" s="929" t="str">
        <f>IF(CB36="OK",ROUND(BB36+BD36,2),"")</f>
        <v/>
      </c>
      <c r="BG36" s="930"/>
      <c r="BH36" s="971" t="str">
        <f t="shared" ref="BH36" si="209">IFERROR(IF(AND($CB36="OK",$CU36="OK"),$CI36,IF($CB36&lt;&gt;"OK",$CB36,$CU36)),"")</f>
        <v/>
      </c>
      <c r="BI36" s="972"/>
      <c r="BJ36" s="973"/>
      <c r="BK36" s="933" t="str">
        <f t="shared" ref="BK36" si="210">IF($CB36="OK",CM36,"")</f>
        <v/>
      </c>
      <c r="BL36" s="934"/>
      <c r="BM36" s="935"/>
      <c r="BN36" s="939" t="str">
        <f t="shared" ref="BN36" si="211">IF($CB36="OK",$CR36,"")</f>
        <v/>
      </c>
      <c r="BO36" s="940"/>
      <c r="BP36" s="941"/>
      <c r="BS36" s="967"/>
      <c r="BT36" s="967"/>
      <c r="BV36" s="926" t="str">
        <f t="shared" ref="BV36" si="212">IFERROR(ROUND(IF(AND(CB36="OK",CU36="OK"),CT36,""),0),"")</f>
        <v/>
      </c>
      <c r="BW36" s="926" t="str">
        <f t="shared" ref="BW36" si="213">IFERROR(ROUND(IF(AND(CB36="OK",CU36="OK"),BV36/3,""),0),"")</f>
        <v/>
      </c>
      <c r="BX36" s="926"/>
      <c r="BY36" s="927"/>
      <c r="BZ36" s="928"/>
      <c r="CB36" s="986" t="str">
        <f>IF(AND(C36="",F36="",R36="",AD36="",U36="",X36="",L36="",AJ36="",AV36="",AM36="",AP36="",AY36="",AV37="",BB36="",BD36="",AA36="",AS36=""),"",
IF(OR(C36="",F36="",R36="",AD36="",U36="",X36="",L36="",AJ36="",AV36="",AM36="",AP36="",AY36="",AV37="",BB36="",BD36="",AA36="",AS36=""),"Missing Fields",
IF(AND(M02S04F04disp="Required",M02S04F04=""),"TA Info Incomplete",
"OK")))</f>
        <v/>
      </c>
      <c r="CC36" s="925" t="str">
        <f>IF(AND(CB36="OK",CU36="OK"),INDEX(Tbl_Cust_Heat[Measure Number], MATCH(F36,Tbl_Cust_Heat[Proj Desc 1],0)),"")</f>
        <v/>
      </c>
      <c r="CD36" s="925"/>
      <c r="CE36" s="925" t="str">
        <f t="shared" ref="CE36" si="214">IF(CB36="OK","Measure","")</f>
        <v/>
      </c>
      <c r="CF36" s="925" t="str">
        <f t="shared" ref="CF36" si="215">IF(CB36="OK",1,"")</f>
        <v/>
      </c>
      <c r="CG36" s="978" t="str">
        <f t="shared" ref="CG36" si="216">IFERROR(CI36/CF36,"")</f>
        <v/>
      </c>
      <c r="CH36" s="978" t="str">
        <f>IF(CB36="OK",IF(CM36&gt;0,CM36*Incent_Rate_kWh,0)+IF(CO36&gt;0,CO36*Incent_Rate_thm,0),"")</f>
        <v/>
      </c>
      <c r="CI36" s="978" t="str">
        <f>IFERROR(IF($CB36="OK",IF(INCENTTOCOST_CUST&gt;CostCap_Cust,
CH36*CostCap_Cust/INCENTTOCOST_CUST,CH36),""),"")</f>
        <v/>
      </c>
      <c r="CJ36" s="977">
        <f t="shared" ref="CJ36" si="217">CM36</f>
        <v>0</v>
      </c>
      <c r="CK36" s="977">
        <f t="shared" ref="CK36" si="218">CN36</f>
        <v>0</v>
      </c>
      <c r="CL36" s="977">
        <f t="shared" ref="CL36" si="219">CO36</f>
        <v>0</v>
      </c>
      <c r="CM36" s="977">
        <f>R36-AJ36</f>
        <v>0</v>
      </c>
      <c r="CN36" s="977">
        <f>U36-AM36</f>
        <v>0</v>
      </c>
      <c r="CO36" s="977">
        <f t="shared" ref="CO36" si="220">IF(CR36&gt;0,CR36,0)</f>
        <v>0</v>
      </c>
      <c r="CP36" s="977">
        <f t="shared" ref="CP36" si="221">CM36</f>
        <v>0</v>
      </c>
      <c r="CQ36" s="977">
        <f t="shared" ref="CQ36" si="222">CN36</f>
        <v>0</v>
      </c>
      <c r="CR36" s="977">
        <f>X36-AP36</f>
        <v>0</v>
      </c>
      <c r="CS36" s="983"/>
      <c r="CT36" s="982" t="str">
        <f>IF(CB36="OK",INDEX(Tbl_Cust_Heat[EUL], MATCH(F36,Tbl_Cust_Heat[Proj Desc 1],0)),"")</f>
        <v/>
      </c>
      <c r="CU36" s="979" t="str">
        <f t="shared" ref="CU36" si="223">IFERROR(IF(AND($CM36&lt;=0,$CN36&lt;=0,$CO36&lt;=0),"No Savings","OK"),"")</f>
        <v>No Savings</v>
      </c>
      <c r="CV36" s="925" t="str">
        <f t="shared" ref="CV36" si="224">IF(AND(CB36="OK",CU36="OK"),"1","")</f>
        <v/>
      </c>
      <c r="CW36" s="925" t="str">
        <f>IFERROR(IF($CB36="OK",ROUND($AQ$14*SUM(BB36:BE37)/SUM($BF$18:$BG$37),2),""),"")</f>
        <v/>
      </c>
      <c r="CX36" s="925" t="str">
        <f>IFERROR(IF(M02S04F04="Customer/Self-Installed",CW36,IF($CB36="OK",CW36+BD36,"")),"")</f>
        <v/>
      </c>
      <c r="CY36" s="925" t="str">
        <f>IFERROR(IF($CB36="OK",CX36+BB36,""),"")</f>
        <v/>
      </c>
      <c r="CZ36" s="925" t="str">
        <f>IF(CB36="OK",INDEX(MEASURES3_M!$O$24, MATCH(F36,MEASURES3_M!$C$24,0)),"")</f>
        <v/>
      </c>
      <c r="DA36" s="925" t="str">
        <f>IF(CB36="OK",INDEX(MEASURES3_M!$P$24, MATCH(F36,MEASURES3_M!$C$24,0)),"")</f>
        <v/>
      </c>
      <c r="DD36" s="980" t="str">
        <f>IFERROR(IF(CB36&lt;&gt;"OK","",CM36*VLOOKUP('DATA TABLES_Project'!$C$247,'DATA TABLES_Project'!$A$250:$B$285,2,FALSE)),"")</f>
        <v/>
      </c>
      <c r="DE36" s="925" t="str">
        <f t="shared" ref="DE36" si="225">IFERROR(IF(CB36&lt;&gt;"OK","",CM36*CZ36*0.92),"")</f>
        <v/>
      </c>
      <c r="DF36" s="980" t="str">
        <f>IFERROR(IF(CB36&lt;&gt;"OK","",CM36*CZ36*0.92*VLOOKUP('DATA TABLES_Project'!$C$247,'DATA TABLES_Project'!$A$250:$B$285,2,FALSE)),"")</f>
        <v/>
      </c>
      <c r="DG36" s="925" t="str">
        <f t="shared" ref="DG36" si="226">IFERROR(IF(CB36&lt;&gt;"OK","",CM36*BV36),IF(BX36="Dual",(CM36*BW36)+((BY36-AJ36)*(BV36-BW36)),""))</f>
        <v/>
      </c>
      <c r="DH36" s="925" t="str">
        <f ca="1">IFERROR(IF(CB36&lt;&gt;"OK","",IF(OR(BX36="Single",BX36=""), CM36*BV36*AVERAGE(INDEX('DATA TABLES_Project'!$B$250:$B$285, MATCH('DATA TABLES_Project'!$C$247,'DATA TABLES_Project'!$A$250:$A$285, 0)):OFFSET(INDEX('DATA TABLES_Project'!$B$250:$B$285, MATCH('DATA TABLES_Project'!$C$247,'DATA TABLES_Project'!$A$250:$A$285, 0)),BV36-1,0)),CM36*BW36*AVERAGE(INDEX('DATA TABLES_Project'!$B$250:$B$285, MATCH('DATA TABLES_Project'!$C$247,'DATA TABLES_Project'!$A$250:$A$285, 0)):OFFSET(INDEX('DATA TABLES_Project'!$B$250:$B$285, MATCH('DATA TABLES_Project'!$C$247,'DATA TABLES_Project'!$A$250:$A$285, 0)),BW36-1,0)) + ((BY36-AJ36)*(BV36-BW36)*AVERAGE(OFFSET(INDEX('DATA TABLES_Project'!$B$250:$B$285, MATCH('DATA TABLES_Project'!$C$247,'DATA TABLES_Project'!$A$250:$A$285, 0)),BW36,0):OFFSET(INDEX('DATA TABLES_Project'!$B$250:$B$285, MATCH('DATA TABLES_Project'!$C$247,'DATA TABLES_Project'!$A$250:$A$285, 0)),BV36-1,0))))), "")</f>
        <v/>
      </c>
      <c r="DI36" s="925" t="str">
        <f t="shared" ref="DI36" si="227">IFERROR(IF(CB36&lt;&gt;"OK","",IF(BX36="Dual",(CM36*BW36)+((BY36-AJ36)*(BV36-BW36))*CZ36*0.92,CM36*CZ36*BV36*0.92)),"")</f>
        <v/>
      </c>
      <c r="DJ36" s="925" t="str">
        <f ca="1">IFERROR(IF(CB36&lt;&gt;"OK","",IF(OR(BX36="Single",BX36=""),0.92*CZ36*CM36*BV36*AVERAGE(INDEX('DATA TABLES_Project'!$B$250:$B$285, MATCH('DATA TABLES_Project'!$C$247,'DATA TABLES_Project'!$A$250:$A$285, 0)):OFFSET(INDEX('DATA TABLES_Project'!$B$250:$B$285, MATCH('DATA TABLES_Project'!$C$247,'DATA TABLES_Project'!$A$250:$A$285, 0)),BV36-1,0)),0.92*CZ36*CM36*BW36*AVERAGE(INDEX('DATA TABLES_Project'!$B$250:$B$285, MATCH('DATA TABLES_Project'!$C$247,'DATA TABLES_Project'!$A$250:$A$285, 0)):OFFSET(INDEX('DATA TABLES_Project'!$B$250:$B$285, MATCH('DATA TABLES_Project'!$C$247,'DATA TABLES_Project'!$A$250:$A$285, 0)),BW36-1,0)) + (0.92*CZ36*(BY36-AJ36)*(BV36-BW36)*AVERAGE(OFFSET(INDEX('DATA TABLES_Project'!$B$250:$B$285, MATCH('DATA TABLES_Project'!$C$247,'DATA TABLES_Project'!$A$250:$A$285, 0)),BW36,0):OFFSET(INDEX('DATA TABLES_Project'!$B$250:$B$285, MATCH('DATA TABLES_Project'!$C$247,'DATA TABLES_Project'!$A$250:$A$285, 0)),BV36-1,0))))), "")</f>
        <v/>
      </c>
      <c r="DK36" s="925" t="str">
        <f>IFERROR(IF(CB36&lt;&gt;"OK","",CO36*'DATA TABLES_Project'!$C$250),"")</f>
        <v/>
      </c>
      <c r="DL36" s="925" t="str">
        <f t="shared" ref="DL36" si="228">IFERROR(IF(CB36&lt;&gt;"OK","",CO36*DA36*0.92),"")</f>
        <v/>
      </c>
      <c r="DM36" s="925" t="str">
        <f>IFERROR(IF(CB36&lt;&gt;"OK","",CO36*'DATA TABLES_Project'!$C$250*DA36*0.92),"")</f>
        <v/>
      </c>
      <c r="DN36" s="925" t="str">
        <f t="shared" ref="DN36" si="229">IFERROR(IF(CB36&lt;&gt;"OK","",CO36*BV36),IF(BX36="Dual",(CO36*BW36)+((BZ36-AP36)*(BV36-BW36)),""))</f>
        <v/>
      </c>
      <c r="DO36" s="925" t="str">
        <f ca="1">IFERROR(IF(CB36&lt;&gt;"OK","",CO36*BV36*AVERAGE('DATA TABLES_Project'!$C$250:OFFSET('DATA TABLES_Project'!$C$250,BV36,0))),IF(BX36="Dual",(CO36*BW36*AVERAGE('DATA TABLES_Project'!$C$251:$C$259))+((BZ36-AP36)*(BV36-BW36)*AVERAGE('DATA TABLES_Project'!$C$260:$C$279)),""))</f>
        <v/>
      </c>
      <c r="DP36" s="925" t="str">
        <f t="shared" ref="DP36" si="230">IFERROR(IF(CB36&lt;&gt;"OK","",IF(BX36="Dual",((CO36*BW36)+(BZ36-AP36)*(BV36-BW36))*DA36*0.92,CO36*BV36*DA36*0.92)),"")</f>
        <v/>
      </c>
      <c r="DQ36" s="925" t="str">
        <f ca="1">IFERROR(IF(CB36&lt;&gt;"OK","",IF(BX36="Dual",(0.92*DA36*CO36*BW36*AVERAGE('DATA TABLES_Project'!$C$251:$C$259))+(0.92*DA36*(BZ36-AP36)*(BV36-BW36)*AVERAGE('DATA TABLES_Project'!$C$260:$C$279)),0.92*DA36*CO36*BV36*AVERAGE('DATA TABLES_Project'!$C$250:OFFSET('DATA TABLES_Project'!$C$250,BV36,0)))),"")</f>
        <v/>
      </c>
      <c r="DR36" s="980" t="str">
        <f>IFERROR(IF($CB36&lt;&gt;"OK","",CM36*'DATA TABLES_Project'!$B$290+IF(CO36&lt;0,0,CO36*'DATA TABLES_Project'!$B$291)),"")</f>
        <v/>
      </c>
      <c r="DS36" s="980" t="str">
        <f>IFERROR(IF($CB36&lt;&gt;"OK","",DD36*'DATA TABLES_Project'!$B$290+IF(DK36&lt;0,0,DK36*'DATA TABLES_Project'!$B$291)),"")</f>
        <v/>
      </c>
      <c r="DT36" s="980" t="str">
        <f>IFERROR(IF($CB36&lt;&gt;"OK","",DE36*'DATA TABLES_Project'!$B$290+IF(DL36&lt;0,0,DL36*'DATA TABLES_Project'!$B$291)),"")</f>
        <v/>
      </c>
      <c r="DU36" s="980" t="str">
        <f>IFERROR(IF($CB36&lt;&gt;"OK","",DF36*'DATA TABLES_Project'!$B$290+IF(DM36&lt;0,0,DM36*'DATA TABLES_Project'!$B$291)),"")</f>
        <v/>
      </c>
      <c r="DV36" s="980" t="str">
        <f>IFERROR(IF($CB36&lt;&gt;"OK","",DG36*'DATA TABLES_Project'!$B$290+IF(DN36&lt;0,0,DN36*'DATA TABLES_Project'!$B$291)),"")</f>
        <v/>
      </c>
      <c r="DW36" s="980" t="str">
        <f>IFERROR(IF($CB36&lt;&gt;"OK","",DH36*'DATA TABLES_Project'!$B$290+IF(DO36&lt;0,0,DO36*'DATA TABLES_Project'!$B$291)),"")</f>
        <v/>
      </c>
      <c r="DX36" s="980" t="str">
        <f>IFERROR(IF($CB36&lt;&gt;"OK","",DI36*'DATA TABLES_Project'!$B$290+IF(DP36&lt;0,0,DP36*'DATA TABLES_Project'!$B$291)),"")</f>
        <v/>
      </c>
      <c r="DY36" s="925" t="str">
        <f>IFERROR(IF($CB36&lt;&gt;"OK","",DJ36*'DATA TABLES_Project'!$B$290+IF(DQ36&lt;0,0,DQ36*'DATA TABLES_Project'!$B$291)),"")</f>
        <v/>
      </c>
      <c r="DZ36" s="925" t="str">
        <f t="shared" ref="DZ36" si="231">IFERROR(IF($CB36&lt;&gt;"OK","",AS36),"")</f>
        <v/>
      </c>
      <c r="EA36" s="925" t="str">
        <f>IFERROR(IF(CB36&lt;&gt;"OK","",CN36*'DATA TABLES_Project'!$B$250*CZ36*1.03),"")</f>
        <v/>
      </c>
      <c r="EB36" s="925" t="str">
        <f t="shared" ref="EB36" si="232">IFERROR(IF(CB36&lt;&gt;"OK","",CN36*CZ36*1.03),"")</f>
        <v/>
      </c>
      <c r="EC36" s="925" t="str">
        <f>IFERROR(IF(CB36&lt;&gt;"OK","",CZ36*DZ36*'DATA TABLES_Project'!$C$250*0.92),"")</f>
        <v/>
      </c>
      <c r="ED36" s="925" t="str">
        <f>IFERROR(IF(CB36&lt;&gt;"OK","",CZ36*DZ36*'DATA TABLES_Project'!$C$250*0.92),"")</f>
        <v/>
      </c>
      <c r="EE36" s="925" t="str">
        <f t="shared" ref="EE36" si="233">IFERROR(IF(CB36&lt;&gt;"OK","",CZ36*DZ36*0.92),"")</f>
        <v/>
      </c>
      <c r="EF36" s="925" t="str">
        <f t="shared" ref="EF36" si="234">IFERROR(IF(CB36&lt;&gt;"OK","",CZ36*DZ36*0.92),"")</f>
        <v/>
      </c>
      <c r="EG36" s="925" t="str">
        <f>IFERROR(IF($CB36&lt;&gt;"OK","",CM36*'DATA TABLES_Project'!$B$290+CO36*'DATA TABLES_Project'!$B$291),"")</f>
        <v/>
      </c>
      <c r="EH36" s="925" t="str">
        <f>IFERROR(IF($CB36&lt;&gt;"OK","",DD36*'DATA TABLES_Project'!$B$290+DK36*'DATA TABLES_Project'!$B$291),"")</f>
        <v/>
      </c>
      <c r="EI36" s="925" t="str">
        <f>IFERROR(IF($CB36&lt;&gt;"OK","",DE36*'DATA TABLES_Project'!$B$290+DL36*'DATA TABLES_Project'!$B$291),"")</f>
        <v/>
      </c>
      <c r="EJ36" s="925" t="str">
        <f>IFERROR(IF($CB36&lt;&gt;"OK","",DF36*'DATA TABLES_Project'!$B$290+DM36*'DATA TABLES_Project'!$B$291),"")</f>
        <v/>
      </c>
      <c r="EK36" s="925" t="str">
        <f>IFERROR(IF($CB36&lt;&gt;"OK","",DG36*'DATA TABLES_Project'!$B$290+DN36*'DATA TABLES_Project'!$B$291),"")</f>
        <v/>
      </c>
      <c r="EL36" s="925" t="str">
        <f>IFERROR(IF($CB36&lt;&gt;"OK","",DH36*'DATA TABLES_Project'!$B$290+DO36*'DATA TABLES_Project'!$B$291),"")</f>
        <v/>
      </c>
      <c r="EM36" s="925" t="str">
        <f>IFERROR(IF($CB36&lt;&gt;"OK","",DI36*'DATA TABLES_Project'!$B$290+DP36*'DATA TABLES_Project'!$B$291),"")</f>
        <v/>
      </c>
      <c r="EN36" s="925" t="str">
        <f>IFERROR(IF($CB36&lt;&gt;"OK","",DJ36*'DATA TABLES_Project'!$B$290+DQ36*'DATA TABLES_Project'!$B$291),"")</f>
        <v/>
      </c>
    </row>
    <row r="37" spans="1:144" ht="16.350000000000001" customHeight="1">
      <c r="A37" s="462"/>
      <c r="B37" s="994"/>
      <c r="C37" s="998"/>
      <c r="D37" s="999"/>
      <c r="E37" s="1000"/>
      <c r="F37" s="964"/>
      <c r="G37" s="965"/>
      <c r="H37" s="965"/>
      <c r="I37" s="965"/>
      <c r="J37" s="965"/>
      <c r="K37" s="966"/>
      <c r="L37" s="964"/>
      <c r="M37" s="965"/>
      <c r="N37" s="965"/>
      <c r="O37" s="965"/>
      <c r="P37" s="965"/>
      <c r="Q37" s="966"/>
      <c r="R37" s="1044"/>
      <c r="S37" s="1044"/>
      <c r="T37" s="1044"/>
      <c r="U37" s="1044"/>
      <c r="V37" s="1044"/>
      <c r="W37" s="1044"/>
      <c r="X37" s="1045"/>
      <c r="Y37" s="1045"/>
      <c r="Z37" s="1045"/>
      <c r="AA37" s="1045"/>
      <c r="AB37" s="1045"/>
      <c r="AC37" s="1045"/>
      <c r="AD37" s="964"/>
      <c r="AE37" s="965"/>
      <c r="AF37" s="965"/>
      <c r="AG37" s="965"/>
      <c r="AH37" s="965"/>
      <c r="AI37" s="966"/>
      <c r="AJ37" s="952"/>
      <c r="AK37" s="953"/>
      <c r="AL37" s="954"/>
      <c r="AM37" s="952"/>
      <c r="AN37" s="953"/>
      <c r="AO37" s="954"/>
      <c r="AP37" s="958"/>
      <c r="AQ37" s="959"/>
      <c r="AR37" s="960"/>
      <c r="AS37" s="958"/>
      <c r="AT37" s="959"/>
      <c r="AU37" s="960"/>
      <c r="AV37" s="968"/>
      <c r="AW37" s="969"/>
      <c r="AX37" s="969"/>
      <c r="AY37" s="969"/>
      <c r="AZ37" s="969"/>
      <c r="BA37" s="970"/>
      <c r="BB37" s="947"/>
      <c r="BC37" s="948"/>
      <c r="BD37" s="947"/>
      <c r="BE37" s="948"/>
      <c r="BF37" s="931"/>
      <c r="BG37" s="932"/>
      <c r="BH37" s="974"/>
      <c r="BI37" s="975"/>
      <c r="BJ37" s="976"/>
      <c r="BK37" s="936"/>
      <c r="BL37" s="937"/>
      <c r="BM37" s="938"/>
      <c r="BN37" s="942"/>
      <c r="BO37" s="943"/>
      <c r="BP37" s="944"/>
      <c r="BS37" s="967"/>
      <c r="BT37" s="967"/>
      <c r="BV37" s="926"/>
      <c r="BW37" s="926"/>
      <c r="BX37" s="926"/>
      <c r="BY37" s="927"/>
      <c r="BZ37" s="928"/>
      <c r="CB37" s="986"/>
      <c r="CC37" s="925"/>
      <c r="CD37" s="925"/>
      <c r="CE37" s="925"/>
      <c r="CF37" s="925"/>
      <c r="CG37" s="925"/>
      <c r="CH37" s="925"/>
      <c r="CI37" s="925"/>
      <c r="CJ37" s="977"/>
      <c r="CK37" s="977"/>
      <c r="CL37" s="977"/>
      <c r="CM37" s="977"/>
      <c r="CN37" s="977"/>
      <c r="CO37" s="977"/>
      <c r="CP37" s="977"/>
      <c r="CQ37" s="977"/>
      <c r="CR37" s="977"/>
      <c r="CS37" s="983"/>
      <c r="CT37" s="982"/>
      <c r="CU37" s="979"/>
      <c r="CV37" s="925"/>
      <c r="CW37" s="925"/>
      <c r="CX37" s="925"/>
      <c r="CY37" s="925"/>
      <c r="CZ37" s="925"/>
      <c r="DA37" s="925"/>
      <c r="DD37" s="981"/>
      <c r="DE37" s="925"/>
      <c r="DF37" s="981"/>
      <c r="DG37" s="925"/>
      <c r="DH37" s="925"/>
      <c r="DI37" s="925"/>
      <c r="DJ37" s="925"/>
      <c r="DK37" s="925"/>
      <c r="DL37" s="925"/>
      <c r="DM37" s="925"/>
      <c r="DN37" s="925"/>
      <c r="DO37" s="925"/>
      <c r="DP37" s="925"/>
      <c r="DQ37" s="925"/>
      <c r="DR37" s="981"/>
      <c r="DS37" s="981"/>
      <c r="DT37" s="981"/>
      <c r="DU37" s="981"/>
      <c r="DV37" s="981"/>
      <c r="DW37" s="981"/>
      <c r="DX37" s="981"/>
      <c r="DY37" s="925"/>
      <c r="DZ37" s="925"/>
      <c r="EA37" s="925"/>
      <c r="EB37" s="925"/>
      <c r="EC37" s="925"/>
      <c r="ED37" s="925"/>
      <c r="EE37" s="925"/>
      <c r="EF37" s="925"/>
      <c r="EG37" s="925"/>
      <c r="EH37" s="925"/>
      <c r="EI37" s="925"/>
      <c r="EJ37" s="925"/>
      <c r="EK37" s="925"/>
      <c r="EL37" s="925"/>
      <c r="EM37" s="925"/>
      <c r="EN37" s="925"/>
    </row>
    <row r="38" spans="1:144" ht="16.350000000000001" customHeight="1">
      <c r="A38" s="462"/>
      <c r="B38" s="994"/>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462"/>
      <c r="BD38" s="462"/>
      <c r="BE38" s="462"/>
      <c r="BF38" s="462"/>
      <c r="BG38" s="462"/>
      <c r="BH38" s="462"/>
      <c r="BI38" s="462"/>
      <c r="BJ38" s="462"/>
    </row>
    <row r="39" spans="1:144" ht="16.350000000000001" hidden="1" customHeight="1">
      <c r="A39" s="462"/>
      <c r="B39" s="994"/>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462"/>
      <c r="BD39" s="462"/>
      <c r="BE39" s="462"/>
      <c r="BF39" s="462"/>
      <c r="BG39" s="462"/>
      <c r="BH39" s="462"/>
      <c r="BI39" s="462"/>
      <c r="BJ39" s="462"/>
    </row>
    <row r="40" spans="1:144" ht="16.350000000000001" hidden="1" customHeight="1">
      <c r="B40" s="1046"/>
    </row>
    <row r="41" spans="1:144" ht="16.350000000000001" hidden="1" customHeight="1">
      <c r="B41" s="1046"/>
    </row>
    <row r="42" spans="1:144" ht="16.350000000000001" hidden="1" customHeight="1">
      <c r="B42" s="1046"/>
    </row>
    <row r="43" spans="1:144" ht="16.350000000000001" hidden="1" customHeight="1">
      <c r="B43" s="1046"/>
    </row>
    <row r="44" spans="1:144" ht="16.350000000000001" hidden="1" customHeight="1">
      <c r="B44" s="1046"/>
    </row>
    <row r="45" spans="1:144" ht="16.350000000000001" hidden="1" customHeight="1">
      <c r="B45" s="1046"/>
    </row>
    <row r="46" spans="1:144" ht="16.350000000000001" hidden="1" customHeight="1">
      <c r="B46" s="1046"/>
    </row>
    <row r="47" spans="1:144" ht="16.350000000000001" hidden="1" customHeight="1">
      <c r="B47" s="1046"/>
    </row>
    <row r="48" spans="1:144" ht="16.350000000000001" hidden="1" customHeight="1">
      <c r="AY48" s="16"/>
      <c r="AZ48" s="20"/>
      <c r="BC48" s="20"/>
      <c r="BD48" s="20"/>
    </row>
    <row r="49" spans="51:56" ht="16.350000000000001" hidden="1" customHeight="1">
      <c r="AY49" s="16"/>
      <c r="AZ49" s="20"/>
      <c r="BC49" s="20"/>
      <c r="BD49" s="20"/>
    </row>
    <row r="50" spans="51:56" ht="16.350000000000001" hidden="1" customHeight="1">
      <c r="AY50" s="16"/>
      <c r="AZ50" s="20"/>
      <c r="BC50" s="20"/>
      <c r="BD50" s="20"/>
    </row>
    <row r="51" spans="51:56" ht="16.350000000000001" hidden="1" customHeight="1">
      <c r="AY51" s="16"/>
      <c r="AZ51" s="20"/>
      <c r="BC51" s="20"/>
      <c r="BD51" s="20"/>
    </row>
    <row r="52" spans="51:56" ht="16.350000000000001" hidden="1" customHeight="1">
      <c r="AY52" s="16"/>
      <c r="AZ52" s="20"/>
      <c r="BC52" s="20"/>
      <c r="BD52" s="20"/>
    </row>
    <row r="53" spans="51:56" ht="16.350000000000001" hidden="1" customHeight="1">
      <c r="AY53" s="16"/>
      <c r="AZ53" s="20"/>
      <c r="BC53" s="20"/>
      <c r="BD53" s="20"/>
    </row>
    <row r="54" spans="51:56" ht="16.350000000000001" hidden="1" customHeight="1">
      <c r="AY54" s="16"/>
      <c r="AZ54" s="20"/>
      <c r="BC54" s="20"/>
      <c r="BD54" s="20"/>
    </row>
    <row r="55" spans="51:56" ht="16.350000000000001" hidden="1" customHeight="1">
      <c r="AY55" s="16"/>
      <c r="AZ55" s="20"/>
      <c r="BC55" s="20"/>
      <c r="BD55" s="20"/>
    </row>
    <row r="56" spans="51:56" ht="16.350000000000001" hidden="1" customHeight="1">
      <c r="AY56" s="16"/>
      <c r="AZ56" s="20"/>
      <c r="BC56" s="20"/>
      <c r="BD56" s="20"/>
    </row>
    <row r="57" spans="51:56" ht="16.350000000000001" hidden="1" customHeight="1">
      <c r="AY57" s="16"/>
      <c r="AZ57" s="20"/>
      <c r="BC57" s="20"/>
      <c r="BD57" s="20"/>
    </row>
    <row r="58" spans="51:56" ht="16.350000000000001" hidden="1" customHeight="1">
      <c r="AY58" s="16"/>
      <c r="AZ58" s="20"/>
      <c r="BC58" s="20"/>
      <c r="BD58" s="20"/>
    </row>
    <row r="59" spans="51:56" ht="16.350000000000001" hidden="1" customHeight="1">
      <c r="AY59" s="16"/>
      <c r="AZ59" s="20"/>
      <c r="BC59" s="20"/>
      <c r="BD59" s="20"/>
    </row>
    <row r="60" spans="51:56" ht="16.350000000000001" hidden="1" customHeight="1">
      <c r="AY60" s="16"/>
      <c r="AZ60" s="20"/>
      <c r="BC60" s="20"/>
      <c r="BD60" s="20"/>
    </row>
    <row r="61" spans="51:56" ht="16.350000000000001" hidden="1" customHeight="1">
      <c r="AY61" s="16"/>
      <c r="AZ61" s="20"/>
      <c r="BC61" s="20"/>
      <c r="BD61" s="20"/>
    </row>
    <row r="62" spans="51:56" ht="16.350000000000001" hidden="1" customHeight="1">
      <c r="AY62" s="16"/>
      <c r="AZ62" s="20"/>
      <c r="BC62" s="20"/>
      <c r="BD62" s="20"/>
    </row>
    <row r="63" spans="51:56" ht="16.350000000000001" hidden="1" customHeight="1">
      <c r="AY63" s="16"/>
      <c r="AZ63" s="20"/>
      <c r="BC63" s="20"/>
      <c r="BD63" s="20"/>
    </row>
    <row r="64" spans="51:56" ht="16.350000000000001" hidden="1" customHeight="1">
      <c r="AY64" s="16"/>
      <c r="AZ64" s="20"/>
      <c r="BC64" s="20"/>
      <c r="BD64" s="20"/>
    </row>
    <row r="65" spans="51:56" ht="16.350000000000001" hidden="1" customHeight="1">
      <c r="AY65" s="16"/>
      <c r="AZ65" s="20"/>
      <c r="BC65" s="20"/>
      <c r="BD65" s="20"/>
    </row>
    <row r="66" spans="51:56" ht="16.350000000000001" hidden="1" customHeight="1">
      <c r="AY66" s="16"/>
      <c r="AZ66" s="20"/>
      <c r="BC66" s="20"/>
      <c r="BD66" s="20"/>
    </row>
    <row r="67" spans="51:56" ht="16.350000000000001" hidden="1" customHeight="1">
      <c r="AY67" s="16"/>
      <c r="AZ67" s="20"/>
      <c r="BC67" s="20"/>
      <c r="BD67" s="20"/>
    </row>
    <row r="68" spans="51:56" ht="16.350000000000001" hidden="1" customHeight="1">
      <c r="AY68" s="16"/>
      <c r="AZ68" s="20"/>
      <c r="BC68" s="20"/>
      <c r="BD68" s="20"/>
    </row>
    <row r="69" spans="51:56" ht="16.350000000000001" hidden="1" customHeight="1">
      <c r="AY69" s="16"/>
      <c r="AZ69" s="20"/>
      <c r="BC69" s="20"/>
      <c r="BD69" s="20"/>
    </row>
    <row r="70" spans="51:56" ht="16.350000000000001" hidden="1" customHeight="1">
      <c r="AY70" s="16"/>
      <c r="AZ70" s="20"/>
      <c r="BC70" s="20"/>
      <c r="BD70" s="20"/>
    </row>
    <row r="71" spans="51:56" ht="16.350000000000001" hidden="1" customHeight="1">
      <c r="AY71" s="16"/>
      <c r="AZ71" s="20"/>
      <c r="BC71" s="20"/>
      <c r="BD71" s="20"/>
    </row>
    <row r="72" spans="51:56" ht="16.350000000000001" hidden="1" customHeight="1">
      <c r="AY72" s="16"/>
      <c r="AZ72" s="20"/>
      <c r="BC72" s="20"/>
      <c r="BD72" s="20"/>
    </row>
    <row r="73" spans="51:56" ht="16.350000000000001" hidden="1" customHeight="1">
      <c r="AY73" s="16"/>
      <c r="AZ73" s="20"/>
      <c r="BC73" s="20"/>
      <c r="BD73" s="20"/>
    </row>
    <row r="74" spans="51:56" ht="16.350000000000001" hidden="1" customHeight="1">
      <c r="AY74" s="16"/>
      <c r="AZ74" s="20"/>
      <c r="BC74" s="20"/>
      <c r="BD74" s="20"/>
    </row>
    <row r="75" spans="51:56" ht="16.350000000000001" hidden="1" customHeight="1">
      <c r="AY75" s="16"/>
      <c r="AZ75" s="20"/>
      <c r="BC75" s="20"/>
      <c r="BD75" s="20"/>
    </row>
    <row r="76" spans="51:56" ht="16.350000000000001" hidden="1" customHeight="1">
      <c r="AY76" s="16"/>
      <c r="AZ76" s="20"/>
      <c r="BC76" s="20"/>
      <c r="BD76" s="20"/>
    </row>
    <row r="77" spans="51:56" ht="16.350000000000001" hidden="1" customHeight="1">
      <c r="AY77" s="16"/>
      <c r="AZ77" s="20"/>
      <c r="BC77" s="20"/>
      <c r="BD77" s="20"/>
    </row>
    <row r="78" spans="51:56" ht="16.350000000000001" hidden="1" customHeight="1">
      <c r="AY78" s="16"/>
      <c r="AZ78" s="20"/>
      <c r="BC78" s="20"/>
      <c r="BD78" s="20"/>
    </row>
    <row r="79" spans="51:56" ht="16.350000000000001" hidden="1" customHeight="1">
      <c r="AY79" s="16"/>
      <c r="AZ79" s="20"/>
      <c r="BC79" s="20"/>
      <c r="BD79" s="20"/>
    </row>
    <row r="80" spans="51:56" ht="16.350000000000001" hidden="1" customHeight="1">
      <c r="AY80" s="16"/>
      <c r="AZ80" s="20"/>
      <c r="BC80" s="20"/>
      <c r="BD80" s="20"/>
    </row>
    <row r="81" spans="51:56" ht="16.350000000000001" hidden="1" customHeight="1">
      <c r="AY81" s="16"/>
      <c r="AZ81" s="20"/>
      <c r="BC81" s="20"/>
      <c r="BD81" s="20"/>
    </row>
    <row r="82" spans="51:56" ht="16.350000000000001" hidden="1" customHeight="1">
      <c r="AY82" s="16"/>
      <c r="AZ82" s="20"/>
      <c r="BC82" s="20"/>
      <c r="BD82" s="20"/>
    </row>
    <row r="83" spans="51:56" ht="16.350000000000001" hidden="1" customHeight="1">
      <c r="AY83" s="16"/>
      <c r="AZ83" s="20"/>
      <c r="BC83" s="20"/>
      <c r="BD83" s="20"/>
    </row>
    <row r="84" spans="51:56" ht="16.350000000000001" hidden="1" customHeight="1">
      <c r="AY84" s="16"/>
      <c r="AZ84" s="20"/>
      <c r="BC84" s="20"/>
      <c r="BD84" s="20"/>
    </row>
    <row r="85" spans="51:56" ht="16.350000000000001" hidden="1" customHeight="1">
      <c r="AY85" s="16"/>
      <c r="AZ85" s="20"/>
      <c r="BC85" s="20"/>
      <c r="BD85" s="20"/>
    </row>
    <row r="86" spans="51:56" ht="16.350000000000001" hidden="1" customHeight="1">
      <c r="AY86" s="16"/>
      <c r="AZ86" s="20"/>
      <c r="BC86" s="20"/>
      <c r="BD86" s="20"/>
    </row>
    <row r="87" spans="51:56" ht="16.350000000000001" hidden="1" customHeight="1">
      <c r="AY87" s="16"/>
      <c r="AZ87" s="20"/>
      <c r="BC87" s="20"/>
      <c r="BD87" s="20"/>
    </row>
    <row r="88" spans="51:56" ht="16.350000000000001" hidden="1" customHeight="1">
      <c r="AY88" s="16"/>
      <c r="AZ88" s="20"/>
      <c r="BC88" s="20"/>
      <c r="BD88" s="20"/>
    </row>
    <row r="89" spans="51:56" ht="16.350000000000001" hidden="1" customHeight="1">
      <c r="AY89" s="16"/>
      <c r="AZ89" s="20"/>
      <c r="BC89" s="20"/>
      <c r="BD89" s="20"/>
    </row>
    <row r="90" spans="51:56" ht="16.350000000000001" hidden="1" customHeight="1">
      <c r="AY90" s="16"/>
      <c r="AZ90" s="20"/>
      <c r="BC90" s="20"/>
      <c r="BD90" s="20"/>
    </row>
    <row r="91" spans="51:56" ht="16.350000000000001" hidden="1" customHeight="1">
      <c r="AY91" s="16"/>
      <c r="AZ91" s="20"/>
      <c r="BC91" s="20"/>
      <c r="BD91" s="20"/>
    </row>
    <row r="92" spans="51:56" ht="16.350000000000001" hidden="1" customHeight="1">
      <c r="AY92" s="16"/>
      <c r="AZ92" s="20"/>
      <c r="BC92" s="20"/>
      <c r="BD92" s="20"/>
    </row>
    <row r="93" spans="51:56" ht="16.350000000000001" hidden="1" customHeight="1">
      <c r="AY93" s="16"/>
      <c r="AZ93" s="20"/>
      <c r="BC93" s="20"/>
      <c r="BD93" s="20"/>
    </row>
    <row r="94" spans="51:56" ht="16.350000000000001" hidden="1" customHeight="1">
      <c r="AY94" s="16"/>
      <c r="AZ94" s="20"/>
      <c r="BC94" s="20"/>
      <c r="BD94" s="20"/>
    </row>
    <row r="95" spans="51:56" ht="16.350000000000001" hidden="1" customHeight="1">
      <c r="AY95" s="16"/>
      <c r="AZ95" s="20"/>
      <c r="BC95" s="20"/>
      <c r="BD95" s="20"/>
    </row>
    <row r="96" spans="51:56" ht="16.350000000000001" hidden="1" customHeight="1">
      <c r="AY96" s="16"/>
      <c r="AZ96" s="20"/>
      <c r="BC96" s="20"/>
      <c r="BD96" s="20"/>
    </row>
    <row r="97" spans="51:56" ht="16.350000000000001" hidden="1" customHeight="1">
      <c r="AY97" s="16"/>
      <c r="AZ97" s="20"/>
      <c r="BC97" s="20"/>
      <c r="BD97" s="20"/>
    </row>
    <row r="98" spans="51:56" ht="16.350000000000001" hidden="1" customHeight="1">
      <c r="AY98" s="16"/>
      <c r="AZ98" s="20"/>
      <c r="BC98" s="20"/>
      <c r="BD98" s="20"/>
    </row>
    <row r="99" spans="51:56" ht="16.350000000000001" hidden="1" customHeight="1">
      <c r="AY99" s="16"/>
      <c r="AZ99" s="20"/>
      <c r="BC99" s="20"/>
      <c r="BD99" s="20"/>
    </row>
    <row r="100" spans="51:56" ht="16.350000000000001" hidden="1" customHeight="1">
      <c r="AY100" s="16"/>
      <c r="AZ100" s="20"/>
      <c r="BC100" s="20"/>
      <c r="BD100" s="20"/>
    </row>
    <row r="101" spans="51:56" ht="16.350000000000001" hidden="1" customHeight="1">
      <c r="AY101" s="16"/>
      <c r="AZ101" s="20"/>
      <c r="BC101" s="20"/>
      <c r="BD101" s="20"/>
    </row>
    <row r="102" spans="51:56" ht="16.350000000000001" hidden="1" customHeight="1">
      <c r="AY102" s="16"/>
      <c r="AZ102" s="20"/>
      <c r="BC102" s="20"/>
      <c r="BD102" s="20"/>
    </row>
    <row r="103" spans="51:56" ht="16.350000000000001" hidden="1" customHeight="1">
      <c r="AY103" s="16"/>
      <c r="AZ103" s="20"/>
      <c r="BC103" s="20"/>
      <c r="BD103" s="20"/>
    </row>
    <row r="104" spans="51:56" ht="16.350000000000001" hidden="1" customHeight="1">
      <c r="AY104" s="16"/>
      <c r="AZ104" s="20"/>
      <c r="BC104" s="20"/>
      <c r="BD104" s="20"/>
    </row>
    <row r="105" spans="51:56" ht="16.350000000000001" hidden="1" customHeight="1">
      <c r="AY105" s="16"/>
      <c r="AZ105" s="20"/>
      <c r="BC105" s="20"/>
      <c r="BD105" s="20"/>
    </row>
    <row r="106" spans="51:56" ht="16.350000000000001" hidden="1" customHeight="1">
      <c r="AY106" s="16"/>
      <c r="AZ106" s="20"/>
      <c r="BC106" s="20"/>
      <c r="BD106" s="20"/>
    </row>
    <row r="107" spans="51:56" ht="16.350000000000001" hidden="1" customHeight="1">
      <c r="AY107" s="16"/>
      <c r="AZ107" s="20"/>
      <c r="BC107" s="20"/>
      <c r="BD107" s="20"/>
    </row>
    <row r="108" spans="51:56" ht="16.350000000000001" hidden="1" customHeight="1">
      <c r="AY108" s="16"/>
      <c r="AZ108" s="20"/>
      <c r="BC108" s="20"/>
      <c r="BD108" s="20"/>
    </row>
    <row r="109" spans="51:56" ht="16.350000000000001" hidden="1" customHeight="1">
      <c r="AY109" s="16"/>
      <c r="AZ109" s="20"/>
      <c r="BC109" s="20"/>
      <c r="BD109" s="20"/>
    </row>
    <row r="110" spans="51:56" ht="16.350000000000001" hidden="1" customHeight="1">
      <c r="AY110" s="16"/>
      <c r="AZ110" s="20"/>
      <c r="BC110" s="20"/>
      <c r="BD110" s="20"/>
    </row>
    <row r="111" spans="51:56" ht="16.350000000000001" hidden="1" customHeight="1">
      <c r="AY111" s="16"/>
      <c r="AZ111" s="20"/>
      <c r="BC111" s="20"/>
      <c r="BD111" s="20"/>
    </row>
    <row r="112" spans="51:56" ht="16.350000000000001" hidden="1" customHeight="1">
      <c r="AY112" s="16"/>
      <c r="AZ112" s="20"/>
      <c r="BC112" s="20"/>
      <c r="BD112" s="20"/>
    </row>
    <row r="113" spans="51:56" ht="16.350000000000001" hidden="1" customHeight="1">
      <c r="AY113" s="16"/>
      <c r="AZ113" s="20"/>
      <c r="BC113" s="20"/>
      <c r="BD113" s="20"/>
    </row>
    <row r="114" spans="51:56" ht="16.350000000000001" hidden="1" customHeight="1">
      <c r="AY114" s="16"/>
      <c r="AZ114" s="20"/>
      <c r="BC114" s="20"/>
      <c r="BD114" s="20"/>
    </row>
    <row r="115" spans="51:56" ht="16.350000000000001" hidden="1" customHeight="1">
      <c r="AY115" s="16"/>
      <c r="AZ115" s="20"/>
      <c r="BC115" s="20"/>
      <c r="BD115" s="20"/>
    </row>
    <row r="116" spans="51:56" ht="16.350000000000001" hidden="1" customHeight="1">
      <c r="AY116" s="16"/>
      <c r="AZ116" s="20"/>
      <c r="BC116" s="20"/>
      <c r="BD116" s="20"/>
    </row>
    <row r="117" spans="51:56" ht="16.350000000000001" hidden="1" customHeight="1">
      <c r="AY117" s="16"/>
      <c r="AZ117" s="20"/>
      <c r="BC117" s="20"/>
      <c r="BD117" s="20"/>
    </row>
    <row r="118" spans="51:56" ht="16.350000000000001" hidden="1" customHeight="1">
      <c r="AY118" s="16"/>
      <c r="AZ118" s="20"/>
      <c r="BC118" s="20"/>
      <c r="BD118" s="20"/>
    </row>
    <row r="119" spans="51:56" ht="16.350000000000001" hidden="1" customHeight="1">
      <c r="AY119" s="16"/>
      <c r="AZ119" s="20"/>
      <c r="BC119" s="20"/>
      <c r="BD119" s="20"/>
    </row>
    <row r="120" spans="51:56" ht="16.350000000000001" hidden="1" customHeight="1">
      <c r="AY120" s="16"/>
      <c r="AZ120" s="20"/>
      <c r="BC120" s="20"/>
      <c r="BD120" s="20"/>
    </row>
    <row r="121" spans="51:56" ht="16.350000000000001" hidden="1" customHeight="1">
      <c r="AY121" s="16"/>
      <c r="AZ121" s="20"/>
      <c r="BC121" s="20"/>
      <c r="BD121" s="20"/>
    </row>
    <row r="122" spans="51:56" ht="16.350000000000001" hidden="1" customHeight="1">
      <c r="AY122" s="16"/>
      <c r="AZ122" s="20"/>
      <c r="BC122" s="20"/>
      <c r="BD122" s="20"/>
    </row>
    <row r="123" spans="51:56" ht="16.350000000000001" hidden="1" customHeight="1">
      <c r="AY123" s="16"/>
      <c r="AZ123" s="20"/>
      <c r="BC123" s="20"/>
      <c r="BD123" s="20"/>
    </row>
    <row r="124" spans="51:56" ht="16.350000000000001" hidden="1" customHeight="1">
      <c r="AY124" s="16"/>
      <c r="AZ124" s="20"/>
      <c r="BC124" s="20"/>
      <c r="BD124" s="20"/>
    </row>
    <row r="125" spans="51:56" ht="16.350000000000001" hidden="1" customHeight="1">
      <c r="AY125" s="16"/>
      <c r="AZ125" s="20"/>
      <c r="BC125" s="20"/>
      <c r="BD125" s="20"/>
    </row>
    <row r="126" spans="51:56" ht="16.350000000000001" hidden="1" customHeight="1">
      <c r="AY126" s="16"/>
      <c r="AZ126" s="20"/>
      <c r="BC126" s="20"/>
      <c r="BD126" s="20"/>
    </row>
    <row r="127" spans="51:56" ht="16.350000000000001" hidden="1" customHeight="1">
      <c r="AY127" s="16"/>
      <c r="AZ127" s="20"/>
      <c r="BC127" s="20"/>
      <c r="BD127" s="20"/>
    </row>
    <row r="128" spans="51:56" ht="16.350000000000001" hidden="1" customHeight="1">
      <c r="AY128" s="16"/>
      <c r="AZ128" s="20"/>
      <c r="BC128" s="20"/>
      <c r="BD128" s="20"/>
    </row>
    <row r="129" spans="51:56" ht="16.350000000000001" hidden="1" customHeight="1">
      <c r="AY129" s="16"/>
      <c r="AZ129" s="20"/>
      <c r="BC129" s="20"/>
      <c r="BD129" s="20"/>
    </row>
    <row r="130" spans="51:56" ht="16.350000000000001" hidden="1" customHeight="1">
      <c r="AY130" s="16"/>
      <c r="AZ130" s="20"/>
      <c r="BC130" s="20"/>
      <c r="BD130" s="20"/>
    </row>
    <row r="131" spans="51:56" ht="16.350000000000001" hidden="1" customHeight="1">
      <c r="AY131" s="16"/>
      <c r="AZ131" s="20"/>
      <c r="BC131" s="20"/>
      <c r="BD131" s="20"/>
    </row>
    <row r="132" spans="51:56" ht="16.350000000000001" hidden="1" customHeight="1">
      <c r="AY132" s="16"/>
      <c r="AZ132" s="20"/>
      <c r="BC132" s="20"/>
      <c r="BD132" s="20"/>
    </row>
    <row r="133" spans="51:56" ht="16.350000000000001" hidden="1" customHeight="1">
      <c r="AY133" s="16"/>
      <c r="AZ133" s="20"/>
      <c r="BC133" s="20"/>
      <c r="BD133" s="20"/>
    </row>
    <row r="134" spans="51:56" ht="16.350000000000001" hidden="1" customHeight="1">
      <c r="AY134" s="16"/>
      <c r="AZ134" s="20"/>
      <c r="BC134" s="20"/>
      <c r="BD134" s="20"/>
    </row>
    <row r="135" spans="51:56" ht="16.350000000000001" hidden="1" customHeight="1">
      <c r="AY135" s="16"/>
      <c r="AZ135" s="20"/>
      <c r="BC135" s="20"/>
      <c r="BD135" s="20"/>
    </row>
    <row r="136" spans="51:56" ht="16.350000000000001" hidden="1" customHeight="1">
      <c r="AY136" s="16"/>
      <c r="AZ136" s="20"/>
      <c r="BC136" s="20"/>
      <c r="BD136" s="20"/>
    </row>
    <row r="137" spans="51:56" ht="16.350000000000001" hidden="1" customHeight="1">
      <c r="AY137" s="16"/>
      <c r="AZ137" s="20"/>
      <c r="BC137" s="20"/>
      <c r="BD137" s="20"/>
    </row>
    <row r="138" spans="51:56" ht="16.350000000000001" hidden="1" customHeight="1">
      <c r="AY138" s="16"/>
      <c r="AZ138" s="20"/>
      <c r="BC138" s="20"/>
      <c r="BD138" s="20"/>
    </row>
    <row r="139" spans="51:56" ht="16.350000000000001" hidden="1" customHeight="1">
      <c r="AY139" s="16"/>
      <c r="AZ139" s="20"/>
      <c r="BC139" s="20"/>
      <c r="BD139" s="20"/>
    </row>
    <row r="140" spans="51:56" ht="16.350000000000001" hidden="1" customHeight="1">
      <c r="AY140" s="16"/>
      <c r="AZ140" s="20"/>
      <c r="BC140" s="20"/>
      <c r="BD140" s="20"/>
    </row>
    <row r="141" spans="51:56" ht="16.350000000000001" hidden="1" customHeight="1">
      <c r="AY141" s="16"/>
      <c r="AZ141" s="20"/>
      <c r="BC141" s="20"/>
      <c r="BD141" s="20"/>
    </row>
    <row r="142" spans="51:56" ht="16.350000000000001" hidden="1" customHeight="1">
      <c r="AY142" s="16"/>
      <c r="AZ142" s="20"/>
      <c r="BC142" s="20"/>
      <c r="BD142" s="20"/>
    </row>
    <row r="143" spans="51:56" ht="16.350000000000001" hidden="1" customHeight="1">
      <c r="AY143" s="16"/>
      <c r="AZ143" s="20"/>
      <c r="BC143" s="20"/>
      <c r="BD143" s="20"/>
    </row>
    <row r="144" spans="51:56" ht="16.350000000000001" hidden="1" customHeight="1">
      <c r="AY144" s="16"/>
      <c r="AZ144" s="20"/>
      <c r="BC144" s="20"/>
      <c r="BD144" s="20"/>
    </row>
    <row r="145" spans="51:56" ht="16.350000000000001" hidden="1" customHeight="1">
      <c r="AY145" s="16"/>
      <c r="AZ145" s="20"/>
      <c r="BC145" s="20"/>
      <c r="BD145" s="20"/>
    </row>
    <row r="146" spans="51:56" ht="16.350000000000001" hidden="1" customHeight="1">
      <c r="AY146" s="16"/>
      <c r="AZ146" s="20"/>
      <c r="BC146" s="20"/>
      <c r="BD146" s="20"/>
    </row>
    <row r="147" spans="51:56" ht="16.350000000000001" hidden="1" customHeight="1">
      <c r="AY147" s="16"/>
      <c r="AZ147" s="20"/>
      <c r="BC147" s="20"/>
      <c r="BD147" s="20"/>
    </row>
    <row r="148" spans="51:56" ht="16.350000000000001" hidden="1" customHeight="1">
      <c r="AY148" s="16"/>
      <c r="AZ148" s="20"/>
      <c r="BC148" s="20"/>
      <c r="BD148" s="20"/>
    </row>
    <row r="149" spans="51:56" ht="16.350000000000001" hidden="1" customHeight="1">
      <c r="AY149" s="16"/>
      <c r="AZ149" s="20"/>
      <c r="BC149" s="20"/>
      <c r="BD149" s="20"/>
    </row>
    <row r="150" spans="51:56" ht="16.350000000000001" hidden="1" customHeight="1">
      <c r="AY150" s="16"/>
      <c r="AZ150" s="20"/>
      <c r="BC150" s="20"/>
      <c r="BD150" s="20"/>
    </row>
    <row r="151" spans="51:56" ht="16.350000000000001" hidden="1" customHeight="1">
      <c r="AY151" s="16"/>
      <c r="AZ151" s="20"/>
      <c r="BC151" s="20"/>
      <c r="BD151" s="20"/>
    </row>
    <row r="152" spans="51:56" ht="16.350000000000001" hidden="1" customHeight="1">
      <c r="AY152" s="16"/>
      <c r="AZ152" s="20"/>
      <c r="BC152" s="20"/>
      <c r="BD152" s="20"/>
    </row>
    <row r="153" spans="51:56" ht="16.350000000000001" hidden="1" customHeight="1">
      <c r="AY153" s="16"/>
      <c r="AZ153" s="20"/>
      <c r="BC153" s="20"/>
      <c r="BD153" s="20"/>
    </row>
    <row r="154" spans="51:56" ht="16.350000000000001" hidden="1" customHeight="1">
      <c r="AY154" s="16"/>
      <c r="AZ154" s="20"/>
      <c r="BC154" s="20"/>
      <c r="BD154" s="20"/>
    </row>
    <row r="155" spans="51:56" ht="16.350000000000001" hidden="1" customHeight="1">
      <c r="AY155" s="16"/>
      <c r="AZ155" s="20"/>
      <c r="BC155" s="20"/>
      <c r="BD155" s="20"/>
    </row>
    <row r="156" spans="51:56" ht="16.350000000000001" hidden="1" customHeight="1">
      <c r="AY156" s="16"/>
      <c r="AZ156" s="20"/>
      <c r="BC156" s="20"/>
      <c r="BD156" s="20"/>
    </row>
    <row r="157" spans="51:56" ht="16.350000000000001" hidden="1" customHeight="1">
      <c r="AY157" s="16"/>
      <c r="AZ157" s="20"/>
      <c r="BC157" s="20"/>
      <c r="BD157" s="20"/>
    </row>
    <row r="158" spans="51:56" ht="16.350000000000001" hidden="1" customHeight="1">
      <c r="AY158" s="16"/>
      <c r="AZ158" s="20"/>
      <c r="BC158" s="20"/>
      <c r="BD158" s="20"/>
    </row>
    <row r="159" spans="51:56" ht="16.350000000000001" hidden="1" customHeight="1">
      <c r="AY159" s="16"/>
      <c r="AZ159" s="20"/>
      <c r="BC159" s="20"/>
      <c r="BD159" s="20"/>
    </row>
    <row r="160" spans="51:56" ht="16.350000000000001" hidden="1" customHeight="1">
      <c r="AY160" s="16"/>
      <c r="AZ160" s="20"/>
      <c r="BC160" s="20"/>
      <c r="BD160" s="20"/>
    </row>
    <row r="161" spans="51:56" ht="16.350000000000001" hidden="1" customHeight="1">
      <c r="AY161" s="16"/>
      <c r="AZ161" s="20"/>
      <c r="BC161" s="20"/>
      <c r="BD161" s="20"/>
    </row>
    <row r="162" spans="51:56" ht="16.350000000000001" hidden="1" customHeight="1">
      <c r="AY162" s="16"/>
      <c r="AZ162" s="20"/>
      <c r="BC162" s="20"/>
      <c r="BD162" s="20"/>
    </row>
    <row r="163" spans="51:56" ht="16.350000000000001" hidden="1" customHeight="1">
      <c r="AY163" s="16"/>
      <c r="AZ163" s="20"/>
      <c r="BC163" s="20"/>
      <c r="BD163" s="20"/>
    </row>
    <row r="164" spans="51:56" ht="16.350000000000001" hidden="1" customHeight="1">
      <c r="AY164" s="16"/>
      <c r="AZ164" s="20"/>
      <c r="BC164" s="20"/>
      <c r="BD164" s="20"/>
    </row>
    <row r="165" spans="51:56" ht="16.350000000000001" hidden="1" customHeight="1">
      <c r="AY165" s="16"/>
      <c r="AZ165" s="20"/>
      <c r="BC165" s="20"/>
      <c r="BD165" s="20"/>
    </row>
    <row r="166" spans="51:56" ht="16.350000000000001" hidden="1" customHeight="1">
      <c r="AY166" s="16"/>
      <c r="AZ166" s="20"/>
      <c r="BC166" s="20"/>
      <c r="BD166" s="20"/>
    </row>
    <row r="167" spans="51:56" ht="16.350000000000001" hidden="1" customHeight="1">
      <c r="AY167" s="16"/>
      <c r="AZ167" s="20"/>
      <c r="BC167" s="20"/>
      <c r="BD167" s="20"/>
    </row>
    <row r="168" spans="51:56" ht="16.350000000000001" hidden="1" customHeight="1">
      <c r="AY168" s="16"/>
      <c r="AZ168" s="20"/>
      <c r="BC168" s="20"/>
      <c r="BD168" s="20"/>
    </row>
    <row r="169" spans="51:56" ht="16.350000000000001" hidden="1" customHeight="1">
      <c r="AY169" s="16"/>
      <c r="AZ169" s="20"/>
      <c r="BC169" s="20"/>
      <c r="BD169" s="20"/>
    </row>
    <row r="170" spans="51:56" ht="16.350000000000001" hidden="1" customHeight="1">
      <c r="AY170" s="16"/>
      <c r="AZ170" s="20"/>
      <c r="BC170" s="20"/>
      <c r="BD170" s="20"/>
    </row>
    <row r="171" spans="51:56" ht="16.350000000000001" hidden="1" customHeight="1">
      <c r="AY171" s="16"/>
      <c r="AZ171" s="20"/>
      <c r="BC171" s="20"/>
      <c r="BD171" s="20"/>
    </row>
    <row r="172" spans="51:56" ht="16.350000000000001" hidden="1" customHeight="1">
      <c r="AY172" s="16"/>
      <c r="AZ172" s="20"/>
      <c r="BC172" s="20"/>
      <c r="BD172" s="20"/>
    </row>
    <row r="173" spans="51:56" ht="16.350000000000001" hidden="1" customHeight="1">
      <c r="AY173" s="16"/>
      <c r="AZ173" s="20"/>
      <c r="BC173" s="20"/>
      <c r="BD173" s="20"/>
    </row>
    <row r="174" spans="51:56" ht="16.350000000000001" hidden="1" customHeight="1">
      <c r="AY174" s="16"/>
      <c r="AZ174" s="20"/>
      <c r="BC174" s="20"/>
      <c r="BD174" s="20"/>
    </row>
    <row r="175" spans="51:56" ht="16.350000000000001" hidden="1" customHeight="1">
      <c r="AY175" s="16"/>
      <c r="AZ175" s="20"/>
      <c r="BC175" s="20"/>
      <c r="BD175" s="20"/>
    </row>
    <row r="176" spans="51:56" ht="16.350000000000001" hidden="1" customHeight="1">
      <c r="AY176" s="16"/>
      <c r="AZ176" s="20"/>
      <c r="BC176" s="20"/>
      <c r="BD176" s="20"/>
    </row>
    <row r="177" spans="51:56" ht="16.350000000000001" hidden="1" customHeight="1">
      <c r="AY177" s="16"/>
      <c r="AZ177" s="20"/>
      <c r="BC177" s="20"/>
      <c r="BD177" s="20"/>
    </row>
    <row r="178" spans="51:56" ht="16.350000000000001" hidden="1" customHeight="1">
      <c r="AY178" s="16"/>
      <c r="AZ178" s="20"/>
      <c r="BC178" s="20"/>
      <c r="BD178" s="20"/>
    </row>
    <row r="179" spans="51:56" ht="16.350000000000001" hidden="1" customHeight="1">
      <c r="AY179" s="16"/>
      <c r="AZ179" s="20"/>
      <c r="BC179" s="20"/>
      <c r="BD179" s="20"/>
    </row>
    <row r="180" spans="51:56" ht="16.350000000000001" hidden="1" customHeight="1">
      <c r="AY180" s="16"/>
      <c r="AZ180" s="20"/>
      <c r="BC180" s="20"/>
      <c r="BD180" s="20"/>
    </row>
    <row r="181" spans="51:56" ht="16.350000000000001" hidden="1" customHeight="1">
      <c r="AY181" s="16"/>
      <c r="AZ181" s="20"/>
      <c r="BC181" s="20"/>
      <c r="BD181" s="20"/>
    </row>
    <row r="182" spans="51:56" ht="16.350000000000001" hidden="1" customHeight="1">
      <c r="AY182" s="16"/>
      <c r="AZ182" s="20"/>
      <c r="BC182" s="20"/>
      <c r="BD182" s="20"/>
    </row>
    <row r="183" spans="51:56" ht="16.350000000000001" hidden="1" customHeight="1">
      <c r="AY183" s="16"/>
      <c r="AZ183" s="20"/>
      <c r="BC183" s="20"/>
      <c r="BD183" s="20"/>
    </row>
    <row r="184" spans="51:56" ht="16.350000000000001" hidden="1" customHeight="1">
      <c r="AY184" s="16"/>
      <c r="AZ184" s="20"/>
      <c r="BC184" s="20"/>
      <c r="BD184" s="20"/>
    </row>
    <row r="185" spans="51:56" ht="16.350000000000001" hidden="1" customHeight="1">
      <c r="AY185" s="16"/>
      <c r="AZ185" s="20"/>
      <c r="BC185" s="20"/>
      <c r="BD185" s="20"/>
    </row>
    <row r="186" spans="51:56" ht="16.350000000000001" hidden="1" customHeight="1">
      <c r="AY186" s="16"/>
      <c r="AZ186" s="20"/>
      <c r="BC186" s="20"/>
      <c r="BD186" s="20"/>
    </row>
    <row r="187" spans="51:56" ht="16.350000000000001" hidden="1" customHeight="1">
      <c r="AY187" s="16"/>
      <c r="AZ187" s="20"/>
      <c r="BC187" s="20"/>
      <c r="BD187" s="20"/>
    </row>
    <row r="188" spans="51:56" ht="16.350000000000001" hidden="1" customHeight="1">
      <c r="AY188" s="16"/>
      <c r="AZ188" s="20"/>
      <c r="BC188" s="20"/>
      <c r="BD188" s="20"/>
    </row>
    <row r="189" spans="51:56" ht="16.350000000000001" hidden="1" customHeight="1">
      <c r="AY189" s="16"/>
      <c r="AZ189" s="20"/>
      <c r="BC189" s="20"/>
      <c r="BD189" s="20"/>
    </row>
    <row r="190" spans="51:56" ht="16.350000000000001" hidden="1" customHeight="1">
      <c r="AY190" s="16"/>
      <c r="AZ190" s="20"/>
      <c r="BC190" s="20"/>
      <c r="BD190" s="20"/>
    </row>
    <row r="191" spans="51:56" ht="16.350000000000001" hidden="1" customHeight="1">
      <c r="AY191" s="16"/>
      <c r="AZ191" s="20"/>
      <c r="BC191" s="20"/>
      <c r="BD191" s="20"/>
    </row>
    <row r="192" spans="51:56" ht="16.350000000000001" hidden="1" customHeight="1">
      <c r="AY192" s="16"/>
      <c r="AZ192" s="20"/>
      <c r="BC192" s="20"/>
      <c r="BD192" s="20"/>
    </row>
    <row r="193" spans="1:70" ht="16.350000000000001" hidden="1" customHeight="1">
      <c r="AY193" s="16"/>
      <c r="AZ193" s="20"/>
      <c r="BC193" s="20"/>
      <c r="BD193" s="20"/>
    </row>
    <row r="194" spans="1:70" ht="16.350000000000001" hidden="1" customHeight="1">
      <c r="AY194" s="16"/>
      <c r="AZ194" s="20"/>
      <c r="BC194" s="20"/>
      <c r="BD194" s="20"/>
    </row>
    <row r="195" spans="1:70" ht="16.350000000000001" hidden="1" customHeight="1">
      <c r="AY195" s="16"/>
      <c r="AZ195" s="20"/>
      <c r="BC195" s="20"/>
      <c r="BD195" s="20"/>
    </row>
    <row r="196" spans="1:70" ht="16.350000000000001" hidden="1" customHeight="1">
      <c r="O196" s="919"/>
      <c r="P196" s="919"/>
      <c r="Q196" s="919"/>
      <c r="R196" s="919"/>
      <c r="S196" s="919"/>
      <c r="T196" s="919"/>
      <c r="U196" s="919"/>
      <c r="V196" s="919"/>
      <c r="W196" s="919"/>
      <c r="X196" s="919"/>
      <c r="Y196" s="919"/>
      <c r="Z196" s="919"/>
      <c r="AA196" s="919"/>
      <c r="AB196" s="919"/>
      <c r="AC196" s="919"/>
      <c r="AD196" s="919"/>
      <c r="AE196" s="919"/>
      <c r="AF196" s="919"/>
      <c r="AG196" s="919"/>
      <c r="AH196" s="919"/>
      <c r="AI196" s="919"/>
      <c r="AJ196" s="919"/>
      <c r="AK196" s="919"/>
      <c r="AL196" s="919"/>
      <c r="AM196" s="919"/>
      <c r="AN196" s="919"/>
      <c r="AO196" s="919"/>
      <c r="AP196" s="919"/>
      <c r="AQ196" s="919"/>
      <c r="AR196" s="919"/>
      <c r="AS196" s="919"/>
      <c r="AT196" s="919"/>
      <c r="AU196" s="919"/>
      <c r="AV196" s="919"/>
      <c r="AW196" s="919"/>
      <c r="AX196" s="919"/>
      <c r="AY196" s="919"/>
    </row>
    <row r="197" spans="1:70" ht="16.350000000000001" hidden="1" customHeight="1">
      <c r="O197" s="919"/>
      <c r="P197" s="919"/>
      <c r="Q197" s="919"/>
      <c r="R197" s="919"/>
      <c r="S197" s="919"/>
      <c r="T197" s="919"/>
      <c r="U197" s="919"/>
      <c r="V197" s="919"/>
      <c r="W197" s="919"/>
      <c r="X197" s="919"/>
      <c r="Y197" s="919"/>
      <c r="Z197" s="919"/>
      <c r="AA197" s="919"/>
      <c r="AB197" s="919"/>
      <c r="AC197" s="919"/>
      <c r="AD197" s="919"/>
      <c r="AE197" s="919"/>
      <c r="AF197" s="919"/>
      <c r="AG197" s="919"/>
      <c r="AH197" s="919"/>
      <c r="AI197" s="919"/>
      <c r="AJ197" s="919"/>
      <c r="AK197" s="919"/>
      <c r="AL197" s="919"/>
      <c r="AM197" s="919"/>
      <c r="AN197" s="919"/>
      <c r="AO197" s="919"/>
      <c r="AP197" s="919"/>
      <c r="AQ197" s="919"/>
      <c r="AR197" s="919"/>
      <c r="AS197" s="919"/>
      <c r="AT197" s="919"/>
      <c r="AU197" s="919"/>
      <c r="AV197" s="919"/>
      <c r="AW197" s="919"/>
      <c r="AX197" s="919"/>
      <c r="AY197" s="919"/>
    </row>
    <row r="198" spans="1:70" ht="16.350000000000001" hidden="1" customHeight="1">
      <c r="O198" s="919"/>
      <c r="P198" s="919"/>
      <c r="Q198" s="919"/>
      <c r="R198" s="919"/>
      <c r="S198" s="919"/>
      <c r="T198" s="919"/>
      <c r="U198" s="919"/>
      <c r="V198" s="919"/>
      <c r="W198" s="919"/>
      <c r="X198" s="919"/>
      <c r="Y198" s="919"/>
      <c r="Z198" s="919"/>
      <c r="AA198" s="919"/>
      <c r="AB198" s="919"/>
      <c r="AC198" s="919"/>
      <c r="AD198" s="919"/>
      <c r="AE198" s="919"/>
      <c r="AF198" s="919"/>
      <c r="AG198" s="919"/>
      <c r="AH198" s="919"/>
      <c r="AI198" s="919"/>
      <c r="AJ198" s="919"/>
      <c r="AK198" s="919"/>
      <c r="AL198" s="919"/>
      <c r="AM198" s="919"/>
      <c r="AN198" s="919"/>
      <c r="AO198" s="919"/>
      <c r="AP198" s="919"/>
      <c r="AQ198" s="919"/>
      <c r="AR198" s="919"/>
      <c r="AS198" s="919"/>
      <c r="AT198" s="919"/>
      <c r="AU198" s="919"/>
      <c r="AV198" s="919"/>
      <c r="AW198" s="919"/>
      <c r="AX198" s="919"/>
      <c r="AY198" s="919"/>
      <c r="AZ198" s="919"/>
    </row>
    <row r="199" spans="1:70" ht="16.350000000000001" hidden="1" customHeight="1">
      <c r="AY199" s="16"/>
      <c r="AZ199" s="20"/>
      <c r="BC199" s="20"/>
      <c r="BD199" s="20"/>
    </row>
    <row r="200" spans="1:70"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03"/>
      <c r="BH200" s="503"/>
      <c r="BI200" s="503"/>
      <c r="BJ200" s="515"/>
      <c r="BK200" s="502"/>
      <c r="BL200" s="502"/>
      <c r="BM200" s="502"/>
      <c r="BN200" s="502"/>
      <c r="BO200" s="502"/>
      <c r="BP200" s="502"/>
      <c r="BQ200" s="502"/>
      <c r="BR200" s="502"/>
    </row>
    <row r="201" spans="1:70"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03"/>
      <c r="BH201" s="503"/>
      <c r="BI201" s="503"/>
      <c r="BJ201" s="515"/>
      <c r="BK201" s="502"/>
      <c r="BL201" s="502"/>
      <c r="BM201" s="502"/>
      <c r="BN201" s="502"/>
      <c r="BO201" s="502"/>
      <c r="BP201" s="502"/>
      <c r="BQ201" s="502"/>
      <c r="BR201" s="502"/>
    </row>
    <row r="202" spans="1:70"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03"/>
      <c r="BH202" s="503"/>
      <c r="BI202" s="503"/>
      <c r="BJ202" s="515"/>
      <c r="BK202" s="502"/>
      <c r="BL202" s="502"/>
      <c r="BM202" s="502"/>
      <c r="BN202" s="502"/>
      <c r="BO202" s="502"/>
      <c r="BP202" s="502"/>
      <c r="BQ202" s="502"/>
      <c r="BR202" s="502"/>
    </row>
    <row r="203" spans="1:70" ht="16.350000000000001" hidden="1" customHeight="1"/>
    <row r="204" spans="1:70" ht="16.350000000000001" hidden="1" customHeight="1"/>
  </sheetData>
  <sheetProtection algorithmName="SHA-512" hashValue="k9XbuJxwHBV34ijeJCRxFGtOEKlaIux1fPZ5JrhDoVx8oeAbqYJsGKSkuZCCsRuw5SyGsT/WfzyxXMg5Za7xzQ==" saltValue="MM3NfM3/XXlE3v0rmoPFcA==" spinCount="100000" sheet="1" objects="1" scenarios="1" selectLockedCells="1"/>
  <mergeCells count="1019">
    <mergeCell ref="DX34:DX35"/>
    <mergeCell ref="DE36:DE37"/>
    <mergeCell ref="DF36:DF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V36:DV37"/>
    <mergeCell ref="DW36:DW37"/>
    <mergeCell ref="DX36:DX37"/>
    <mergeCell ref="DN34:DN35"/>
    <mergeCell ref="DO34:DO35"/>
    <mergeCell ref="DP34:DP35"/>
    <mergeCell ref="DQ34:DQ35"/>
    <mergeCell ref="DR34:DR35"/>
    <mergeCell ref="DS34:DS35"/>
    <mergeCell ref="DT34:DT35"/>
    <mergeCell ref="DU34:DU35"/>
    <mergeCell ref="DV34:DV35"/>
    <mergeCell ref="DE34:DE35"/>
    <mergeCell ref="DF34:DF35"/>
    <mergeCell ref="DG34:DG35"/>
    <mergeCell ref="DH34:DH35"/>
    <mergeCell ref="DI34:DI35"/>
    <mergeCell ref="DJ34:DJ35"/>
    <mergeCell ref="DK34:DK35"/>
    <mergeCell ref="DL34:DL35"/>
    <mergeCell ref="DM34:DM35"/>
    <mergeCell ref="DW34:DW35"/>
    <mergeCell ref="DX30:DX31"/>
    <mergeCell ref="DE32:DE33"/>
    <mergeCell ref="DF32:DF33"/>
    <mergeCell ref="DG32:DG33"/>
    <mergeCell ref="DH32:DH33"/>
    <mergeCell ref="DI32:DI33"/>
    <mergeCell ref="DJ32:DJ33"/>
    <mergeCell ref="DK32:DK33"/>
    <mergeCell ref="DL32:DL33"/>
    <mergeCell ref="DM32:DM33"/>
    <mergeCell ref="DN32:DN33"/>
    <mergeCell ref="DO32:DO33"/>
    <mergeCell ref="DP32:DP33"/>
    <mergeCell ref="DQ32:DQ33"/>
    <mergeCell ref="DR32:DR33"/>
    <mergeCell ref="DS32:DS33"/>
    <mergeCell ref="DT32:DT33"/>
    <mergeCell ref="DU32:DU33"/>
    <mergeCell ref="DV32:DV33"/>
    <mergeCell ref="DW32:DW33"/>
    <mergeCell ref="DX32:DX33"/>
    <mergeCell ref="DN30:DN31"/>
    <mergeCell ref="DO30:DO31"/>
    <mergeCell ref="DP30:DP31"/>
    <mergeCell ref="DQ30:DQ31"/>
    <mergeCell ref="DR30:DR31"/>
    <mergeCell ref="DS30:DS31"/>
    <mergeCell ref="DT30:DT31"/>
    <mergeCell ref="DU30:DU31"/>
    <mergeCell ref="DV30:DV31"/>
    <mergeCell ref="DE30:DE31"/>
    <mergeCell ref="DF30:DF31"/>
    <mergeCell ref="DG30:DG31"/>
    <mergeCell ref="DH30:DH31"/>
    <mergeCell ref="DI30:DI31"/>
    <mergeCell ref="DJ30:DJ31"/>
    <mergeCell ref="DK30:DK31"/>
    <mergeCell ref="DL30:DL31"/>
    <mergeCell ref="DM30:DM31"/>
    <mergeCell ref="DW30:DW31"/>
    <mergeCell ref="DM26:DM27"/>
    <mergeCell ref="DN26:DN27"/>
    <mergeCell ref="DO26:DO27"/>
    <mergeCell ref="DP26:DP27"/>
    <mergeCell ref="DQ26:DQ27"/>
    <mergeCell ref="DR26:DR27"/>
    <mergeCell ref="DS26:DS27"/>
    <mergeCell ref="DT26:DT27"/>
    <mergeCell ref="DU26:DU27"/>
    <mergeCell ref="DV26:DV27"/>
    <mergeCell ref="DW26:DW27"/>
    <mergeCell ref="DX26:DX27"/>
    <mergeCell ref="DE28:DE29"/>
    <mergeCell ref="DF28:DF29"/>
    <mergeCell ref="DG28:DG29"/>
    <mergeCell ref="DH28:DH29"/>
    <mergeCell ref="DI28:DI29"/>
    <mergeCell ref="DJ28:DJ29"/>
    <mergeCell ref="DK28:DK29"/>
    <mergeCell ref="DL28:DL29"/>
    <mergeCell ref="DM28:DM29"/>
    <mergeCell ref="DN28:DN29"/>
    <mergeCell ref="DO28:DO29"/>
    <mergeCell ref="DP28:DP29"/>
    <mergeCell ref="DQ28:DQ29"/>
    <mergeCell ref="DR28:DR29"/>
    <mergeCell ref="DS28:DS29"/>
    <mergeCell ref="DT28:DT29"/>
    <mergeCell ref="DU28:DU29"/>
    <mergeCell ref="DV28:DV29"/>
    <mergeCell ref="DW28:DW29"/>
    <mergeCell ref="DX28:DX29"/>
    <mergeCell ref="DE26:DE27"/>
    <mergeCell ref="DF26:DF27"/>
    <mergeCell ref="DG26:DG27"/>
    <mergeCell ref="DH26:DH27"/>
    <mergeCell ref="DI26:DI27"/>
    <mergeCell ref="DJ26:DJ27"/>
    <mergeCell ref="DK26:DK27"/>
    <mergeCell ref="DL26:DL27"/>
    <mergeCell ref="DX22:DX23"/>
    <mergeCell ref="DE24:DE25"/>
    <mergeCell ref="DF24:DF25"/>
    <mergeCell ref="DG24:DG25"/>
    <mergeCell ref="DH24:DH25"/>
    <mergeCell ref="DI24:DI25"/>
    <mergeCell ref="DJ24:DJ25"/>
    <mergeCell ref="DK24:DK25"/>
    <mergeCell ref="DL24:DL25"/>
    <mergeCell ref="DM24:DM25"/>
    <mergeCell ref="DN24:DN25"/>
    <mergeCell ref="DO24:DO25"/>
    <mergeCell ref="DP24:DP25"/>
    <mergeCell ref="DQ24:DQ25"/>
    <mergeCell ref="DR24:DR25"/>
    <mergeCell ref="DS24:DS25"/>
    <mergeCell ref="DT24:DT25"/>
    <mergeCell ref="DU24:DU25"/>
    <mergeCell ref="DV24:DV25"/>
    <mergeCell ref="DW24:DW25"/>
    <mergeCell ref="DX24:DX25"/>
    <mergeCell ref="DM22:DM23"/>
    <mergeCell ref="DN22:DN23"/>
    <mergeCell ref="DO22:DO23"/>
    <mergeCell ref="DP22:DP23"/>
    <mergeCell ref="DQ22:DQ23"/>
    <mergeCell ref="DR22:DR23"/>
    <mergeCell ref="DS22:DS23"/>
    <mergeCell ref="DT22:DT23"/>
    <mergeCell ref="DU22:DU23"/>
    <mergeCell ref="DV18:DV19"/>
    <mergeCell ref="DO18:DO19"/>
    <mergeCell ref="DP18:DP19"/>
    <mergeCell ref="DQ18:DQ19"/>
    <mergeCell ref="DR18:DR19"/>
    <mergeCell ref="DS18:DS19"/>
    <mergeCell ref="DT18:DT19"/>
    <mergeCell ref="DU18:DU19"/>
    <mergeCell ref="DV22:DV23"/>
    <mergeCell ref="DW22:DW23"/>
    <mergeCell ref="DW18:DW19"/>
    <mergeCell ref="DX18:DX19"/>
    <mergeCell ref="DE20:DE21"/>
    <mergeCell ref="DF20:DF21"/>
    <mergeCell ref="DG20:DG21"/>
    <mergeCell ref="DH20:DH21"/>
    <mergeCell ref="DI20:DI21"/>
    <mergeCell ref="DJ20:DJ21"/>
    <mergeCell ref="DK20:DK21"/>
    <mergeCell ref="DL20:DL21"/>
    <mergeCell ref="DM20:DM21"/>
    <mergeCell ref="DN20:DN21"/>
    <mergeCell ref="DO20:DO21"/>
    <mergeCell ref="DP20:DP21"/>
    <mergeCell ref="DQ20:DQ21"/>
    <mergeCell ref="DR20:DR21"/>
    <mergeCell ref="DS20:DS21"/>
    <mergeCell ref="DT20:DT21"/>
    <mergeCell ref="DU20:DU21"/>
    <mergeCell ref="DV20:DV21"/>
    <mergeCell ref="DW20:DW21"/>
    <mergeCell ref="DX20:DX21"/>
    <mergeCell ref="DM18:DM19"/>
    <mergeCell ref="DN18:DN19"/>
    <mergeCell ref="DE18:DE19"/>
    <mergeCell ref="DF18:DF19"/>
    <mergeCell ref="DG18:DG19"/>
    <mergeCell ref="DH18:DH19"/>
    <mergeCell ref="DI18:DI19"/>
    <mergeCell ref="DJ18:DJ19"/>
    <mergeCell ref="DK18:DK19"/>
    <mergeCell ref="DL18:DL19"/>
    <mergeCell ref="DE22:DE23"/>
    <mergeCell ref="DF22:DF23"/>
    <mergeCell ref="DG22:DG23"/>
    <mergeCell ref="DH22:DH23"/>
    <mergeCell ref="DI22:DI23"/>
    <mergeCell ref="DJ22:DJ23"/>
    <mergeCell ref="DK22:DK23"/>
    <mergeCell ref="DL22:DL23"/>
    <mergeCell ref="CY36:CY37"/>
    <mergeCell ref="CW13:CY14"/>
    <mergeCell ref="CY16:CY17"/>
    <mergeCell ref="CY18:CY19"/>
    <mergeCell ref="CY20:CY21"/>
    <mergeCell ref="CY22:CY23"/>
    <mergeCell ref="CY24:CY25"/>
    <mergeCell ref="CY26:CY27"/>
    <mergeCell ref="CY28:CY29"/>
    <mergeCell ref="CY30:CY31"/>
    <mergeCell ref="CX26:CX27"/>
    <mergeCell ref="CW28:CW29"/>
    <mergeCell ref="CX28:CX29"/>
    <mergeCell ref="CW18:CW19"/>
    <mergeCell ref="CX18:CX19"/>
    <mergeCell ref="DD18:DD19"/>
    <mergeCell ref="DD20:DD21"/>
    <mergeCell ref="DD22:DD23"/>
    <mergeCell ref="DD24:DD25"/>
    <mergeCell ref="DD26:DD27"/>
    <mergeCell ref="DD28:DD29"/>
    <mergeCell ref="DD30:DD31"/>
    <mergeCell ref="DD32:DD33"/>
    <mergeCell ref="DD34:DD35"/>
    <mergeCell ref="DD36:DD37"/>
    <mergeCell ref="DA30:DA31"/>
    <mergeCell ref="CZ32:CZ33"/>
    <mergeCell ref="DA32:DA33"/>
    <mergeCell ref="CZ34:CZ35"/>
    <mergeCell ref="CZ16:CZ17"/>
    <mergeCell ref="DA16:DA17"/>
    <mergeCell ref="CZ18:CZ19"/>
    <mergeCell ref="BK18:BM19"/>
    <mergeCell ref="CY32:CY33"/>
    <mergeCell ref="CY34:CY35"/>
    <mergeCell ref="AA18:AC19"/>
    <mergeCell ref="AD18:AI19"/>
    <mergeCell ref="BS28:BS29"/>
    <mergeCell ref="BT28:BT29"/>
    <mergeCell ref="BS30:BS31"/>
    <mergeCell ref="BT30:BT31"/>
    <mergeCell ref="BS22:BS23"/>
    <mergeCell ref="BT22:BT23"/>
    <mergeCell ref="BS24:BS25"/>
    <mergeCell ref="BT24:BT25"/>
    <mergeCell ref="BS26:BS27"/>
    <mergeCell ref="BT26:BT27"/>
    <mergeCell ref="AJ18:AL19"/>
    <mergeCell ref="AM20:AO21"/>
    <mergeCell ref="CS18:CS19"/>
    <mergeCell ref="CT18:CT19"/>
    <mergeCell ref="CN18:CN19"/>
    <mergeCell ref="CO18:CO19"/>
    <mergeCell ref="CP18:CP19"/>
    <mergeCell ref="CQ18:CQ19"/>
    <mergeCell ref="CR18:CR19"/>
    <mergeCell ref="CI18:CI19"/>
    <mergeCell ref="CJ18:CJ19"/>
    <mergeCell ref="CK18:CK19"/>
    <mergeCell ref="CL18:CL19"/>
    <mergeCell ref="CM18:CM19"/>
    <mergeCell ref="CT20:CT21"/>
    <mergeCell ref="CL22:CL23"/>
    <mergeCell ref="CM22:CM23"/>
    <mergeCell ref="F1:I3"/>
    <mergeCell ref="J1:M3"/>
    <mergeCell ref="AT1:AW3"/>
    <mergeCell ref="AX1:BA3"/>
    <mergeCell ref="BB1:BG3"/>
    <mergeCell ref="AX4:BA4"/>
    <mergeCell ref="BB4:BF4"/>
    <mergeCell ref="BG4:BJ4"/>
    <mergeCell ref="BG5:BI7"/>
    <mergeCell ref="AP1:AS3"/>
    <mergeCell ref="BH1:BK3"/>
    <mergeCell ref="O196:AY197"/>
    <mergeCell ref="X20:Z21"/>
    <mergeCell ref="AJ20:AL21"/>
    <mergeCell ref="AM18:AO19"/>
    <mergeCell ref="L24:Q25"/>
    <mergeCell ref="U28:W29"/>
    <mergeCell ref="X28:Z29"/>
    <mergeCell ref="AJ28:AL29"/>
    <mergeCell ref="F18:K19"/>
    <mergeCell ref="L18:Q19"/>
    <mergeCell ref="F20:K21"/>
    <mergeCell ref="L20:Q21"/>
    <mergeCell ref="F24:K25"/>
    <mergeCell ref="F36:K37"/>
    <mergeCell ref="L36:Q37"/>
    <mergeCell ref="F30:K31"/>
    <mergeCell ref="L30:Q31"/>
    <mergeCell ref="AA20:AC21"/>
    <mergeCell ref="AD20:AI21"/>
    <mergeCell ref="AS18:AU19"/>
    <mergeCell ref="AS20:AU21"/>
    <mergeCell ref="BG8:BI8"/>
    <mergeCell ref="AX9:BA11"/>
    <mergeCell ref="L15:Z15"/>
    <mergeCell ref="AA15:AU15"/>
    <mergeCell ref="R16:T17"/>
    <mergeCell ref="U16:W17"/>
    <mergeCell ref="X16:Z17"/>
    <mergeCell ref="K9:N11"/>
    <mergeCell ref="O9:R11"/>
    <mergeCell ref="S9:V11"/>
    <mergeCell ref="AF9:AJ11"/>
    <mergeCell ref="AK9:AO11"/>
    <mergeCell ref="AP9:AS11"/>
    <mergeCell ref="F16:K17"/>
    <mergeCell ref="L16:Q17"/>
    <mergeCell ref="W9:Z11"/>
    <mergeCell ref="AA9:AE11"/>
    <mergeCell ref="AT9:AW11"/>
    <mergeCell ref="AJ16:AL17"/>
    <mergeCell ref="AM16:AO17"/>
    <mergeCell ref="AA16:AC17"/>
    <mergeCell ref="AD16:AI17"/>
    <mergeCell ref="AP16:AR17"/>
    <mergeCell ref="AV16:AX16"/>
    <mergeCell ref="BF16:BG17"/>
    <mergeCell ref="O198:AZ198"/>
    <mergeCell ref="B46:B47"/>
    <mergeCell ref="B44:B45"/>
    <mergeCell ref="B42:B43"/>
    <mergeCell ref="B40:B41"/>
    <mergeCell ref="B38:B39"/>
    <mergeCell ref="Y12:AB13"/>
    <mergeCell ref="AC12:AG13"/>
    <mergeCell ref="AH12:AK13"/>
    <mergeCell ref="AL12:AO13"/>
    <mergeCell ref="Y14:AB14"/>
    <mergeCell ref="AC14:AG14"/>
    <mergeCell ref="AH14:AK14"/>
    <mergeCell ref="AL14:AO14"/>
    <mergeCell ref="U18:W19"/>
    <mergeCell ref="X18:Z19"/>
    <mergeCell ref="B20:B21"/>
    <mergeCell ref="R20:T21"/>
    <mergeCell ref="R18:T19"/>
    <mergeCell ref="U20:W21"/>
    <mergeCell ref="L32:Q33"/>
    <mergeCell ref="AQ12:BA13"/>
    <mergeCell ref="AQ14:BA14"/>
    <mergeCell ref="C16:E17"/>
    <mergeCell ref="B18:B19"/>
    <mergeCell ref="C18:E19"/>
    <mergeCell ref="C20:E21"/>
    <mergeCell ref="C22:E23"/>
    <mergeCell ref="C24:E25"/>
    <mergeCell ref="C36:E37"/>
    <mergeCell ref="C30:E31"/>
    <mergeCell ref="AS16:AU17"/>
    <mergeCell ref="CS16:CS17"/>
    <mergeCell ref="CT16:CT17"/>
    <mergeCell ref="CB16:CB17"/>
    <mergeCell ref="CM16:CM17"/>
    <mergeCell ref="CN16:CN17"/>
    <mergeCell ref="CO16:CO17"/>
    <mergeCell ref="CP16:CP17"/>
    <mergeCell ref="CQ16:CQ17"/>
    <mergeCell ref="CH16:CH17"/>
    <mergeCell ref="CI16:CI17"/>
    <mergeCell ref="CJ16:CJ17"/>
    <mergeCell ref="CK16:CK17"/>
    <mergeCell ref="CL16:CL17"/>
    <mergeCell ref="CC16:CC17"/>
    <mergeCell ref="CF16:CF17"/>
    <mergeCell ref="CG16:CG17"/>
    <mergeCell ref="CR16:CR17"/>
    <mergeCell ref="CD16:CD17"/>
    <mergeCell ref="CE16:CE17"/>
    <mergeCell ref="BS16:BS17"/>
    <mergeCell ref="BT16:BT17"/>
    <mergeCell ref="AY16:BA16"/>
    <mergeCell ref="CC20:CC21"/>
    <mergeCell ref="CD20:CD21"/>
    <mergeCell ref="CE20:CE21"/>
    <mergeCell ref="CF20:CF21"/>
    <mergeCell ref="CG20:CG21"/>
    <mergeCell ref="CF18:CF19"/>
    <mergeCell ref="CG18:CG19"/>
    <mergeCell ref="CH18:CH19"/>
    <mergeCell ref="BS18:BS19"/>
    <mergeCell ref="BT18:BT19"/>
    <mergeCell ref="CB20:CB21"/>
    <mergeCell ref="CC18:CC19"/>
    <mergeCell ref="CB18:CB19"/>
    <mergeCell ref="BS20:BS21"/>
    <mergeCell ref="BT20:BT21"/>
    <mergeCell ref="CD18:CD19"/>
    <mergeCell ref="CE18:CE19"/>
    <mergeCell ref="BV20:BV21"/>
    <mergeCell ref="BW20:BW21"/>
    <mergeCell ref="BX20:BX21"/>
    <mergeCell ref="BY20:BY21"/>
    <mergeCell ref="BZ20:BZ21"/>
    <mergeCell ref="BF18:BG19"/>
    <mergeCell ref="BH18:BJ19"/>
    <mergeCell ref="BB17:BC17"/>
    <mergeCell ref="BD17:BE17"/>
    <mergeCell ref="BB18:BC19"/>
    <mergeCell ref="BD18:BE19"/>
    <mergeCell ref="AV17:BA17"/>
    <mergeCell ref="CN22:CN23"/>
    <mergeCell ref="CE22:CE23"/>
    <mergeCell ref="CF22:CF23"/>
    <mergeCell ref="CG22:CG23"/>
    <mergeCell ref="CH22:CH23"/>
    <mergeCell ref="CI22:CI23"/>
    <mergeCell ref="CM20:CM21"/>
    <mergeCell ref="CN20:CN21"/>
    <mergeCell ref="CO20:CO21"/>
    <mergeCell ref="CP20:CP21"/>
    <mergeCell ref="CQ20:CQ21"/>
    <mergeCell ref="CH20:CH21"/>
    <mergeCell ref="CI20:CI21"/>
    <mergeCell ref="CJ20:CJ21"/>
    <mergeCell ref="CK20:CK21"/>
    <mergeCell ref="CL20:CL21"/>
    <mergeCell ref="CT22:CT23"/>
    <mergeCell ref="CR22:CR23"/>
    <mergeCell ref="CS22:CS23"/>
    <mergeCell ref="B24:B25"/>
    <mergeCell ref="R24:T25"/>
    <mergeCell ref="U24:W25"/>
    <mergeCell ref="X24:Z25"/>
    <mergeCell ref="AJ24:AL25"/>
    <mergeCell ref="AM24:AO25"/>
    <mergeCell ref="CO22:CO23"/>
    <mergeCell ref="CP22:CP23"/>
    <mergeCell ref="CQ22:CQ23"/>
    <mergeCell ref="B22:B23"/>
    <mergeCell ref="AS22:AU23"/>
    <mergeCell ref="AS24:AU25"/>
    <mergeCell ref="AY24:BA24"/>
    <mergeCell ref="AV25:BA25"/>
    <mergeCell ref="BK24:BM25"/>
    <mergeCell ref="BN24:BP25"/>
    <mergeCell ref="CE24:CE25"/>
    <mergeCell ref="CF24:CF25"/>
    <mergeCell ref="CM24:CM25"/>
    <mergeCell ref="CN24:CN25"/>
    <mergeCell ref="CO24:CO25"/>
    <mergeCell ref="CP24:CP25"/>
    <mergeCell ref="CG24:CG25"/>
    <mergeCell ref="CH24:CH25"/>
    <mergeCell ref="F22:K23"/>
    <mergeCell ref="L22:Q23"/>
    <mergeCell ref="CJ22:CJ23"/>
    <mergeCell ref="CK22:CK23"/>
    <mergeCell ref="CQ24:CQ25"/>
    <mergeCell ref="BF24:BG25"/>
    <mergeCell ref="AV24:AX24"/>
    <mergeCell ref="BV24:BV25"/>
    <mergeCell ref="CR24:CR25"/>
    <mergeCell ref="CC22:CC23"/>
    <mergeCell ref="CD22:CD23"/>
    <mergeCell ref="R22:T23"/>
    <mergeCell ref="U22:W23"/>
    <mergeCell ref="X22:Z23"/>
    <mergeCell ref="AJ22:AL23"/>
    <mergeCell ref="AM22:AO23"/>
    <mergeCell ref="CB24:CB25"/>
    <mergeCell ref="CC24:CC25"/>
    <mergeCell ref="CD24:CD25"/>
    <mergeCell ref="AA22:AC23"/>
    <mergeCell ref="AA24:AC25"/>
    <mergeCell ref="AD22:AI23"/>
    <mergeCell ref="AD24:AI25"/>
    <mergeCell ref="B26:B27"/>
    <mergeCell ref="R26:T27"/>
    <mergeCell ref="CB26:CB27"/>
    <mergeCell ref="AM26:AO27"/>
    <mergeCell ref="U26:W27"/>
    <mergeCell ref="X26:Z27"/>
    <mergeCell ref="AJ26:AL27"/>
    <mergeCell ref="BH26:BJ27"/>
    <mergeCell ref="C26:E27"/>
    <mergeCell ref="F26:K27"/>
    <mergeCell ref="L26:Q27"/>
    <mergeCell ref="AA26:AC27"/>
    <mergeCell ref="AD26:AI27"/>
    <mergeCell ref="AS26:AU27"/>
    <mergeCell ref="AV26:AX26"/>
    <mergeCell ref="AY26:BA26"/>
    <mergeCell ref="AV27:BA27"/>
    <mergeCell ref="BN26:BP27"/>
    <mergeCell ref="BV26:BV27"/>
    <mergeCell ref="BW26:BW27"/>
    <mergeCell ref="BX26:BX27"/>
    <mergeCell ref="BY26:BY27"/>
    <mergeCell ref="BZ26:BZ27"/>
    <mergeCell ref="AS28:AU29"/>
    <mergeCell ref="AV28:AX28"/>
    <mergeCell ref="AY28:BA28"/>
    <mergeCell ref="AV29:BA29"/>
    <mergeCell ref="BK28:BM29"/>
    <mergeCell ref="CI30:CI31"/>
    <mergeCell ref="CJ30:CJ31"/>
    <mergeCell ref="CK30:CK31"/>
    <mergeCell ref="CD30:CD31"/>
    <mergeCell ref="CE30:CE31"/>
    <mergeCell ref="CF30:CF31"/>
    <mergeCell ref="CB30:CB31"/>
    <mergeCell ref="BH30:BJ31"/>
    <mergeCell ref="BX30:BX31"/>
    <mergeCell ref="BY30:BY31"/>
    <mergeCell ref="BZ30:BZ31"/>
    <mergeCell ref="AV31:BA31"/>
    <mergeCell ref="AY30:BA30"/>
    <mergeCell ref="BB30:BC31"/>
    <mergeCell ref="AV30:AX30"/>
    <mergeCell ref="CR26:CR27"/>
    <mergeCell ref="CM30:CM31"/>
    <mergeCell ref="CK28:CK29"/>
    <mergeCell ref="CL28:CL29"/>
    <mergeCell ref="CM28:CM29"/>
    <mergeCell ref="CN28:CN29"/>
    <mergeCell ref="CE28:CE29"/>
    <mergeCell ref="CF28:CF29"/>
    <mergeCell ref="CG28:CG29"/>
    <mergeCell ref="CH28:CH29"/>
    <mergeCell ref="CI28:CI29"/>
    <mergeCell ref="CB28:CB29"/>
    <mergeCell ref="CM26:CM27"/>
    <mergeCell ref="CN26:CN27"/>
    <mergeCell ref="CO26:CO27"/>
    <mergeCell ref="CP26:CP27"/>
    <mergeCell ref="B28:B29"/>
    <mergeCell ref="R28:T29"/>
    <mergeCell ref="B30:B31"/>
    <mergeCell ref="R30:T31"/>
    <mergeCell ref="U30:W31"/>
    <mergeCell ref="X30:Z31"/>
    <mergeCell ref="C28:E29"/>
    <mergeCell ref="F28:K29"/>
    <mergeCell ref="L28:Q29"/>
    <mergeCell ref="AA30:AC31"/>
    <mergeCell ref="AJ30:AL31"/>
    <mergeCell ref="AM30:AO31"/>
    <mergeCell ref="AP30:AR31"/>
    <mergeCell ref="AD30:AI31"/>
    <mergeCell ref="AS30:AU31"/>
    <mergeCell ref="BD30:BE31"/>
    <mergeCell ref="C32:E33"/>
    <mergeCell ref="F32:K33"/>
    <mergeCell ref="AA28:AC29"/>
    <mergeCell ref="AM28:AO29"/>
    <mergeCell ref="AP28:AR29"/>
    <mergeCell ref="AD28:AI29"/>
    <mergeCell ref="B32:B33"/>
    <mergeCell ref="R32:T33"/>
    <mergeCell ref="CT28:CT29"/>
    <mergeCell ref="CT30:CT31"/>
    <mergeCell ref="CQ30:CQ31"/>
    <mergeCell ref="CR30:CR31"/>
    <mergeCell ref="CC28:CC29"/>
    <mergeCell ref="CD28:CD29"/>
    <mergeCell ref="CO28:CO29"/>
    <mergeCell ref="CP28:CP29"/>
    <mergeCell ref="CQ28:CQ29"/>
    <mergeCell ref="CR28:CR29"/>
    <mergeCell ref="CS28:CS29"/>
    <mergeCell ref="CS30:CS31"/>
    <mergeCell ref="CL30:CL31"/>
    <mergeCell ref="CN30:CN31"/>
    <mergeCell ref="CO30:CO31"/>
    <mergeCell ref="CP30:CP31"/>
    <mergeCell ref="CJ28:CJ29"/>
    <mergeCell ref="CG30:CG31"/>
    <mergeCell ref="CH30:CH31"/>
    <mergeCell ref="CC30:CC31"/>
    <mergeCell ref="BV30:BV31"/>
    <mergeCell ref="BW30:BW31"/>
    <mergeCell ref="CF32:CF33"/>
    <mergeCell ref="CG32:CG33"/>
    <mergeCell ref="B34:B35"/>
    <mergeCell ref="R34:T35"/>
    <mergeCell ref="U34:W35"/>
    <mergeCell ref="X34:Z35"/>
    <mergeCell ref="AJ34:AL35"/>
    <mergeCell ref="AM34:AO35"/>
    <mergeCell ref="CH34:CH35"/>
    <mergeCell ref="BS34:BS35"/>
    <mergeCell ref="BT34:BT35"/>
    <mergeCell ref="C34:E35"/>
    <mergeCell ref="F34:K35"/>
    <mergeCell ref="L34:Q35"/>
    <mergeCell ref="AS34:AU35"/>
    <mergeCell ref="BB34:BC35"/>
    <mergeCell ref="BD34:BE35"/>
    <mergeCell ref="BK34:BM35"/>
    <mergeCell ref="BN34:BP35"/>
    <mergeCell ref="AD34:AI35"/>
    <mergeCell ref="BF34:BG35"/>
    <mergeCell ref="BH34:BJ35"/>
    <mergeCell ref="CF34:CF35"/>
    <mergeCell ref="AP32:AR33"/>
    <mergeCell ref="CS32:CS33"/>
    <mergeCell ref="CJ36:CJ37"/>
    <mergeCell ref="CK36:CK37"/>
    <mergeCell ref="CR34:CR35"/>
    <mergeCell ref="CS34:CS35"/>
    <mergeCell ref="CM34:CM35"/>
    <mergeCell ref="CN34:CN35"/>
    <mergeCell ref="CG34:CG35"/>
    <mergeCell ref="CM32:CM33"/>
    <mergeCell ref="CN32:CN33"/>
    <mergeCell ref="BH32:BJ33"/>
    <mergeCell ref="CB32:CB33"/>
    <mergeCell ref="AM32:AO33"/>
    <mergeCell ref="U32:W33"/>
    <mergeCell ref="X32:Z33"/>
    <mergeCell ref="AD32:AI33"/>
    <mergeCell ref="AA32:AC33"/>
    <mergeCell ref="AS32:AU33"/>
    <mergeCell ref="AJ32:AL33"/>
    <mergeCell ref="BS32:BS33"/>
    <mergeCell ref="BT32:BT33"/>
    <mergeCell ref="BK32:BM33"/>
    <mergeCell ref="BN32:BP33"/>
    <mergeCell ref="BF32:BG33"/>
    <mergeCell ref="AV32:AX32"/>
    <mergeCell ref="AY32:BA32"/>
    <mergeCell ref="AV33:BA33"/>
    <mergeCell ref="AV34:AX34"/>
    <mergeCell ref="AY34:BA34"/>
    <mergeCell ref="BB32:BC33"/>
    <mergeCell ref="BD32:BE33"/>
    <mergeCell ref="B36:B37"/>
    <mergeCell ref="R36:T37"/>
    <mergeCell ref="U36:W37"/>
    <mergeCell ref="X36:Z37"/>
    <mergeCell ref="AJ36:AL37"/>
    <mergeCell ref="AM36:AO37"/>
    <mergeCell ref="CO34:CO35"/>
    <mergeCell ref="CP34:CP35"/>
    <mergeCell ref="CQ34:CQ35"/>
    <mergeCell ref="CB36:CB37"/>
    <mergeCell ref="CC36:CC37"/>
    <mergeCell ref="CD36:CD37"/>
    <mergeCell ref="CE36:CE37"/>
    <mergeCell ref="CF36:CF37"/>
    <mergeCell ref="CJ34:CJ35"/>
    <mergeCell ref="CK34:CK35"/>
    <mergeCell ref="CQ36:CQ37"/>
    <mergeCell ref="AD36:AI37"/>
    <mergeCell ref="AA34:AC35"/>
    <mergeCell ref="AA36:AC37"/>
    <mergeCell ref="AS36:AU37"/>
    <mergeCell ref="AV36:AX36"/>
    <mergeCell ref="AY36:BA36"/>
    <mergeCell ref="AV37:BA37"/>
    <mergeCell ref="BB36:BC37"/>
    <mergeCell ref="BD36:BE37"/>
    <mergeCell ref="BK36:BM37"/>
    <mergeCell ref="BN36:BP37"/>
    <mergeCell ref="BF36:BG37"/>
    <mergeCell ref="BH36:BJ37"/>
    <mergeCell ref="CO36:CO37"/>
    <mergeCell ref="CP36:CP37"/>
    <mergeCell ref="AP18:AR19"/>
    <mergeCell ref="AP20:AR21"/>
    <mergeCell ref="AP22:AR23"/>
    <mergeCell ref="AP24:AR25"/>
    <mergeCell ref="AP26:AR27"/>
    <mergeCell ref="AV18:AX18"/>
    <mergeCell ref="AY18:BA18"/>
    <mergeCell ref="AV19:BA19"/>
    <mergeCell ref="AV20:AX20"/>
    <mergeCell ref="AY20:BA20"/>
    <mergeCell ref="AV21:BA21"/>
    <mergeCell ref="AV22:AX22"/>
    <mergeCell ref="AY22:BA22"/>
    <mergeCell ref="AV23:BA23"/>
    <mergeCell ref="CU16:CU17"/>
    <mergeCell ref="CU18:CU19"/>
    <mergeCell ref="CU20:CU21"/>
    <mergeCell ref="CU22:CU23"/>
    <mergeCell ref="CU24:CU25"/>
    <mergeCell ref="CU26:CU27"/>
    <mergeCell ref="CS26:CS27"/>
    <mergeCell ref="CT26:CT27"/>
    <mergeCell ref="CI24:CI25"/>
    <mergeCell ref="CJ24:CJ25"/>
    <mergeCell ref="CK24:CK25"/>
    <mergeCell ref="CQ26:CQ27"/>
    <mergeCell ref="CH26:CH27"/>
    <mergeCell ref="CI26:CI27"/>
    <mergeCell ref="CJ26:CJ27"/>
    <mergeCell ref="CK26:CK27"/>
    <mergeCell ref="CL26:CL27"/>
    <mergeCell ref="CC26:CC27"/>
    <mergeCell ref="BB20:BC21"/>
    <mergeCell ref="BD20:BE21"/>
    <mergeCell ref="BB22:BC23"/>
    <mergeCell ref="BH16:BJ17"/>
    <mergeCell ref="BK20:BM21"/>
    <mergeCell ref="BN20:BP21"/>
    <mergeCell ref="BF22:BG23"/>
    <mergeCell ref="BH22:BJ23"/>
    <mergeCell ref="BK22:BM23"/>
    <mergeCell ref="BN22:BP23"/>
    <mergeCell ref="BN30:BP31"/>
    <mergeCell ref="BN28:BP29"/>
    <mergeCell ref="BK30:BM31"/>
    <mergeCell ref="BF30:BG31"/>
    <mergeCell ref="BH24:BJ25"/>
    <mergeCell ref="BN18:BP19"/>
    <mergeCell ref="BD22:BE23"/>
    <mergeCell ref="BB24:BC25"/>
    <mergeCell ref="BD24:BE25"/>
    <mergeCell ref="BB26:BC27"/>
    <mergeCell ref="BD26:BE27"/>
    <mergeCell ref="BB28:BC29"/>
    <mergeCell ref="BD28:BE29"/>
    <mergeCell ref="BF26:BG27"/>
    <mergeCell ref="BF28:BG29"/>
    <mergeCell ref="BH28:BJ29"/>
    <mergeCell ref="BK16:BM17"/>
    <mergeCell ref="BF20:BG21"/>
    <mergeCell ref="BH20:BJ21"/>
    <mergeCell ref="BN16:BP17"/>
    <mergeCell ref="BB16:BE16"/>
    <mergeCell ref="BK26:BM27"/>
    <mergeCell ref="DY36:DY37"/>
    <mergeCell ref="DZ36:DZ37"/>
    <mergeCell ref="DY18:DY19"/>
    <mergeCell ref="DZ18:DZ19"/>
    <mergeCell ref="DY20:DY21"/>
    <mergeCell ref="DZ20:DZ21"/>
    <mergeCell ref="DY22:DY23"/>
    <mergeCell ref="DZ22:DZ23"/>
    <mergeCell ref="DY24:DY25"/>
    <mergeCell ref="DZ24:DZ25"/>
    <mergeCell ref="DY26:DY27"/>
    <mergeCell ref="DZ26:DZ27"/>
    <mergeCell ref="DY28:DY29"/>
    <mergeCell ref="DZ28:DZ29"/>
    <mergeCell ref="DY30:DY31"/>
    <mergeCell ref="DZ30:DZ31"/>
    <mergeCell ref="DY32:DY33"/>
    <mergeCell ref="DZ32:DZ33"/>
    <mergeCell ref="DY34:DY35"/>
    <mergeCell ref="DZ34:DZ35"/>
    <mergeCell ref="BV14:BZ15"/>
    <mergeCell ref="BV16:BV17"/>
    <mergeCell ref="BW16:BW17"/>
    <mergeCell ref="BX16:BX17"/>
    <mergeCell ref="BY16:BY17"/>
    <mergeCell ref="BZ16:BZ17"/>
    <mergeCell ref="BV18:BV19"/>
    <mergeCell ref="BW18:BW19"/>
    <mergeCell ref="BX18:BX19"/>
    <mergeCell ref="BY18:BY19"/>
    <mergeCell ref="BZ18:BZ19"/>
    <mergeCell ref="BV22:BV23"/>
    <mergeCell ref="BW22:BW23"/>
    <mergeCell ref="BX22:BX23"/>
    <mergeCell ref="BY22:BY23"/>
    <mergeCell ref="BZ22:BZ23"/>
    <mergeCell ref="CV26:CV27"/>
    <mergeCell ref="CV20:CV21"/>
    <mergeCell ref="CV22:CV23"/>
    <mergeCell ref="CV24:CV25"/>
    <mergeCell ref="CV16:CV17"/>
    <mergeCell ref="CV18:CV19"/>
    <mergeCell ref="CD26:CD27"/>
    <mergeCell ref="CE26:CE27"/>
    <mergeCell ref="CF26:CF27"/>
    <mergeCell ref="CG26:CG27"/>
    <mergeCell ref="CS24:CS25"/>
    <mergeCell ref="CT24:CT25"/>
    <mergeCell ref="CL24:CL25"/>
    <mergeCell ref="CB22:CB23"/>
    <mergeCell ref="CR20:CR21"/>
    <mergeCell ref="CS20:CS21"/>
    <mergeCell ref="BW24:BW25"/>
    <mergeCell ref="BX24:BX25"/>
    <mergeCell ref="BY24:BY25"/>
    <mergeCell ref="BZ24:BZ25"/>
    <mergeCell ref="BV28:BV29"/>
    <mergeCell ref="BW28:BW29"/>
    <mergeCell ref="BX28:BX29"/>
    <mergeCell ref="BY28:BY29"/>
    <mergeCell ref="BZ28:BZ29"/>
    <mergeCell ref="CV32:CV33"/>
    <mergeCell ref="CW32:CW33"/>
    <mergeCell ref="CX32:CX33"/>
    <mergeCell ref="CZ26:CZ27"/>
    <mergeCell ref="DA26:DA27"/>
    <mergeCell ref="CZ28:CZ29"/>
    <mergeCell ref="DA28:DA29"/>
    <mergeCell ref="CZ30:CZ31"/>
    <mergeCell ref="CW26:CW27"/>
    <mergeCell ref="CV28:CV29"/>
    <mergeCell ref="CV30:CV31"/>
    <mergeCell ref="CW30:CW31"/>
    <mergeCell ref="CX30:CX31"/>
    <mergeCell ref="CW24:CW25"/>
    <mergeCell ref="CX24:CX25"/>
    <mergeCell ref="CU28:CU29"/>
    <mergeCell ref="CU30:CU31"/>
    <mergeCell ref="CU32:CU33"/>
    <mergeCell ref="CT32:CT33"/>
    <mergeCell ref="CK32:CK33"/>
    <mergeCell ref="CL32:CL33"/>
    <mergeCell ref="CR32:CR33"/>
    <mergeCell ref="CO32:CO33"/>
    <mergeCell ref="CP32:CP33"/>
    <mergeCell ref="CQ32:CQ33"/>
    <mergeCell ref="BV32:BV33"/>
    <mergeCell ref="BW32:BW33"/>
    <mergeCell ref="BX32:BX33"/>
    <mergeCell ref="BY32:BY33"/>
    <mergeCell ref="BZ32:BZ33"/>
    <mergeCell ref="BV34:BV35"/>
    <mergeCell ref="BW34:BW35"/>
    <mergeCell ref="BX34:BX35"/>
    <mergeCell ref="BY34:BY35"/>
    <mergeCell ref="BZ34:BZ35"/>
    <mergeCell ref="CH32:CH33"/>
    <mergeCell ref="CI32:CI33"/>
    <mergeCell ref="CJ32:CJ33"/>
    <mergeCell ref="CB34:CB35"/>
    <mergeCell ref="CD32:CD33"/>
    <mergeCell ref="CE32:CE33"/>
    <mergeCell ref="CL34:CL35"/>
    <mergeCell ref="CC32:CC33"/>
    <mergeCell ref="DA18:DA19"/>
    <mergeCell ref="CZ20:CZ21"/>
    <mergeCell ref="DA20:DA21"/>
    <mergeCell ref="CZ22:CZ23"/>
    <mergeCell ref="DA22:DA23"/>
    <mergeCell ref="CZ24:CZ25"/>
    <mergeCell ref="DA24:DA25"/>
    <mergeCell ref="CU34:CU35"/>
    <mergeCell ref="CV34:CV35"/>
    <mergeCell ref="CW34:CW35"/>
    <mergeCell ref="CX34:CX35"/>
    <mergeCell ref="CW20:CW21"/>
    <mergeCell ref="CX20:CX21"/>
    <mergeCell ref="CW22:CW23"/>
    <mergeCell ref="CX22:CX23"/>
    <mergeCell ref="CW16:CW17"/>
    <mergeCell ref="CX16:CX17"/>
    <mergeCell ref="R200:AR201"/>
    <mergeCell ref="DA34:DA35"/>
    <mergeCell ref="CZ36:CZ37"/>
    <mergeCell ref="DA36:DA37"/>
    <mergeCell ref="BV36:BV37"/>
    <mergeCell ref="BW36:BW37"/>
    <mergeCell ref="BX36:BX37"/>
    <mergeCell ref="BY36:BY37"/>
    <mergeCell ref="BZ36:BZ37"/>
    <mergeCell ref="AV35:BA35"/>
    <mergeCell ref="CU36:CU37"/>
    <mergeCell ref="CV36:CV37"/>
    <mergeCell ref="CW36:CW37"/>
    <mergeCell ref="CX36:CX37"/>
    <mergeCell ref="AP34:AR35"/>
    <mergeCell ref="AP36:AR37"/>
    <mergeCell ref="CL36:CL37"/>
    <mergeCell ref="CM36:CM37"/>
    <mergeCell ref="CN36:CN37"/>
    <mergeCell ref="BS36:BS37"/>
    <mergeCell ref="BT36:BT37"/>
    <mergeCell ref="CC34:CC35"/>
    <mergeCell ref="CD34:CD35"/>
    <mergeCell ref="CE34:CE35"/>
    <mergeCell ref="CI34:CI35"/>
    <mergeCell ref="CG36:CG37"/>
    <mergeCell ref="CH36:CH37"/>
    <mergeCell ref="CI36:CI37"/>
    <mergeCell ref="CT34:CT35"/>
    <mergeCell ref="CR36:CR37"/>
    <mergeCell ref="CS36:CS37"/>
    <mergeCell ref="CT36:CT37"/>
    <mergeCell ref="EJ18:EJ19"/>
    <mergeCell ref="EK18:EK19"/>
    <mergeCell ref="EL18:EL19"/>
    <mergeCell ref="EM18:EM19"/>
    <mergeCell ref="EN18:EN19"/>
    <mergeCell ref="EA20:EA21"/>
    <mergeCell ref="EB20:EB21"/>
    <mergeCell ref="EC20:EC21"/>
    <mergeCell ref="ED20:ED21"/>
    <mergeCell ref="EE20:EE21"/>
    <mergeCell ref="EF20:EF21"/>
    <mergeCell ref="EG20:EG21"/>
    <mergeCell ref="EH20:EH21"/>
    <mergeCell ref="EI20:EI21"/>
    <mergeCell ref="EJ20:EJ21"/>
    <mergeCell ref="EK20:EK21"/>
    <mergeCell ref="EL20:EL21"/>
    <mergeCell ref="EM20:EM21"/>
    <mergeCell ref="EN20:EN21"/>
    <mergeCell ref="EA18:EA19"/>
    <mergeCell ref="EB18:EB19"/>
    <mergeCell ref="EC18:EC19"/>
    <mergeCell ref="ED18:ED19"/>
    <mergeCell ref="EE18:EE19"/>
    <mergeCell ref="EF18:EF19"/>
    <mergeCell ref="EG18:EG19"/>
    <mergeCell ref="EH18:EH19"/>
    <mergeCell ref="EI18:EI19"/>
    <mergeCell ref="EJ22:EJ23"/>
    <mergeCell ref="EK22:EK23"/>
    <mergeCell ref="EL22:EL23"/>
    <mergeCell ref="EM22:EM23"/>
    <mergeCell ref="EN22:EN23"/>
    <mergeCell ref="EA24:EA25"/>
    <mergeCell ref="EB24:EB25"/>
    <mergeCell ref="EC24:EC25"/>
    <mergeCell ref="ED24:ED25"/>
    <mergeCell ref="EE24:EE25"/>
    <mergeCell ref="EF24:EF25"/>
    <mergeCell ref="EG24:EG25"/>
    <mergeCell ref="EH24:EH25"/>
    <mergeCell ref="EI24:EI25"/>
    <mergeCell ref="EJ24:EJ25"/>
    <mergeCell ref="EK24:EK25"/>
    <mergeCell ref="EL24:EL25"/>
    <mergeCell ref="EM24:EM25"/>
    <mergeCell ref="EN24:EN25"/>
    <mergeCell ref="EA22:EA23"/>
    <mergeCell ref="EB22:EB23"/>
    <mergeCell ref="EC22:EC23"/>
    <mergeCell ref="ED22:ED23"/>
    <mergeCell ref="EE22:EE23"/>
    <mergeCell ref="EF22:EF23"/>
    <mergeCell ref="EG22:EG23"/>
    <mergeCell ref="EH22:EH23"/>
    <mergeCell ref="EI22:EI23"/>
    <mergeCell ref="EJ26:EJ27"/>
    <mergeCell ref="EK26:EK27"/>
    <mergeCell ref="EL26:EL27"/>
    <mergeCell ref="EM26:EM27"/>
    <mergeCell ref="EN26:EN27"/>
    <mergeCell ref="EA28:EA29"/>
    <mergeCell ref="EB28:EB29"/>
    <mergeCell ref="EC28:EC29"/>
    <mergeCell ref="ED28:ED29"/>
    <mergeCell ref="EE28:EE29"/>
    <mergeCell ref="EF28:EF29"/>
    <mergeCell ref="EG28:EG29"/>
    <mergeCell ref="EH28:EH29"/>
    <mergeCell ref="EI28:EI29"/>
    <mergeCell ref="EJ28:EJ29"/>
    <mergeCell ref="EK28:EK29"/>
    <mergeCell ref="EL28:EL29"/>
    <mergeCell ref="EM28:EM29"/>
    <mergeCell ref="EN28:EN29"/>
    <mergeCell ref="EA26:EA27"/>
    <mergeCell ref="EB26:EB27"/>
    <mergeCell ref="EC26:EC27"/>
    <mergeCell ref="ED26:ED27"/>
    <mergeCell ref="EE26:EE27"/>
    <mergeCell ref="EF26:EF27"/>
    <mergeCell ref="EG26:EG27"/>
    <mergeCell ref="EH26:EH27"/>
    <mergeCell ref="EI26:EI27"/>
    <mergeCell ref="EJ30:EJ31"/>
    <mergeCell ref="EK30:EK31"/>
    <mergeCell ref="EL30:EL31"/>
    <mergeCell ref="EM30:EM31"/>
    <mergeCell ref="EN30:EN31"/>
    <mergeCell ref="EA32:EA33"/>
    <mergeCell ref="EB32:EB33"/>
    <mergeCell ref="EC32:EC33"/>
    <mergeCell ref="ED32:ED33"/>
    <mergeCell ref="EE32:EE33"/>
    <mergeCell ref="EF32:EF33"/>
    <mergeCell ref="EG32:EG33"/>
    <mergeCell ref="EH32:EH33"/>
    <mergeCell ref="EI32:EI33"/>
    <mergeCell ref="EJ32:EJ33"/>
    <mergeCell ref="EK32:EK33"/>
    <mergeCell ref="EL32:EL33"/>
    <mergeCell ref="EM32:EM33"/>
    <mergeCell ref="EN32:EN33"/>
    <mergeCell ref="EA30:EA31"/>
    <mergeCell ref="EB30:EB31"/>
    <mergeCell ref="EC30:EC31"/>
    <mergeCell ref="ED30:ED31"/>
    <mergeCell ref="EE30:EE31"/>
    <mergeCell ref="EF30:EF31"/>
    <mergeCell ref="EG30:EG31"/>
    <mergeCell ref="EH30:EH31"/>
    <mergeCell ref="EI30:EI31"/>
    <mergeCell ref="EJ34:EJ35"/>
    <mergeCell ref="EK34:EK35"/>
    <mergeCell ref="EL34:EL35"/>
    <mergeCell ref="EM34:EM35"/>
    <mergeCell ref="EN34:EN35"/>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A34:EA35"/>
    <mergeCell ref="EB34:EB35"/>
    <mergeCell ref="EC34:EC35"/>
    <mergeCell ref="ED34:ED35"/>
    <mergeCell ref="EE34:EE35"/>
    <mergeCell ref="EF34:EF35"/>
    <mergeCell ref="EG34:EG35"/>
    <mergeCell ref="EH34:EH35"/>
    <mergeCell ref="EI34:EI35"/>
  </mergeCells>
  <conditionalFormatting sqref="C18 L18 AD18 AJ18 AM18 AP18 AY18 BB18 BD18 AV18:AV37 C20 L20 AD20 AJ20 AM20 AP20 AY20 BB20 BD20 C22 L22 AD22 AJ22 AM22 AP22 AY22 BB22 BD22 C24 L24 AD24 AJ24 AM24 AP24 AY24 BB24 BD24 C26 L26 AD26 AJ26 AM26 AP26 AY26 BB26 BD26 C28 L28 AD28 AJ28 AM28 AP28 AY28 BB28 BD28 C30 L30 AD30 AJ30 AM30 AP30 AY30 BB30 BD30 C32 L32 AD32 AJ32 AM32 AP32 AY32 BB32 BD32 C34 L34 AD34 AJ34 AM34 AP34 AY34 BB34 BD34 C36 L36 AD36 AJ36 AM36 AP36 AY36 BB36 BD36">
    <cfRule type="expression" dxfId="342" priority="12">
      <formula>AND(ISBLANK($F18)=FALSE,OR(ISBLANK(C18)=TRUE,C18=""))</formula>
    </cfRule>
  </conditionalFormatting>
  <conditionalFormatting sqref="R18:AC37">
    <cfRule type="expression" dxfId="341" priority="3">
      <formula>AND(ISBLANK($F18)=FALSE,OR(ISBLANK(R18)=TRUE,R18=""))</formula>
    </cfRule>
  </conditionalFormatting>
  <conditionalFormatting sqref="AS18 AS20 AS22 AS24 AS26 AS28 AS30 AS32 AS34 AS36">
    <cfRule type="expression" dxfId="340" priority="2">
      <formula>AND(ISBLANK($F18)=FALSE,OR(ISBLANK(AS18)=TRUE,AS18=""))</formula>
    </cfRule>
  </conditionalFormatting>
  <conditionalFormatting sqref="AV18 AY18 AV20 AY20 AV22 AY22 AV24 AY24 AV26 AY26 AV28 AY28 AV30 AY30 AV32 AY32 AV34 AY34 AV36 AY36">
    <cfRule type="expression" dxfId="339" priority="2085">
      <formula>AND($F18&lt;&gt;"",$P18&lt;&gt;"",AV18="")</formula>
    </cfRule>
  </conditionalFormatting>
  <conditionalFormatting sqref="AV19 AV21 AV23 AV25 AV27 AV29 AV31 AV33 AV35 AV37">
    <cfRule type="expression" dxfId="338" priority="8">
      <formula>AND($F18&lt;&gt;"",AV19="")</formula>
    </cfRule>
  </conditionalFormatting>
  <conditionalFormatting sqref="BA8:BF8">
    <cfRule type="expression" dxfId="337" priority="5">
      <formula>IF($AO$8=PROJSTATMEASURE,FALSE,TRUE)</formula>
    </cfRule>
  </conditionalFormatting>
  <conditionalFormatting sqref="BH18 BH20 BH22 BH24 BH26 BH28 BH30 BH32 BH34 BH36">
    <cfRule type="expression" dxfId="336" priority="2135" stopIfTrue="1">
      <formula>ISNUMBER($BH18)=FALSE</formula>
    </cfRule>
    <cfRule type="expression" dxfId="335" priority="2136">
      <formula>$BH18 &lt;&gt; #REF!</formula>
    </cfRule>
  </conditionalFormatting>
  <conditionalFormatting sqref="BY18:BZ37">
    <cfRule type="expression" dxfId="334" priority="1">
      <formula>$BX18&lt;&gt;"Dual"</formula>
    </cfRule>
  </conditionalFormatting>
  <dataValidations count="20">
    <dataValidation allowBlank="1" showInputMessage="1" showErrorMessage="1" prompt="Enter the Serial number as it appears in technical documents and invoices." sqref="AV19 AV21 AV23 AV25 AV27 AV29 AV31 AV33 AV35 AV37" xr:uid="{D7C959CA-0D9A-4F5D-BD5D-21D29946387A}"/>
    <dataValidation allowBlank="1" showInputMessage="1" showErrorMessage="1" prompt="Provide a brief description of the Existing Equipment." sqref="L18 L20 L22 L24 L26 L28 L30 L32 L34 L36" xr:uid="{17F67C7B-AF72-4770-A247-C07F0072CD34}"/>
    <dataValidation allowBlank="1" showInputMessage="1" showErrorMessage="1" prompt="Enter the Model number as it appears in technical documents and invoices." sqref="AY18 AY20 AY22 AY24 AY26 AY28 AY30 AY32 AY34 AY36" xr:uid="{D184F1D3-1D5F-4087-AE1A-286E1C09BA1E}"/>
    <dataValidation allowBlank="1" showInputMessage="1" showErrorMessage="1" prompt="Enter the Manufacturer name as it appears in technical documents and invoices." sqref="AV18 AV20 AV22 AV24 AV26 AV28 AV30 AV32 AV34 AV36" xr:uid="{0B1B1F72-8076-4B31-8875-B07EAD86E6F0}"/>
    <dataValidation allowBlank="1" showInputMessage="1" showErrorMessage="1" prompt="Install Location should describe the area where the equipment is installed. (e.g. Room 201, Garage, Mechanical Room)." sqref="C18 C20 C22 C24 C26 C28 C30 C32 C34 C36" xr:uid="{A971D23A-A3F2-4092-8AEB-9935861D851E}"/>
    <dataValidation type="decimal" allowBlank="1" showInputMessage="1" showErrorMessage="1" prompt="This is the TOTAL Material Cost of the measure, NOT a per unit basis." sqref="BB18 BB20 BB22 BB24 BB26 BB28 BB30 BB32 BB34 BB36" xr:uid="{43358DD3-54CE-4DED-A2C9-0531FC3E87E6}">
      <formula1>0</formula1>
      <formula2>999999999</formula2>
    </dataValidation>
    <dataValidation type="decimal" allowBlank="1" showInputMessage="1" showErrorMessage="1" prompt="This is the TOTAL Labor Cost of the measure, NOT a per unit basis." sqref="BD18 BD20 BD22 BD24 BD26 BD28 BD30 BD32 BD34 BD36" xr:uid="{D7F204FC-569F-4DC0-908B-76C714413186}">
      <formula1>0</formula1>
      <formula2>999999999</formula2>
    </dataValidation>
    <dataValidation type="list" allowBlank="1" showInputMessage="1" showErrorMessage="1" prompt="Select Custom Measure Category." sqref="F18 F20 F22 F24 F26 F28 F30 F32 F34 F36" xr:uid="{E46ABF50-8517-4011-BAA5-BE5B8446D6E7}">
      <formula1>List_Cust_Heat</formula1>
    </dataValidation>
    <dataValidation type="custom" operator="greaterThanOrEqual" allowBlank="1" showInputMessage="1" showErrorMessage="1" errorTitle="Invalid Entry" error="Please enter no more than 4 decimals." prompt="Enter the Total Annual kWh Usage for the Existing measure, NOT per unit." sqref="R18:T37" xr:uid="{A8A487D0-CEAA-4970-957E-67C0C85E1035}">
      <formula1>AND(R18&gt;=0,R18=ROUND(R18,4))</formula1>
    </dataValidation>
    <dataValidation type="custom" operator="greaterThanOrEqual" allowBlank="1" showInputMessage="1" showErrorMessage="1" errorTitle="Invalid Entry" error="Please enter no more than 6 decimals." prompt="Enter the Total Annual kW Demand for the Existing measure, NOT per unit." sqref="U18:W37" xr:uid="{07F54766-3D29-470B-BD0B-CD1ACFB49316}">
      <formula1>AND(U18&gt;=0,U18=ROUND(U18,6))</formula1>
    </dataValidation>
    <dataValidation type="custom" operator="greaterThanOrEqual" allowBlank="1" showInputMessage="1" showErrorMessage="1" errorTitle="Invalid Entry" error="Please enter no more than 4 decimals." prompt="Enter the Total Annual kWh Usage for the Proposed measure, NOT per unit." sqref="AJ18 AJ20 AJ22 AJ24 AJ26 AJ28 AJ30 AJ32 AJ34 AJ36" xr:uid="{4CE03263-00A4-4D2E-A203-3057BE9A2158}">
      <formula1>AND(AJ18&gt;=0,AJ18=ROUND(AJ18,4))</formula1>
    </dataValidation>
    <dataValidation type="custom" operator="greaterThanOrEqual" allowBlank="1" showInputMessage="1" showErrorMessage="1" errorTitle="Invalid Entry" error="Please enter no more than 6 decimals." prompt="Enter the Total Annual kW Demand for the Proposed measure, NOT per unit." sqref="AM18 AM20 AM22 AM24 AM26 AM28 AM30 AM32 AM34 AM36" xr:uid="{B251BD66-A96E-43DB-9553-1B8C6AFF2CDA}">
      <formula1>AND(AM18&gt;=0,AM18=ROUND(AM18,6))</formula1>
    </dataValidation>
    <dataValidation type="textLength" errorStyle="warning" operator="lessThan" allowBlank="1" showInputMessage="1" showErrorMessage="1" errorTitle="*Important*" error="Text length must be less than 255 characters." prompt="Provide a brief description of the Proposed Equipment." sqref="AD18 AD20 AD22 AD24 AD26 AD28 AD30 AD32 AD34 AD36" xr:uid="{A382B534-D5F5-4213-86FD-F0BA2E5248BD}">
      <formula1>255</formula1>
    </dataValidation>
    <dataValidation type="custom" operator="greaterThanOrEqual" allowBlank="1" showInputMessage="1" showErrorMessage="1" errorTitle="Invalid Entry" error="Please enter no more than 6 decimals." prompt="Enter the Total Annual therm Usage for the Existing measure, NOT per unit." sqref="X18:Z37" xr:uid="{00C40129-FCD5-4922-837C-958A9723569F}">
      <formula1>AND(X18&gt;=0,X18=ROUND(X18,6))</formula1>
    </dataValidation>
    <dataValidation type="custom" operator="greaterThanOrEqual" allowBlank="1" showInputMessage="1" showErrorMessage="1" errorTitle="Invalid Entry" error="Please enter no more than 6 decimals." prompt="Enter the Peak Day therm Usage for the Existing measure, NOT per unit." sqref="AA18:AC37" xr:uid="{BC64A36E-9859-4489-9552-24E4E641CA96}">
      <formula1>AND(AA18&gt;=0,AA18=ROUND(AA18,6))</formula1>
    </dataValidation>
    <dataValidation type="custom" operator="greaterThanOrEqual" allowBlank="1" showInputMessage="1" showErrorMessage="1" errorTitle="Invalid Entry" error="Please enter no more than 6 decimals." prompt="Enter the Total Annual therm Usage for the Proposed measure, NOT per unit." sqref="AP18:AR37" xr:uid="{6E956EAC-ACF9-4EF2-9A35-59B614DF1BD4}">
      <formula1>AND(AP18&gt;=0,AP18=ROUND(AP18,6))</formula1>
    </dataValidation>
    <dataValidation type="custom" operator="greaterThanOrEqual" allowBlank="1" showInputMessage="1" showErrorMessage="1" errorTitle="Invalid Entry" error="Please enter no more than 6 decimals." prompt="Enter the Peak Day therm Usage for the Proposed measure, NOT per unit." sqref="AS18:AU37" xr:uid="{C71A4C67-80F7-4F6D-854E-D037997A9B99}">
      <formula1>AND(AS18&gt;=0,AS18=ROUND(AS18,6))</formula1>
    </dataValidation>
    <dataValidation type="custom" allowBlank="1" showInputMessage="1" showErrorMessage="1" sqref="BY18:BY37" xr:uid="{E79FF144-23B7-4E14-A09C-D4D4A737F71C}">
      <formula1>AND(BY18&gt;=0,BY18=ROUND(BY18,4))</formula1>
    </dataValidation>
    <dataValidation type="custom" allowBlank="1" showInputMessage="1" showErrorMessage="1" sqref="BZ18:BZ37" xr:uid="{AB6940B7-2966-473E-B661-99177826EA3F}">
      <formula1>AND(BZ18&gt;=0,BZ18=ROUND(BZ18,6))</formula1>
    </dataValidation>
    <dataValidation type="whole" operator="greaterThan" allowBlank="1" showInputMessage="1" showErrorMessage="1" sqref="BV18:BW37" xr:uid="{2A195E6C-8192-4211-8FFC-6B9F66F1FEA1}">
      <formula1>0</formula1>
    </dataValidation>
  </dataValidations>
  <hyperlinks>
    <hyperlink ref="J1:M3" location="'M01-S02'!J1" tooltip="Instructions" display="'M01-S02'!J1" xr:uid="{F510A47D-41CD-4398-8A2D-9BD933BAB222}"/>
    <hyperlink ref="AX1:BA3" location="'M05-S05'!AL1" tooltip=" " display="'M05-S05'!AL1" xr:uid="{9B7CD9F6-9718-4F9E-91CC-8A042A8178EF}"/>
    <hyperlink ref="BH1:BK3" location="'M01-S03'!AP1" tooltip="Contact" display="'M01-S03'!AP1" xr:uid="{0A5117DD-06F9-4527-95BE-71ACA2E854AA}"/>
    <hyperlink ref="AT1:AW3" location="'M05-S04'!AH1" tooltip=" " display="'M05-S04'!AH1" xr:uid="{EC8147D6-9601-4FC0-9E82-F95278FF9DCF}"/>
    <hyperlink ref="AP1:AS3" location="'M05-S05'!AL1" tooltip=" " display="'M05-S05'!AL1" xr:uid="{DC5A9C3E-909B-4AC3-BC68-09318E3E5E04}"/>
    <hyperlink ref="W9:Z11" location="Custom_WH_Tax" tooltip="Refrigeration" display="Custom_WH_Tax" xr:uid="{312536CA-D952-47FC-8F30-A03F2F3B6D46}"/>
    <hyperlink ref="AP9:AS11" location="Custom_PL_Tax" tooltip="Motors and Drives" display="Custom_PL_Tax" xr:uid="{A8A8A59B-856F-42A0-B0F9-FDEA8D6AD2D3}"/>
    <hyperlink ref="K9:N11" location="Custom_Lighting_Tax" display="Custom_Lighting_Tax" xr:uid="{2DFF34AE-8AE1-4CF6-9053-1C2C14DDF2C8}"/>
    <hyperlink ref="O9:R11" location="Custom_HVAC_Tax" display="Custom_HVAC_Tax" xr:uid="{7A0D5895-3158-4EEC-9C99-CF7724133A33}"/>
    <hyperlink ref="S9:V11" location="Custom_Heating_Tax" display="Custom_Heating_Tax" xr:uid="{5F2EAA7E-7817-433D-BCEF-C194DCC34E6D}"/>
    <hyperlink ref="AF9:AJ11" location="Custom_FS_Tax" display="Custom_FS_Tax" xr:uid="{BDF79854-F964-4884-BAC6-E3346B8C7FA5}"/>
    <hyperlink ref="AK9:AO11" location="Custom_AG_Tax" display="Custom_AG_Tax" xr:uid="{40FB5A8D-2748-4D4E-8E0B-59BBCBE028AB}"/>
    <hyperlink ref="AT9:AW11" location="Custom_RA_Tax" display="Custom_RA_Tax" xr:uid="{3D1466E2-D4B8-4537-8AB1-4CC3D7FE03E1}"/>
    <hyperlink ref="AX9:BA11" location="Custom_Misc_Tax" display="Custom_Misc_Tax" xr:uid="{5157352B-ED34-4531-9C9C-F136641FE380}"/>
    <hyperlink ref="AA9:AE11" location="Custom_Refrig_Tax" display="Custom_Refrig_Tax" xr:uid="{42B4DC08-760C-4301-B35D-E429A93C8C36}"/>
  </hyperlinks>
  <printOptions horizontalCentered="1"/>
  <pageMargins left="0" right="0" top="0.25" bottom="0.25" header="0.25" footer="0.25"/>
  <pageSetup scale="4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8224520-3954-41EB-9F88-B6000B8D823B}">
          <x14:formula1>
            <xm:f>'DATA TABLES_Project'!$A$112:$A$113</xm:f>
          </x14:formula1>
          <xm:sqref>BX18:BX37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C543-588B-4CE8-8797-6679879C4458}">
  <sheetPr codeName="Sheet29">
    <tabColor rgb="FF142C41"/>
    <pageSetUpPr fitToPage="1"/>
  </sheetPr>
  <dimension ref="A1:EN204"/>
  <sheetViews>
    <sheetView showGridLines="0" showRowColHeaders="0" zoomScale="90" zoomScaleNormal="90" workbookViewId="0">
      <selection activeCell="AQ14" sqref="AQ14:BA14"/>
    </sheetView>
  </sheetViews>
  <sheetFormatPr defaultColWidth="0" defaultRowHeight="0" customHeight="1" zeroHeight="1"/>
  <cols>
    <col min="1" max="70" width="4.5703125" style="502" customWidth="1"/>
    <col min="71" max="71" width="11.5703125" hidden="1" customWidth="1"/>
    <col min="72" max="72" width="80.5703125" hidden="1" customWidth="1"/>
    <col min="73" max="73" width="4.5703125" hidden="1" customWidth="1"/>
    <col min="74" max="76" width="12" hidden="1" customWidth="1"/>
    <col min="77" max="77" width="14.85546875" hidden="1" customWidth="1"/>
    <col min="78" max="78" width="15.28515625" hidden="1" customWidth="1"/>
    <col min="79" max="79" width="4.5703125" hidden="1" customWidth="1"/>
    <col min="80" max="98" width="12" hidden="1" customWidth="1"/>
    <col min="99" max="99" width="8.5703125" hidden="1" customWidth="1"/>
    <col min="100" max="102" width="12" hidden="1" customWidth="1"/>
    <col min="103" max="103" width="8.5703125" hidden="1" customWidth="1"/>
    <col min="104" max="107" width="12" hidden="1" customWidth="1"/>
    <col min="108" max="128" width="28.5703125" hidden="1" customWidth="1"/>
    <col min="129" max="129" width="26.7109375" hidden="1" customWidth="1"/>
    <col min="130" max="130" width="15.85546875" hidden="1" customWidth="1"/>
    <col min="131" max="144" width="32.5703125" hidden="1" customWidth="1"/>
    <col min="145" max="16384" width="4.5703125" hidden="1"/>
  </cols>
  <sheetData>
    <row r="1" spans="1:105" ht="16.350000000000001" customHeight="1">
      <c r="A1" s="12"/>
      <c r="B1" s="36"/>
      <c r="C1" s="36"/>
      <c r="D1" s="36"/>
      <c r="E1" s="36"/>
      <c r="F1" s="750" t="str">
        <f>M1S1</f>
        <v>WELCOME</v>
      </c>
      <c r="G1" s="750"/>
      <c r="H1" s="750"/>
      <c r="I1" s="750"/>
      <c r="J1" s="727" t="str">
        <f>M1S2</f>
        <v>INSTRUCTIONS</v>
      </c>
      <c r="K1" s="727"/>
      <c r="L1" s="727"/>
      <c r="M1" s="727"/>
      <c r="N1" s="166"/>
      <c r="O1" s="166"/>
      <c r="P1" s="166"/>
      <c r="Q1" s="166"/>
      <c r="R1" s="166"/>
      <c r="S1" s="166"/>
      <c r="T1" s="166"/>
      <c r="U1" s="189"/>
      <c r="V1" s="190" t="s">
        <v>118</v>
      </c>
      <c r="W1" s="190"/>
      <c r="X1" s="190"/>
      <c r="Y1" s="190"/>
      <c r="Z1" s="166"/>
      <c r="AA1" s="166"/>
      <c r="AB1" s="166"/>
      <c r="AC1" s="166"/>
      <c r="AD1" s="166"/>
      <c r="AE1" s="166"/>
      <c r="AF1" s="166"/>
      <c r="AG1" s="166"/>
      <c r="AH1" s="166"/>
      <c r="AI1"/>
      <c r="AJ1"/>
      <c r="AK1"/>
      <c r="AL1"/>
      <c r="AM1"/>
      <c r="AN1"/>
      <c r="AO1"/>
      <c r="AP1" s="734" t="str">
        <f>IF(ACTIVEINSPECT="Yes","Complete "&amp;M5S4,"")</f>
        <v/>
      </c>
      <c r="AQ1" s="734"/>
      <c r="AR1" s="734"/>
      <c r="AS1" s="734"/>
      <c r="AT1" s="730" t="str">
        <f>IF(ACTIVEOFFER="Yes","Sign "&amp;M5S6,"")</f>
        <v>Sign OBR: Repayment Agreement</v>
      </c>
      <c r="AU1" s="730"/>
      <c r="AV1" s="730"/>
      <c r="AW1" s="730"/>
      <c r="AX1" s="730" t="str">
        <f>IF(ACTIVECOMPL="Yes","Sign "&amp;M5S5,"")</f>
        <v xml:space="preserve">Sign Project Completion Certification </v>
      </c>
      <c r="AY1" s="730"/>
      <c r="AZ1" s="730"/>
      <c r="BA1" s="730"/>
      <c r="BB1" s="732" t="str">
        <f>M1S4</f>
        <v>INCENTIVE RATES &amp; REQUIREMENTS</v>
      </c>
      <c r="BC1" s="732"/>
      <c r="BD1" s="732"/>
      <c r="BE1" s="732"/>
      <c r="BF1" s="732"/>
      <c r="BG1" s="732"/>
      <c r="BH1" s="722" t="s">
        <v>119</v>
      </c>
      <c r="BI1" s="723"/>
      <c r="BJ1" s="723"/>
      <c r="BK1" s="723"/>
      <c r="BL1" s="676"/>
      <c r="BM1" s="676"/>
      <c r="BN1" s="676"/>
      <c r="BO1" s="676"/>
      <c r="BP1" s="676"/>
      <c r="BQ1" s="676"/>
      <c r="BR1" s="676"/>
    </row>
    <row r="2" spans="1:105" ht="16.350000000000001" customHeight="1">
      <c r="A2"/>
      <c r="B2" s="36"/>
      <c r="C2" s="36"/>
      <c r="D2" s="36"/>
      <c r="E2" s="36"/>
      <c r="F2" s="750"/>
      <c r="G2" s="750"/>
      <c r="H2" s="750"/>
      <c r="I2" s="750"/>
      <c r="J2" s="728"/>
      <c r="K2" s="728"/>
      <c r="L2" s="728"/>
      <c r="M2" s="728"/>
      <c r="N2" s="166"/>
      <c r="O2" s="166"/>
      <c r="P2" s="166"/>
      <c r="Q2" s="166"/>
      <c r="R2" s="166"/>
      <c r="S2" s="166"/>
      <c r="T2" s="166"/>
      <c r="U2" s="189"/>
      <c r="V2" s="190"/>
      <c r="W2" s="190"/>
      <c r="X2" s="190"/>
      <c r="Y2" s="190"/>
      <c r="Z2" s="166"/>
      <c r="AA2" s="166"/>
      <c r="AB2" s="166"/>
      <c r="AC2" s="166"/>
      <c r="AD2" s="166"/>
      <c r="AE2" s="166"/>
      <c r="AF2" s="166"/>
      <c r="AG2" s="166"/>
      <c r="AH2" s="166"/>
      <c r="AI2"/>
      <c r="AJ2"/>
      <c r="AK2"/>
      <c r="AL2"/>
      <c r="AM2"/>
      <c r="AN2"/>
      <c r="AO2"/>
      <c r="AP2" s="734"/>
      <c r="AQ2" s="734"/>
      <c r="AR2" s="734"/>
      <c r="AS2" s="734"/>
      <c r="AT2" s="730"/>
      <c r="AU2" s="730"/>
      <c r="AV2" s="730"/>
      <c r="AW2" s="730"/>
      <c r="AX2" s="730"/>
      <c r="AY2" s="730"/>
      <c r="AZ2" s="730"/>
      <c r="BA2" s="730"/>
      <c r="BB2" s="732"/>
      <c r="BC2" s="732"/>
      <c r="BD2" s="732"/>
      <c r="BE2" s="732"/>
      <c r="BF2" s="732"/>
      <c r="BG2" s="732"/>
      <c r="BH2" s="723"/>
      <c r="BI2" s="723"/>
      <c r="BJ2" s="723"/>
      <c r="BK2" s="723"/>
      <c r="BL2" s="676"/>
      <c r="BM2" s="676"/>
      <c r="BN2" s="676"/>
      <c r="BO2" s="676"/>
      <c r="BP2" s="676"/>
      <c r="BQ2" s="676"/>
      <c r="BR2" s="676"/>
    </row>
    <row r="3" spans="1:105" ht="16.350000000000001" customHeight="1" thickBot="1">
      <c r="A3" s="614"/>
      <c r="B3" s="627"/>
      <c r="C3" s="627"/>
      <c r="D3" s="627"/>
      <c r="E3" s="627"/>
      <c r="F3" s="875"/>
      <c r="G3" s="875"/>
      <c r="H3" s="875"/>
      <c r="I3" s="875"/>
      <c r="J3" s="876"/>
      <c r="K3" s="876"/>
      <c r="L3" s="876"/>
      <c r="M3" s="876"/>
      <c r="N3" s="608"/>
      <c r="O3" s="608"/>
      <c r="P3" s="608"/>
      <c r="Q3" s="608"/>
      <c r="R3" s="608"/>
      <c r="S3" s="608"/>
      <c r="T3" s="608"/>
      <c r="U3" s="608"/>
      <c r="V3" s="609"/>
      <c r="W3" s="609"/>
      <c r="X3" s="609"/>
      <c r="Y3" s="609"/>
      <c r="Z3" s="614"/>
      <c r="AA3" s="614"/>
      <c r="AB3" s="614"/>
      <c r="AC3" s="614"/>
      <c r="AD3" s="614"/>
      <c r="AE3" s="614"/>
      <c r="AF3" s="614"/>
      <c r="AG3" s="614"/>
      <c r="AH3" s="614"/>
      <c r="AI3" s="614"/>
      <c r="AJ3" s="614"/>
      <c r="AK3" s="614"/>
      <c r="AL3" s="614"/>
      <c r="AM3" s="614"/>
      <c r="AN3" s="614"/>
      <c r="AO3" s="614"/>
      <c r="AP3" s="868"/>
      <c r="AQ3" s="868"/>
      <c r="AR3" s="868"/>
      <c r="AS3" s="868"/>
      <c r="AT3" s="869"/>
      <c r="AU3" s="869"/>
      <c r="AV3" s="869"/>
      <c r="AW3" s="869"/>
      <c r="AX3" s="869"/>
      <c r="AY3" s="869"/>
      <c r="AZ3" s="869"/>
      <c r="BA3" s="869"/>
      <c r="BB3" s="1009"/>
      <c r="BC3" s="1009"/>
      <c r="BD3" s="1009"/>
      <c r="BE3" s="1009"/>
      <c r="BF3" s="1009"/>
      <c r="BG3" s="1009"/>
      <c r="BH3" s="871"/>
      <c r="BI3" s="871"/>
      <c r="BJ3" s="871"/>
      <c r="BK3" s="871"/>
      <c r="BL3" s="676"/>
      <c r="BM3" s="676"/>
      <c r="BN3" s="676"/>
      <c r="BO3" s="676"/>
      <c r="BP3" s="676"/>
      <c r="BQ3" s="676"/>
      <c r="BR3" s="676"/>
    </row>
    <row r="4" spans="1:105" s="496" customFormat="1" ht="16.350000000000001" customHeight="1">
      <c r="A4" s="615"/>
      <c r="B4" s="615"/>
      <c r="C4" s="615"/>
      <c r="D4" s="615"/>
      <c r="E4" s="615"/>
      <c r="F4" s="615"/>
      <c r="G4" s="615"/>
      <c r="H4" s="615"/>
      <c r="I4" s="615"/>
      <c r="J4" s="615"/>
      <c r="K4" s="615"/>
      <c r="L4" s="615"/>
      <c r="M4" s="615"/>
      <c r="N4" s="616"/>
      <c r="O4" s="617"/>
      <c r="P4" s="615"/>
      <c r="Q4" s="615"/>
      <c r="R4" s="615"/>
      <c r="S4" s="615"/>
      <c r="T4" s="613" t="s">
        <v>707</v>
      </c>
      <c r="U4" s="618" t="str">
        <f>M05S07F07</f>
        <v>Custom</v>
      </c>
      <c r="X4" s="619"/>
      <c r="Y4" s="619"/>
      <c r="Z4" s="619"/>
      <c r="AA4" s="615"/>
      <c r="AB4" s="615"/>
      <c r="AC4" s="613" t="s">
        <v>708</v>
      </c>
      <c r="AD4" s="618" t="str">
        <f>IF(M02S02F02="","[Project Name]",LEFT(M02S02F02,25))</f>
        <v>[Project Name]</v>
      </c>
      <c r="AF4" s="620"/>
      <c r="AG4" s="620"/>
      <c r="AH4" s="620"/>
      <c r="AI4" s="620"/>
      <c r="AJ4" s="620"/>
      <c r="AK4" s="620"/>
      <c r="AL4" s="613" t="s">
        <v>709</v>
      </c>
      <c r="AM4" s="621" t="str">
        <f>IF(M02S02F27="Yes",Status_Final,Status_Pre)</f>
        <v>Draft Pre-Application</v>
      </c>
      <c r="AO4" s="617"/>
      <c r="AP4" s="615"/>
      <c r="AQ4" s="615"/>
      <c r="AR4" s="617"/>
      <c r="AS4" s="617"/>
      <c r="AT4" s="615"/>
      <c r="AU4" s="615"/>
      <c r="AV4" s="615"/>
      <c r="AW4" s="613" t="s">
        <v>710</v>
      </c>
      <c r="AX4" s="1047">
        <f>Incent_Total_Cap_All</f>
        <v>0</v>
      </c>
      <c r="AY4" s="1047"/>
      <c r="AZ4" s="1047"/>
      <c r="BA4" s="1047"/>
      <c r="BB4" s="1048" t="s">
        <v>711</v>
      </c>
      <c r="BC4" s="1048"/>
      <c r="BD4" s="1048"/>
      <c r="BE4" s="1048"/>
      <c r="BF4" s="1048"/>
      <c r="BG4" s="1047" t="str">
        <f>OBR_Amount_Requested</f>
        <v/>
      </c>
      <c r="BH4" s="1047"/>
      <c r="BI4" s="1047"/>
      <c r="BJ4" s="1047"/>
      <c r="BK4" s="617"/>
      <c r="BL4" s="617"/>
      <c r="BM4" s="617"/>
      <c r="BN4" s="617"/>
      <c r="BO4" s="617"/>
      <c r="BP4" s="617"/>
      <c r="BQ4" s="617"/>
      <c r="BR4" s="617"/>
    </row>
    <row r="5" spans="1:105"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142"/>
      <c r="BK5" s="142"/>
      <c r="BL5"/>
      <c r="BM5"/>
      <c r="BN5"/>
      <c r="BO5"/>
      <c r="BP5"/>
      <c r="BQ5"/>
      <c r="BR5"/>
    </row>
    <row r="6" spans="1:105"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c r="BJ6"/>
      <c r="BK6"/>
      <c r="BL6"/>
      <c r="BM6"/>
      <c r="BN6"/>
      <c r="BO6"/>
      <c r="BP6"/>
      <c r="BQ6"/>
      <c r="BR6"/>
    </row>
    <row r="7" spans="1:105"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c r="BJ7"/>
      <c r="BK7"/>
      <c r="BL7"/>
      <c r="BM7"/>
      <c r="BN7"/>
      <c r="BO7"/>
      <c r="BP7"/>
      <c r="BQ7"/>
      <c r="BR7"/>
    </row>
    <row r="8" spans="1:105"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14"/>
      <c r="BK8" s="614"/>
      <c r="BL8"/>
      <c r="BM8"/>
      <c r="BN8"/>
      <c r="BO8"/>
      <c r="BP8"/>
      <c r="BQ8"/>
      <c r="BR8"/>
    </row>
    <row r="9" spans="1:105" s="43" customFormat="1" ht="16.350000000000001" customHeight="1">
      <c r="A9" s="178"/>
      <c r="B9" s="179"/>
      <c r="C9" s="179"/>
      <c r="D9" s="179"/>
      <c r="E9" s="179"/>
      <c r="F9" s="178"/>
      <c r="G9" s="178"/>
      <c r="H9" s="178"/>
      <c r="I9" s="178"/>
      <c r="K9" s="1051" t="str">
        <f>M4S2</f>
        <v>Lighting &amp; Lighting Controls</v>
      </c>
      <c r="L9" s="1014"/>
      <c r="M9" s="1014"/>
      <c r="N9" s="1014"/>
      <c r="O9" s="1005" t="str">
        <f>M4S3</f>
        <v>HVAC</v>
      </c>
      <c r="P9" s="1005"/>
      <c r="Q9" s="1005"/>
      <c r="R9" s="1005"/>
      <c r="S9" s="1005" t="str">
        <f>M4S4</f>
        <v>Heating</v>
      </c>
      <c r="T9" s="1005"/>
      <c r="U9" s="1005"/>
      <c r="V9" s="1005"/>
      <c r="W9" s="1054" t="str">
        <f>M4S5</f>
        <v>Water Heating &amp; Boilers</v>
      </c>
      <c r="X9" s="1054"/>
      <c r="Y9" s="1054"/>
      <c r="Z9" s="1054"/>
      <c r="AA9" s="1029" t="str">
        <f>M4S6</f>
        <v>Refrigeration</v>
      </c>
      <c r="AB9" s="1030"/>
      <c r="AC9" s="1030"/>
      <c r="AD9" s="1030"/>
      <c r="AE9" s="1031"/>
      <c r="AF9" s="1010" t="str">
        <f>M4S7</f>
        <v>Food Service</v>
      </c>
      <c r="AG9" s="1011"/>
      <c r="AH9" s="1011"/>
      <c r="AI9" s="1011"/>
      <c r="AJ9" s="1012"/>
      <c r="AK9" s="1010" t="str">
        <f>M4S8</f>
        <v>Agriculture</v>
      </c>
      <c r="AL9" s="1011"/>
      <c r="AM9" s="1011"/>
      <c r="AN9" s="1011"/>
      <c r="AO9" s="1012"/>
      <c r="AP9" s="1005" t="str">
        <f>M4S9</f>
        <v>Plug Load</v>
      </c>
      <c r="AQ9" s="1005"/>
      <c r="AR9" s="1005"/>
      <c r="AS9" s="1005"/>
      <c r="AT9" s="1005" t="str">
        <f>M4S10</f>
        <v>Residential Appliances</v>
      </c>
      <c r="AU9" s="1005"/>
      <c r="AV9" s="1005"/>
      <c r="AW9" s="1005"/>
      <c r="AX9" s="1005" t="str">
        <f>M4S11</f>
        <v>Miscellaneous</v>
      </c>
      <c r="AY9" s="1005"/>
      <c r="AZ9" s="1005"/>
      <c r="BA9" s="1005"/>
      <c r="BB9" s="178"/>
      <c r="BC9" s="178"/>
      <c r="BD9" s="178"/>
      <c r="BE9" s="178"/>
      <c r="BF9" s="178"/>
      <c r="BG9" s="178"/>
      <c r="BH9" s="178"/>
      <c r="BI9" s="178"/>
      <c r="BJ9" s="178"/>
      <c r="BK9" s="178"/>
      <c r="BL9" s="178"/>
      <c r="BM9" s="178"/>
      <c r="BN9" s="178"/>
      <c r="BO9" s="178"/>
      <c r="BP9" s="178"/>
      <c r="BQ9" s="178"/>
      <c r="BR9" s="178"/>
    </row>
    <row r="10" spans="1:105" s="43" customFormat="1" ht="16.350000000000001" customHeight="1">
      <c r="A10" s="178"/>
      <c r="B10" s="179"/>
      <c r="C10" s="179"/>
      <c r="D10" s="179"/>
      <c r="E10" s="179"/>
      <c r="F10" s="178"/>
      <c r="G10" s="178"/>
      <c r="H10" s="178"/>
      <c r="I10" s="178"/>
      <c r="K10" s="1051"/>
      <c r="L10" s="1014"/>
      <c r="M10" s="1014"/>
      <c r="N10" s="1014"/>
      <c r="O10" s="1005"/>
      <c r="P10" s="1005"/>
      <c r="Q10" s="1005"/>
      <c r="R10" s="1005"/>
      <c r="S10" s="1005"/>
      <c r="T10" s="1005"/>
      <c r="U10" s="1005"/>
      <c r="V10" s="1005"/>
      <c r="W10" s="1054"/>
      <c r="X10" s="1054"/>
      <c r="Y10" s="1054"/>
      <c r="Z10" s="1054"/>
      <c r="AA10" s="1032"/>
      <c r="AB10" s="1033"/>
      <c r="AC10" s="1033"/>
      <c r="AD10" s="1033"/>
      <c r="AE10" s="1034"/>
      <c r="AF10" s="1013"/>
      <c r="AG10" s="1014"/>
      <c r="AH10" s="1014"/>
      <c r="AI10" s="1014"/>
      <c r="AJ10" s="1015"/>
      <c r="AK10" s="1013"/>
      <c r="AL10" s="1014"/>
      <c r="AM10" s="1014"/>
      <c r="AN10" s="1014"/>
      <c r="AO10" s="1015"/>
      <c r="AP10" s="1005"/>
      <c r="AQ10" s="1005"/>
      <c r="AR10" s="1005"/>
      <c r="AS10" s="1005"/>
      <c r="AT10" s="1005"/>
      <c r="AU10" s="1005"/>
      <c r="AV10" s="1005"/>
      <c r="AW10" s="1005"/>
      <c r="AX10" s="1005"/>
      <c r="AY10" s="1005"/>
      <c r="AZ10" s="1005"/>
      <c r="BA10" s="1005"/>
      <c r="BB10" s="178"/>
      <c r="BC10" s="178"/>
      <c r="BD10" s="178"/>
      <c r="BE10" s="178"/>
      <c r="BF10" s="178"/>
      <c r="BG10" s="178"/>
      <c r="BH10" s="178"/>
      <c r="BI10" s="178"/>
      <c r="BJ10" s="178"/>
      <c r="BK10" s="178"/>
      <c r="BL10" s="178"/>
      <c r="BM10" s="178"/>
      <c r="BN10" s="178"/>
      <c r="BO10" s="178"/>
      <c r="BP10" s="178"/>
      <c r="BQ10" s="178"/>
      <c r="BR10" s="178"/>
    </row>
    <row r="11" spans="1:105" ht="16.350000000000001" customHeight="1">
      <c r="A11" s="177"/>
      <c r="B11" s="180"/>
      <c r="C11" s="180"/>
      <c r="D11" s="180"/>
      <c r="E11" s="180"/>
      <c r="F11" s="177"/>
      <c r="G11" s="177"/>
      <c r="H11" s="177"/>
      <c r="I11" s="177"/>
      <c r="J11"/>
      <c r="K11" s="1052"/>
      <c r="L11" s="1053"/>
      <c r="M11" s="1053"/>
      <c r="N11" s="1053"/>
      <c r="O11" s="1006"/>
      <c r="P11" s="1006"/>
      <c r="Q11" s="1006"/>
      <c r="R11" s="1006"/>
      <c r="S11" s="1006"/>
      <c r="T11" s="1006"/>
      <c r="U11" s="1006"/>
      <c r="V11" s="1006"/>
      <c r="W11" s="1055"/>
      <c r="X11" s="1055"/>
      <c r="Y11" s="1055"/>
      <c r="Z11" s="1055"/>
      <c r="AA11" s="1035"/>
      <c r="AB11" s="1036"/>
      <c r="AC11" s="1036"/>
      <c r="AD11" s="1036"/>
      <c r="AE11" s="1037"/>
      <c r="AF11" s="1016"/>
      <c r="AG11" s="1017"/>
      <c r="AH11" s="1017"/>
      <c r="AI11" s="1017"/>
      <c r="AJ11" s="1018"/>
      <c r="AK11" s="1016"/>
      <c r="AL11" s="1017"/>
      <c r="AM11" s="1017"/>
      <c r="AN11" s="1017"/>
      <c r="AO11" s="1018"/>
      <c r="AP11" s="1006"/>
      <c r="AQ11" s="1006"/>
      <c r="AR11" s="1006"/>
      <c r="AS11" s="1006"/>
      <c r="AT11" s="1006"/>
      <c r="AU11" s="1006"/>
      <c r="AV11" s="1006"/>
      <c r="AW11" s="1006"/>
      <c r="AX11" s="1006"/>
      <c r="AY11" s="1006"/>
      <c r="AZ11" s="1006"/>
      <c r="BA11" s="1006"/>
      <c r="BB11" s="177"/>
      <c r="BC11" s="177"/>
      <c r="BD11" s="177"/>
      <c r="BE11" s="177"/>
      <c r="BF11" s="177"/>
      <c r="BG11" s="177"/>
      <c r="BH11" s="177"/>
      <c r="BI11" s="177"/>
      <c r="BJ11" s="177"/>
      <c r="BK11" s="177"/>
      <c r="BL11" s="177"/>
      <c r="BM11" s="177"/>
      <c r="BN11" s="177"/>
      <c r="BO11" s="177"/>
      <c r="BP11" s="177"/>
      <c r="BQ11" s="177"/>
      <c r="BR11" s="177"/>
    </row>
    <row r="12" spans="1:105" ht="16.350000000000001" customHeight="1">
      <c r="A12" s="181"/>
      <c r="B12" s="181"/>
      <c r="C12" s="181"/>
      <c r="D12" s="181"/>
      <c r="E12" s="181"/>
      <c r="F12" s="181"/>
      <c r="G12" s="177"/>
      <c r="H12" s="177"/>
      <c r="I12" s="177"/>
      <c r="J12" s="177"/>
      <c r="K12" s="177"/>
      <c r="L12" s="177"/>
      <c r="M12" s="177"/>
      <c r="N12" s="177"/>
      <c r="O12" s="177"/>
      <c r="P12" s="177"/>
      <c r="Q12" s="177"/>
      <c r="R12" s="177"/>
      <c r="S12" s="177"/>
      <c r="T12" s="177"/>
      <c r="U12" s="177"/>
      <c r="V12" s="177"/>
      <c r="W12" s="177"/>
      <c r="X12" s="177"/>
      <c r="Y12" s="1004">
        <f>IFERROR(SUM(BF18:BG225,AQ14),0)</f>
        <v>0</v>
      </c>
      <c r="Z12" s="1004"/>
      <c r="AA12" s="1004"/>
      <c r="AB12" s="1004"/>
      <c r="AC12" s="1004">
        <f>IFERROR(SUM(BH18:BJ225),0)</f>
        <v>0</v>
      </c>
      <c r="AD12" s="1004"/>
      <c r="AE12" s="1004"/>
      <c r="AF12" s="1004"/>
      <c r="AG12" s="1004"/>
      <c r="AH12" s="1007">
        <f>IFERROR(SUMIF(BH18:BJ225,"&gt;0",BK18:BM225),0)</f>
        <v>0</v>
      </c>
      <c r="AI12" s="1007"/>
      <c r="AJ12" s="1007"/>
      <c r="AK12" s="1007"/>
      <c r="AL12" s="1008">
        <f>IFERROR(SUMIF(BH18:BJ225,"&gt;0",BN18:BP225),0)</f>
        <v>0</v>
      </c>
      <c r="AM12" s="1008"/>
      <c r="AN12" s="1008"/>
      <c r="AO12" s="1008"/>
      <c r="AP12" s="177"/>
      <c r="AQ12" s="1020" t="s">
        <v>1399</v>
      </c>
      <c r="AR12" s="1020"/>
      <c r="AS12" s="1020"/>
      <c r="AT12" s="1020"/>
      <c r="AU12" s="1020"/>
      <c r="AV12" s="1020"/>
      <c r="AW12" s="1020"/>
      <c r="AX12" s="1020"/>
      <c r="AY12" s="1020"/>
      <c r="AZ12" s="1020"/>
      <c r="BA12" s="1020"/>
      <c r="BB12" s="177"/>
      <c r="BC12" s="177"/>
      <c r="BD12" s="177"/>
      <c r="BE12" s="177"/>
      <c r="BF12" s="177"/>
      <c r="BG12" s="177"/>
      <c r="BH12" s="177"/>
      <c r="BI12" s="177"/>
      <c r="BJ12" s="177"/>
      <c r="BK12" s="177"/>
      <c r="BL12" s="177"/>
      <c r="BM12" s="177"/>
      <c r="BN12" s="177"/>
      <c r="BO12" s="177"/>
      <c r="BP12" s="177"/>
      <c r="BQ12" s="177"/>
      <c r="BR12" s="177"/>
    </row>
    <row r="13" spans="1:105" ht="16.350000000000001" customHeight="1">
      <c r="A13" s="181"/>
      <c r="B13" s="181"/>
      <c r="C13"/>
      <c r="D13"/>
      <c r="E13"/>
      <c r="F13"/>
      <c r="G13"/>
      <c r="H13"/>
      <c r="I13"/>
      <c r="J13"/>
      <c r="K13"/>
      <c r="L13"/>
      <c r="M13"/>
      <c r="N13"/>
      <c r="O13"/>
      <c r="P13"/>
      <c r="Q13"/>
      <c r="R13"/>
      <c r="S13"/>
      <c r="T13" s="177"/>
      <c r="U13" s="177"/>
      <c r="V13" s="177"/>
      <c r="W13" s="177"/>
      <c r="X13" s="177"/>
      <c r="Y13" s="1004"/>
      <c r="Z13" s="1004"/>
      <c r="AA13" s="1004"/>
      <c r="AB13" s="1004"/>
      <c r="AC13" s="1004"/>
      <c r="AD13" s="1004"/>
      <c r="AE13" s="1004"/>
      <c r="AF13" s="1004"/>
      <c r="AG13" s="1004"/>
      <c r="AH13" s="1007"/>
      <c r="AI13" s="1007"/>
      <c r="AJ13" s="1007"/>
      <c r="AK13" s="1007"/>
      <c r="AL13" s="1008"/>
      <c r="AM13" s="1008"/>
      <c r="AN13" s="1008"/>
      <c r="AO13" s="1008"/>
      <c r="AP13" s="177"/>
      <c r="AQ13" s="1020"/>
      <c r="AR13" s="1020"/>
      <c r="AS13" s="1020"/>
      <c r="AT13" s="1020"/>
      <c r="AU13" s="1020"/>
      <c r="AV13" s="1020"/>
      <c r="AW13" s="1020"/>
      <c r="AX13" s="1020"/>
      <c r="AY13" s="1020"/>
      <c r="AZ13" s="1020"/>
      <c r="BA13" s="1020"/>
      <c r="BB13" s="177"/>
      <c r="BC13" s="177"/>
      <c r="BD13" s="177"/>
      <c r="BE13" s="177"/>
      <c r="BF13" s="177"/>
      <c r="BG13" s="177"/>
      <c r="BH13" s="177"/>
      <c r="BI13" s="177"/>
      <c r="BJ13" s="177"/>
      <c r="BK13" s="177"/>
      <c r="BL13" s="177"/>
      <c r="BM13" s="177"/>
      <c r="BN13" s="177"/>
      <c r="BO13" s="177"/>
      <c r="BP13" s="177"/>
      <c r="BQ13" s="177"/>
      <c r="BR13" s="177"/>
      <c r="CW13" s="1041" t="s">
        <v>1400</v>
      </c>
      <c r="CX13" s="1041"/>
      <c r="CY13" s="1041"/>
    </row>
    <row r="14" spans="1:105" ht="16.350000000000001" customHeight="1">
      <c r="A14" s="177"/>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003" t="s">
        <v>1401</v>
      </c>
      <c r="Z14" s="1003"/>
      <c r="AA14" s="1003"/>
      <c r="AB14" s="1003"/>
      <c r="AC14" s="1003" t="s">
        <v>1402</v>
      </c>
      <c r="AD14" s="1003"/>
      <c r="AE14" s="1003"/>
      <c r="AF14" s="1003"/>
      <c r="AG14" s="1003"/>
      <c r="AH14" s="1003" t="s">
        <v>1403</v>
      </c>
      <c r="AI14" s="1003"/>
      <c r="AJ14" s="1003"/>
      <c r="AK14" s="1003"/>
      <c r="AL14" s="1003" t="s">
        <v>1403</v>
      </c>
      <c r="AM14" s="1003"/>
      <c r="AN14" s="1003"/>
      <c r="AO14" s="1003"/>
      <c r="AP14" s="177"/>
      <c r="AQ14" s="1021"/>
      <c r="AR14" s="1021"/>
      <c r="AS14" s="1021"/>
      <c r="AT14" s="1021"/>
      <c r="AU14" s="1021"/>
      <c r="AV14" s="1021"/>
      <c r="AW14" s="1021"/>
      <c r="AX14" s="1021"/>
      <c r="AY14" s="1021"/>
      <c r="AZ14" s="1021"/>
      <c r="BA14" s="1021"/>
      <c r="BB14" s="177"/>
      <c r="BC14" s="177"/>
      <c r="BD14" s="177"/>
      <c r="BE14" s="177"/>
      <c r="BF14" s="177"/>
      <c r="BG14" s="177"/>
      <c r="BH14" s="177"/>
      <c r="BI14" s="177"/>
      <c r="BJ14" s="177"/>
      <c r="BK14" s="177"/>
      <c r="BL14" s="177"/>
      <c r="BM14" s="177"/>
      <c r="BN14" s="177"/>
      <c r="BO14" s="177"/>
      <c r="BP14" s="177"/>
      <c r="BQ14" s="177"/>
      <c r="BR14" s="177"/>
      <c r="BV14" s="1040" t="s">
        <v>1404</v>
      </c>
      <c r="BW14" s="1040"/>
      <c r="BX14" s="1040"/>
      <c r="BY14" s="1040"/>
      <c r="BZ14" s="1040"/>
      <c r="CW14" s="1041"/>
      <c r="CX14" s="1041"/>
      <c r="CY14" s="1041"/>
    </row>
    <row r="15" spans="1:105" ht="16.350000000000001" customHeight="1">
      <c r="A15" s="177"/>
      <c r="B15"/>
      <c r="C15"/>
      <c r="D15" s="47"/>
      <c r="E15" s="47"/>
      <c r="F15" s="47"/>
      <c r="G15" s="47"/>
      <c r="H15" s="47"/>
      <c r="I15" s="47"/>
      <c r="J15" s="47"/>
      <c r="K15" s="47"/>
      <c r="L15" s="1038" t="s">
        <v>1405</v>
      </c>
      <c r="M15" s="1038"/>
      <c r="N15" s="1038"/>
      <c r="O15" s="1038"/>
      <c r="P15" s="1038"/>
      <c r="Q15" s="1038"/>
      <c r="R15" s="1038"/>
      <c r="S15" s="1038"/>
      <c r="T15" s="1038"/>
      <c r="U15" s="1038"/>
      <c r="V15" s="1038"/>
      <c r="W15" s="1038"/>
      <c r="X15" s="1038"/>
      <c r="Y15" s="1038"/>
      <c r="Z15" s="1038"/>
      <c r="AA15" s="1038" t="s">
        <v>1406</v>
      </c>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679"/>
      <c r="AW15" s="679"/>
      <c r="AX15" s="679"/>
      <c r="AY15" s="679"/>
      <c r="AZ15" s="679"/>
      <c r="BA15" s="679"/>
      <c r="BB15"/>
      <c r="BC15"/>
      <c r="BD15"/>
      <c r="BE15"/>
      <c r="BF15"/>
      <c r="BG15"/>
      <c r="BH15"/>
      <c r="BI15"/>
      <c r="BJ15"/>
      <c r="BK15"/>
      <c r="BL15"/>
      <c r="BM15"/>
      <c r="BN15"/>
      <c r="BO15"/>
      <c r="BP15"/>
      <c r="BQ15"/>
      <c r="BR15"/>
      <c r="BV15" s="1040"/>
      <c r="BW15" s="1040"/>
      <c r="BX15" s="1040"/>
      <c r="BY15" s="1040"/>
      <c r="BZ15" s="1040"/>
      <c r="CW15" s="595"/>
      <c r="CX15" s="595"/>
      <c r="CY15" s="595"/>
    </row>
    <row r="16" spans="1:105" ht="16.350000000000001" customHeight="1">
      <c r="A16"/>
      <c r="B16"/>
      <c r="C16" s="992" t="s">
        <v>1407</v>
      </c>
      <c r="D16" s="992"/>
      <c r="E16" s="992"/>
      <c r="F16" s="991" t="s">
        <v>1408</v>
      </c>
      <c r="G16" s="991"/>
      <c r="H16" s="991"/>
      <c r="I16" s="991"/>
      <c r="J16" s="991"/>
      <c r="K16" s="991"/>
      <c r="L16" s="991" t="s">
        <v>1409</v>
      </c>
      <c r="M16" s="991"/>
      <c r="N16" s="991"/>
      <c r="O16" s="991"/>
      <c r="P16" s="991"/>
      <c r="Q16" s="991"/>
      <c r="R16" s="991" t="s">
        <v>1410</v>
      </c>
      <c r="S16" s="991"/>
      <c r="T16" s="991"/>
      <c r="U16" s="991" t="s">
        <v>1411</v>
      </c>
      <c r="V16" s="991"/>
      <c r="W16" s="991"/>
      <c r="X16" s="991" t="s">
        <v>1412</v>
      </c>
      <c r="Y16" s="991"/>
      <c r="Z16" s="991"/>
      <c r="AA16" s="991" t="s">
        <v>1413</v>
      </c>
      <c r="AB16" s="991"/>
      <c r="AC16" s="991"/>
      <c r="AD16" s="1022" t="s">
        <v>1409</v>
      </c>
      <c r="AE16" s="991"/>
      <c r="AF16" s="991"/>
      <c r="AG16" s="991"/>
      <c r="AH16" s="991"/>
      <c r="AI16" s="991"/>
      <c r="AJ16" s="991" t="s">
        <v>1410</v>
      </c>
      <c r="AK16" s="991"/>
      <c r="AL16" s="991"/>
      <c r="AM16" s="991" t="s">
        <v>1411</v>
      </c>
      <c r="AN16" s="991"/>
      <c r="AO16" s="991"/>
      <c r="AP16" s="991" t="s">
        <v>1412</v>
      </c>
      <c r="AQ16" s="991"/>
      <c r="AR16" s="991"/>
      <c r="AS16" s="991" t="s">
        <v>1413</v>
      </c>
      <c r="AT16" s="991"/>
      <c r="AU16" s="991"/>
      <c r="AV16" s="1057" t="s">
        <v>1414</v>
      </c>
      <c r="AW16" s="1057"/>
      <c r="AX16" s="1057"/>
      <c r="AY16" s="1057" t="s">
        <v>1415</v>
      </c>
      <c r="AZ16" s="1057"/>
      <c r="BA16" s="1057"/>
      <c r="BB16" s="989" t="s">
        <v>1416</v>
      </c>
      <c r="BC16" s="989"/>
      <c r="BD16" s="989"/>
      <c r="BE16" s="989"/>
      <c r="BF16" s="991" t="s">
        <v>224</v>
      </c>
      <c r="BG16" s="991"/>
      <c r="BH16" s="984" t="s">
        <v>1417</v>
      </c>
      <c r="BI16" s="984"/>
      <c r="BJ16" s="984"/>
      <c r="BK16" s="984" t="s">
        <v>1418</v>
      </c>
      <c r="BL16" s="984"/>
      <c r="BM16" s="984"/>
      <c r="BN16" s="984" t="s">
        <v>1419</v>
      </c>
      <c r="BO16" s="984"/>
      <c r="BP16" s="984"/>
      <c r="BQ16"/>
      <c r="BR16"/>
      <c r="BS16" s="987" t="s">
        <v>1420</v>
      </c>
      <c r="BT16" s="987" t="s">
        <v>1421</v>
      </c>
      <c r="BV16" s="987" t="s">
        <v>1422</v>
      </c>
      <c r="BW16" s="987" t="s">
        <v>1423</v>
      </c>
      <c r="BX16" s="987" t="s">
        <v>1424</v>
      </c>
      <c r="BY16" s="987" t="s">
        <v>1425</v>
      </c>
      <c r="BZ16" s="987" t="s">
        <v>1426</v>
      </c>
      <c r="CB16" s="987" t="s">
        <v>1427</v>
      </c>
      <c r="CC16" s="987" t="s">
        <v>779</v>
      </c>
      <c r="CD16" s="987" t="s">
        <v>1428</v>
      </c>
      <c r="CE16" s="987" t="s">
        <v>1429</v>
      </c>
      <c r="CF16" s="987" t="s">
        <v>1430</v>
      </c>
      <c r="CG16" s="987" t="s">
        <v>1431</v>
      </c>
      <c r="CH16" s="987" t="s">
        <v>1432</v>
      </c>
      <c r="CI16" s="987" t="s">
        <v>1433</v>
      </c>
      <c r="CJ16" s="987" t="s">
        <v>1434</v>
      </c>
      <c r="CK16" s="987" t="s">
        <v>1435</v>
      </c>
      <c r="CL16" s="987" t="s">
        <v>1436</v>
      </c>
      <c r="CM16" s="987" t="s">
        <v>1437</v>
      </c>
      <c r="CN16" s="987" t="s">
        <v>1438</v>
      </c>
      <c r="CO16" s="987" t="s">
        <v>1439</v>
      </c>
      <c r="CP16" s="987" t="s">
        <v>1440</v>
      </c>
      <c r="CQ16" s="987" t="s">
        <v>1441</v>
      </c>
      <c r="CR16" s="987" t="s">
        <v>1442</v>
      </c>
      <c r="CS16" s="987" t="s">
        <v>1443</v>
      </c>
      <c r="CT16" s="987" t="s">
        <v>1444</v>
      </c>
      <c r="CU16" s="987" t="s">
        <v>1445</v>
      </c>
      <c r="CV16" s="919" t="s">
        <v>1446</v>
      </c>
      <c r="CW16" s="919" t="s">
        <v>1447</v>
      </c>
      <c r="CX16" s="919" t="s">
        <v>1448</v>
      </c>
      <c r="CY16" s="1042" t="s">
        <v>1449</v>
      </c>
      <c r="CZ16" s="1042" t="s">
        <v>1450</v>
      </c>
      <c r="DA16" s="1042" t="s">
        <v>1491</v>
      </c>
    </row>
    <row r="17" spans="1:144" ht="16.350000000000001" customHeight="1">
      <c r="A17"/>
      <c r="B17" s="12"/>
      <c r="C17" s="993"/>
      <c r="D17" s="993"/>
      <c r="E17" s="993"/>
      <c r="F17" s="990"/>
      <c r="G17" s="990"/>
      <c r="H17" s="990"/>
      <c r="I17" s="990"/>
      <c r="J17" s="990"/>
      <c r="K17" s="990"/>
      <c r="L17" s="990"/>
      <c r="M17" s="990"/>
      <c r="N17" s="990"/>
      <c r="O17" s="990"/>
      <c r="P17" s="990"/>
      <c r="Q17" s="990"/>
      <c r="R17" s="991"/>
      <c r="S17" s="991"/>
      <c r="T17" s="991"/>
      <c r="U17" s="991"/>
      <c r="V17" s="991"/>
      <c r="W17" s="991"/>
      <c r="X17" s="991"/>
      <c r="Y17" s="991"/>
      <c r="Z17" s="991"/>
      <c r="AA17" s="991"/>
      <c r="AB17" s="991"/>
      <c r="AC17" s="991"/>
      <c r="AD17" s="1023"/>
      <c r="AE17" s="990"/>
      <c r="AF17" s="990"/>
      <c r="AG17" s="990"/>
      <c r="AH17" s="990"/>
      <c r="AI17" s="990"/>
      <c r="AJ17" s="990"/>
      <c r="AK17" s="990"/>
      <c r="AL17" s="990"/>
      <c r="AM17" s="990"/>
      <c r="AN17" s="990"/>
      <c r="AO17" s="990"/>
      <c r="AP17" s="990"/>
      <c r="AQ17" s="990"/>
      <c r="AR17" s="990"/>
      <c r="AS17" s="990"/>
      <c r="AT17" s="990"/>
      <c r="AU17" s="990"/>
      <c r="AV17" s="1039" t="s">
        <v>1451</v>
      </c>
      <c r="AW17" s="1039"/>
      <c r="AX17" s="1039"/>
      <c r="AY17" s="1039"/>
      <c r="AZ17" s="1039"/>
      <c r="BA17" s="1039"/>
      <c r="BB17" s="990" t="s">
        <v>1452</v>
      </c>
      <c r="BC17" s="990"/>
      <c r="BD17" s="990" t="s">
        <v>1453</v>
      </c>
      <c r="BE17" s="990"/>
      <c r="BF17" s="990"/>
      <c r="BG17" s="990"/>
      <c r="BH17" s="985"/>
      <c r="BI17" s="985"/>
      <c r="BJ17" s="985"/>
      <c r="BK17" s="985"/>
      <c r="BL17" s="985"/>
      <c r="BM17" s="985"/>
      <c r="BN17" s="985"/>
      <c r="BO17" s="985"/>
      <c r="BP17" s="985"/>
      <c r="BQ17"/>
      <c r="BR17"/>
      <c r="BS17" s="987"/>
      <c r="BT17" s="987"/>
      <c r="BV17" s="988"/>
      <c r="BW17" s="988"/>
      <c r="BX17" s="988"/>
      <c r="BY17" s="988"/>
      <c r="BZ17" s="988"/>
      <c r="CB17" s="988"/>
      <c r="CC17" s="988"/>
      <c r="CD17" s="988"/>
      <c r="CE17" s="988"/>
      <c r="CF17" s="988"/>
      <c r="CG17" s="988"/>
      <c r="CH17" s="988"/>
      <c r="CI17" s="988"/>
      <c r="CJ17" s="988"/>
      <c r="CK17" s="988"/>
      <c r="CL17" s="988"/>
      <c r="CM17" s="988"/>
      <c r="CN17" s="988"/>
      <c r="CO17" s="988"/>
      <c r="CP17" s="988"/>
      <c r="CQ17" s="988"/>
      <c r="CR17" s="988"/>
      <c r="CS17" s="988"/>
      <c r="CT17" s="988"/>
      <c r="CU17" s="987"/>
      <c r="CV17" s="919"/>
      <c r="CW17" s="919"/>
      <c r="CX17" s="919"/>
      <c r="CY17" s="1042"/>
      <c r="CZ17" s="1042"/>
      <c r="DA17" s="1042"/>
      <c r="DD17" s="670" t="s">
        <v>1454</v>
      </c>
      <c r="DE17" s="670" t="s">
        <v>1455</v>
      </c>
      <c r="DF17" s="670" t="s">
        <v>1456</v>
      </c>
      <c r="DG17" s="670" t="s">
        <v>1457</v>
      </c>
      <c r="DH17" s="670" t="s">
        <v>1458</v>
      </c>
      <c r="DI17" s="670" t="s">
        <v>1459</v>
      </c>
      <c r="DJ17" s="670" t="s">
        <v>1460</v>
      </c>
      <c r="DK17" s="670" t="s">
        <v>1461</v>
      </c>
      <c r="DL17" s="670" t="s">
        <v>1462</v>
      </c>
      <c r="DM17" s="670" t="s">
        <v>1463</v>
      </c>
      <c r="DN17" s="670" t="s">
        <v>1464</v>
      </c>
      <c r="DO17" s="670" t="s">
        <v>1465</v>
      </c>
      <c r="DP17" s="670" t="s">
        <v>1466</v>
      </c>
      <c r="DQ17" s="670" t="s">
        <v>1467</v>
      </c>
      <c r="DR17" s="670" t="s">
        <v>1468</v>
      </c>
      <c r="DS17" s="670" t="s">
        <v>1469</v>
      </c>
      <c r="DT17" s="670" t="s">
        <v>1470</v>
      </c>
      <c r="DU17" s="670" t="s">
        <v>1471</v>
      </c>
      <c r="DV17" s="670" t="s">
        <v>1472</v>
      </c>
      <c r="DW17" s="670" t="s">
        <v>1473</v>
      </c>
      <c r="DX17" s="670" t="s">
        <v>1474</v>
      </c>
      <c r="DY17" s="670" t="s">
        <v>1475</v>
      </c>
      <c r="DZ17" s="670" t="s">
        <v>1476</v>
      </c>
      <c r="EA17" s="703" t="s">
        <v>1477</v>
      </c>
      <c r="EB17" s="703" t="s">
        <v>1478</v>
      </c>
      <c r="EC17" s="703" t="s">
        <v>1479</v>
      </c>
      <c r="ED17" s="703" t="s">
        <v>1480</v>
      </c>
      <c r="EE17" s="703" t="s">
        <v>1481</v>
      </c>
      <c r="EF17" s="703" t="s">
        <v>1482</v>
      </c>
      <c r="EG17" s="703" t="s">
        <v>1483</v>
      </c>
      <c r="EH17" s="703" t="s">
        <v>1484</v>
      </c>
      <c r="EI17" s="703" t="s">
        <v>1485</v>
      </c>
      <c r="EJ17" s="703" t="s">
        <v>1486</v>
      </c>
      <c r="EK17" s="703" t="s">
        <v>1487</v>
      </c>
      <c r="EL17" s="703" t="s">
        <v>1488</v>
      </c>
      <c r="EM17" s="703" t="s">
        <v>1489</v>
      </c>
      <c r="EN17" s="703" t="s">
        <v>1490</v>
      </c>
    </row>
    <row r="18" spans="1:144" ht="16.350000000000001" customHeight="1">
      <c r="A18" s="462"/>
      <c r="B18" s="994">
        <v>1</v>
      </c>
      <c r="C18" s="995"/>
      <c r="D18" s="996"/>
      <c r="E18" s="997"/>
      <c r="F18" s="961"/>
      <c r="G18" s="962"/>
      <c r="H18" s="962"/>
      <c r="I18" s="962"/>
      <c r="J18" s="962"/>
      <c r="K18" s="963"/>
      <c r="L18" s="961"/>
      <c r="M18" s="962"/>
      <c r="N18" s="962"/>
      <c r="O18" s="962"/>
      <c r="P18" s="962"/>
      <c r="Q18" s="963"/>
      <c r="R18" s="1044"/>
      <c r="S18" s="1044"/>
      <c r="T18" s="1044"/>
      <c r="U18" s="1044"/>
      <c r="V18" s="1044"/>
      <c r="W18" s="1044"/>
      <c r="X18" s="1045"/>
      <c r="Y18" s="1045"/>
      <c r="Z18" s="1045"/>
      <c r="AA18" s="1045"/>
      <c r="AB18" s="1045"/>
      <c r="AC18" s="1045"/>
      <c r="AD18" s="961"/>
      <c r="AE18" s="962"/>
      <c r="AF18" s="962"/>
      <c r="AG18" s="962"/>
      <c r="AH18" s="962"/>
      <c r="AI18" s="963"/>
      <c r="AJ18" s="949"/>
      <c r="AK18" s="950"/>
      <c r="AL18" s="951"/>
      <c r="AM18" s="949"/>
      <c r="AN18" s="950"/>
      <c r="AO18" s="951"/>
      <c r="AP18" s="955"/>
      <c r="AQ18" s="956"/>
      <c r="AR18" s="957"/>
      <c r="AS18" s="955"/>
      <c r="AT18" s="956"/>
      <c r="AU18" s="957"/>
      <c r="AV18" s="968"/>
      <c r="AW18" s="969"/>
      <c r="AX18" s="970"/>
      <c r="AY18" s="968"/>
      <c r="AZ18" s="969"/>
      <c r="BA18" s="970"/>
      <c r="BB18" s="945"/>
      <c r="BC18" s="946"/>
      <c r="BD18" s="945"/>
      <c r="BE18" s="946"/>
      <c r="BF18" s="929" t="str">
        <f>IF(CB18="OK",ROUND(BB18+BD18,2),"")</f>
        <v/>
      </c>
      <c r="BG18" s="930"/>
      <c r="BH18" s="971" t="str">
        <f>IFERROR(IF(AND($CB18="OK",$CU18="OK"),$CI18,IF($CB18&lt;&gt;"OK",$CB18,$CU18)),"")</f>
        <v/>
      </c>
      <c r="BI18" s="972"/>
      <c r="BJ18" s="973"/>
      <c r="BK18" s="933" t="str">
        <f>IF($CB18="OK",CM18,"")</f>
        <v/>
      </c>
      <c r="BL18" s="934"/>
      <c r="BM18" s="935"/>
      <c r="BN18" s="939" t="str">
        <f>IF($CB18="OK",$CR18,"")</f>
        <v/>
      </c>
      <c r="BO18" s="940"/>
      <c r="BP18" s="941"/>
      <c r="BQ18"/>
      <c r="BR18"/>
      <c r="BS18" s="967"/>
      <c r="BT18" s="967"/>
      <c r="BV18" s="926" t="str">
        <f>IFERROR(ROUND(IF(AND(CB18="OK",CU18="OK"),CT18,""),0),"")</f>
        <v/>
      </c>
      <c r="BW18" s="926" t="str">
        <f>IFERROR(ROUND(IF(AND(CB18="OK",CU18="OK"),BV18/3,""),0),"")</f>
        <v/>
      </c>
      <c r="BX18" s="926"/>
      <c r="BY18" s="927"/>
      <c r="BZ18" s="928"/>
      <c r="CB18" s="986" t="str">
        <f>IF(AND(C18="",F18="",R18="",AD18="",U18="",X18="",L18="",AJ18="",AV18="",AM18="",AP18="",AY18="",AV19="",BB18="",BD18="",AA18="",AS18=""),"",
IF(OR(C18="",F18="",R18="",AD18="",U18="",X18="",L18="",AJ18="",AV18="",AM18="",AP18="",AY18="",AV19="",BB18="",BD18="",AA18="",AS18=""),"Missing Fields",
IF(AND(M02S04F04disp="Required",M02S04F04=""),"TA Info Incomplete",
"OK")))</f>
        <v/>
      </c>
      <c r="CC18" s="925" t="str">
        <f>IF(AND(CB18="OK",CU18="OK"),INDEX(Tbl_Cust_Water[Measure Number], MATCH(F18,Tbl_Cust_Water[Proj Desc 1],0)),"")</f>
        <v/>
      </c>
      <c r="CD18" s="925"/>
      <c r="CE18" s="925" t="str">
        <f>IF(CB18="OK","Measure","")</f>
        <v/>
      </c>
      <c r="CF18" s="925" t="str">
        <f>IF(CB18="OK",1,"")</f>
        <v/>
      </c>
      <c r="CG18" s="978" t="str">
        <f>IFERROR(CI18/CF18,"")</f>
        <v/>
      </c>
      <c r="CH18" s="978" t="str">
        <f>IF(CB18="OK",IF(CM18&gt;0,CM18*Incent_Rate_kWh,0)+IF(CO18&gt;0,CO18*Incent_Rate_thm,0),"")</f>
        <v/>
      </c>
      <c r="CI18" s="978" t="str">
        <f>IFERROR(IF($CB18="OK",IF(INCENTTOCOST_CUST&gt;CostCap_Cust,
CH18*CostCap_Cust/INCENTTOCOST_CUST,CH18),""),"")</f>
        <v/>
      </c>
      <c r="CJ18" s="977">
        <f t="shared" ref="CJ18" si="0">CM18</f>
        <v>0</v>
      </c>
      <c r="CK18" s="977">
        <f>CN18</f>
        <v>0</v>
      </c>
      <c r="CL18" s="977">
        <f>CO18</f>
        <v>0</v>
      </c>
      <c r="CM18" s="977">
        <f>R18-AJ18</f>
        <v>0</v>
      </c>
      <c r="CN18" s="977">
        <f>U18-AM18</f>
        <v>0</v>
      </c>
      <c r="CO18" s="977">
        <f>IF(CR18&gt;0,CR18,0)</f>
        <v>0</v>
      </c>
      <c r="CP18" s="977">
        <f>CM18</f>
        <v>0</v>
      </c>
      <c r="CQ18" s="977">
        <f>CN18</f>
        <v>0</v>
      </c>
      <c r="CR18" s="977">
        <f>X18-AP18</f>
        <v>0</v>
      </c>
      <c r="CS18" s="983"/>
      <c r="CT18" s="1056" t="str">
        <f>IF(CB18="OK",INDEX(Tbl_Cust_Water[EUL], MATCH(F18,Tbl_Cust_Water[Proj Desc 1],0)),"")</f>
        <v/>
      </c>
      <c r="CU18" s="979" t="str">
        <f>IFERROR(IF(AND($CM18&lt;=0,$CN18&lt;=0,$CO18&lt;=0),"No Savings","OK"),"")</f>
        <v>No Savings</v>
      </c>
      <c r="CV18" s="925" t="str">
        <f>IF(AND(CB18="OK",CU18="OK"),"1","")</f>
        <v/>
      </c>
      <c r="CW18" s="1043" t="str">
        <f>IFERROR(IF($CB18="OK",ROUND($AQ$14-SUM($CW$20:$CW$37),2),""),"")</f>
        <v/>
      </c>
      <c r="CX18" s="925" t="str">
        <f>IFERROR(IF(M02S04F04="Customer/Self-Installed",CW18,IF($CB18="OK",CW18+BD18,"")),"")</f>
        <v/>
      </c>
      <c r="CY18" s="925" t="str">
        <f>IFERROR(IF($CB18="OK",CX18+BB18,""),"")</f>
        <v/>
      </c>
      <c r="CZ18" s="925" t="str">
        <f>IF(CB18="OK",INDEX(MEASURES3_M!$O$28, MATCH(F18,MEASURES3_M!$C$28,0)),"")</f>
        <v/>
      </c>
      <c r="DA18" s="925" t="str">
        <f>IF(CB18="OK",INDEX(MEASURES3_M!$P$28, MATCH(F18,MEASURES3_M!$C$28,0)),"")</f>
        <v/>
      </c>
      <c r="DD18" s="980" t="str">
        <f>IFERROR(IF(CB18&lt;&gt;"OK","",CM18*VLOOKUP('DATA TABLES_Project'!$C$247,'DATA TABLES_Project'!$A$250:$B$285,2,FALSE)),"")</f>
        <v/>
      </c>
      <c r="DE18" s="925" t="str">
        <f>IFERROR(IF(CB18&lt;&gt;"OK","",CM18*CZ18*0.92),"")</f>
        <v/>
      </c>
      <c r="DF18" s="925" t="str">
        <f>IFERROR(IF(CB18&lt;&gt;"OK","",CM18*CZ18*0.92*VLOOKUP('DATA TABLES_Project'!$C$247,'DATA TABLES_Project'!$A$250:$B$285,2,FALSE)),"")</f>
        <v/>
      </c>
      <c r="DG18" s="925" t="str">
        <f>IFERROR(IF(CB18&lt;&gt;"OK","",CM18*BV18),IF(BX18="Dual",(CM18*BW18)+((BY18-AJ18)*(BV18-BW18)),""))</f>
        <v/>
      </c>
      <c r="DH18" s="925" t="str">
        <f ca="1">IFERROR(IF(CB18&lt;&gt;"OK","",IF(OR(BX18="Single",BX18=""), CM18*BV18*AVERAGE(INDEX('DATA TABLES_Project'!$B$250:$B$285, MATCH('DATA TABLES_Project'!$C$247,'DATA TABLES_Project'!$A$250:$A$285, 0)):OFFSET(INDEX('DATA TABLES_Project'!$B$250:$B$285, MATCH('DATA TABLES_Project'!$C$247,'DATA TABLES_Project'!$A$250:$A$285, 0)),BV18-1,0)),CM18*BW18*AVERAGE(INDEX('DATA TABLES_Project'!$B$250:$B$285, MATCH('DATA TABLES_Project'!$C$247,'DATA TABLES_Project'!$A$250:$A$285, 0)):OFFSET(INDEX('DATA TABLES_Project'!$B$250:$B$285, MATCH('DATA TABLES_Project'!$C$247,'DATA TABLES_Project'!$A$250:$A$285, 0)),BW18-1,0)) + ((BY18-AJ18)*(BV18-BW18)*AVERAGE(OFFSET(INDEX('DATA TABLES_Project'!$B$250:$B$285, MATCH('DATA TABLES_Project'!$C$247,'DATA TABLES_Project'!$A$250:$A$285, 0)),BW18,0):OFFSET(INDEX('DATA TABLES_Project'!$B$250:$B$285, MATCH('DATA TABLES_Project'!$C$247,'DATA TABLES_Project'!$A$250:$A$285, 0)),BV18-1,0))))), "")</f>
        <v/>
      </c>
      <c r="DI18" s="925" t="str">
        <f>IFERROR(IF(CB18&lt;&gt;"OK","",IF(BX18="Dual",(CM18*BW18)+((BY18-AJ18)*(BV18-BW18))*CZ18*0.92,CM18*CZ18*BV18*0.92)),"")</f>
        <v/>
      </c>
      <c r="DJ18" s="925" t="str">
        <f ca="1">IFERROR(IF(CB18&lt;&gt;"OK","",IF(OR(BX18="Single",BX18=""),0.92*CZ18*CM18*BV18*AVERAGE(INDEX('DATA TABLES_Project'!$B$250:$B$285, MATCH('DATA TABLES_Project'!$C$247,'DATA TABLES_Project'!$A$250:$A$285, 0)):OFFSET(INDEX('DATA TABLES_Project'!$B$250:$B$285, MATCH('DATA TABLES_Project'!$C$247,'DATA TABLES_Project'!$A$250:$A$285, 0)),BV18-1,0)),0.92*CZ18*CM18*BW18*AVERAGE(INDEX('DATA TABLES_Project'!$B$250:$B$285, MATCH('DATA TABLES_Project'!$C$247,'DATA TABLES_Project'!$A$250:$A$285, 0)):OFFSET(INDEX('DATA TABLES_Project'!$B$250:$B$285, MATCH('DATA TABLES_Project'!$C$247,'DATA TABLES_Project'!$A$250:$A$285, 0)),BW18-1,0)) + (0.92*CZ18*(BY18-AJ18)*(BV18-BW18)*AVERAGE(OFFSET(INDEX('DATA TABLES_Project'!$B$250:$B$285, MATCH('DATA TABLES_Project'!$C$247,'DATA TABLES_Project'!$A$250:$A$285, 0)),BW18,0):OFFSET(INDEX('DATA TABLES_Project'!$B$250:$B$285, MATCH('DATA TABLES_Project'!$C$247,'DATA TABLES_Project'!$A$250:$A$285, 0)),BV18-1,0))))), "")</f>
        <v/>
      </c>
      <c r="DK18" s="925" t="str">
        <f>IFERROR(IF(CB18&lt;&gt;"OK","",CO18*'DATA TABLES_Project'!$C$250),"")</f>
        <v/>
      </c>
      <c r="DL18" s="925" t="str">
        <f>IFERROR(IF(CB18&lt;&gt;"OK","",CO18*DA18*0.92),"")</f>
        <v/>
      </c>
      <c r="DM18" s="925" t="str">
        <f>IFERROR(IF(CB18&lt;&gt;"OK","",CO18*'DATA TABLES_Project'!$C$250*DA18*0.92),"")</f>
        <v/>
      </c>
      <c r="DN18" s="925" t="str">
        <f>IFERROR(IF(CB18&lt;&gt;"OK","",CO18*BV18),IF(BX18="Dual",(CO18*BW18)+((BZ18-AP18)*(BV18-BW18)),""))</f>
        <v/>
      </c>
      <c r="DO18" s="925" t="str">
        <f ca="1">IFERROR(IF(CB18&lt;&gt;"OK","",CO18*BV18*AVERAGE('DATA TABLES_Project'!$C$250:OFFSET('DATA TABLES_Project'!$C$250,BV18,0))),IF(BX18="Dual",(CO18*BW18*AVERAGE('DATA TABLES_Project'!$C$251:$C$259))+((BZ18-AP18)*(BV18-BW18)*AVERAGE('DATA TABLES_Project'!$C$260:$C$279)),""))</f>
        <v/>
      </c>
      <c r="DP18" s="925" t="str">
        <f>IFERROR(IF(CB18&lt;&gt;"OK","",IF(BX18="Dual",((CO18*BW18)+(BZ18-AP18)*(BV18-BW18))*DA18*0.92,CO18*BV18*DA18*0.92)),"")</f>
        <v/>
      </c>
      <c r="DQ18" s="925" t="str">
        <f ca="1">IFERROR(IF(CB18&lt;&gt;"OK","",IF(BX18="Dual",(0.92*DA18*CO18*BW18*AVERAGE('DATA TABLES_Project'!$C$251:$C$259))+(0.92*DA18*(BZ18-AP18)*(BV18-BW18)*AVERAGE('DATA TABLES_Project'!$C$260:$C$279)),0.92*DA18*CO18*BV18*AVERAGE('DATA TABLES_Project'!$C$250:OFFSET('DATA TABLES_Project'!$C$250,BV18,0)))),"")</f>
        <v/>
      </c>
      <c r="DR18" s="925" t="str">
        <f>IFERROR(IF($CB18&lt;&gt;"OK","",CM18*'DATA TABLES_Project'!$B$290+IF(CO18&lt;0,0,CO18*'DATA TABLES_Project'!$B$291)),"")</f>
        <v/>
      </c>
      <c r="DS18" s="925" t="str">
        <f>IFERROR(IF($CB18&lt;&gt;"OK","",DD18*'DATA TABLES_Project'!$B$290+IF(DK18&lt;0,0,DK18*'DATA TABLES_Project'!$B$291)),"")</f>
        <v/>
      </c>
      <c r="DT18" s="925" t="str">
        <f>IFERROR(IF($CB18&lt;&gt;"OK","",DE18*'DATA TABLES_Project'!$B$290+IF(DL18&lt;0,0,DL18*'DATA TABLES_Project'!$B$291)),"")</f>
        <v/>
      </c>
      <c r="DU18" s="925" t="str">
        <f>IFERROR(IF($CB18&lt;&gt;"OK","",DF18*'DATA TABLES_Project'!$B$290+IF(DM18&lt;0,0,DM18*'DATA TABLES_Project'!$B$291)),"")</f>
        <v/>
      </c>
      <c r="DV18" s="925" t="str">
        <f>IFERROR(IF($CB18&lt;&gt;"OK","",DG18*'DATA TABLES_Project'!$B$290+IF(DN18&lt;0,0,DN18*'DATA TABLES_Project'!$B$291)),"")</f>
        <v/>
      </c>
      <c r="DW18" s="925" t="str">
        <f>IFERROR(IF($CB18&lt;&gt;"OK","",DH18*'DATA TABLES_Project'!$B$290+IF(DO18&lt;0,0,DO18*'DATA TABLES_Project'!$B$291)),"")</f>
        <v/>
      </c>
      <c r="DX18" s="925" t="str">
        <f>IFERROR(IF($CB18&lt;&gt;"OK","",DI18*'DATA TABLES_Project'!$B$290+IF(DP18&lt;0,0,DP18*'DATA TABLES_Project'!$B$291)),"")</f>
        <v/>
      </c>
      <c r="DY18" s="925" t="str">
        <f>IFERROR(IF($CB18&lt;&gt;"OK","",DJ18*'DATA TABLES_Project'!$B$290+IF(DQ18&lt;0,0,DQ18*'DATA TABLES_Project'!$B$291)),"")</f>
        <v/>
      </c>
      <c r="DZ18" s="925" t="str">
        <f>IFERROR(IF($CB18&lt;&gt;"OK","",AS18),"")</f>
        <v/>
      </c>
      <c r="EA18" s="925" t="str">
        <f>IFERROR(IF(CB18&lt;&gt;"OK","",CN18*'DATA TABLES_Project'!$B$250*CZ18*1.03),"")</f>
        <v/>
      </c>
      <c r="EB18" s="925" t="str">
        <f>IFERROR(IF(CB18&lt;&gt;"OK","",CN18*CZ18*1.03),"")</f>
        <v/>
      </c>
      <c r="EC18" s="925" t="str">
        <f>IFERROR(IF(CB18&lt;&gt;"OK","",CZ18*DZ18*'DATA TABLES_Project'!$C$250*0.92),"")</f>
        <v/>
      </c>
      <c r="ED18" s="925" t="str">
        <f>IFERROR(IF(CB18&lt;&gt;"OK","",CZ18*DZ18*'DATA TABLES_Project'!$C$250*0.92),"")</f>
        <v/>
      </c>
      <c r="EE18" s="925" t="str">
        <f>IFERROR(IF(CB18&lt;&gt;"OK","",CZ18*DZ18*0.92),"")</f>
        <v/>
      </c>
      <c r="EF18" s="925" t="str">
        <f>IFERROR(IF(CB18&lt;&gt;"OK","",CZ18*DZ18*0.92),"")</f>
        <v/>
      </c>
      <c r="EG18" s="925" t="str">
        <f>IFERROR(IF($CB18&lt;&gt;"OK","",CM18*'DATA TABLES_Project'!$B$290+CO18*'DATA TABLES_Project'!$B$291),"")</f>
        <v/>
      </c>
      <c r="EH18" s="925" t="str">
        <f>IFERROR(IF($CB18&lt;&gt;"OK","",DD18*'DATA TABLES_Project'!$B$290+DK18*'DATA TABLES_Project'!$B$291),"")</f>
        <v/>
      </c>
      <c r="EI18" s="925" t="str">
        <f>IFERROR(IF($CB18&lt;&gt;"OK","",DE18*'DATA TABLES_Project'!$B$290+DL18*'DATA TABLES_Project'!$B$291),"")</f>
        <v/>
      </c>
      <c r="EJ18" s="925" t="str">
        <f>IFERROR(IF($CB18&lt;&gt;"OK","",DF18*'DATA TABLES_Project'!$B$290+DM18*'DATA TABLES_Project'!$B$291),"")</f>
        <v/>
      </c>
      <c r="EK18" s="925" t="str">
        <f>IFERROR(IF($CB18&lt;&gt;"OK","",DG18*'DATA TABLES_Project'!$B$290+DN18*'DATA TABLES_Project'!$B$291),"")</f>
        <v/>
      </c>
      <c r="EL18" s="925" t="str">
        <f>IFERROR(IF($CB18&lt;&gt;"OK","",DH18*'DATA TABLES_Project'!$B$290+DO18*'DATA TABLES_Project'!$B$291),"")</f>
        <v/>
      </c>
      <c r="EM18" s="925" t="str">
        <f>IFERROR(IF($CB18&lt;&gt;"OK","",DI18*'DATA TABLES_Project'!$B$290+DP18*'DATA TABLES_Project'!$B$291),"")</f>
        <v/>
      </c>
      <c r="EN18" s="925" t="str">
        <f>IFERROR(IF($CB18&lt;&gt;"OK","",DJ18*'DATA TABLES_Project'!$B$290+DQ18*'DATA TABLES_Project'!$B$291),"")</f>
        <v/>
      </c>
    </row>
    <row r="19" spans="1:144" ht="16.350000000000001" customHeight="1">
      <c r="A19" s="462"/>
      <c r="B19" s="994"/>
      <c r="C19" s="998"/>
      <c r="D19" s="999"/>
      <c r="E19" s="1000"/>
      <c r="F19" s="964"/>
      <c r="G19" s="965"/>
      <c r="H19" s="965"/>
      <c r="I19" s="965"/>
      <c r="J19" s="965"/>
      <c r="K19" s="966"/>
      <c r="L19" s="964"/>
      <c r="M19" s="965"/>
      <c r="N19" s="965"/>
      <c r="O19" s="965"/>
      <c r="P19" s="965"/>
      <c r="Q19" s="966"/>
      <c r="R19" s="1044"/>
      <c r="S19" s="1044"/>
      <c r="T19" s="1044"/>
      <c r="U19" s="1044"/>
      <c r="V19" s="1044"/>
      <c r="W19" s="1044"/>
      <c r="X19" s="1045"/>
      <c r="Y19" s="1045"/>
      <c r="Z19" s="1045"/>
      <c r="AA19" s="1045"/>
      <c r="AB19" s="1045"/>
      <c r="AC19" s="1045"/>
      <c r="AD19" s="964"/>
      <c r="AE19" s="965"/>
      <c r="AF19" s="965"/>
      <c r="AG19" s="965"/>
      <c r="AH19" s="965"/>
      <c r="AI19" s="966"/>
      <c r="AJ19" s="952"/>
      <c r="AK19" s="953"/>
      <c r="AL19" s="954"/>
      <c r="AM19" s="952"/>
      <c r="AN19" s="953"/>
      <c r="AO19" s="954"/>
      <c r="AP19" s="958"/>
      <c r="AQ19" s="959"/>
      <c r="AR19" s="960"/>
      <c r="AS19" s="958"/>
      <c r="AT19" s="959"/>
      <c r="AU19" s="960"/>
      <c r="AV19" s="968"/>
      <c r="AW19" s="969"/>
      <c r="AX19" s="969"/>
      <c r="AY19" s="969"/>
      <c r="AZ19" s="969"/>
      <c r="BA19" s="970"/>
      <c r="BB19" s="947"/>
      <c r="BC19" s="948"/>
      <c r="BD19" s="947"/>
      <c r="BE19" s="948"/>
      <c r="BF19" s="931"/>
      <c r="BG19" s="932"/>
      <c r="BH19" s="974"/>
      <c r="BI19" s="975"/>
      <c r="BJ19" s="976"/>
      <c r="BK19" s="936"/>
      <c r="BL19" s="937"/>
      <c r="BM19" s="938"/>
      <c r="BN19" s="942"/>
      <c r="BO19" s="943"/>
      <c r="BP19" s="944"/>
      <c r="BQ19"/>
      <c r="BR19"/>
      <c r="BS19" s="967"/>
      <c r="BT19" s="967"/>
      <c r="BV19" s="926"/>
      <c r="BW19" s="926"/>
      <c r="BX19" s="926"/>
      <c r="BY19" s="927"/>
      <c r="BZ19" s="928"/>
      <c r="CB19" s="986"/>
      <c r="CC19" s="925"/>
      <c r="CD19" s="925"/>
      <c r="CE19" s="925"/>
      <c r="CF19" s="925"/>
      <c r="CG19" s="925"/>
      <c r="CH19" s="925"/>
      <c r="CI19" s="925"/>
      <c r="CJ19" s="977"/>
      <c r="CK19" s="977"/>
      <c r="CL19" s="977"/>
      <c r="CM19" s="977"/>
      <c r="CN19" s="977"/>
      <c r="CO19" s="977"/>
      <c r="CP19" s="977"/>
      <c r="CQ19" s="977"/>
      <c r="CR19" s="977"/>
      <c r="CS19" s="983"/>
      <c r="CT19" s="1056"/>
      <c r="CU19" s="979"/>
      <c r="CV19" s="925"/>
      <c r="CW19" s="1043"/>
      <c r="CX19" s="925"/>
      <c r="CY19" s="925"/>
      <c r="CZ19" s="925"/>
      <c r="DA19" s="925"/>
      <c r="DD19" s="981"/>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row>
    <row r="20" spans="1:144" ht="16.350000000000001" customHeight="1">
      <c r="A20" s="462"/>
      <c r="B20" s="994">
        <v>2</v>
      </c>
      <c r="C20" s="995"/>
      <c r="D20" s="996"/>
      <c r="E20" s="997"/>
      <c r="F20" s="961"/>
      <c r="G20" s="962"/>
      <c r="H20" s="962"/>
      <c r="I20" s="962"/>
      <c r="J20" s="962"/>
      <c r="K20" s="963"/>
      <c r="L20" s="961"/>
      <c r="M20" s="962"/>
      <c r="N20" s="962"/>
      <c r="O20" s="962"/>
      <c r="P20" s="962"/>
      <c r="Q20" s="963"/>
      <c r="R20" s="1044"/>
      <c r="S20" s="1044"/>
      <c r="T20" s="1044"/>
      <c r="U20" s="1044"/>
      <c r="V20" s="1044"/>
      <c r="W20" s="1044"/>
      <c r="X20" s="1045"/>
      <c r="Y20" s="1045"/>
      <c r="Z20" s="1045"/>
      <c r="AA20" s="1045"/>
      <c r="AB20" s="1045"/>
      <c r="AC20" s="1045"/>
      <c r="AD20" s="961"/>
      <c r="AE20" s="962"/>
      <c r="AF20" s="962"/>
      <c r="AG20" s="962"/>
      <c r="AH20" s="962"/>
      <c r="AI20" s="963"/>
      <c r="AJ20" s="949"/>
      <c r="AK20" s="950"/>
      <c r="AL20" s="951"/>
      <c r="AM20" s="949"/>
      <c r="AN20" s="950"/>
      <c r="AO20" s="951"/>
      <c r="AP20" s="955"/>
      <c r="AQ20" s="956"/>
      <c r="AR20" s="957"/>
      <c r="AS20" s="955"/>
      <c r="AT20" s="956"/>
      <c r="AU20" s="957"/>
      <c r="AV20" s="968"/>
      <c r="AW20" s="969"/>
      <c r="AX20" s="970"/>
      <c r="AY20" s="968"/>
      <c r="AZ20" s="969"/>
      <c r="BA20" s="970"/>
      <c r="BB20" s="945"/>
      <c r="BC20" s="946"/>
      <c r="BD20" s="945"/>
      <c r="BE20" s="946"/>
      <c r="BF20" s="929" t="str">
        <f>IF(CB20="OK",ROUND(BB20+BD20,2),"")</f>
        <v/>
      </c>
      <c r="BG20" s="930"/>
      <c r="BH20" s="971" t="str">
        <f t="shared" ref="BH20" si="1">IFERROR(IF(AND($CB20="OK",$CU20="OK"),$CI20,IF($CB20&lt;&gt;"OK",$CB20,$CU20)),"")</f>
        <v/>
      </c>
      <c r="BI20" s="972"/>
      <c r="BJ20" s="973"/>
      <c r="BK20" s="933" t="str">
        <f t="shared" ref="BK20" si="2">IF($CB20="OK",CM20,"")</f>
        <v/>
      </c>
      <c r="BL20" s="934"/>
      <c r="BM20" s="935"/>
      <c r="BN20" s="939" t="str">
        <f t="shared" ref="BN20" si="3">IF($CB20="OK",$CR20,"")</f>
        <v/>
      </c>
      <c r="BO20" s="940"/>
      <c r="BP20" s="941"/>
      <c r="BQ20"/>
      <c r="BR20"/>
      <c r="BS20" s="967"/>
      <c r="BT20" s="967"/>
      <c r="BV20" s="926" t="str">
        <f t="shared" ref="BV20" si="4">IFERROR(ROUND(IF(AND(CB20="OK",CU20="OK"),CT20,""),0),"")</f>
        <v/>
      </c>
      <c r="BW20" s="926" t="str">
        <f t="shared" ref="BW20" si="5">IFERROR(ROUND(IF(AND(CB20="OK",CU20="OK"),BV20/3,""),0),"")</f>
        <v/>
      </c>
      <c r="BX20" s="926"/>
      <c r="BY20" s="927"/>
      <c r="BZ20" s="928"/>
      <c r="CB20" s="986" t="str">
        <f>IF(AND(C20="",F20="",R20="",AD20="",U20="",X20="",L20="",AJ20="",AV20="",AM20="",AP20="",AY20="",AV21="",BB20="",BD20="",AA20="",AS20=""),"",
IF(OR(C20="",F20="",R20="",AD20="",U20="",X20="",L20="",AJ20="",AV20="",AM20="",AP20="",AY20="",AV21="",BB20="",BD20="",AA20="",AS20=""),"Missing Fields",
IF(AND(M02S04F04disp="Required",M02S04F04=""),"TA Info Incomplete",
"OK")))</f>
        <v/>
      </c>
      <c r="CC20" s="925" t="str">
        <f>IF(AND(CB20="OK",CU20="OK"),INDEX(Tbl_Cust_Water[Measure Number], MATCH(F20,Tbl_Cust_Water[Proj Desc 1],0)),"")</f>
        <v/>
      </c>
      <c r="CD20" s="925"/>
      <c r="CE20" s="925" t="str">
        <f t="shared" ref="CE20" si="6">IF(CB20="OK","Measure","")</f>
        <v/>
      </c>
      <c r="CF20" s="925" t="str">
        <f t="shared" ref="CF20" si="7">IF(CB20="OK",1,"")</f>
        <v/>
      </c>
      <c r="CG20" s="978" t="str">
        <f t="shared" ref="CG20" si="8">IFERROR(CI20/CF20,"")</f>
        <v/>
      </c>
      <c r="CH20" s="978" t="str">
        <f>IF(CB20="OK",IF(CM20&gt;0,CM20*Incent_Rate_kWh,0)+IF(CO20&gt;0,CO20*Incent_Rate_thm,0),"")</f>
        <v/>
      </c>
      <c r="CI20" s="978" t="str">
        <f>IFERROR(IF($CB20="OK",IF(INCENTTOCOST_CUST&gt;CostCap_Cust,
CH20*CostCap_Cust/INCENTTOCOST_CUST,CH20),""),"")</f>
        <v/>
      </c>
      <c r="CJ20" s="977">
        <f t="shared" ref="CJ20" si="9">CM20</f>
        <v>0</v>
      </c>
      <c r="CK20" s="977">
        <f t="shared" ref="CK20" si="10">CN20</f>
        <v>0</v>
      </c>
      <c r="CL20" s="977">
        <f t="shared" ref="CL20" si="11">CO20</f>
        <v>0</v>
      </c>
      <c r="CM20" s="977">
        <f>R20-AJ20</f>
        <v>0</v>
      </c>
      <c r="CN20" s="977">
        <f>U20-AM20</f>
        <v>0</v>
      </c>
      <c r="CO20" s="977">
        <f t="shared" ref="CO20" si="12">IF(CR20&gt;0,CR20,0)</f>
        <v>0</v>
      </c>
      <c r="CP20" s="977">
        <f t="shared" ref="CP20" si="13">CM20</f>
        <v>0</v>
      </c>
      <c r="CQ20" s="977">
        <f t="shared" ref="CQ20" si="14">CN20</f>
        <v>0</v>
      </c>
      <c r="CR20" s="977">
        <f>X20-AP20</f>
        <v>0</v>
      </c>
      <c r="CS20" s="983"/>
      <c r="CT20" s="1056" t="str">
        <f>IF(CB20="OK",INDEX(Tbl_Cust_Water[EUL], MATCH(F20,Tbl_Cust_Water[Proj Desc 1],0)),"")</f>
        <v/>
      </c>
      <c r="CU20" s="979" t="str">
        <f t="shared" ref="CU20" si="15">IFERROR(IF(AND($CM20&lt;=0,$CN20&lt;=0,$CO20&lt;=0),"No Savings","OK"),"")</f>
        <v>No Savings</v>
      </c>
      <c r="CV20" s="925" t="str">
        <f t="shared" ref="CV20" si="16">IF(AND(CB20="OK",CU20="OK"),"1","")</f>
        <v/>
      </c>
      <c r="CW20" s="925" t="str">
        <f>IFERROR(IF($CB20="OK",ROUND($AQ$14*SUM(BB20:BE21)/SUM($BF$18:$BG$37),2),""),"")</f>
        <v/>
      </c>
      <c r="CX20" s="925" t="str">
        <f>IFERROR(IF(M02S04F04="Customer/Self-Installed",CW20,IF($CB20="OK",CW20+BD20,"")),"")</f>
        <v/>
      </c>
      <c r="CY20" s="925" t="str">
        <f>IFERROR(IF($CB20="OK",CX20+BB20,""),"")</f>
        <v/>
      </c>
      <c r="CZ20" s="925" t="str">
        <f>IF(CB20="OK",INDEX(MEASURES3_M!$O$28, MATCH(F20,MEASURES3_M!$C$28,0)),"")</f>
        <v/>
      </c>
      <c r="DA20" s="925" t="str">
        <f>IF(CB20="OK",INDEX(MEASURES3_M!$P$28, MATCH(F20,MEASURES3_M!$C$28,0)),"")</f>
        <v/>
      </c>
      <c r="DD20" s="980" t="str">
        <f>IFERROR(IF(CB20&lt;&gt;"OK","",CM20*VLOOKUP('DATA TABLES_Project'!$C$247,'DATA TABLES_Project'!$A$250:$B$285,2,FALSE)),"")</f>
        <v/>
      </c>
      <c r="DE20" s="925" t="str">
        <f t="shared" ref="DE20" si="17">IFERROR(IF(CB20&lt;&gt;"OK","",CM20*CZ20*0.92),"")</f>
        <v/>
      </c>
      <c r="DF20" s="980" t="str">
        <f>IFERROR(IF(CB20&lt;&gt;"OK","",CM20*CZ20*0.92*VLOOKUP('DATA TABLES_Project'!$C$247,'DATA TABLES_Project'!$A$250:$B$285,2,FALSE)),"")</f>
        <v/>
      </c>
      <c r="DG20" s="925" t="str">
        <f t="shared" ref="DG20" si="18">IFERROR(IF(CB20&lt;&gt;"OK","",CM20*BV20),IF(BX20="Dual",(CM20*BW20)+((BY20-AJ20)*(BV20-BW20)),""))</f>
        <v/>
      </c>
      <c r="DH20" s="925" t="str">
        <f ca="1">IFERROR(IF(CB20&lt;&gt;"OK","",IF(OR(BX20="Single",BX20=""), CM20*BV20*AVERAGE(INDEX('DATA TABLES_Project'!$B$250:$B$285, MATCH('DATA TABLES_Project'!$C$247,'DATA TABLES_Project'!$A$250:$A$285, 0)):OFFSET(INDEX('DATA TABLES_Project'!$B$250:$B$285, MATCH('DATA TABLES_Project'!$C$247,'DATA TABLES_Project'!$A$250:$A$285, 0)),BV20-1,0)),CM20*BW20*AVERAGE(INDEX('DATA TABLES_Project'!$B$250:$B$285, MATCH('DATA TABLES_Project'!$C$247,'DATA TABLES_Project'!$A$250:$A$285, 0)):OFFSET(INDEX('DATA TABLES_Project'!$B$250:$B$285, MATCH('DATA TABLES_Project'!$C$247,'DATA TABLES_Project'!$A$250:$A$285, 0)),BW20-1,0)) + ((BY20-AJ20)*(BV20-BW20)*AVERAGE(OFFSET(INDEX('DATA TABLES_Project'!$B$250:$B$285, MATCH('DATA TABLES_Project'!$C$247,'DATA TABLES_Project'!$A$250:$A$285, 0)),BW20,0):OFFSET(INDEX('DATA TABLES_Project'!$B$250:$B$285, MATCH('DATA TABLES_Project'!$C$247,'DATA TABLES_Project'!$A$250:$A$285, 0)),BV20-1,0))))), "")</f>
        <v/>
      </c>
      <c r="DI20" s="925" t="str">
        <f t="shared" ref="DI20" si="19">IFERROR(IF(CB20&lt;&gt;"OK","",IF(BX20="Dual",(CM20*BW20)+((BY20-AJ20)*(BV20-BW20))*CZ20*0.92,CM20*CZ20*BV20*0.92)),"")</f>
        <v/>
      </c>
      <c r="DJ20" s="925" t="str">
        <f ca="1">IFERROR(IF(CB20&lt;&gt;"OK","",IF(OR(BX20="Single",BX20=""),0.92*CZ20*CM20*BV20*AVERAGE(INDEX('DATA TABLES_Project'!$B$250:$B$285, MATCH('DATA TABLES_Project'!$C$247,'DATA TABLES_Project'!$A$250:$A$285, 0)):OFFSET(INDEX('DATA TABLES_Project'!$B$250:$B$285, MATCH('DATA TABLES_Project'!$C$247,'DATA TABLES_Project'!$A$250:$A$285, 0)),BV20-1,0)),0.92*CZ20*CM20*BW20*AVERAGE(INDEX('DATA TABLES_Project'!$B$250:$B$285, MATCH('DATA TABLES_Project'!$C$247,'DATA TABLES_Project'!$A$250:$A$285, 0)):OFFSET(INDEX('DATA TABLES_Project'!$B$250:$B$285, MATCH('DATA TABLES_Project'!$C$247,'DATA TABLES_Project'!$A$250:$A$285, 0)),BW20-1,0)) + (0.92*CZ20*(BY20-AJ20)*(BV20-BW20)*AVERAGE(OFFSET(INDEX('DATA TABLES_Project'!$B$250:$B$285, MATCH('DATA TABLES_Project'!$C$247,'DATA TABLES_Project'!$A$250:$A$285, 0)),BW20,0):OFFSET(INDEX('DATA TABLES_Project'!$B$250:$B$285, MATCH('DATA TABLES_Project'!$C$247,'DATA TABLES_Project'!$A$250:$A$285, 0)),BV20-1,0))))), "")</f>
        <v/>
      </c>
      <c r="DK20" s="925" t="str">
        <f>IFERROR(IF(CB20&lt;&gt;"OK","",CO20*'DATA TABLES_Project'!$C$250),"")</f>
        <v/>
      </c>
      <c r="DL20" s="925" t="str">
        <f t="shared" ref="DL20" si="20">IFERROR(IF(CB20&lt;&gt;"OK","",CO20*DA20*0.92),"")</f>
        <v/>
      </c>
      <c r="DM20" s="925" t="str">
        <f>IFERROR(IF(CB20&lt;&gt;"OK","",CO20*'DATA TABLES_Project'!$C$250*DA20*0.92),"")</f>
        <v/>
      </c>
      <c r="DN20" s="925" t="str">
        <f t="shared" ref="DN20" si="21">IFERROR(IF(CB20&lt;&gt;"OK","",CO20*BV20),IF(BX20="Dual",(CO20*BW20)+((BZ20-AP20)*(BV20-BW20)),""))</f>
        <v/>
      </c>
      <c r="DO20" s="925" t="str">
        <f ca="1">IFERROR(IF(CB20&lt;&gt;"OK","",CO20*BV20*AVERAGE('DATA TABLES_Project'!$C$250:OFFSET('DATA TABLES_Project'!$C$250,BV20,0))),IF(BX20="Dual",(CO20*BW20*AVERAGE('DATA TABLES_Project'!$C$251:$C$259))+((BZ20-AP20)*(BV20-BW20)*AVERAGE('DATA TABLES_Project'!$C$260:$C$279)),""))</f>
        <v/>
      </c>
      <c r="DP20" s="925" t="str">
        <f t="shared" ref="DP20" si="22">IFERROR(IF(CB20&lt;&gt;"OK","",IF(BX20="Dual",((CO20*BW20)+(BZ20-AP20)*(BV20-BW20))*DA20*0.92,CO20*BV20*DA20*0.92)),"")</f>
        <v/>
      </c>
      <c r="DQ20" s="925" t="str">
        <f ca="1">IFERROR(IF(CB20&lt;&gt;"OK","",IF(BX20="Dual",(0.92*DA20*CO20*BW20*AVERAGE('DATA TABLES_Project'!$C$251:$C$259))+(0.92*DA20*(BZ20-AP20)*(BV20-BW20)*AVERAGE('DATA TABLES_Project'!$C$260:$C$279)),0.92*DA20*CO20*BV20*AVERAGE('DATA TABLES_Project'!$C$250:OFFSET('DATA TABLES_Project'!$C$250,BV20,0)))),"")</f>
        <v/>
      </c>
      <c r="DR20" s="980" t="str">
        <f>IFERROR(IF($CB20&lt;&gt;"OK","",CM20*'DATA TABLES_Project'!$B$290+IF(CO20&lt;0,0,CO20*'DATA TABLES_Project'!$B$291)),"")</f>
        <v/>
      </c>
      <c r="DS20" s="980" t="str">
        <f>IFERROR(IF($CB20&lt;&gt;"OK","",DD20*'DATA TABLES_Project'!$B$290+IF(DK20&lt;0,0,DK20*'DATA TABLES_Project'!$B$291)),"")</f>
        <v/>
      </c>
      <c r="DT20" s="980" t="str">
        <f>IFERROR(IF($CB20&lt;&gt;"OK","",DE20*'DATA TABLES_Project'!$B$290+IF(DL20&lt;0,0,DL20*'DATA TABLES_Project'!$B$291)),"")</f>
        <v/>
      </c>
      <c r="DU20" s="980" t="str">
        <f>IFERROR(IF($CB20&lt;&gt;"OK","",DF20*'DATA TABLES_Project'!$B$290+IF(DM20&lt;0,0,DM20*'DATA TABLES_Project'!$B$291)),"")</f>
        <v/>
      </c>
      <c r="DV20" s="980" t="str">
        <f>IFERROR(IF($CB20&lt;&gt;"OK","",DG20*'DATA TABLES_Project'!$B$290+IF(DN20&lt;0,0,DN20*'DATA TABLES_Project'!$B$291)),"")</f>
        <v/>
      </c>
      <c r="DW20" s="980" t="str">
        <f>IFERROR(IF($CB20&lt;&gt;"OK","",DH20*'DATA TABLES_Project'!$B$290+IF(DO20&lt;0,0,DO20*'DATA TABLES_Project'!$B$291)),"")</f>
        <v/>
      </c>
      <c r="DX20" s="980" t="str">
        <f>IFERROR(IF($CB20&lt;&gt;"OK","",DI20*'DATA TABLES_Project'!$B$290+IF(DP20&lt;0,0,DP20*'DATA TABLES_Project'!$B$291)),"")</f>
        <v/>
      </c>
      <c r="DY20" s="925" t="str">
        <f>IFERROR(IF($CB20&lt;&gt;"OK","",DJ20*'DATA TABLES_Project'!$B$290+IF(DQ20&lt;0,0,DQ20*'DATA TABLES_Project'!$B$291)),"")</f>
        <v/>
      </c>
      <c r="DZ20" s="925" t="str">
        <f t="shared" ref="DZ20" si="23">IFERROR(IF($CB20&lt;&gt;"OK","",AS20),"")</f>
        <v/>
      </c>
      <c r="EA20" s="925" t="str">
        <f>IFERROR(IF(CB20&lt;&gt;"OK","",CN20*'DATA TABLES_Project'!$B$250*CZ20*1.03),"")</f>
        <v/>
      </c>
      <c r="EB20" s="925" t="str">
        <f t="shared" ref="EB20" si="24">IFERROR(IF(CB20&lt;&gt;"OK","",CN20*CZ20*1.03),"")</f>
        <v/>
      </c>
      <c r="EC20" s="925" t="str">
        <f>IFERROR(IF(CB20&lt;&gt;"OK","",CZ20*DZ20*'DATA TABLES_Project'!$C$250*0.92),"")</f>
        <v/>
      </c>
      <c r="ED20" s="925" t="str">
        <f>IFERROR(IF(CB20&lt;&gt;"OK","",CZ20*DZ20*'DATA TABLES_Project'!$C$250*0.92),"")</f>
        <v/>
      </c>
      <c r="EE20" s="925" t="str">
        <f t="shared" ref="EE20" si="25">IFERROR(IF(CB20&lt;&gt;"OK","",CZ20*DZ20*0.92),"")</f>
        <v/>
      </c>
      <c r="EF20" s="925" t="str">
        <f t="shared" ref="EF20" si="26">IFERROR(IF(CB20&lt;&gt;"OK","",CZ20*DZ20*0.92),"")</f>
        <v/>
      </c>
      <c r="EG20" s="925" t="str">
        <f>IFERROR(IF($CB20&lt;&gt;"OK","",CM20*'DATA TABLES_Project'!$B$290+CO20*'DATA TABLES_Project'!$B$291),"")</f>
        <v/>
      </c>
      <c r="EH20" s="925" t="str">
        <f>IFERROR(IF($CB20&lt;&gt;"OK","",DD20*'DATA TABLES_Project'!$B$290+DK20*'DATA TABLES_Project'!$B$291),"")</f>
        <v/>
      </c>
      <c r="EI20" s="925" t="str">
        <f>IFERROR(IF($CB20&lt;&gt;"OK","",DE20*'DATA TABLES_Project'!$B$290+DL20*'DATA TABLES_Project'!$B$291),"")</f>
        <v/>
      </c>
      <c r="EJ20" s="925" t="str">
        <f>IFERROR(IF($CB20&lt;&gt;"OK","",DF20*'DATA TABLES_Project'!$B$290+DM20*'DATA TABLES_Project'!$B$291),"")</f>
        <v/>
      </c>
      <c r="EK20" s="925" t="str">
        <f>IFERROR(IF($CB20&lt;&gt;"OK","",DG20*'DATA TABLES_Project'!$B$290+DN20*'DATA TABLES_Project'!$B$291),"")</f>
        <v/>
      </c>
      <c r="EL20" s="925" t="str">
        <f>IFERROR(IF($CB20&lt;&gt;"OK","",DH20*'DATA TABLES_Project'!$B$290+DO20*'DATA TABLES_Project'!$B$291),"")</f>
        <v/>
      </c>
      <c r="EM20" s="925" t="str">
        <f>IFERROR(IF($CB20&lt;&gt;"OK","",DI20*'DATA TABLES_Project'!$B$290+DP20*'DATA TABLES_Project'!$B$291),"")</f>
        <v/>
      </c>
      <c r="EN20" s="925" t="str">
        <f>IFERROR(IF($CB20&lt;&gt;"OK","",DJ20*'DATA TABLES_Project'!$B$290+DQ20*'DATA TABLES_Project'!$B$291),"")</f>
        <v/>
      </c>
    </row>
    <row r="21" spans="1:144" ht="16.350000000000001" customHeight="1">
      <c r="A21" s="462"/>
      <c r="B21" s="994"/>
      <c r="C21" s="998"/>
      <c r="D21" s="999"/>
      <c r="E21" s="1000"/>
      <c r="F21" s="964"/>
      <c r="G21" s="965"/>
      <c r="H21" s="965"/>
      <c r="I21" s="965"/>
      <c r="J21" s="965"/>
      <c r="K21" s="966"/>
      <c r="L21" s="964"/>
      <c r="M21" s="965"/>
      <c r="N21" s="965"/>
      <c r="O21" s="965"/>
      <c r="P21" s="965"/>
      <c r="Q21" s="966"/>
      <c r="R21" s="1044"/>
      <c r="S21" s="1044"/>
      <c r="T21" s="1044"/>
      <c r="U21" s="1044"/>
      <c r="V21" s="1044"/>
      <c r="W21" s="1044"/>
      <c r="X21" s="1045"/>
      <c r="Y21" s="1045"/>
      <c r="Z21" s="1045"/>
      <c r="AA21" s="1045"/>
      <c r="AB21" s="1045"/>
      <c r="AC21" s="1045"/>
      <c r="AD21" s="964"/>
      <c r="AE21" s="965"/>
      <c r="AF21" s="965"/>
      <c r="AG21" s="965"/>
      <c r="AH21" s="965"/>
      <c r="AI21" s="966"/>
      <c r="AJ21" s="952"/>
      <c r="AK21" s="953"/>
      <c r="AL21" s="954"/>
      <c r="AM21" s="952"/>
      <c r="AN21" s="953"/>
      <c r="AO21" s="954"/>
      <c r="AP21" s="958"/>
      <c r="AQ21" s="959"/>
      <c r="AR21" s="960"/>
      <c r="AS21" s="958"/>
      <c r="AT21" s="959"/>
      <c r="AU21" s="960"/>
      <c r="AV21" s="968"/>
      <c r="AW21" s="969"/>
      <c r="AX21" s="969"/>
      <c r="AY21" s="969"/>
      <c r="AZ21" s="969"/>
      <c r="BA21" s="970"/>
      <c r="BB21" s="947"/>
      <c r="BC21" s="948"/>
      <c r="BD21" s="947"/>
      <c r="BE21" s="948"/>
      <c r="BF21" s="931"/>
      <c r="BG21" s="932"/>
      <c r="BH21" s="974"/>
      <c r="BI21" s="975"/>
      <c r="BJ21" s="976"/>
      <c r="BK21" s="936"/>
      <c r="BL21" s="937"/>
      <c r="BM21" s="938"/>
      <c r="BN21" s="942"/>
      <c r="BO21" s="943"/>
      <c r="BP21" s="944"/>
      <c r="BQ21"/>
      <c r="BR21"/>
      <c r="BS21" s="967"/>
      <c r="BT21" s="967"/>
      <c r="BV21" s="926"/>
      <c r="BW21" s="926"/>
      <c r="BX21" s="926"/>
      <c r="BY21" s="927"/>
      <c r="BZ21" s="928"/>
      <c r="CB21" s="986"/>
      <c r="CC21" s="925"/>
      <c r="CD21" s="925"/>
      <c r="CE21" s="925"/>
      <c r="CF21" s="925"/>
      <c r="CG21" s="925"/>
      <c r="CH21" s="925"/>
      <c r="CI21" s="925"/>
      <c r="CJ21" s="977"/>
      <c r="CK21" s="977"/>
      <c r="CL21" s="977"/>
      <c r="CM21" s="977"/>
      <c r="CN21" s="977"/>
      <c r="CO21" s="977"/>
      <c r="CP21" s="977"/>
      <c r="CQ21" s="977"/>
      <c r="CR21" s="977"/>
      <c r="CS21" s="983"/>
      <c r="CT21" s="1056"/>
      <c r="CU21" s="979"/>
      <c r="CV21" s="925"/>
      <c r="CW21" s="925"/>
      <c r="CX21" s="925"/>
      <c r="CY21" s="925"/>
      <c r="CZ21" s="925"/>
      <c r="DA21" s="925"/>
      <c r="DD21" s="981"/>
      <c r="DE21" s="925"/>
      <c r="DF21" s="981"/>
      <c r="DG21" s="925"/>
      <c r="DH21" s="925"/>
      <c r="DI21" s="925"/>
      <c r="DJ21" s="925"/>
      <c r="DK21" s="925"/>
      <c r="DL21" s="925"/>
      <c r="DM21" s="925"/>
      <c r="DN21" s="925"/>
      <c r="DO21" s="925"/>
      <c r="DP21" s="925"/>
      <c r="DQ21" s="925"/>
      <c r="DR21" s="981"/>
      <c r="DS21" s="981"/>
      <c r="DT21" s="981"/>
      <c r="DU21" s="981"/>
      <c r="DV21" s="981"/>
      <c r="DW21" s="981"/>
      <c r="DX21" s="981"/>
      <c r="DY21" s="925"/>
      <c r="DZ21" s="925"/>
      <c r="EA21" s="925"/>
      <c r="EB21" s="925"/>
      <c r="EC21" s="925"/>
      <c r="ED21" s="925"/>
      <c r="EE21" s="925"/>
      <c r="EF21" s="925"/>
      <c r="EG21" s="925"/>
      <c r="EH21" s="925"/>
      <c r="EI21" s="925"/>
      <c r="EJ21" s="925"/>
      <c r="EK21" s="925"/>
      <c r="EL21" s="925"/>
      <c r="EM21" s="925"/>
      <c r="EN21" s="925"/>
    </row>
    <row r="22" spans="1:144" ht="16.350000000000001" customHeight="1">
      <c r="A22" s="462"/>
      <c r="B22" s="994">
        <v>3</v>
      </c>
      <c r="C22" s="995"/>
      <c r="D22" s="996"/>
      <c r="E22" s="997"/>
      <c r="F22" s="961"/>
      <c r="G22" s="962"/>
      <c r="H22" s="962"/>
      <c r="I22" s="962"/>
      <c r="J22" s="962"/>
      <c r="K22" s="963"/>
      <c r="L22" s="961"/>
      <c r="M22" s="962"/>
      <c r="N22" s="962"/>
      <c r="O22" s="962"/>
      <c r="P22" s="962"/>
      <c r="Q22" s="963"/>
      <c r="R22" s="1044"/>
      <c r="S22" s="1044"/>
      <c r="T22" s="1044"/>
      <c r="U22" s="1044"/>
      <c r="V22" s="1044"/>
      <c r="W22" s="1044"/>
      <c r="X22" s="1045"/>
      <c r="Y22" s="1045"/>
      <c r="Z22" s="1045"/>
      <c r="AA22" s="1045"/>
      <c r="AB22" s="1045"/>
      <c r="AC22" s="1045"/>
      <c r="AD22" s="961"/>
      <c r="AE22" s="962"/>
      <c r="AF22" s="962"/>
      <c r="AG22" s="962"/>
      <c r="AH22" s="962"/>
      <c r="AI22" s="963"/>
      <c r="AJ22" s="949"/>
      <c r="AK22" s="950"/>
      <c r="AL22" s="951"/>
      <c r="AM22" s="949"/>
      <c r="AN22" s="950"/>
      <c r="AO22" s="951"/>
      <c r="AP22" s="955"/>
      <c r="AQ22" s="956"/>
      <c r="AR22" s="957"/>
      <c r="AS22" s="955"/>
      <c r="AT22" s="956"/>
      <c r="AU22" s="957"/>
      <c r="AV22" s="968"/>
      <c r="AW22" s="969"/>
      <c r="AX22" s="970"/>
      <c r="AY22" s="968"/>
      <c r="AZ22" s="969"/>
      <c r="BA22" s="970"/>
      <c r="BB22" s="945"/>
      <c r="BC22" s="946"/>
      <c r="BD22" s="945"/>
      <c r="BE22" s="946"/>
      <c r="BF22" s="929" t="str">
        <f>IF(CB22="OK",ROUND(BB22+BD22,2),"")</f>
        <v/>
      </c>
      <c r="BG22" s="930"/>
      <c r="BH22" s="971" t="str">
        <f t="shared" ref="BH22" si="27">IFERROR(IF(AND($CB22="OK",$CU22="OK"),$CI22,IF($CB22&lt;&gt;"OK",$CB22,$CU22)),"")</f>
        <v/>
      </c>
      <c r="BI22" s="972"/>
      <c r="BJ22" s="973"/>
      <c r="BK22" s="933" t="str">
        <f t="shared" ref="BK22" si="28">IF($CB22="OK",CM22,"")</f>
        <v/>
      </c>
      <c r="BL22" s="934"/>
      <c r="BM22" s="935"/>
      <c r="BN22" s="939" t="str">
        <f t="shared" ref="BN22" si="29">IF($CB22="OK",$CR22,"")</f>
        <v/>
      </c>
      <c r="BO22" s="940"/>
      <c r="BP22" s="941"/>
      <c r="BQ22"/>
      <c r="BR22"/>
      <c r="BS22" s="967"/>
      <c r="BT22" s="967"/>
      <c r="BV22" s="926" t="str">
        <f t="shared" ref="BV22" si="30">IFERROR(ROUND(IF(AND(CB22="OK",CU22="OK"),CT22,""),0),"")</f>
        <v/>
      </c>
      <c r="BW22" s="926" t="str">
        <f t="shared" ref="BW22" si="31">IFERROR(ROUND(IF(AND(CB22="OK",CU22="OK"),BV22/3,""),0),"")</f>
        <v/>
      </c>
      <c r="BX22" s="926"/>
      <c r="BY22" s="927"/>
      <c r="BZ22" s="928"/>
      <c r="CB22" s="986" t="str">
        <f>IF(AND(C22="",F22="",R22="",AD22="",U22="",X22="",L22="",AJ22="",AV22="",AM22="",AP22="",AY22="",AV23="",BB22="",BD22="",AA22="",AS22=""),"",
IF(OR(C22="",F22="",R22="",AD22="",U22="",X22="",L22="",AJ22="",AV22="",AM22="",AP22="",AY22="",AV23="",BB22="",BD22="",AA22="",AS22=""),"Missing Fields",
IF(AND(M02S04F04disp="Required",M02S04F04=""),"TA Info Incomplete",
"OK")))</f>
        <v/>
      </c>
      <c r="CC22" s="925" t="str">
        <f>IF(AND(CB22="OK",CU22="OK"),INDEX(Tbl_Cust_Water[Measure Number], MATCH(F22,Tbl_Cust_Water[Proj Desc 1],0)),"")</f>
        <v/>
      </c>
      <c r="CD22" s="925"/>
      <c r="CE22" s="925" t="str">
        <f t="shared" ref="CE22" si="32">IF(CB22="OK","Measure","")</f>
        <v/>
      </c>
      <c r="CF22" s="925" t="str">
        <f t="shared" ref="CF22" si="33">IF(CB22="OK",1,"")</f>
        <v/>
      </c>
      <c r="CG22" s="978" t="str">
        <f t="shared" ref="CG22" si="34">IFERROR(CI22/CF22,"")</f>
        <v/>
      </c>
      <c r="CH22" s="978" t="str">
        <f>IF(CB22="OK",IF(CM22&gt;0,CM22*Incent_Rate_kWh,0)+IF(CO22&gt;0,CO22*Incent_Rate_thm,0),"")</f>
        <v/>
      </c>
      <c r="CI22" s="978" t="str">
        <f>IFERROR(IF($CB22="OK",IF(INCENTTOCOST_CUST&gt;CostCap_Cust,
CH22*CostCap_Cust/INCENTTOCOST_CUST,CH22),""),"")</f>
        <v/>
      </c>
      <c r="CJ22" s="977">
        <f t="shared" ref="CJ22" si="35">CM22</f>
        <v>0</v>
      </c>
      <c r="CK22" s="977">
        <f t="shared" ref="CK22" si="36">CN22</f>
        <v>0</v>
      </c>
      <c r="CL22" s="977">
        <f t="shared" ref="CL22" si="37">CO22</f>
        <v>0</v>
      </c>
      <c r="CM22" s="977">
        <f>R22-AJ22</f>
        <v>0</v>
      </c>
      <c r="CN22" s="977">
        <f>U22-AM22</f>
        <v>0</v>
      </c>
      <c r="CO22" s="977">
        <f t="shared" ref="CO22" si="38">IF(CR22&gt;0,CR22,0)</f>
        <v>0</v>
      </c>
      <c r="CP22" s="977">
        <f t="shared" ref="CP22" si="39">CM22</f>
        <v>0</v>
      </c>
      <c r="CQ22" s="977">
        <f t="shared" ref="CQ22" si="40">CN22</f>
        <v>0</v>
      </c>
      <c r="CR22" s="977">
        <f>X22-AP22</f>
        <v>0</v>
      </c>
      <c r="CS22" s="983"/>
      <c r="CT22" s="1056" t="str">
        <f>IF(CB22="OK",INDEX(Tbl_Cust_Water[EUL], MATCH(F22,Tbl_Cust_Water[Proj Desc 1],0)),"")</f>
        <v/>
      </c>
      <c r="CU22" s="979" t="str">
        <f t="shared" ref="CU22" si="41">IFERROR(IF(AND($CM22&lt;=0,$CN22&lt;=0,$CO22&lt;=0),"No Savings","OK"),"")</f>
        <v>No Savings</v>
      </c>
      <c r="CV22" s="925" t="str">
        <f t="shared" ref="CV22" si="42">IF(AND(CB22="OK",CU22="OK"),"1","")</f>
        <v/>
      </c>
      <c r="CW22" s="925" t="str">
        <f>IFERROR(IF($CB22="OK",ROUND($AQ$14*SUM(BB22:BE23)/SUM($BF$18:$BG$37),2),""),"")</f>
        <v/>
      </c>
      <c r="CX22" s="925" t="str">
        <f>IFERROR(IF(M02S04F04="Customer/Self-Installed",CW22,IF($CB22="OK",CW22+BD22,"")),"")</f>
        <v/>
      </c>
      <c r="CY22" s="925" t="str">
        <f>IFERROR(IF($CB22="OK",CX22+BB22,""),"")</f>
        <v/>
      </c>
      <c r="CZ22" s="925" t="str">
        <f>IF(CB22="OK",INDEX(MEASURES3_M!$O$28, MATCH(F22,MEASURES3_M!$C$28,0)),"")</f>
        <v/>
      </c>
      <c r="DA22" s="925" t="str">
        <f>IF(CB22="OK",INDEX(MEASURES3_M!$P$28, MATCH(F22,MEASURES3_M!$C$28,0)),"")</f>
        <v/>
      </c>
      <c r="DD22" s="980" t="str">
        <f>IFERROR(IF(CB22&lt;&gt;"OK","",CM22*VLOOKUP('DATA TABLES_Project'!$C$247,'DATA TABLES_Project'!$A$250:$B$285,2,FALSE)),"")</f>
        <v/>
      </c>
      <c r="DE22" s="925" t="str">
        <f t="shared" ref="DE22" si="43">IFERROR(IF(CB22&lt;&gt;"OK","",CM22*CZ22*0.92),"")</f>
        <v/>
      </c>
      <c r="DF22" s="980" t="str">
        <f>IFERROR(IF(CB22&lt;&gt;"OK","",CM22*CZ22*0.92*VLOOKUP('DATA TABLES_Project'!$C$247,'DATA TABLES_Project'!$A$250:$B$285,2,FALSE)),"")</f>
        <v/>
      </c>
      <c r="DG22" s="925" t="str">
        <f t="shared" ref="DG22" si="44">IFERROR(IF(CB22&lt;&gt;"OK","",CM22*BV22),IF(BX22="Dual",(CM22*BW22)+((BY22-AJ22)*(BV22-BW22)),""))</f>
        <v/>
      </c>
      <c r="DH22" s="925" t="str">
        <f ca="1">IFERROR(IF(CB22&lt;&gt;"OK","",IF(OR(BX22="Single",BX22=""), CM22*BV22*AVERAGE(INDEX('DATA TABLES_Project'!$B$250:$B$285, MATCH('DATA TABLES_Project'!$C$247,'DATA TABLES_Project'!$A$250:$A$285, 0)):OFFSET(INDEX('DATA TABLES_Project'!$B$250:$B$285, MATCH('DATA TABLES_Project'!$C$247,'DATA TABLES_Project'!$A$250:$A$285, 0)),BV22-1,0)),CM22*BW22*AVERAGE(INDEX('DATA TABLES_Project'!$B$250:$B$285, MATCH('DATA TABLES_Project'!$C$247,'DATA TABLES_Project'!$A$250:$A$285, 0)):OFFSET(INDEX('DATA TABLES_Project'!$B$250:$B$285, MATCH('DATA TABLES_Project'!$C$247,'DATA TABLES_Project'!$A$250:$A$285, 0)),BW22-1,0)) + ((BY22-AJ22)*(BV22-BW22)*AVERAGE(OFFSET(INDEX('DATA TABLES_Project'!$B$250:$B$285, MATCH('DATA TABLES_Project'!$C$247,'DATA TABLES_Project'!$A$250:$A$285, 0)),BW22,0):OFFSET(INDEX('DATA TABLES_Project'!$B$250:$B$285, MATCH('DATA TABLES_Project'!$C$247,'DATA TABLES_Project'!$A$250:$A$285, 0)),BV22-1,0))))), "")</f>
        <v/>
      </c>
      <c r="DI22" s="925" t="str">
        <f t="shared" ref="DI22" si="45">IFERROR(IF(CB22&lt;&gt;"OK","",IF(BX22="Dual",(CM22*BW22)+((BY22-AJ22)*(BV22-BW22))*CZ22*0.92,CM22*CZ22*BV22*0.92)),"")</f>
        <v/>
      </c>
      <c r="DJ22" s="925" t="str">
        <f ca="1">IFERROR(IF(CB22&lt;&gt;"OK","",IF(OR(BX22="Single",BX22=""),0.92*CZ22*CM22*BV22*AVERAGE(INDEX('DATA TABLES_Project'!$B$250:$B$285, MATCH('DATA TABLES_Project'!$C$247,'DATA TABLES_Project'!$A$250:$A$285, 0)):OFFSET(INDEX('DATA TABLES_Project'!$B$250:$B$285, MATCH('DATA TABLES_Project'!$C$247,'DATA TABLES_Project'!$A$250:$A$285, 0)),BV22-1,0)),0.92*CZ22*CM22*BW22*AVERAGE(INDEX('DATA TABLES_Project'!$B$250:$B$285, MATCH('DATA TABLES_Project'!$C$247,'DATA TABLES_Project'!$A$250:$A$285, 0)):OFFSET(INDEX('DATA TABLES_Project'!$B$250:$B$285, MATCH('DATA TABLES_Project'!$C$247,'DATA TABLES_Project'!$A$250:$A$285, 0)),BW22-1,0)) + (0.92*CZ22*(BY22-AJ22)*(BV22-BW22)*AVERAGE(OFFSET(INDEX('DATA TABLES_Project'!$B$250:$B$285, MATCH('DATA TABLES_Project'!$C$247,'DATA TABLES_Project'!$A$250:$A$285, 0)),BW22,0):OFFSET(INDEX('DATA TABLES_Project'!$B$250:$B$285, MATCH('DATA TABLES_Project'!$C$247,'DATA TABLES_Project'!$A$250:$A$285, 0)),BV22-1,0))))), "")</f>
        <v/>
      </c>
      <c r="DK22" s="925" t="str">
        <f>IFERROR(IF(CB22&lt;&gt;"OK","",CO22*'DATA TABLES_Project'!$C$250),"")</f>
        <v/>
      </c>
      <c r="DL22" s="925" t="str">
        <f t="shared" ref="DL22" si="46">IFERROR(IF(CB22&lt;&gt;"OK","",CO22*DA22*0.92),"")</f>
        <v/>
      </c>
      <c r="DM22" s="925" t="str">
        <f>IFERROR(IF(CB22&lt;&gt;"OK","",CO22*'DATA TABLES_Project'!$C$250*DA22*0.92),"")</f>
        <v/>
      </c>
      <c r="DN22" s="925" t="str">
        <f t="shared" ref="DN22" si="47">IFERROR(IF(CB22&lt;&gt;"OK","",CO22*BV22),IF(BX22="Dual",(CO22*BW22)+((BZ22-AP22)*(BV22-BW22)),""))</f>
        <v/>
      </c>
      <c r="DO22" s="925" t="str">
        <f ca="1">IFERROR(IF(CB22&lt;&gt;"OK","",CO22*BV22*AVERAGE('DATA TABLES_Project'!$C$250:OFFSET('DATA TABLES_Project'!$C$250,BV22,0))),IF(BX22="Dual",(CO22*BW22*AVERAGE('DATA TABLES_Project'!$C$251:$C$259))+((BZ22-AP22)*(BV22-BW22)*AVERAGE('DATA TABLES_Project'!$C$260:$C$279)),""))</f>
        <v/>
      </c>
      <c r="DP22" s="925" t="str">
        <f t="shared" ref="DP22" si="48">IFERROR(IF(CB22&lt;&gt;"OK","",IF(BX22="Dual",((CO22*BW22)+(BZ22-AP22)*(BV22-BW22))*DA22*0.92,CO22*BV22*DA22*0.92)),"")</f>
        <v/>
      </c>
      <c r="DQ22" s="925" t="str">
        <f ca="1">IFERROR(IF(CB22&lt;&gt;"OK","",IF(BX22="Dual",(0.92*DA22*CO22*BW22*AVERAGE('DATA TABLES_Project'!$C$251:$C$259))+(0.92*DA22*(BZ22-AP22)*(BV22-BW22)*AVERAGE('DATA TABLES_Project'!$C$260:$C$279)),0.92*DA22*CO22*BV22*AVERAGE('DATA TABLES_Project'!$C$250:OFFSET('DATA TABLES_Project'!$C$250,BV22,0)))),"")</f>
        <v/>
      </c>
      <c r="DR22" s="980" t="str">
        <f>IFERROR(IF($CB22&lt;&gt;"OK","",CM22*'DATA TABLES_Project'!$B$290+IF(CO22&lt;0,0,CO22*'DATA TABLES_Project'!$B$291)),"")</f>
        <v/>
      </c>
      <c r="DS22" s="980" t="str">
        <f>IFERROR(IF($CB22&lt;&gt;"OK","",DD22*'DATA TABLES_Project'!$B$290+IF(DK22&lt;0,0,DK22*'DATA TABLES_Project'!$B$291)),"")</f>
        <v/>
      </c>
      <c r="DT22" s="980" t="str">
        <f>IFERROR(IF($CB22&lt;&gt;"OK","",DE22*'DATA TABLES_Project'!$B$290+IF(DL22&lt;0,0,DL22*'DATA TABLES_Project'!$B$291)),"")</f>
        <v/>
      </c>
      <c r="DU22" s="980" t="str">
        <f>IFERROR(IF($CB22&lt;&gt;"OK","",DF22*'DATA TABLES_Project'!$B$290+IF(DM22&lt;0,0,DM22*'DATA TABLES_Project'!$B$291)),"")</f>
        <v/>
      </c>
      <c r="DV22" s="980" t="str">
        <f>IFERROR(IF($CB22&lt;&gt;"OK","",DG22*'DATA TABLES_Project'!$B$290+IF(DN22&lt;0,0,DN22*'DATA TABLES_Project'!$B$291)),"")</f>
        <v/>
      </c>
      <c r="DW22" s="980" t="str">
        <f>IFERROR(IF($CB22&lt;&gt;"OK","",DH22*'DATA TABLES_Project'!$B$290+IF(DO22&lt;0,0,DO22*'DATA TABLES_Project'!$B$291)),"")</f>
        <v/>
      </c>
      <c r="DX22" s="980" t="str">
        <f>IFERROR(IF($CB22&lt;&gt;"OK","",DI22*'DATA TABLES_Project'!$B$290+IF(DP22&lt;0,0,DP22*'DATA TABLES_Project'!$B$291)),"")</f>
        <v/>
      </c>
      <c r="DY22" s="925" t="str">
        <f>IFERROR(IF($CB22&lt;&gt;"OK","",DJ22*'DATA TABLES_Project'!$B$290+IF(DQ22&lt;0,0,DQ22*'DATA TABLES_Project'!$B$291)),"")</f>
        <v/>
      </c>
      <c r="DZ22" s="925" t="str">
        <f t="shared" ref="DZ22" si="49">IFERROR(IF($CB22&lt;&gt;"OK","",AS22),"")</f>
        <v/>
      </c>
      <c r="EA22" s="925" t="str">
        <f>IFERROR(IF(CB22&lt;&gt;"OK","",CN22*'DATA TABLES_Project'!$B$250*CZ22*1.03),"")</f>
        <v/>
      </c>
      <c r="EB22" s="925" t="str">
        <f t="shared" ref="EB22" si="50">IFERROR(IF(CB22&lt;&gt;"OK","",CN22*CZ22*1.03),"")</f>
        <v/>
      </c>
      <c r="EC22" s="925" t="str">
        <f>IFERROR(IF(CB22&lt;&gt;"OK","",CZ22*DZ22*'DATA TABLES_Project'!$C$250*0.92),"")</f>
        <v/>
      </c>
      <c r="ED22" s="925" t="str">
        <f>IFERROR(IF(CB22&lt;&gt;"OK","",CZ22*DZ22*'DATA TABLES_Project'!$C$250*0.92),"")</f>
        <v/>
      </c>
      <c r="EE22" s="925" t="str">
        <f t="shared" ref="EE22" si="51">IFERROR(IF(CB22&lt;&gt;"OK","",CZ22*DZ22*0.92),"")</f>
        <v/>
      </c>
      <c r="EF22" s="925" t="str">
        <f t="shared" ref="EF22" si="52">IFERROR(IF(CB22&lt;&gt;"OK","",CZ22*DZ22*0.92),"")</f>
        <v/>
      </c>
      <c r="EG22" s="925" t="str">
        <f>IFERROR(IF($CB22&lt;&gt;"OK","",CM22*'DATA TABLES_Project'!$B$290+CO22*'DATA TABLES_Project'!$B$291),"")</f>
        <v/>
      </c>
      <c r="EH22" s="925" t="str">
        <f>IFERROR(IF($CB22&lt;&gt;"OK","",DD22*'DATA TABLES_Project'!$B$290+DK22*'DATA TABLES_Project'!$B$291),"")</f>
        <v/>
      </c>
      <c r="EI22" s="925" t="str">
        <f>IFERROR(IF($CB22&lt;&gt;"OK","",DE22*'DATA TABLES_Project'!$B$290+DL22*'DATA TABLES_Project'!$B$291),"")</f>
        <v/>
      </c>
      <c r="EJ22" s="925" t="str">
        <f>IFERROR(IF($CB22&lt;&gt;"OK","",DF22*'DATA TABLES_Project'!$B$290+DM22*'DATA TABLES_Project'!$B$291),"")</f>
        <v/>
      </c>
      <c r="EK22" s="925" t="str">
        <f>IFERROR(IF($CB22&lt;&gt;"OK","",DG22*'DATA TABLES_Project'!$B$290+DN22*'DATA TABLES_Project'!$B$291),"")</f>
        <v/>
      </c>
      <c r="EL22" s="925" t="str">
        <f>IFERROR(IF($CB22&lt;&gt;"OK","",DH22*'DATA TABLES_Project'!$B$290+DO22*'DATA TABLES_Project'!$B$291),"")</f>
        <v/>
      </c>
      <c r="EM22" s="925" t="str">
        <f>IFERROR(IF($CB22&lt;&gt;"OK","",DI22*'DATA TABLES_Project'!$B$290+DP22*'DATA TABLES_Project'!$B$291),"")</f>
        <v/>
      </c>
      <c r="EN22" s="925" t="str">
        <f>IFERROR(IF($CB22&lt;&gt;"OK","",DJ22*'DATA TABLES_Project'!$B$290+DQ22*'DATA TABLES_Project'!$B$291),"")</f>
        <v/>
      </c>
    </row>
    <row r="23" spans="1:144" ht="16.350000000000001" customHeight="1">
      <c r="A23" s="462"/>
      <c r="B23" s="994"/>
      <c r="C23" s="998"/>
      <c r="D23" s="999"/>
      <c r="E23" s="1000"/>
      <c r="F23" s="964"/>
      <c r="G23" s="965"/>
      <c r="H23" s="965"/>
      <c r="I23" s="965"/>
      <c r="J23" s="965"/>
      <c r="K23" s="966"/>
      <c r="L23" s="964"/>
      <c r="M23" s="965"/>
      <c r="N23" s="965"/>
      <c r="O23" s="965"/>
      <c r="P23" s="965"/>
      <c r="Q23" s="966"/>
      <c r="R23" s="1044"/>
      <c r="S23" s="1044"/>
      <c r="T23" s="1044"/>
      <c r="U23" s="1044"/>
      <c r="V23" s="1044"/>
      <c r="W23" s="1044"/>
      <c r="X23" s="1045"/>
      <c r="Y23" s="1045"/>
      <c r="Z23" s="1045"/>
      <c r="AA23" s="1045"/>
      <c r="AB23" s="1045"/>
      <c r="AC23" s="1045"/>
      <c r="AD23" s="964"/>
      <c r="AE23" s="965"/>
      <c r="AF23" s="965"/>
      <c r="AG23" s="965"/>
      <c r="AH23" s="965"/>
      <c r="AI23" s="966"/>
      <c r="AJ23" s="952"/>
      <c r="AK23" s="953"/>
      <c r="AL23" s="954"/>
      <c r="AM23" s="952"/>
      <c r="AN23" s="953"/>
      <c r="AO23" s="954"/>
      <c r="AP23" s="958"/>
      <c r="AQ23" s="959"/>
      <c r="AR23" s="960"/>
      <c r="AS23" s="958"/>
      <c r="AT23" s="959"/>
      <c r="AU23" s="960"/>
      <c r="AV23" s="968"/>
      <c r="AW23" s="969"/>
      <c r="AX23" s="969"/>
      <c r="AY23" s="969"/>
      <c r="AZ23" s="969"/>
      <c r="BA23" s="970"/>
      <c r="BB23" s="947"/>
      <c r="BC23" s="948"/>
      <c r="BD23" s="947"/>
      <c r="BE23" s="948"/>
      <c r="BF23" s="931"/>
      <c r="BG23" s="932"/>
      <c r="BH23" s="974"/>
      <c r="BI23" s="975"/>
      <c r="BJ23" s="976"/>
      <c r="BK23" s="936"/>
      <c r="BL23" s="937"/>
      <c r="BM23" s="938"/>
      <c r="BN23" s="942"/>
      <c r="BO23" s="943"/>
      <c r="BP23" s="944"/>
      <c r="BQ23"/>
      <c r="BR23"/>
      <c r="BS23" s="967"/>
      <c r="BT23" s="967"/>
      <c r="BV23" s="926"/>
      <c r="BW23" s="926"/>
      <c r="BX23" s="926"/>
      <c r="BY23" s="927"/>
      <c r="BZ23" s="928"/>
      <c r="CB23" s="986"/>
      <c r="CC23" s="925"/>
      <c r="CD23" s="925"/>
      <c r="CE23" s="925"/>
      <c r="CF23" s="925"/>
      <c r="CG23" s="925"/>
      <c r="CH23" s="925"/>
      <c r="CI23" s="925"/>
      <c r="CJ23" s="977"/>
      <c r="CK23" s="977"/>
      <c r="CL23" s="977"/>
      <c r="CM23" s="977"/>
      <c r="CN23" s="977"/>
      <c r="CO23" s="977"/>
      <c r="CP23" s="977"/>
      <c r="CQ23" s="977"/>
      <c r="CR23" s="977"/>
      <c r="CS23" s="983"/>
      <c r="CT23" s="1056"/>
      <c r="CU23" s="979"/>
      <c r="CV23" s="925"/>
      <c r="CW23" s="925"/>
      <c r="CX23" s="925"/>
      <c r="CY23" s="925"/>
      <c r="CZ23" s="925"/>
      <c r="DA23" s="925"/>
      <c r="DD23" s="981"/>
      <c r="DE23" s="925"/>
      <c r="DF23" s="981"/>
      <c r="DG23" s="925"/>
      <c r="DH23" s="925"/>
      <c r="DI23" s="925"/>
      <c r="DJ23" s="925"/>
      <c r="DK23" s="925"/>
      <c r="DL23" s="925"/>
      <c r="DM23" s="925"/>
      <c r="DN23" s="925"/>
      <c r="DO23" s="925"/>
      <c r="DP23" s="925"/>
      <c r="DQ23" s="925"/>
      <c r="DR23" s="981"/>
      <c r="DS23" s="981"/>
      <c r="DT23" s="981"/>
      <c r="DU23" s="981"/>
      <c r="DV23" s="981"/>
      <c r="DW23" s="981"/>
      <c r="DX23" s="981"/>
      <c r="DY23" s="925"/>
      <c r="DZ23" s="925"/>
      <c r="EA23" s="925"/>
      <c r="EB23" s="925"/>
      <c r="EC23" s="925"/>
      <c r="ED23" s="925"/>
      <c r="EE23" s="925"/>
      <c r="EF23" s="925"/>
      <c r="EG23" s="925"/>
      <c r="EH23" s="925"/>
      <c r="EI23" s="925"/>
      <c r="EJ23" s="925"/>
      <c r="EK23" s="925"/>
      <c r="EL23" s="925"/>
      <c r="EM23" s="925"/>
      <c r="EN23" s="925"/>
    </row>
    <row r="24" spans="1:144" ht="16.350000000000001" customHeight="1">
      <c r="A24" s="462"/>
      <c r="B24" s="994">
        <v>4</v>
      </c>
      <c r="C24" s="995"/>
      <c r="D24" s="996"/>
      <c r="E24" s="997"/>
      <c r="F24" s="961"/>
      <c r="G24" s="962"/>
      <c r="H24" s="962"/>
      <c r="I24" s="962"/>
      <c r="J24" s="962"/>
      <c r="K24" s="963"/>
      <c r="L24" s="961"/>
      <c r="M24" s="962"/>
      <c r="N24" s="962"/>
      <c r="O24" s="962"/>
      <c r="P24" s="962"/>
      <c r="Q24" s="963"/>
      <c r="R24" s="1044"/>
      <c r="S24" s="1044"/>
      <c r="T24" s="1044"/>
      <c r="U24" s="1044"/>
      <c r="V24" s="1044"/>
      <c r="W24" s="1044"/>
      <c r="X24" s="1045"/>
      <c r="Y24" s="1045"/>
      <c r="Z24" s="1045"/>
      <c r="AA24" s="1045"/>
      <c r="AB24" s="1045"/>
      <c r="AC24" s="1045"/>
      <c r="AD24" s="961"/>
      <c r="AE24" s="962"/>
      <c r="AF24" s="962"/>
      <c r="AG24" s="962"/>
      <c r="AH24" s="962"/>
      <c r="AI24" s="963"/>
      <c r="AJ24" s="949"/>
      <c r="AK24" s="950"/>
      <c r="AL24" s="951"/>
      <c r="AM24" s="949"/>
      <c r="AN24" s="950"/>
      <c r="AO24" s="951"/>
      <c r="AP24" s="955"/>
      <c r="AQ24" s="956"/>
      <c r="AR24" s="957"/>
      <c r="AS24" s="955"/>
      <c r="AT24" s="956"/>
      <c r="AU24" s="957"/>
      <c r="AV24" s="968"/>
      <c r="AW24" s="969"/>
      <c r="AX24" s="970"/>
      <c r="AY24" s="968"/>
      <c r="AZ24" s="969"/>
      <c r="BA24" s="970"/>
      <c r="BB24" s="945"/>
      <c r="BC24" s="946"/>
      <c r="BD24" s="945"/>
      <c r="BE24" s="946"/>
      <c r="BF24" s="929" t="str">
        <f>IF(CB24="OK",ROUND(BB24+BD24,2),"")</f>
        <v/>
      </c>
      <c r="BG24" s="930"/>
      <c r="BH24" s="971" t="str">
        <f t="shared" ref="BH24" si="53">IFERROR(IF(AND($CB24="OK",$CU24="OK"),$CI24,IF($CB24&lt;&gt;"OK",$CB24,$CU24)),"")</f>
        <v/>
      </c>
      <c r="BI24" s="972"/>
      <c r="BJ24" s="973"/>
      <c r="BK24" s="933" t="str">
        <f t="shared" ref="BK24" si="54">IF($CB24="OK",CM24,"")</f>
        <v/>
      </c>
      <c r="BL24" s="934"/>
      <c r="BM24" s="935"/>
      <c r="BN24" s="939" t="str">
        <f t="shared" ref="BN24" si="55">IF($CB24="OK",$CR24,"")</f>
        <v/>
      </c>
      <c r="BO24" s="940"/>
      <c r="BP24" s="941"/>
      <c r="BQ24"/>
      <c r="BR24"/>
      <c r="BS24" s="967"/>
      <c r="BT24" s="967"/>
      <c r="BV24" s="926" t="str">
        <f t="shared" ref="BV24" si="56">IFERROR(ROUND(IF(AND(CB24="OK",CU24="OK"),CT24,""),0),"")</f>
        <v/>
      </c>
      <c r="BW24" s="926" t="str">
        <f t="shared" ref="BW24" si="57">IFERROR(ROUND(IF(AND(CB24="OK",CU24="OK"),BV24/3,""),0),"")</f>
        <v/>
      </c>
      <c r="BX24" s="926"/>
      <c r="BY24" s="927"/>
      <c r="BZ24" s="928"/>
      <c r="CB24" s="986" t="str">
        <f>IF(AND(C24="",F24="",R24="",AD24="",U24="",X24="",L24="",AJ24="",AV24="",AM24="",AP24="",AY24="",AV25="",BB24="",BD24="",AA24="",AS24=""),"",
IF(OR(C24="",F24="",R24="",AD24="",U24="",X24="",L24="",AJ24="",AV24="",AM24="",AP24="",AY24="",AV25="",BB24="",BD24="",AA24="",AS24=""),"Missing Fields",
IF(AND(M02S04F04disp="Required",M02S04F04=""),"TA Info Incomplete",
"OK")))</f>
        <v/>
      </c>
      <c r="CC24" s="925" t="str">
        <f>IF(AND(CB24="OK",CU24="OK"),INDEX(Tbl_Cust_Water[Measure Number], MATCH(F24,Tbl_Cust_Water[Proj Desc 1],0)),"")</f>
        <v/>
      </c>
      <c r="CD24" s="925"/>
      <c r="CE24" s="925" t="str">
        <f t="shared" ref="CE24" si="58">IF(CB24="OK","Measure","")</f>
        <v/>
      </c>
      <c r="CF24" s="925" t="str">
        <f t="shared" ref="CF24" si="59">IF(CB24="OK",1,"")</f>
        <v/>
      </c>
      <c r="CG24" s="978" t="str">
        <f t="shared" ref="CG24" si="60">IFERROR(CI24/CF24,"")</f>
        <v/>
      </c>
      <c r="CH24" s="978" t="str">
        <f>IF(CB24="OK",IF(CM24&gt;0,CM24*Incent_Rate_kWh,0)+IF(CO24&gt;0,CO24*Incent_Rate_thm,0),"")</f>
        <v/>
      </c>
      <c r="CI24" s="978" t="str">
        <f>IFERROR(IF($CB24="OK",IF(INCENTTOCOST_CUST&gt;CostCap_Cust,
CH24*CostCap_Cust/INCENTTOCOST_CUST,CH24),""),"")</f>
        <v/>
      </c>
      <c r="CJ24" s="977">
        <f t="shared" ref="CJ24" si="61">CM24</f>
        <v>0</v>
      </c>
      <c r="CK24" s="977">
        <f t="shared" ref="CK24" si="62">CN24</f>
        <v>0</v>
      </c>
      <c r="CL24" s="977">
        <f t="shared" ref="CL24" si="63">CO24</f>
        <v>0</v>
      </c>
      <c r="CM24" s="977">
        <f>R24-AJ24</f>
        <v>0</v>
      </c>
      <c r="CN24" s="977">
        <f>U24-AM24</f>
        <v>0</v>
      </c>
      <c r="CO24" s="977">
        <f t="shared" ref="CO24" si="64">IF(CR24&gt;0,CR24,0)</f>
        <v>0</v>
      </c>
      <c r="CP24" s="977">
        <f t="shared" ref="CP24" si="65">CM24</f>
        <v>0</v>
      </c>
      <c r="CQ24" s="977">
        <f t="shared" ref="CQ24" si="66">CN24</f>
        <v>0</v>
      </c>
      <c r="CR24" s="977">
        <f>X24-AP24</f>
        <v>0</v>
      </c>
      <c r="CS24" s="983"/>
      <c r="CT24" s="1056" t="str">
        <f>IF(CB24="OK",INDEX(Tbl_Cust_Water[EUL], MATCH(F24,Tbl_Cust_Water[Proj Desc 1],0)),"")</f>
        <v/>
      </c>
      <c r="CU24" s="979" t="str">
        <f t="shared" ref="CU24" si="67">IFERROR(IF(AND($CM24&lt;=0,$CN24&lt;=0,$CO24&lt;=0),"No Savings","OK"),"")</f>
        <v>No Savings</v>
      </c>
      <c r="CV24" s="925" t="str">
        <f t="shared" ref="CV24" si="68">IF(AND(CB24="OK",CU24="OK"),"1","")</f>
        <v/>
      </c>
      <c r="CW24" s="925" t="str">
        <f>IFERROR(IF($CB24="OK",ROUND($AQ$14*SUM(BB24:BE25)/SUM($BF$18:$BG$37),2),""),"")</f>
        <v/>
      </c>
      <c r="CX24" s="925" t="str">
        <f>IFERROR(IF(M02S04F04="Customer/Self-Installed",CW24,IF($CB24="OK",CW24+BD24,"")),"")</f>
        <v/>
      </c>
      <c r="CY24" s="925" t="str">
        <f>IFERROR(IF($CB24="OK",CX24+BB24,""),"")</f>
        <v/>
      </c>
      <c r="CZ24" s="925" t="str">
        <f>IF(CB24="OK",INDEX(MEASURES3_M!$O$28, MATCH(F24,MEASURES3_M!$C$28,0)),"")</f>
        <v/>
      </c>
      <c r="DA24" s="925" t="str">
        <f>IF(CB24="OK",INDEX(MEASURES3_M!$P$28, MATCH(F24,MEASURES3_M!$C$28,0)),"")</f>
        <v/>
      </c>
      <c r="DD24" s="980" t="str">
        <f>IFERROR(IF(CB24&lt;&gt;"OK","",CM24*VLOOKUP('DATA TABLES_Project'!$C$247,'DATA TABLES_Project'!$A$250:$B$285,2,FALSE)),"")</f>
        <v/>
      </c>
      <c r="DE24" s="925" t="str">
        <f t="shared" ref="DE24" si="69">IFERROR(IF(CB24&lt;&gt;"OK","",CM24*CZ24*0.92),"")</f>
        <v/>
      </c>
      <c r="DF24" s="980" t="str">
        <f>IFERROR(IF(CB24&lt;&gt;"OK","",CM24*CZ24*0.92*VLOOKUP('DATA TABLES_Project'!$C$247,'DATA TABLES_Project'!$A$250:$B$285,2,FALSE)),"")</f>
        <v/>
      </c>
      <c r="DG24" s="925" t="str">
        <f t="shared" ref="DG24" si="70">IFERROR(IF(CB24&lt;&gt;"OK","",CM24*BV24),IF(BX24="Dual",(CM24*BW24)+((BY24-AJ24)*(BV24-BW24)),""))</f>
        <v/>
      </c>
      <c r="DH24" s="925" t="str">
        <f ca="1">IFERROR(IF(CB24&lt;&gt;"OK","",IF(OR(BX24="Single",BX24=""), CM24*BV24*AVERAGE(INDEX('DATA TABLES_Project'!$B$250:$B$285, MATCH('DATA TABLES_Project'!$C$247,'DATA TABLES_Project'!$A$250:$A$285, 0)):OFFSET(INDEX('DATA TABLES_Project'!$B$250:$B$285, MATCH('DATA TABLES_Project'!$C$247,'DATA TABLES_Project'!$A$250:$A$285, 0)),BV24-1,0)),CM24*BW24*AVERAGE(INDEX('DATA TABLES_Project'!$B$250:$B$285, MATCH('DATA TABLES_Project'!$C$247,'DATA TABLES_Project'!$A$250:$A$285, 0)):OFFSET(INDEX('DATA TABLES_Project'!$B$250:$B$285, MATCH('DATA TABLES_Project'!$C$247,'DATA TABLES_Project'!$A$250:$A$285, 0)),BW24-1,0)) + ((BY24-AJ24)*(BV24-BW24)*AVERAGE(OFFSET(INDEX('DATA TABLES_Project'!$B$250:$B$285, MATCH('DATA TABLES_Project'!$C$247,'DATA TABLES_Project'!$A$250:$A$285, 0)),BW24,0):OFFSET(INDEX('DATA TABLES_Project'!$B$250:$B$285, MATCH('DATA TABLES_Project'!$C$247,'DATA TABLES_Project'!$A$250:$A$285, 0)),BV24-1,0))))), "")</f>
        <v/>
      </c>
      <c r="DI24" s="925" t="str">
        <f t="shared" ref="DI24" si="71">IFERROR(IF(CB24&lt;&gt;"OK","",IF(BX24="Dual",(CM24*BW24)+((BY24-AJ24)*(BV24-BW24))*CZ24*0.92,CM24*CZ24*BV24*0.92)),"")</f>
        <v/>
      </c>
      <c r="DJ24" s="925" t="str">
        <f ca="1">IFERROR(IF(CB24&lt;&gt;"OK","",IF(OR(BX24="Single",BX24=""),0.92*CZ24*CM24*BV24*AVERAGE(INDEX('DATA TABLES_Project'!$B$250:$B$285, MATCH('DATA TABLES_Project'!$C$247,'DATA TABLES_Project'!$A$250:$A$285, 0)):OFFSET(INDEX('DATA TABLES_Project'!$B$250:$B$285, MATCH('DATA TABLES_Project'!$C$247,'DATA TABLES_Project'!$A$250:$A$285, 0)),BV24-1,0)),0.92*CZ24*CM24*BW24*AVERAGE(INDEX('DATA TABLES_Project'!$B$250:$B$285, MATCH('DATA TABLES_Project'!$C$247,'DATA TABLES_Project'!$A$250:$A$285, 0)):OFFSET(INDEX('DATA TABLES_Project'!$B$250:$B$285, MATCH('DATA TABLES_Project'!$C$247,'DATA TABLES_Project'!$A$250:$A$285, 0)),BW24-1,0)) + (0.92*CZ24*(BY24-AJ24)*(BV24-BW24)*AVERAGE(OFFSET(INDEX('DATA TABLES_Project'!$B$250:$B$285, MATCH('DATA TABLES_Project'!$C$247,'DATA TABLES_Project'!$A$250:$A$285, 0)),BW24,0):OFFSET(INDEX('DATA TABLES_Project'!$B$250:$B$285, MATCH('DATA TABLES_Project'!$C$247,'DATA TABLES_Project'!$A$250:$A$285, 0)),BV24-1,0))))), "")</f>
        <v/>
      </c>
      <c r="DK24" s="925" t="str">
        <f>IFERROR(IF(CB24&lt;&gt;"OK","",CO24*'DATA TABLES_Project'!$C$250),"")</f>
        <v/>
      </c>
      <c r="DL24" s="925" t="str">
        <f t="shared" ref="DL24" si="72">IFERROR(IF(CB24&lt;&gt;"OK","",CO24*DA24*0.92),"")</f>
        <v/>
      </c>
      <c r="DM24" s="925" t="str">
        <f>IFERROR(IF(CB24&lt;&gt;"OK","",CO24*'DATA TABLES_Project'!$C$250*DA24*0.92),"")</f>
        <v/>
      </c>
      <c r="DN24" s="925" t="str">
        <f t="shared" ref="DN24" si="73">IFERROR(IF(CB24&lt;&gt;"OK","",CO24*BV24),IF(BX24="Dual",(CO24*BW24)+((BZ24-AP24)*(BV24-BW24)),""))</f>
        <v/>
      </c>
      <c r="DO24" s="925" t="str">
        <f ca="1">IFERROR(IF(CB24&lt;&gt;"OK","",CO24*BV24*AVERAGE('DATA TABLES_Project'!$C$250:OFFSET('DATA TABLES_Project'!$C$250,BV24,0))),IF(BX24="Dual",(CO24*BW24*AVERAGE('DATA TABLES_Project'!$C$251:$C$259))+((BZ24-AP24)*(BV24-BW24)*AVERAGE('DATA TABLES_Project'!$C$260:$C$279)),""))</f>
        <v/>
      </c>
      <c r="DP24" s="925" t="str">
        <f t="shared" ref="DP24" si="74">IFERROR(IF(CB24&lt;&gt;"OK","",IF(BX24="Dual",((CO24*BW24)+(BZ24-AP24)*(BV24-BW24))*DA24*0.92,CO24*BV24*DA24*0.92)),"")</f>
        <v/>
      </c>
      <c r="DQ24" s="925" t="str">
        <f ca="1">IFERROR(IF(CB24&lt;&gt;"OK","",IF(BX24="Dual",(0.92*DA24*CO24*BW24*AVERAGE('DATA TABLES_Project'!$C$251:$C$259))+(0.92*DA24*(BZ24-AP24)*(BV24-BW24)*AVERAGE('DATA TABLES_Project'!$C$260:$C$279)),0.92*DA24*CO24*BV24*AVERAGE('DATA TABLES_Project'!$C$250:OFFSET('DATA TABLES_Project'!$C$250,BV24,0)))),"")</f>
        <v/>
      </c>
      <c r="DR24" s="980" t="str">
        <f>IFERROR(IF($CB24&lt;&gt;"OK","",CM24*'DATA TABLES_Project'!$B$290+IF(CO24&lt;0,0,CO24*'DATA TABLES_Project'!$B$291)),"")</f>
        <v/>
      </c>
      <c r="DS24" s="980" t="str">
        <f>IFERROR(IF($CB24&lt;&gt;"OK","",DD24*'DATA TABLES_Project'!$B$290+IF(DK24&lt;0,0,DK24*'DATA TABLES_Project'!$B$291)),"")</f>
        <v/>
      </c>
      <c r="DT24" s="980" t="str">
        <f>IFERROR(IF($CB24&lt;&gt;"OK","",DE24*'DATA TABLES_Project'!$B$290+IF(DL24&lt;0,0,DL24*'DATA TABLES_Project'!$B$291)),"")</f>
        <v/>
      </c>
      <c r="DU24" s="980" t="str">
        <f>IFERROR(IF($CB24&lt;&gt;"OK","",DF24*'DATA TABLES_Project'!$B$290+IF(DM24&lt;0,0,DM24*'DATA TABLES_Project'!$B$291)),"")</f>
        <v/>
      </c>
      <c r="DV24" s="980" t="str">
        <f>IFERROR(IF($CB24&lt;&gt;"OK","",DG24*'DATA TABLES_Project'!$B$290+IF(DN24&lt;0,0,DN24*'DATA TABLES_Project'!$B$291)),"")</f>
        <v/>
      </c>
      <c r="DW24" s="980" t="str">
        <f>IFERROR(IF($CB24&lt;&gt;"OK","",DH24*'DATA TABLES_Project'!$B$290+IF(DO24&lt;0,0,DO24*'DATA TABLES_Project'!$B$291)),"")</f>
        <v/>
      </c>
      <c r="DX24" s="980" t="str">
        <f>IFERROR(IF($CB24&lt;&gt;"OK","",DI24*'DATA TABLES_Project'!$B$290+IF(DP24&lt;0,0,DP24*'DATA TABLES_Project'!$B$291)),"")</f>
        <v/>
      </c>
      <c r="DY24" s="925" t="str">
        <f>IFERROR(IF($CB24&lt;&gt;"OK","",DJ24*'DATA TABLES_Project'!$B$290+IF(DQ24&lt;0,0,DQ24*'DATA TABLES_Project'!$B$291)),"")</f>
        <v/>
      </c>
      <c r="DZ24" s="925" t="str">
        <f t="shared" ref="DZ24" si="75">IFERROR(IF($CB24&lt;&gt;"OK","",AS24),"")</f>
        <v/>
      </c>
      <c r="EA24" s="925" t="str">
        <f>IFERROR(IF(CB24&lt;&gt;"OK","",CN24*'DATA TABLES_Project'!$B$250*CZ24*1.03),"")</f>
        <v/>
      </c>
      <c r="EB24" s="925" t="str">
        <f t="shared" ref="EB24" si="76">IFERROR(IF(CB24&lt;&gt;"OK","",CN24*CZ24*1.03),"")</f>
        <v/>
      </c>
      <c r="EC24" s="925" t="str">
        <f>IFERROR(IF(CB24&lt;&gt;"OK","",CZ24*DZ24*'DATA TABLES_Project'!$C$250*0.92),"")</f>
        <v/>
      </c>
      <c r="ED24" s="925" t="str">
        <f>IFERROR(IF(CB24&lt;&gt;"OK","",CZ24*DZ24*'DATA TABLES_Project'!$C$250*0.92),"")</f>
        <v/>
      </c>
      <c r="EE24" s="925" t="str">
        <f t="shared" ref="EE24" si="77">IFERROR(IF(CB24&lt;&gt;"OK","",CZ24*DZ24*0.92),"")</f>
        <v/>
      </c>
      <c r="EF24" s="925" t="str">
        <f t="shared" ref="EF24" si="78">IFERROR(IF(CB24&lt;&gt;"OK","",CZ24*DZ24*0.92),"")</f>
        <v/>
      </c>
      <c r="EG24" s="925" t="str">
        <f>IFERROR(IF($CB24&lt;&gt;"OK","",CM24*'DATA TABLES_Project'!$B$290+CO24*'DATA TABLES_Project'!$B$291),"")</f>
        <v/>
      </c>
      <c r="EH24" s="925" t="str">
        <f>IFERROR(IF($CB24&lt;&gt;"OK","",DD24*'DATA TABLES_Project'!$B$290+DK24*'DATA TABLES_Project'!$B$291),"")</f>
        <v/>
      </c>
      <c r="EI24" s="925" t="str">
        <f>IFERROR(IF($CB24&lt;&gt;"OK","",DE24*'DATA TABLES_Project'!$B$290+DL24*'DATA TABLES_Project'!$B$291),"")</f>
        <v/>
      </c>
      <c r="EJ24" s="925" t="str">
        <f>IFERROR(IF($CB24&lt;&gt;"OK","",DF24*'DATA TABLES_Project'!$B$290+DM24*'DATA TABLES_Project'!$B$291),"")</f>
        <v/>
      </c>
      <c r="EK24" s="925" t="str">
        <f>IFERROR(IF($CB24&lt;&gt;"OK","",DG24*'DATA TABLES_Project'!$B$290+DN24*'DATA TABLES_Project'!$B$291),"")</f>
        <v/>
      </c>
      <c r="EL24" s="925" t="str">
        <f>IFERROR(IF($CB24&lt;&gt;"OK","",DH24*'DATA TABLES_Project'!$B$290+DO24*'DATA TABLES_Project'!$B$291),"")</f>
        <v/>
      </c>
      <c r="EM24" s="925" t="str">
        <f>IFERROR(IF($CB24&lt;&gt;"OK","",DI24*'DATA TABLES_Project'!$B$290+DP24*'DATA TABLES_Project'!$B$291),"")</f>
        <v/>
      </c>
      <c r="EN24" s="925" t="str">
        <f>IFERROR(IF($CB24&lt;&gt;"OK","",DJ24*'DATA TABLES_Project'!$B$290+DQ24*'DATA TABLES_Project'!$B$291),"")</f>
        <v/>
      </c>
    </row>
    <row r="25" spans="1:144" ht="16.350000000000001" customHeight="1">
      <c r="A25" s="462"/>
      <c r="B25" s="994"/>
      <c r="C25" s="998"/>
      <c r="D25" s="999"/>
      <c r="E25" s="1000"/>
      <c r="F25" s="964"/>
      <c r="G25" s="965"/>
      <c r="H25" s="965"/>
      <c r="I25" s="965"/>
      <c r="J25" s="965"/>
      <c r="K25" s="966"/>
      <c r="L25" s="964"/>
      <c r="M25" s="965"/>
      <c r="N25" s="965"/>
      <c r="O25" s="965"/>
      <c r="P25" s="965"/>
      <c r="Q25" s="966"/>
      <c r="R25" s="1044"/>
      <c r="S25" s="1044"/>
      <c r="T25" s="1044"/>
      <c r="U25" s="1044"/>
      <c r="V25" s="1044"/>
      <c r="W25" s="1044"/>
      <c r="X25" s="1045"/>
      <c r="Y25" s="1045"/>
      <c r="Z25" s="1045"/>
      <c r="AA25" s="1045"/>
      <c r="AB25" s="1045"/>
      <c r="AC25" s="1045"/>
      <c r="AD25" s="964"/>
      <c r="AE25" s="965"/>
      <c r="AF25" s="965"/>
      <c r="AG25" s="965"/>
      <c r="AH25" s="965"/>
      <c r="AI25" s="966"/>
      <c r="AJ25" s="952"/>
      <c r="AK25" s="953"/>
      <c r="AL25" s="954"/>
      <c r="AM25" s="952"/>
      <c r="AN25" s="953"/>
      <c r="AO25" s="954"/>
      <c r="AP25" s="958"/>
      <c r="AQ25" s="959"/>
      <c r="AR25" s="960"/>
      <c r="AS25" s="958"/>
      <c r="AT25" s="959"/>
      <c r="AU25" s="960"/>
      <c r="AV25" s="968"/>
      <c r="AW25" s="969"/>
      <c r="AX25" s="969"/>
      <c r="AY25" s="969"/>
      <c r="AZ25" s="969"/>
      <c r="BA25" s="970"/>
      <c r="BB25" s="947"/>
      <c r="BC25" s="948"/>
      <c r="BD25" s="947"/>
      <c r="BE25" s="948"/>
      <c r="BF25" s="931"/>
      <c r="BG25" s="932"/>
      <c r="BH25" s="974"/>
      <c r="BI25" s="975"/>
      <c r="BJ25" s="976"/>
      <c r="BK25" s="936"/>
      <c r="BL25" s="937"/>
      <c r="BM25" s="938"/>
      <c r="BN25" s="942"/>
      <c r="BO25" s="943"/>
      <c r="BP25" s="944"/>
      <c r="BQ25"/>
      <c r="BR25"/>
      <c r="BS25" s="967"/>
      <c r="BT25" s="967"/>
      <c r="BV25" s="926"/>
      <c r="BW25" s="926"/>
      <c r="BX25" s="926"/>
      <c r="BY25" s="927"/>
      <c r="BZ25" s="928"/>
      <c r="CB25" s="986"/>
      <c r="CC25" s="925"/>
      <c r="CD25" s="925"/>
      <c r="CE25" s="925"/>
      <c r="CF25" s="925"/>
      <c r="CG25" s="925"/>
      <c r="CH25" s="925"/>
      <c r="CI25" s="925"/>
      <c r="CJ25" s="977"/>
      <c r="CK25" s="977"/>
      <c r="CL25" s="977"/>
      <c r="CM25" s="977"/>
      <c r="CN25" s="977"/>
      <c r="CO25" s="977"/>
      <c r="CP25" s="977"/>
      <c r="CQ25" s="977"/>
      <c r="CR25" s="977"/>
      <c r="CS25" s="983"/>
      <c r="CT25" s="1056"/>
      <c r="CU25" s="979"/>
      <c r="CV25" s="925"/>
      <c r="CW25" s="925"/>
      <c r="CX25" s="925"/>
      <c r="CY25" s="925"/>
      <c r="CZ25" s="925"/>
      <c r="DA25" s="925"/>
      <c r="DD25" s="981"/>
      <c r="DE25" s="925"/>
      <c r="DF25" s="981"/>
      <c r="DG25" s="925"/>
      <c r="DH25" s="925"/>
      <c r="DI25" s="925"/>
      <c r="DJ25" s="925"/>
      <c r="DK25" s="925"/>
      <c r="DL25" s="925"/>
      <c r="DM25" s="925"/>
      <c r="DN25" s="925"/>
      <c r="DO25" s="925"/>
      <c r="DP25" s="925"/>
      <c r="DQ25" s="925"/>
      <c r="DR25" s="981"/>
      <c r="DS25" s="981"/>
      <c r="DT25" s="981"/>
      <c r="DU25" s="981"/>
      <c r="DV25" s="981"/>
      <c r="DW25" s="981"/>
      <c r="DX25" s="981"/>
      <c r="DY25" s="925"/>
      <c r="DZ25" s="925"/>
      <c r="EA25" s="925"/>
      <c r="EB25" s="925"/>
      <c r="EC25" s="925"/>
      <c r="ED25" s="925"/>
      <c r="EE25" s="925"/>
      <c r="EF25" s="925"/>
      <c r="EG25" s="925"/>
      <c r="EH25" s="925"/>
      <c r="EI25" s="925"/>
      <c r="EJ25" s="925"/>
      <c r="EK25" s="925"/>
      <c r="EL25" s="925"/>
      <c r="EM25" s="925"/>
      <c r="EN25" s="925"/>
    </row>
    <row r="26" spans="1:144" ht="16.350000000000001" customHeight="1">
      <c r="A26" s="462"/>
      <c r="B26" s="994">
        <v>5</v>
      </c>
      <c r="C26" s="995"/>
      <c r="D26" s="996"/>
      <c r="E26" s="997"/>
      <c r="F26" s="961"/>
      <c r="G26" s="962"/>
      <c r="H26" s="962"/>
      <c r="I26" s="962"/>
      <c r="J26" s="962"/>
      <c r="K26" s="963"/>
      <c r="L26" s="961"/>
      <c r="M26" s="962"/>
      <c r="N26" s="962"/>
      <c r="O26" s="962"/>
      <c r="P26" s="962"/>
      <c r="Q26" s="963"/>
      <c r="R26" s="1044"/>
      <c r="S26" s="1044"/>
      <c r="T26" s="1044"/>
      <c r="U26" s="1044"/>
      <c r="V26" s="1044"/>
      <c r="W26" s="1044"/>
      <c r="X26" s="1045"/>
      <c r="Y26" s="1045"/>
      <c r="Z26" s="1045"/>
      <c r="AA26" s="1045"/>
      <c r="AB26" s="1045"/>
      <c r="AC26" s="1045"/>
      <c r="AD26" s="961"/>
      <c r="AE26" s="962"/>
      <c r="AF26" s="962"/>
      <c r="AG26" s="962"/>
      <c r="AH26" s="962"/>
      <c r="AI26" s="963"/>
      <c r="AJ26" s="949"/>
      <c r="AK26" s="950"/>
      <c r="AL26" s="951"/>
      <c r="AM26" s="949"/>
      <c r="AN26" s="950"/>
      <c r="AO26" s="951"/>
      <c r="AP26" s="955"/>
      <c r="AQ26" s="956"/>
      <c r="AR26" s="957"/>
      <c r="AS26" s="955"/>
      <c r="AT26" s="956"/>
      <c r="AU26" s="957"/>
      <c r="AV26" s="968"/>
      <c r="AW26" s="969"/>
      <c r="AX26" s="970"/>
      <c r="AY26" s="968"/>
      <c r="AZ26" s="969"/>
      <c r="BA26" s="970"/>
      <c r="BB26" s="945"/>
      <c r="BC26" s="946"/>
      <c r="BD26" s="945"/>
      <c r="BE26" s="946"/>
      <c r="BF26" s="929" t="str">
        <f>IF(CB26="OK",ROUND(BB26+BD26,2),"")</f>
        <v/>
      </c>
      <c r="BG26" s="930"/>
      <c r="BH26" s="971" t="str">
        <f t="shared" ref="BH26" si="79">IFERROR(IF(AND($CB26="OK",$CU26="OK"),$CI26,IF($CB26&lt;&gt;"OK",$CB26,$CU26)),"")</f>
        <v/>
      </c>
      <c r="BI26" s="972"/>
      <c r="BJ26" s="973"/>
      <c r="BK26" s="933" t="str">
        <f t="shared" ref="BK26" si="80">IF($CB26="OK",CM26,"")</f>
        <v/>
      </c>
      <c r="BL26" s="934"/>
      <c r="BM26" s="935"/>
      <c r="BN26" s="939" t="str">
        <f t="shared" ref="BN26" si="81">IF($CB26="OK",$CR26,"")</f>
        <v/>
      </c>
      <c r="BO26" s="940"/>
      <c r="BP26" s="941"/>
      <c r="BQ26"/>
      <c r="BR26"/>
      <c r="BS26" s="967"/>
      <c r="BT26" s="967"/>
      <c r="BV26" s="926" t="str">
        <f t="shared" ref="BV26" si="82">IFERROR(ROUND(IF(AND(CB26="OK",CU26="OK"),CT26,""),0),"")</f>
        <v/>
      </c>
      <c r="BW26" s="926" t="str">
        <f t="shared" ref="BW26" si="83">IFERROR(ROUND(IF(AND(CB26="OK",CU26="OK"),BV26/3,""),0),"")</f>
        <v/>
      </c>
      <c r="BX26" s="926"/>
      <c r="BY26" s="927"/>
      <c r="BZ26" s="928"/>
      <c r="CB26" s="986" t="str">
        <f>IF(AND(C26="",F26="",R26="",AD26="",U26="",X26="",L26="",AJ26="",AV26="",AM26="",AP26="",AY26="",AV27="",BB26="",BD26="",AA26="",AS26=""),"",
IF(OR(C26="",F26="",R26="",AD26="",U26="",X26="",L26="",AJ26="",AV26="",AM26="",AP26="",AY26="",AV27="",BB26="",BD26="",AA26="",AS26=""),"Missing Fields",
IF(AND(M02S04F04disp="Required",M02S04F04=""),"TA Info Incomplete",
"OK")))</f>
        <v/>
      </c>
      <c r="CC26" s="925" t="str">
        <f>IF(AND(CB26="OK",CU26="OK"),INDEX(Tbl_Cust_Water[Measure Number], MATCH(F26,Tbl_Cust_Water[Proj Desc 1],0)),"")</f>
        <v/>
      </c>
      <c r="CD26" s="925"/>
      <c r="CE26" s="925" t="str">
        <f t="shared" ref="CE26" si="84">IF(CB26="OK","Measure","")</f>
        <v/>
      </c>
      <c r="CF26" s="925" t="str">
        <f t="shared" ref="CF26" si="85">IF(CB26="OK",1,"")</f>
        <v/>
      </c>
      <c r="CG26" s="978" t="str">
        <f t="shared" ref="CG26" si="86">IFERROR(CI26/CF26,"")</f>
        <v/>
      </c>
      <c r="CH26" s="978" t="str">
        <f>IF(CB26="OK",IF(CM26&gt;0,CM26*Incent_Rate_kWh,0)+IF(CO26&gt;0,CO26*Incent_Rate_thm,0),"")</f>
        <v/>
      </c>
      <c r="CI26" s="978" t="str">
        <f>IFERROR(IF($CB26="OK",IF(INCENTTOCOST_CUST&gt;CostCap_Cust,
CH26*CostCap_Cust/INCENTTOCOST_CUST,CH26),""),"")</f>
        <v/>
      </c>
      <c r="CJ26" s="977">
        <f t="shared" ref="CJ26" si="87">CM26</f>
        <v>0</v>
      </c>
      <c r="CK26" s="977">
        <f t="shared" ref="CK26" si="88">CN26</f>
        <v>0</v>
      </c>
      <c r="CL26" s="977">
        <f t="shared" ref="CL26" si="89">CO26</f>
        <v>0</v>
      </c>
      <c r="CM26" s="977">
        <f>R26-AJ26</f>
        <v>0</v>
      </c>
      <c r="CN26" s="977">
        <f>U26-AM26</f>
        <v>0</v>
      </c>
      <c r="CO26" s="977">
        <f t="shared" ref="CO26" si="90">IF(CR26&gt;0,CR26,0)</f>
        <v>0</v>
      </c>
      <c r="CP26" s="977">
        <f t="shared" ref="CP26" si="91">CM26</f>
        <v>0</v>
      </c>
      <c r="CQ26" s="977">
        <f t="shared" ref="CQ26" si="92">CN26</f>
        <v>0</v>
      </c>
      <c r="CR26" s="977">
        <f>X26-AP26</f>
        <v>0</v>
      </c>
      <c r="CS26" s="983"/>
      <c r="CT26" s="1056" t="str">
        <f>IF(CB26="OK",INDEX(Tbl_Cust_Water[EUL], MATCH(F26,Tbl_Cust_Water[Proj Desc 1],0)),"")</f>
        <v/>
      </c>
      <c r="CU26" s="979" t="str">
        <f t="shared" ref="CU26" si="93">IFERROR(IF(AND($CM26&lt;=0,$CN26&lt;=0,$CO26&lt;=0),"No Savings","OK"),"")</f>
        <v>No Savings</v>
      </c>
      <c r="CV26" s="925" t="str">
        <f t="shared" ref="CV26" si="94">IF(AND(CB26="OK",CU26="OK"),"1","")</f>
        <v/>
      </c>
      <c r="CW26" s="925" t="str">
        <f>IFERROR(IF($CB26="OK",ROUND($AQ$14*SUM(BB26:BE27)/SUM($BF$18:$BG$37),2),""),"")</f>
        <v/>
      </c>
      <c r="CX26" s="925" t="str">
        <f>IFERROR(IF(M02S04F04="Customer/Self-Installed",CW26,IF($CB26="OK",CW26+BD26,"")),"")</f>
        <v/>
      </c>
      <c r="CY26" s="925" t="str">
        <f>IFERROR(IF($CB26="OK",CX26+BB26,""),"")</f>
        <v/>
      </c>
      <c r="CZ26" s="925" t="str">
        <f>IF(CB26="OK",INDEX(MEASURES3_M!$O$28, MATCH(F26,MEASURES3_M!$C$28,0)),"")</f>
        <v/>
      </c>
      <c r="DA26" s="925" t="str">
        <f>IF(CB26="OK",INDEX(MEASURES3_M!$P$28, MATCH(F26,MEASURES3_M!$C$28,0)),"")</f>
        <v/>
      </c>
      <c r="DD26" s="980" t="str">
        <f>IFERROR(IF(CB26&lt;&gt;"OK","",CM26*VLOOKUP('DATA TABLES_Project'!$C$247,'DATA TABLES_Project'!$A$250:$B$285,2,FALSE)),"")</f>
        <v/>
      </c>
      <c r="DE26" s="925" t="str">
        <f t="shared" ref="DE26" si="95">IFERROR(IF(CB26&lt;&gt;"OK","",CM26*CZ26*0.92),"")</f>
        <v/>
      </c>
      <c r="DF26" s="980" t="str">
        <f>IFERROR(IF(CB26&lt;&gt;"OK","",CM26*CZ26*0.92*VLOOKUP('DATA TABLES_Project'!$C$247,'DATA TABLES_Project'!$A$250:$B$285,2,FALSE)),"")</f>
        <v/>
      </c>
      <c r="DG26" s="925" t="str">
        <f t="shared" ref="DG26" si="96">IFERROR(IF(CB26&lt;&gt;"OK","",CM26*BV26),IF(BX26="Dual",(CM26*BW26)+((BY26-AJ26)*(BV26-BW26)),""))</f>
        <v/>
      </c>
      <c r="DH26" s="925" t="str">
        <f ca="1">IFERROR(IF(CB26&lt;&gt;"OK","",IF(OR(BX26="Single",BX26=""), CM26*BV26*AVERAGE(INDEX('DATA TABLES_Project'!$B$250:$B$285, MATCH('DATA TABLES_Project'!$C$247,'DATA TABLES_Project'!$A$250:$A$285, 0)):OFFSET(INDEX('DATA TABLES_Project'!$B$250:$B$285, MATCH('DATA TABLES_Project'!$C$247,'DATA TABLES_Project'!$A$250:$A$285, 0)),BV26-1,0)),CM26*BW26*AVERAGE(INDEX('DATA TABLES_Project'!$B$250:$B$285, MATCH('DATA TABLES_Project'!$C$247,'DATA TABLES_Project'!$A$250:$A$285, 0)):OFFSET(INDEX('DATA TABLES_Project'!$B$250:$B$285, MATCH('DATA TABLES_Project'!$C$247,'DATA TABLES_Project'!$A$250:$A$285, 0)),BW26-1,0)) + ((BY26-AJ26)*(BV26-BW26)*AVERAGE(OFFSET(INDEX('DATA TABLES_Project'!$B$250:$B$285, MATCH('DATA TABLES_Project'!$C$247,'DATA TABLES_Project'!$A$250:$A$285, 0)),BW26,0):OFFSET(INDEX('DATA TABLES_Project'!$B$250:$B$285, MATCH('DATA TABLES_Project'!$C$247,'DATA TABLES_Project'!$A$250:$A$285, 0)),BV26-1,0))))), "")</f>
        <v/>
      </c>
      <c r="DI26" s="925" t="str">
        <f t="shared" ref="DI26" si="97">IFERROR(IF(CB26&lt;&gt;"OK","",IF(BX26="Dual",(CM26*BW26)+((BY26-AJ26)*(BV26-BW26))*CZ26*0.92,CM26*CZ26*BV26*0.92)),"")</f>
        <v/>
      </c>
      <c r="DJ26" s="925" t="str">
        <f ca="1">IFERROR(IF(CB26&lt;&gt;"OK","",IF(OR(BX26="Single",BX26=""),0.92*CZ26*CM26*BV26*AVERAGE(INDEX('DATA TABLES_Project'!$B$250:$B$285, MATCH('DATA TABLES_Project'!$C$247,'DATA TABLES_Project'!$A$250:$A$285, 0)):OFFSET(INDEX('DATA TABLES_Project'!$B$250:$B$285, MATCH('DATA TABLES_Project'!$C$247,'DATA TABLES_Project'!$A$250:$A$285, 0)),BV26-1,0)),0.92*CZ26*CM26*BW26*AVERAGE(INDEX('DATA TABLES_Project'!$B$250:$B$285, MATCH('DATA TABLES_Project'!$C$247,'DATA TABLES_Project'!$A$250:$A$285, 0)):OFFSET(INDEX('DATA TABLES_Project'!$B$250:$B$285, MATCH('DATA TABLES_Project'!$C$247,'DATA TABLES_Project'!$A$250:$A$285, 0)),BW26-1,0)) + (0.92*CZ26*(BY26-AJ26)*(BV26-BW26)*AVERAGE(OFFSET(INDEX('DATA TABLES_Project'!$B$250:$B$285, MATCH('DATA TABLES_Project'!$C$247,'DATA TABLES_Project'!$A$250:$A$285, 0)),BW26,0):OFFSET(INDEX('DATA TABLES_Project'!$B$250:$B$285, MATCH('DATA TABLES_Project'!$C$247,'DATA TABLES_Project'!$A$250:$A$285, 0)),BV26-1,0))))), "")</f>
        <v/>
      </c>
      <c r="DK26" s="925" t="str">
        <f>IFERROR(IF(CB26&lt;&gt;"OK","",CO26*'DATA TABLES_Project'!$C$250),"")</f>
        <v/>
      </c>
      <c r="DL26" s="925" t="str">
        <f t="shared" ref="DL26" si="98">IFERROR(IF(CB26&lt;&gt;"OK","",CO26*DA26*0.92),"")</f>
        <v/>
      </c>
      <c r="DM26" s="925" t="str">
        <f>IFERROR(IF(CB26&lt;&gt;"OK","",CO26*'DATA TABLES_Project'!$C$250*DA26*0.92),"")</f>
        <v/>
      </c>
      <c r="DN26" s="925" t="str">
        <f t="shared" ref="DN26" si="99">IFERROR(IF(CB26&lt;&gt;"OK","",CO26*BV26),IF(BX26="Dual",(CO26*BW26)+((BZ26-AP26)*(BV26-BW26)),""))</f>
        <v/>
      </c>
      <c r="DO26" s="925" t="str">
        <f ca="1">IFERROR(IF(CB26&lt;&gt;"OK","",CO26*BV26*AVERAGE('DATA TABLES_Project'!$C$250:OFFSET('DATA TABLES_Project'!$C$250,BV26,0))),IF(BX26="Dual",(CO26*BW26*AVERAGE('DATA TABLES_Project'!$C$251:$C$259))+((BZ26-AP26)*(BV26-BW26)*AVERAGE('DATA TABLES_Project'!$C$260:$C$279)),""))</f>
        <v/>
      </c>
      <c r="DP26" s="925" t="str">
        <f t="shared" ref="DP26" si="100">IFERROR(IF(CB26&lt;&gt;"OK","",IF(BX26="Dual",((CO26*BW26)+(BZ26-AP26)*(BV26-BW26))*DA26*0.92,CO26*BV26*DA26*0.92)),"")</f>
        <v/>
      </c>
      <c r="DQ26" s="925" t="str">
        <f ca="1">IFERROR(IF(CB26&lt;&gt;"OK","",IF(BX26="Dual",(0.92*DA26*CO26*BW26*AVERAGE('DATA TABLES_Project'!$C$251:$C$259))+(0.92*DA26*(BZ26-AP26)*(BV26-BW26)*AVERAGE('DATA TABLES_Project'!$C$260:$C$279)),0.92*DA26*CO26*BV26*AVERAGE('DATA TABLES_Project'!$C$250:OFFSET('DATA TABLES_Project'!$C$250,BV26,0)))),"")</f>
        <v/>
      </c>
      <c r="DR26" s="980" t="str">
        <f>IFERROR(IF($CB26&lt;&gt;"OK","",CM26*'DATA TABLES_Project'!$B$290+IF(CO26&lt;0,0,CO26*'DATA TABLES_Project'!$B$291)),"")</f>
        <v/>
      </c>
      <c r="DS26" s="980" t="str">
        <f>IFERROR(IF($CB26&lt;&gt;"OK","",DD26*'DATA TABLES_Project'!$B$290+IF(DK26&lt;0,0,DK26*'DATA TABLES_Project'!$B$291)),"")</f>
        <v/>
      </c>
      <c r="DT26" s="980" t="str">
        <f>IFERROR(IF($CB26&lt;&gt;"OK","",DE26*'DATA TABLES_Project'!$B$290+IF(DL26&lt;0,0,DL26*'DATA TABLES_Project'!$B$291)),"")</f>
        <v/>
      </c>
      <c r="DU26" s="980" t="str">
        <f>IFERROR(IF($CB26&lt;&gt;"OK","",DF26*'DATA TABLES_Project'!$B$290+IF(DM26&lt;0,0,DM26*'DATA TABLES_Project'!$B$291)),"")</f>
        <v/>
      </c>
      <c r="DV26" s="980" t="str">
        <f>IFERROR(IF($CB26&lt;&gt;"OK","",DG26*'DATA TABLES_Project'!$B$290+IF(DN26&lt;0,0,DN26*'DATA TABLES_Project'!$B$291)),"")</f>
        <v/>
      </c>
      <c r="DW26" s="980" t="str">
        <f>IFERROR(IF($CB26&lt;&gt;"OK","",DH26*'DATA TABLES_Project'!$B$290+IF(DO26&lt;0,0,DO26*'DATA TABLES_Project'!$B$291)),"")</f>
        <v/>
      </c>
      <c r="DX26" s="980" t="str">
        <f>IFERROR(IF($CB26&lt;&gt;"OK","",DI26*'DATA TABLES_Project'!$B$290+IF(DP26&lt;0,0,DP26*'DATA TABLES_Project'!$B$291)),"")</f>
        <v/>
      </c>
      <c r="DY26" s="925" t="str">
        <f>IFERROR(IF($CB26&lt;&gt;"OK","",DJ26*'DATA TABLES_Project'!$B$290+IF(DQ26&lt;0,0,DQ26*'DATA TABLES_Project'!$B$291)),"")</f>
        <v/>
      </c>
      <c r="DZ26" s="925" t="str">
        <f t="shared" ref="DZ26" si="101">IFERROR(IF($CB26&lt;&gt;"OK","",AS26),"")</f>
        <v/>
      </c>
      <c r="EA26" s="925" t="str">
        <f>IFERROR(IF(CB26&lt;&gt;"OK","",CN26*'DATA TABLES_Project'!$B$250*CZ26*1.03),"")</f>
        <v/>
      </c>
      <c r="EB26" s="925" t="str">
        <f t="shared" ref="EB26" si="102">IFERROR(IF(CB26&lt;&gt;"OK","",CN26*CZ26*1.03),"")</f>
        <v/>
      </c>
      <c r="EC26" s="925" t="str">
        <f>IFERROR(IF(CB26&lt;&gt;"OK","",CZ26*DZ26*'DATA TABLES_Project'!$C$250*0.92),"")</f>
        <v/>
      </c>
      <c r="ED26" s="925" t="str">
        <f>IFERROR(IF(CB26&lt;&gt;"OK","",CZ26*DZ26*'DATA TABLES_Project'!$C$250*0.92),"")</f>
        <v/>
      </c>
      <c r="EE26" s="925" t="str">
        <f t="shared" ref="EE26" si="103">IFERROR(IF(CB26&lt;&gt;"OK","",CZ26*DZ26*0.92),"")</f>
        <v/>
      </c>
      <c r="EF26" s="925" t="str">
        <f t="shared" ref="EF26" si="104">IFERROR(IF(CB26&lt;&gt;"OK","",CZ26*DZ26*0.92),"")</f>
        <v/>
      </c>
      <c r="EG26" s="925" t="str">
        <f>IFERROR(IF($CB26&lt;&gt;"OK","",CM26*'DATA TABLES_Project'!$B$290+CO26*'DATA TABLES_Project'!$B$291),"")</f>
        <v/>
      </c>
      <c r="EH26" s="925" t="str">
        <f>IFERROR(IF($CB26&lt;&gt;"OK","",DD26*'DATA TABLES_Project'!$B$290+DK26*'DATA TABLES_Project'!$B$291),"")</f>
        <v/>
      </c>
      <c r="EI26" s="925" t="str">
        <f>IFERROR(IF($CB26&lt;&gt;"OK","",DE26*'DATA TABLES_Project'!$B$290+DL26*'DATA TABLES_Project'!$B$291),"")</f>
        <v/>
      </c>
      <c r="EJ26" s="925" t="str">
        <f>IFERROR(IF($CB26&lt;&gt;"OK","",DF26*'DATA TABLES_Project'!$B$290+DM26*'DATA TABLES_Project'!$B$291),"")</f>
        <v/>
      </c>
      <c r="EK26" s="925" t="str">
        <f>IFERROR(IF($CB26&lt;&gt;"OK","",DG26*'DATA TABLES_Project'!$B$290+DN26*'DATA TABLES_Project'!$B$291),"")</f>
        <v/>
      </c>
      <c r="EL26" s="925" t="str">
        <f>IFERROR(IF($CB26&lt;&gt;"OK","",DH26*'DATA TABLES_Project'!$B$290+DO26*'DATA TABLES_Project'!$B$291),"")</f>
        <v/>
      </c>
      <c r="EM26" s="925" t="str">
        <f>IFERROR(IF($CB26&lt;&gt;"OK","",DI26*'DATA TABLES_Project'!$B$290+DP26*'DATA TABLES_Project'!$B$291),"")</f>
        <v/>
      </c>
      <c r="EN26" s="925" t="str">
        <f>IFERROR(IF($CB26&lt;&gt;"OK","",DJ26*'DATA TABLES_Project'!$B$290+DQ26*'DATA TABLES_Project'!$B$291),"")</f>
        <v/>
      </c>
    </row>
    <row r="27" spans="1:144" ht="16.350000000000001" customHeight="1">
      <c r="A27" s="462"/>
      <c r="B27" s="994"/>
      <c r="C27" s="998"/>
      <c r="D27" s="999"/>
      <c r="E27" s="1000"/>
      <c r="F27" s="964"/>
      <c r="G27" s="965"/>
      <c r="H27" s="965"/>
      <c r="I27" s="965"/>
      <c r="J27" s="965"/>
      <c r="K27" s="966"/>
      <c r="L27" s="964"/>
      <c r="M27" s="965"/>
      <c r="N27" s="965"/>
      <c r="O27" s="965"/>
      <c r="P27" s="965"/>
      <c r="Q27" s="966"/>
      <c r="R27" s="1044"/>
      <c r="S27" s="1044"/>
      <c r="T27" s="1044"/>
      <c r="U27" s="1044"/>
      <c r="V27" s="1044"/>
      <c r="W27" s="1044"/>
      <c r="X27" s="1045"/>
      <c r="Y27" s="1045"/>
      <c r="Z27" s="1045"/>
      <c r="AA27" s="1045"/>
      <c r="AB27" s="1045"/>
      <c r="AC27" s="1045"/>
      <c r="AD27" s="964"/>
      <c r="AE27" s="965"/>
      <c r="AF27" s="965"/>
      <c r="AG27" s="965"/>
      <c r="AH27" s="965"/>
      <c r="AI27" s="966"/>
      <c r="AJ27" s="952"/>
      <c r="AK27" s="953"/>
      <c r="AL27" s="954"/>
      <c r="AM27" s="952"/>
      <c r="AN27" s="953"/>
      <c r="AO27" s="954"/>
      <c r="AP27" s="958"/>
      <c r="AQ27" s="959"/>
      <c r="AR27" s="960"/>
      <c r="AS27" s="958"/>
      <c r="AT27" s="959"/>
      <c r="AU27" s="960"/>
      <c r="AV27" s="968"/>
      <c r="AW27" s="969"/>
      <c r="AX27" s="969"/>
      <c r="AY27" s="969"/>
      <c r="AZ27" s="969"/>
      <c r="BA27" s="970"/>
      <c r="BB27" s="947"/>
      <c r="BC27" s="948"/>
      <c r="BD27" s="947"/>
      <c r="BE27" s="948"/>
      <c r="BF27" s="931"/>
      <c r="BG27" s="932"/>
      <c r="BH27" s="974"/>
      <c r="BI27" s="975"/>
      <c r="BJ27" s="976"/>
      <c r="BK27" s="936"/>
      <c r="BL27" s="937"/>
      <c r="BM27" s="938"/>
      <c r="BN27" s="942"/>
      <c r="BO27" s="943"/>
      <c r="BP27" s="944"/>
      <c r="BQ27"/>
      <c r="BR27"/>
      <c r="BS27" s="967"/>
      <c r="BT27" s="967"/>
      <c r="BV27" s="926"/>
      <c r="BW27" s="926"/>
      <c r="BX27" s="926"/>
      <c r="BY27" s="927"/>
      <c r="BZ27" s="928"/>
      <c r="CB27" s="986"/>
      <c r="CC27" s="925"/>
      <c r="CD27" s="925"/>
      <c r="CE27" s="925"/>
      <c r="CF27" s="925"/>
      <c r="CG27" s="925"/>
      <c r="CH27" s="925"/>
      <c r="CI27" s="925"/>
      <c r="CJ27" s="977"/>
      <c r="CK27" s="977"/>
      <c r="CL27" s="977"/>
      <c r="CM27" s="977"/>
      <c r="CN27" s="977"/>
      <c r="CO27" s="977"/>
      <c r="CP27" s="977"/>
      <c r="CQ27" s="977"/>
      <c r="CR27" s="977"/>
      <c r="CS27" s="983"/>
      <c r="CT27" s="1056"/>
      <c r="CU27" s="979"/>
      <c r="CV27" s="925"/>
      <c r="CW27" s="925"/>
      <c r="CX27" s="925"/>
      <c r="CY27" s="925"/>
      <c r="CZ27" s="925"/>
      <c r="DA27" s="925"/>
      <c r="DD27" s="981"/>
      <c r="DE27" s="925"/>
      <c r="DF27" s="981"/>
      <c r="DG27" s="925"/>
      <c r="DH27" s="925"/>
      <c r="DI27" s="925"/>
      <c r="DJ27" s="925"/>
      <c r="DK27" s="925"/>
      <c r="DL27" s="925"/>
      <c r="DM27" s="925"/>
      <c r="DN27" s="925"/>
      <c r="DO27" s="925"/>
      <c r="DP27" s="925"/>
      <c r="DQ27" s="925"/>
      <c r="DR27" s="981"/>
      <c r="DS27" s="981"/>
      <c r="DT27" s="981"/>
      <c r="DU27" s="981"/>
      <c r="DV27" s="981"/>
      <c r="DW27" s="981"/>
      <c r="DX27" s="981"/>
      <c r="DY27" s="925"/>
      <c r="DZ27" s="925"/>
      <c r="EA27" s="925"/>
      <c r="EB27" s="925"/>
      <c r="EC27" s="925"/>
      <c r="ED27" s="925"/>
      <c r="EE27" s="925"/>
      <c r="EF27" s="925"/>
      <c r="EG27" s="925"/>
      <c r="EH27" s="925"/>
      <c r="EI27" s="925"/>
      <c r="EJ27" s="925"/>
      <c r="EK27" s="925"/>
      <c r="EL27" s="925"/>
      <c r="EM27" s="925"/>
      <c r="EN27" s="925"/>
    </row>
    <row r="28" spans="1:144" ht="16.350000000000001" customHeight="1">
      <c r="A28" s="462"/>
      <c r="B28" s="994">
        <v>6</v>
      </c>
      <c r="C28" s="995"/>
      <c r="D28" s="996"/>
      <c r="E28" s="997"/>
      <c r="F28" s="961"/>
      <c r="G28" s="962"/>
      <c r="H28" s="962"/>
      <c r="I28" s="962"/>
      <c r="J28" s="962"/>
      <c r="K28" s="963"/>
      <c r="L28" s="961"/>
      <c r="M28" s="962"/>
      <c r="N28" s="962"/>
      <c r="O28" s="962"/>
      <c r="P28" s="962"/>
      <c r="Q28" s="963"/>
      <c r="R28" s="1044"/>
      <c r="S28" s="1044"/>
      <c r="T28" s="1044"/>
      <c r="U28" s="1044"/>
      <c r="V28" s="1044"/>
      <c r="W28" s="1044"/>
      <c r="X28" s="1045"/>
      <c r="Y28" s="1045"/>
      <c r="Z28" s="1045"/>
      <c r="AA28" s="1045"/>
      <c r="AB28" s="1045"/>
      <c r="AC28" s="1045"/>
      <c r="AD28" s="961"/>
      <c r="AE28" s="962"/>
      <c r="AF28" s="962"/>
      <c r="AG28" s="962"/>
      <c r="AH28" s="962"/>
      <c r="AI28" s="963"/>
      <c r="AJ28" s="949"/>
      <c r="AK28" s="950"/>
      <c r="AL28" s="951"/>
      <c r="AM28" s="949"/>
      <c r="AN28" s="950"/>
      <c r="AO28" s="951"/>
      <c r="AP28" s="955"/>
      <c r="AQ28" s="956"/>
      <c r="AR28" s="957"/>
      <c r="AS28" s="955"/>
      <c r="AT28" s="956"/>
      <c r="AU28" s="957"/>
      <c r="AV28" s="968"/>
      <c r="AW28" s="969"/>
      <c r="AX28" s="970"/>
      <c r="AY28" s="968"/>
      <c r="AZ28" s="969"/>
      <c r="BA28" s="970"/>
      <c r="BB28" s="945"/>
      <c r="BC28" s="946"/>
      <c r="BD28" s="945"/>
      <c r="BE28" s="946"/>
      <c r="BF28" s="929" t="str">
        <f>IF(CB28="OK",ROUND(BB28+BD28,2),"")</f>
        <v/>
      </c>
      <c r="BG28" s="930"/>
      <c r="BH28" s="971" t="str">
        <f t="shared" ref="BH28" si="105">IFERROR(IF(AND($CB28="OK",$CU28="OK"),$CI28,IF($CB28&lt;&gt;"OK",$CB28,$CU28)),"")</f>
        <v/>
      </c>
      <c r="BI28" s="972"/>
      <c r="BJ28" s="973"/>
      <c r="BK28" s="933" t="str">
        <f t="shared" ref="BK28" si="106">IF($CB28="OK",CM28,"")</f>
        <v/>
      </c>
      <c r="BL28" s="934"/>
      <c r="BM28" s="935"/>
      <c r="BN28" s="939" t="str">
        <f t="shared" ref="BN28" si="107">IF($CB28="OK",$CR28,"")</f>
        <v/>
      </c>
      <c r="BO28" s="940"/>
      <c r="BP28" s="941"/>
      <c r="BQ28"/>
      <c r="BR28"/>
      <c r="BS28" s="967"/>
      <c r="BT28" s="967"/>
      <c r="BV28" s="926" t="str">
        <f t="shared" ref="BV28" si="108">IFERROR(ROUND(IF(AND(CB28="OK",CU28="OK"),CT28,""),0),"")</f>
        <v/>
      </c>
      <c r="BW28" s="926" t="str">
        <f t="shared" ref="BW28" si="109">IFERROR(ROUND(IF(AND(CB28="OK",CU28="OK"),BV28/3,""),0),"")</f>
        <v/>
      </c>
      <c r="BX28" s="926"/>
      <c r="BY28" s="927"/>
      <c r="BZ28" s="928"/>
      <c r="CB28" s="986" t="str">
        <f>IF(AND(C28="",F28="",R28="",AD28="",U28="",X28="",L28="",AJ28="",AV28="",AM28="",AP28="",AY28="",AV29="",BB28="",BD28="",AA28="",AS28=""),"",
IF(OR(C28="",F28="",R28="",AD28="",U28="",X28="",L28="",AJ28="",AV28="",AM28="",AP28="",AY28="",AV29="",BB28="",BD28="",AA28="",AS28=""),"Missing Fields",
IF(AND(M02S04F04disp="Required",M02S04F04=""),"TA Info Incomplete",
"OK")))</f>
        <v/>
      </c>
      <c r="CC28" s="925" t="str">
        <f>IF(AND(CB28="OK",CU28="OK"),INDEX(Tbl_Cust_Water[Measure Number], MATCH(F28,Tbl_Cust_Water[Proj Desc 1],0)),"")</f>
        <v/>
      </c>
      <c r="CD28" s="925"/>
      <c r="CE28" s="925" t="str">
        <f t="shared" ref="CE28" si="110">IF(CB28="OK","Measure","")</f>
        <v/>
      </c>
      <c r="CF28" s="925" t="str">
        <f t="shared" ref="CF28" si="111">IF(CB28="OK",1,"")</f>
        <v/>
      </c>
      <c r="CG28" s="978" t="str">
        <f t="shared" ref="CG28" si="112">IFERROR(CI28/CF28,"")</f>
        <v/>
      </c>
      <c r="CH28" s="978" t="str">
        <f>IF(CB28="OK",IF(CM28&gt;0,CM28*Incent_Rate_kWh,0)+IF(CO28&gt;0,CO28*Incent_Rate_thm,0),"")</f>
        <v/>
      </c>
      <c r="CI28" s="978" t="str">
        <f>IFERROR(IF($CB28="OK",IF(INCENTTOCOST_CUST&gt;CostCap_Cust,
CH28*CostCap_Cust/INCENTTOCOST_CUST,CH28),""),"")</f>
        <v/>
      </c>
      <c r="CJ28" s="977">
        <f t="shared" ref="CJ28" si="113">CM28</f>
        <v>0</v>
      </c>
      <c r="CK28" s="977">
        <f t="shared" ref="CK28" si="114">CN28</f>
        <v>0</v>
      </c>
      <c r="CL28" s="977">
        <f t="shared" ref="CL28" si="115">CO28</f>
        <v>0</v>
      </c>
      <c r="CM28" s="977">
        <f>R28-AJ28</f>
        <v>0</v>
      </c>
      <c r="CN28" s="977">
        <f>U28-AM28</f>
        <v>0</v>
      </c>
      <c r="CO28" s="977">
        <f t="shared" ref="CO28" si="116">IF(CR28&gt;0,CR28,0)</f>
        <v>0</v>
      </c>
      <c r="CP28" s="977">
        <f t="shared" ref="CP28" si="117">CM28</f>
        <v>0</v>
      </c>
      <c r="CQ28" s="977">
        <f t="shared" ref="CQ28" si="118">CN28</f>
        <v>0</v>
      </c>
      <c r="CR28" s="977">
        <f>X28-AP28</f>
        <v>0</v>
      </c>
      <c r="CS28" s="983"/>
      <c r="CT28" s="1056" t="str">
        <f>IF(CB28="OK",INDEX(Tbl_Cust_Water[EUL], MATCH(F28,Tbl_Cust_Water[Proj Desc 1],0)),"")</f>
        <v/>
      </c>
      <c r="CU28" s="979" t="str">
        <f t="shared" ref="CU28" si="119">IFERROR(IF(AND($CM28&lt;=0,$CN28&lt;=0,$CO28&lt;=0),"No Savings","OK"),"")</f>
        <v>No Savings</v>
      </c>
      <c r="CV28" s="925" t="str">
        <f t="shared" ref="CV28" si="120">IF(AND(CB28="OK",CU28="OK"),"1","")</f>
        <v/>
      </c>
      <c r="CW28" s="925" t="str">
        <f>IFERROR(IF($CB28="OK",ROUND($AQ$14*SUM(BB28:BE29)/SUM($BF$18:$BG$37),2),""),"")</f>
        <v/>
      </c>
      <c r="CX28" s="925" t="str">
        <f>IFERROR(IF(M02S04F04="Customer/Self-Installed",CW28,IF($CB28="OK",CW28+BD28,"")),"")</f>
        <v/>
      </c>
      <c r="CY28" s="925" t="str">
        <f>IFERROR(IF($CB28="OK",CX28+BB28,""),"")</f>
        <v/>
      </c>
      <c r="CZ28" s="925" t="str">
        <f>IF(CB28="OK",INDEX(MEASURES3_M!$O$28, MATCH(F28,MEASURES3_M!$C$28,0)),"")</f>
        <v/>
      </c>
      <c r="DA28" s="925" t="str">
        <f>IF(CB28="OK",INDEX(MEASURES3_M!$P$28, MATCH(F28,MEASURES3_M!$C$28,0)),"")</f>
        <v/>
      </c>
      <c r="DD28" s="980" t="str">
        <f>IFERROR(IF(CB28&lt;&gt;"OK","",CM28*VLOOKUP('DATA TABLES_Project'!$C$247,'DATA TABLES_Project'!$A$250:$B$285,2,FALSE)),"")</f>
        <v/>
      </c>
      <c r="DE28" s="925" t="str">
        <f t="shared" ref="DE28" si="121">IFERROR(IF(CB28&lt;&gt;"OK","",CM28*CZ28*0.92),"")</f>
        <v/>
      </c>
      <c r="DF28" s="980" t="str">
        <f>IFERROR(IF(CB28&lt;&gt;"OK","",CM28*CZ28*0.92*VLOOKUP('DATA TABLES_Project'!$C$247,'DATA TABLES_Project'!$A$250:$B$285,2,FALSE)),"")</f>
        <v/>
      </c>
      <c r="DG28" s="925" t="str">
        <f t="shared" ref="DG28" si="122">IFERROR(IF(CB28&lt;&gt;"OK","",CM28*BV28),IF(BX28="Dual",(CM28*BW28)+((BY28-AJ28)*(BV28-BW28)),""))</f>
        <v/>
      </c>
      <c r="DH28" s="925" t="str">
        <f ca="1">IFERROR(IF(CB28&lt;&gt;"OK","",IF(OR(BX28="Single",BX28=""), CM28*BV28*AVERAGE(INDEX('DATA TABLES_Project'!$B$250:$B$285, MATCH('DATA TABLES_Project'!$C$247,'DATA TABLES_Project'!$A$250:$A$285, 0)):OFFSET(INDEX('DATA TABLES_Project'!$B$250:$B$285, MATCH('DATA TABLES_Project'!$C$247,'DATA TABLES_Project'!$A$250:$A$285, 0)),BV28-1,0)),CM28*BW28*AVERAGE(INDEX('DATA TABLES_Project'!$B$250:$B$285, MATCH('DATA TABLES_Project'!$C$247,'DATA TABLES_Project'!$A$250:$A$285, 0)):OFFSET(INDEX('DATA TABLES_Project'!$B$250:$B$285, MATCH('DATA TABLES_Project'!$C$247,'DATA TABLES_Project'!$A$250:$A$285, 0)),BW28-1,0)) + ((BY28-AJ28)*(BV28-BW28)*AVERAGE(OFFSET(INDEX('DATA TABLES_Project'!$B$250:$B$285, MATCH('DATA TABLES_Project'!$C$247,'DATA TABLES_Project'!$A$250:$A$285, 0)),BW28,0):OFFSET(INDEX('DATA TABLES_Project'!$B$250:$B$285, MATCH('DATA TABLES_Project'!$C$247,'DATA TABLES_Project'!$A$250:$A$285, 0)),BV28-1,0))))), "")</f>
        <v/>
      </c>
      <c r="DI28" s="925" t="str">
        <f t="shared" ref="DI28" si="123">IFERROR(IF(CB28&lt;&gt;"OK","",IF(BX28="Dual",(CM28*BW28)+((BY28-AJ28)*(BV28-BW28))*CZ28*0.92,CM28*CZ28*BV28*0.92)),"")</f>
        <v/>
      </c>
      <c r="DJ28" s="925" t="str">
        <f ca="1">IFERROR(IF(CB28&lt;&gt;"OK","",IF(OR(BX28="Single",BX28=""),0.92*CZ28*CM28*BV28*AVERAGE(INDEX('DATA TABLES_Project'!$B$250:$B$285, MATCH('DATA TABLES_Project'!$C$247,'DATA TABLES_Project'!$A$250:$A$285, 0)):OFFSET(INDEX('DATA TABLES_Project'!$B$250:$B$285, MATCH('DATA TABLES_Project'!$C$247,'DATA TABLES_Project'!$A$250:$A$285, 0)),BV28-1,0)),0.92*CZ28*CM28*BW28*AVERAGE(INDEX('DATA TABLES_Project'!$B$250:$B$285, MATCH('DATA TABLES_Project'!$C$247,'DATA TABLES_Project'!$A$250:$A$285, 0)):OFFSET(INDEX('DATA TABLES_Project'!$B$250:$B$285, MATCH('DATA TABLES_Project'!$C$247,'DATA TABLES_Project'!$A$250:$A$285, 0)),BW28-1,0)) + (0.92*CZ28*(BY28-AJ28)*(BV28-BW28)*AVERAGE(OFFSET(INDEX('DATA TABLES_Project'!$B$250:$B$285, MATCH('DATA TABLES_Project'!$C$247,'DATA TABLES_Project'!$A$250:$A$285, 0)),BW28,0):OFFSET(INDEX('DATA TABLES_Project'!$B$250:$B$285, MATCH('DATA TABLES_Project'!$C$247,'DATA TABLES_Project'!$A$250:$A$285, 0)),BV28-1,0))))), "")</f>
        <v/>
      </c>
      <c r="DK28" s="925" t="str">
        <f>IFERROR(IF(CB28&lt;&gt;"OK","",CO28*'DATA TABLES_Project'!$C$250),"")</f>
        <v/>
      </c>
      <c r="DL28" s="925" t="str">
        <f t="shared" ref="DL28" si="124">IFERROR(IF(CB28&lt;&gt;"OK","",CO28*DA28*0.92),"")</f>
        <v/>
      </c>
      <c r="DM28" s="925" t="str">
        <f>IFERROR(IF(CB28&lt;&gt;"OK","",CO28*'DATA TABLES_Project'!$C$250*DA28*0.92),"")</f>
        <v/>
      </c>
      <c r="DN28" s="925" t="str">
        <f t="shared" ref="DN28" si="125">IFERROR(IF(CB28&lt;&gt;"OK","",CO28*BV28),IF(BX28="Dual",(CO28*BW28)+((BZ28-AP28)*(BV28-BW28)),""))</f>
        <v/>
      </c>
      <c r="DO28" s="925" t="str">
        <f ca="1">IFERROR(IF(CB28&lt;&gt;"OK","",CO28*BV28*AVERAGE('DATA TABLES_Project'!$C$250:OFFSET('DATA TABLES_Project'!$C$250,BV28,0))),IF(BX28="Dual",(CO28*BW28*AVERAGE('DATA TABLES_Project'!$C$251:$C$259))+((BZ28-AP28)*(BV28-BW28)*AVERAGE('DATA TABLES_Project'!$C$260:$C$279)),""))</f>
        <v/>
      </c>
      <c r="DP28" s="925" t="str">
        <f t="shared" ref="DP28" si="126">IFERROR(IF(CB28&lt;&gt;"OK","",IF(BX28="Dual",((CO28*BW28)+(BZ28-AP28)*(BV28-BW28))*DA28*0.92,CO28*BV28*DA28*0.92)),"")</f>
        <v/>
      </c>
      <c r="DQ28" s="925" t="str">
        <f ca="1">IFERROR(IF(CB28&lt;&gt;"OK","",IF(BX28="Dual",(0.92*DA28*CO28*BW28*AVERAGE('DATA TABLES_Project'!$C$251:$C$259))+(0.92*DA28*(BZ28-AP28)*(BV28-BW28)*AVERAGE('DATA TABLES_Project'!$C$260:$C$279)),0.92*DA28*CO28*BV28*AVERAGE('DATA TABLES_Project'!$C$250:OFFSET('DATA TABLES_Project'!$C$250,BV28,0)))),"")</f>
        <v/>
      </c>
      <c r="DR28" s="980" t="str">
        <f>IFERROR(IF($CB28&lt;&gt;"OK","",CM28*'DATA TABLES_Project'!$B$290+IF(CO28&lt;0,0,CO28*'DATA TABLES_Project'!$B$291)),"")</f>
        <v/>
      </c>
      <c r="DS28" s="980" t="str">
        <f>IFERROR(IF($CB28&lt;&gt;"OK","",DD28*'DATA TABLES_Project'!$B$290+IF(DK28&lt;0,0,DK28*'DATA TABLES_Project'!$B$291)),"")</f>
        <v/>
      </c>
      <c r="DT28" s="980" t="str">
        <f>IFERROR(IF($CB28&lt;&gt;"OK","",DE28*'DATA TABLES_Project'!$B$290+IF(DL28&lt;0,0,DL28*'DATA TABLES_Project'!$B$291)),"")</f>
        <v/>
      </c>
      <c r="DU28" s="980" t="str">
        <f>IFERROR(IF($CB28&lt;&gt;"OK","",DF28*'DATA TABLES_Project'!$B$290+IF(DM28&lt;0,0,DM28*'DATA TABLES_Project'!$B$291)),"")</f>
        <v/>
      </c>
      <c r="DV28" s="980" t="str">
        <f>IFERROR(IF($CB28&lt;&gt;"OK","",DG28*'DATA TABLES_Project'!$B$290+IF(DN28&lt;0,0,DN28*'DATA TABLES_Project'!$B$291)),"")</f>
        <v/>
      </c>
      <c r="DW28" s="980" t="str">
        <f>IFERROR(IF($CB28&lt;&gt;"OK","",DH28*'DATA TABLES_Project'!$B$290+IF(DO28&lt;0,0,DO28*'DATA TABLES_Project'!$B$291)),"")</f>
        <v/>
      </c>
      <c r="DX28" s="980" t="str">
        <f>IFERROR(IF($CB28&lt;&gt;"OK","",DI28*'DATA TABLES_Project'!$B$290+IF(DP28&lt;0,0,DP28*'DATA TABLES_Project'!$B$291)),"")</f>
        <v/>
      </c>
      <c r="DY28" s="925" t="str">
        <f>IFERROR(IF($CB28&lt;&gt;"OK","",DJ28*'DATA TABLES_Project'!$B$290+IF(DQ28&lt;0,0,DQ28*'DATA TABLES_Project'!$B$291)),"")</f>
        <v/>
      </c>
      <c r="DZ28" s="925" t="str">
        <f t="shared" ref="DZ28" si="127">IFERROR(IF($CB28&lt;&gt;"OK","",AS28),"")</f>
        <v/>
      </c>
      <c r="EA28" s="925" t="str">
        <f>IFERROR(IF(CB28&lt;&gt;"OK","",CN28*'DATA TABLES_Project'!$B$250*CZ28*1.03),"")</f>
        <v/>
      </c>
      <c r="EB28" s="925" t="str">
        <f t="shared" ref="EB28" si="128">IFERROR(IF(CB28&lt;&gt;"OK","",CN28*CZ28*1.03),"")</f>
        <v/>
      </c>
      <c r="EC28" s="925" t="str">
        <f>IFERROR(IF(CB28&lt;&gt;"OK","",CZ28*DZ28*'DATA TABLES_Project'!$C$250*0.92),"")</f>
        <v/>
      </c>
      <c r="ED28" s="925" t="str">
        <f>IFERROR(IF(CB28&lt;&gt;"OK","",CZ28*DZ28*'DATA TABLES_Project'!$C$250*0.92),"")</f>
        <v/>
      </c>
      <c r="EE28" s="925" t="str">
        <f t="shared" ref="EE28" si="129">IFERROR(IF(CB28&lt;&gt;"OK","",CZ28*DZ28*0.92),"")</f>
        <v/>
      </c>
      <c r="EF28" s="925" t="str">
        <f t="shared" ref="EF28" si="130">IFERROR(IF(CB28&lt;&gt;"OK","",CZ28*DZ28*0.92),"")</f>
        <v/>
      </c>
      <c r="EG28" s="925" t="str">
        <f>IFERROR(IF($CB28&lt;&gt;"OK","",CM28*'DATA TABLES_Project'!$B$290+CO28*'DATA TABLES_Project'!$B$291),"")</f>
        <v/>
      </c>
      <c r="EH28" s="925" t="str">
        <f>IFERROR(IF($CB28&lt;&gt;"OK","",DD28*'DATA TABLES_Project'!$B$290+DK28*'DATA TABLES_Project'!$B$291),"")</f>
        <v/>
      </c>
      <c r="EI28" s="925" t="str">
        <f>IFERROR(IF($CB28&lt;&gt;"OK","",DE28*'DATA TABLES_Project'!$B$290+DL28*'DATA TABLES_Project'!$B$291),"")</f>
        <v/>
      </c>
      <c r="EJ28" s="925" t="str">
        <f>IFERROR(IF($CB28&lt;&gt;"OK","",DF28*'DATA TABLES_Project'!$B$290+DM28*'DATA TABLES_Project'!$B$291),"")</f>
        <v/>
      </c>
      <c r="EK28" s="925" t="str">
        <f>IFERROR(IF($CB28&lt;&gt;"OK","",DG28*'DATA TABLES_Project'!$B$290+DN28*'DATA TABLES_Project'!$B$291),"")</f>
        <v/>
      </c>
      <c r="EL28" s="925" t="str">
        <f>IFERROR(IF($CB28&lt;&gt;"OK","",DH28*'DATA TABLES_Project'!$B$290+DO28*'DATA TABLES_Project'!$B$291),"")</f>
        <v/>
      </c>
      <c r="EM28" s="925" t="str">
        <f>IFERROR(IF($CB28&lt;&gt;"OK","",DI28*'DATA TABLES_Project'!$B$290+DP28*'DATA TABLES_Project'!$B$291),"")</f>
        <v/>
      </c>
      <c r="EN28" s="925" t="str">
        <f>IFERROR(IF($CB28&lt;&gt;"OK","",DJ28*'DATA TABLES_Project'!$B$290+DQ28*'DATA TABLES_Project'!$B$291),"")</f>
        <v/>
      </c>
    </row>
    <row r="29" spans="1:144" ht="16.350000000000001" customHeight="1">
      <c r="A29" s="462"/>
      <c r="B29" s="994"/>
      <c r="C29" s="998"/>
      <c r="D29" s="999"/>
      <c r="E29" s="1000"/>
      <c r="F29" s="964"/>
      <c r="G29" s="965"/>
      <c r="H29" s="965"/>
      <c r="I29" s="965"/>
      <c r="J29" s="965"/>
      <c r="K29" s="966"/>
      <c r="L29" s="964"/>
      <c r="M29" s="965"/>
      <c r="N29" s="965"/>
      <c r="O29" s="965"/>
      <c r="P29" s="965"/>
      <c r="Q29" s="966"/>
      <c r="R29" s="1044"/>
      <c r="S29" s="1044"/>
      <c r="T29" s="1044"/>
      <c r="U29" s="1044"/>
      <c r="V29" s="1044"/>
      <c r="W29" s="1044"/>
      <c r="X29" s="1045"/>
      <c r="Y29" s="1045"/>
      <c r="Z29" s="1045"/>
      <c r="AA29" s="1045"/>
      <c r="AB29" s="1045"/>
      <c r="AC29" s="1045"/>
      <c r="AD29" s="964"/>
      <c r="AE29" s="965"/>
      <c r="AF29" s="965"/>
      <c r="AG29" s="965"/>
      <c r="AH29" s="965"/>
      <c r="AI29" s="966"/>
      <c r="AJ29" s="952"/>
      <c r="AK29" s="953"/>
      <c r="AL29" s="954"/>
      <c r="AM29" s="952"/>
      <c r="AN29" s="953"/>
      <c r="AO29" s="954"/>
      <c r="AP29" s="958"/>
      <c r="AQ29" s="959"/>
      <c r="AR29" s="960"/>
      <c r="AS29" s="958"/>
      <c r="AT29" s="959"/>
      <c r="AU29" s="960"/>
      <c r="AV29" s="968"/>
      <c r="AW29" s="969"/>
      <c r="AX29" s="969"/>
      <c r="AY29" s="969"/>
      <c r="AZ29" s="969"/>
      <c r="BA29" s="970"/>
      <c r="BB29" s="947"/>
      <c r="BC29" s="948"/>
      <c r="BD29" s="947"/>
      <c r="BE29" s="948"/>
      <c r="BF29" s="931"/>
      <c r="BG29" s="932"/>
      <c r="BH29" s="974"/>
      <c r="BI29" s="975"/>
      <c r="BJ29" s="976"/>
      <c r="BK29" s="936"/>
      <c r="BL29" s="937"/>
      <c r="BM29" s="938"/>
      <c r="BN29" s="942"/>
      <c r="BO29" s="943"/>
      <c r="BP29" s="944"/>
      <c r="BQ29"/>
      <c r="BR29"/>
      <c r="BS29" s="967"/>
      <c r="BT29" s="967"/>
      <c r="BV29" s="926"/>
      <c r="BW29" s="926"/>
      <c r="BX29" s="926"/>
      <c r="BY29" s="927"/>
      <c r="BZ29" s="928"/>
      <c r="CB29" s="986"/>
      <c r="CC29" s="925"/>
      <c r="CD29" s="925"/>
      <c r="CE29" s="925"/>
      <c r="CF29" s="925"/>
      <c r="CG29" s="925"/>
      <c r="CH29" s="925"/>
      <c r="CI29" s="925"/>
      <c r="CJ29" s="977"/>
      <c r="CK29" s="977"/>
      <c r="CL29" s="977"/>
      <c r="CM29" s="977"/>
      <c r="CN29" s="977"/>
      <c r="CO29" s="977"/>
      <c r="CP29" s="977"/>
      <c r="CQ29" s="977"/>
      <c r="CR29" s="977"/>
      <c r="CS29" s="983"/>
      <c r="CT29" s="1056"/>
      <c r="CU29" s="979"/>
      <c r="CV29" s="925"/>
      <c r="CW29" s="925"/>
      <c r="CX29" s="925"/>
      <c r="CY29" s="925"/>
      <c r="CZ29" s="925"/>
      <c r="DA29" s="925"/>
      <c r="DD29" s="981"/>
      <c r="DE29" s="925"/>
      <c r="DF29" s="981"/>
      <c r="DG29" s="925"/>
      <c r="DH29" s="925"/>
      <c r="DI29" s="925"/>
      <c r="DJ29" s="925"/>
      <c r="DK29" s="925"/>
      <c r="DL29" s="925"/>
      <c r="DM29" s="925"/>
      <c r="DN29" s="925"/>
      <c r="DO29" s="925"/>
      <c r="DP29" s="925"/>
      <c r="DQ29" s="925"/>
      <c r="DR29" s="981"/>
      <c r="DS29" s="981"/>
      <c r="DT29" s="981"/>
      <c r="DU29" s="981"/>
      <c r="DV29" s="981"/>
      <c r="DW29" s="981"/>
      <c r="DX29" s="981"/>
      <c r="DY29" s="925"/>
      <c r="DZ29" s="925"/>
      <c r="EA29" s="925"/>
      <c r="EB29" s="925"/>
      <c r="EC29" s="925"/>
      <c r="ED29" s="925"/>
      <c r="EE29" s="925"/>
      <c r="EF29" s="925"/>
      <c r="EG29" s="925"/>
      <c r="EH29" s="925"/>
      <c r="EI29" s="925"/>
      <c r="EJ29" s="925"/>
      <c r="EK29" s="925"/>
      <c r="EL29" s="925"/>
      <c r="EM29" s="925"/>
      <c r="EN29" s="925"/>
    </row>
    <row r="30" spans="1:144" ht="16.350000000000001" customHeight="1">
      <c r="A30" s="462"/>
      <c r="B30" s="994">
        <v>7</v>
      </c>
      <c r="C30" s="995"/>
      <c r="D30" s="996"/>
      <c r="E30" s="997"/>
      <c r="F30" s="961"/>
      <c r="G30" s="962"/>
      <c r="H30" s="962"/>
      <c r="I30" s="962"/>
      <c r="J30" s="962"/>
      <c r="K30" s="963"/>
      <c r="L30" s="961"/>
      <c r="M30" s="962"/>
      <c r="N30" s="962"/>
      <c r="O30" s="962"/>
      <c r="P30" s="962"/>
      <c r="Q30" s="963"/>
      <c r="R30" s="1044"/>
      <c r="S30" s="1044"/>
      <c r="T30" s="1044"/>
      <c r="U30" s="1044"/>
      <c r="V30" s="1044"/>
      <c r="W30" s="1044"/>
      <c r="X30" s="1045"/>
      <c r="Y30" s="1045"/>
      <c r="Z30" s="1045"/>
      <c r="AA30" s="1045"/>
      <c r="AB30" s="1045"/>
      <c r="AC30" s="1045"/>
      <c r="AD30" s="961"/>
      <c r="AE30" s="962"/>
      <c r="AF30" s="962"/>
      <c r="AG30" s="962"/>
      <c r="AH30" s="962"/>
      <c r="AI30" s="963"/>
      <c r="AJ30" s="949"/>
      <c r="AK30" s="950"/>
      <c r="AL30" s="951"/>
      <c r="AM30" s="949"/>
      <c r="AN30" s="950"/>
      <c r="AO30" s="951"/>
      <c r="AP30" s="955"/>
      <c r="AQ30" s="956"/>
      <c r="AR30" s="957"/>
      <c r="AS30" s="955"/>
      <c r="AT30" s="956"/>
      <c r="AU30" s="957"/>
      <c r="AV30" s="968"/>
      <c r="AW30" s="969"/>
      <c r="AX30" s="970"/>
      <c r="AY30" s="968"/>
      <c r="AZ30" s="969"/>
      <c r="BA30" s="970"/>
      <c r="BB30" s="945"/>
      <c r="BC30" s="946"/>
      <c r="BD30" s="945"/>
      <c r="BE30" s="946"/>
      <c r="BF30" s="929" t="str">
        <f>IF(CB30="OK",ROUND(BB30+BD30,2),"")</f>
        <v/>
      </c>
      <c r="BG30" s="930"/>
      <c r="BH30" s="971" t="str">
        <f t="shared" ref="BH30" si="131">IFERROR(IF(AND($CB30="OK",$CU30="OK"),$CI30,IF($CB30&lt;&gt;"OK",$CB30,$CU30)),"")</f>
        <v/>
      </c>
      <c r="BI30" s="972"/>
      <c r="BJ30" s="973"/>
      <c r="BK30" s="933" t="str">
        <f t="shared" ref="BK30" si="132">IF($CB30="OK",CM30,"")</f>
        <v/>
      </c>
      <c r="BL30" s="934"/>
      <c r="BM30" s="935"/>
      <c r="BN30" s="939" t="str">
        <f t="shared" ref="BN30" si="133">IF($CB30="OK",$CR30,"")</f>
        <v/>
      </c>
      <c r="BO30" s="940"/>
      <c r="BP30" s="941"/>
      <c r="BQ30"/>
      <c r="BR30"/>
      <c r="BS30" s="967"/>
      <c r="BT30" s="967"/>
      <c r="BV30" s="926" t="str">
        <f t="shared" ref="BV30" si="134">IFERROR(ROUND(IF(AND(CB30="OK",CU30="OK"),CT30,""),0),"")</f>
        <v/>
      </c>
      <c r="BW30" s="926" t="str">
        <f t="shared" ref="BW30" si="135">IFERROR(ROUND(IF(AND(CB30="OK",CU30="OK"),BV30/3,""),0),"")</f>
        <v/>
      </c>
      <c r="BX30" s="926"/>
      <c r="BY30" s="927"/>
      <c r="BZ30" s="928"/>
      <c r="CB30" s="986" t="str">
        <f>IF(AND(C30="",F30="",R30="",AD30="",U30="",X30="",L30="",AJ30="",AV30="",AM30="",AP30="",AY30="",AV31="",BB30="",BD30="",AA30="",AS30=""),"",
IF(OR(C30="",F30="",R30="",AD30="",U30="",X30="",L30="",AJ30="",AV30="",AM30="",AP30="",AY30="",AV31="",BB30="",BD30="",AA30="",AS30=""),"Missing Fields",
IF(AND(M02S04F04disp="Required",M02S04F04=""),"TA Info Incomplete",
"OK")))</f>
        <v/>
      </c>
      <c r="CC30" s="925" t="str">
        <f>IF(AND(CB30="OK",CU30="OK"),INDEX(Tbl_Cust_Water[Measure Number], MATCH(F30,Tbl_Cust_Water[Proj Desc 1],0)),"")</f>
        <v/>
      </c>
      <c r="CD30" s="925"/>
      <c r="CE30" s="925" t="str">
        <f t="shared" ref="CE30" si="136">IF(CB30="OK","Measure","")</f>
        <v/>
      </c>
      <c r="CF30" s="925" t="str">
        <f t="shared" ref="CF30" si="137">IF(CB30="OK",1,"")</f>
        <v/>
      </c>
      <c r="CG30" s="978" t="str">
        <f t="shared" ref="CG30" si="138">IFERROR(CI30/CF30,"")</f>
        <v/>
      </c>
      <c r="CH30" s="978" t="str">
        <f>IF(CB30="OK",IF(CM30&gt;0,CM30*Incent_Rate_kWh,0)+IF(CO30&gt;0,CO30*Incent_Rate_thm,0),"")</f>
        <v/>
      </c>
      <c r="CI30" s="978" t="str">
        <f>IFERROR(IF($CB30="OK",IF(INCENTTOCOST_CUST&gt;CostCap_Cust,
CH30*CostCap_Cust/INCENTTOCOST_CUST,CH30),""),"")</f>
        <v/>
      </c>
      <c r="CJ30" s="977">
        <f t="shared" ref="CJ30" si="139">CM30</f>
        <v>0</v>
      </c>
      <c r="CK30" s="977">
        <f t="shared" ref="CK30" si="140">CN30</f>
        <v>0</v>
      </c>
      <c r="CL30" s="977">
        <f t="shared" ref="CL30" si="141">CO30</f>
        <v>0</v>
      </c>
      <c r="CM30" s="977">
        <f>R30-AJ30</f>
        <v>0</v>
      </c>
      <c r="CN30" s="977">
        <f>U30-AM30</f>
        <v>0</v>
      </c>
      <c r="CO30" s="977">
        <f t="shared" ref="CO30" si="142">IF(CR30&gt;0,CR30,0)</f>
        <v>0</v>
      </c>
      <c r="CP30" s="977">
        <f t="shared" ref="CP30" si="143">CM30</f>
        <v>0</v>
      </c>
      <c r="CQ30" s="977">
        <f t="shared" ref="CQ30" si="144">CN30</f>
        <v>0</v>
      </c>
      <c r="CR30" s="977">
        <f>X30-AP30</f>
        <v>0</v>
      </c>
      <c r="CS30" s="983"/>
      <c r="CT30" s="1056" t="str">
        <f>IF(CB30="OK",INDEX(Tbl_Cust_Water[EUL], MATCH(F30,Tbl_Cust_Water[Proj Desc 1],0)),"")</f>
        <v/>
      </c>
      <c r="CU30" s="979" t="str">
        <f t="shared" ref="CU30" si="145">IFERROR(IF(AND($CM30&lt;=0,$CN30&lt;=0,$CO30&lt;=0),"No Savings","OK"),"")</f>
        <v>No Savings</v>
      </c>
      <c r="CV30" s="925" t="str">
        <f t="shared" ref="CV30" si="146">IF(AND(CB30="OK",CU30="OK"),"1","")</f>
        <v/>
      </c>
      <c r="CW30" s="925" t="str">
        <f>IFERROR(IF($CB30="OK",ROUND($AQ$14*SUM(BB30:BE31)/SUM($BF$18:$BG$37),2),""),"")</f>
        <v/>
      </c>
      <c r="CX30" s="925" t="str">
        <f>IFERROR(IF(M02S04F04="Customer/Self-Installed",CW30,IF($CB30="OK",CW30+BD30,"")),"")</f>
        <v/>
      </c>
      <c r="CY30" s="925" t="str">
        <f>IFERROR(IF($CB30="OK",CX30+BB30,""),"")</f>
        <v/>
      </c>
      <c r="CZ30" s="925" t="str">
        <f>IF(CB30="OK",INDEX(MEASURES3_M!$O$28, MATCH(F30,MEASURES3_M!$C$28,0)),"")</f>
        <v/>
      </c>
      <c r="DA30" s="925" t="str">
        <f>IF(CB30="OK",INDEX(MEASURES3_M!$P$28, MATCH(F30,MEASURES3_M!$C$28,0)),"")</f>
        <v/>
      </c>
      <c r="DD30" s="980" t="str">
        <f>IFERROR(IF(CB30&lt;&gt;"OK","",CM30*VLOOKUP('DATA TABLES_Project'!$C$247,'DATA TABLES_Project'!$A$250:$B$285,2,FALSE)),"")</f>
        <v/>
      </c>
      <c r="DE30" s="925" t="str">
        <f t="shared" ref="DE30" si="147">IFERROR(IF(CB30&lt;&gt;"OK","",CM30*CZ30*0.92),"")</f>
        <v/>
      </c>
      <c r="DF30" s="980" t="str">
        <f>IFERROR(IF(CB30&lt;&gt;"OK","",CM30*CZ30*0.92*VLOOKUP('DATA TABLES_Project'!$C$247,'DATA TABLES_Project'!$A$250:$B$285,2,FALSE)),"")</f>
        <v/>
      </c>
      <c r="DG30" s="925" t="str">
        <f t="shared" ref="DG30" si="148">IFERROR(IF(CB30&lt;&gt;"OK","",CM30*BV30),IF(BX30="Dual",(CM30*BW30)+((BY30-AJ30)*(BV30-BW30)),""))</f>
        <v/>
      </c>
      <c r="DH30" s="925" t="str">
        <f ca="1">IFERROR(IF(CB30&lt;&gt;"OK","",IF(OR(BX30="Single",BX30=""), CM30*BV30*AVERAGE(INDEX('DATA TABLES_Project'!$B$250:$B$285, MATCH('DATA TABLES_Project'!$C$247,'DATA TABLES_Project'!$A$250:$A$285, 0)):OFFSET(INDEX('DATA TABLES_Project'!$B$250:$B$285, MATCH('DATA TABLES_Project'!$C$247,'DATA TABLES_Project'!$A$250:$A$285, 0)),BV30-1,0)),CM30*BW30*AVERAGE(INDEX('DATA TABLES_Project'!$B$250:$B$285, MATCH('DATA TABLES_Project'!$C$247,'DATA TABLES_Project'!$A$250:$A$285, 0)):OFFSET(INDEX('DATA TABLES_Project'!$B$250:$B$285, MATCH('DATA TABLES_Project'!$C$247,'DATA TABLES_Project'!$A$250:$A$285, 0)),BW30-1,0)) + ((BY30-AJ30)*(BV30-BW30)*AVERAGE(OFFSET(INDEX('DATA TABLES_Project'!$B$250:$B$285, MATCH('DATA TABLES_Project'!$C$247,'DATA TABLES_Project'!$A$250:$A$285, 0)),BW30,0):OFFSET(INDEX('DATA TABLES_Project'!$B$250:$B$285, MATCH('DATA TABLES_Project'!$C$247,'DATA TABLES_Project'!$A$250:$A$285, 0)),BV30-1,0))))), "")</f>
        <v/>
      </c>
      <c r="DI30" s="925" t="str">
        <f t="shared" ref="DI30" si="149">IFERROR(IF(CB30&lt;&gt;"OK","",IF(BX30="Dual",(CM30*BW30)+((BY30-AJ30)*(BV30-BW30))*CZ30*0.92,CM30*CZ30*BV30*0.92)),"")</f>
        <v/>
      </c>
      <c r="DJ30" s="925" t="str">
        <f ca="1">IFERROR(IF(CB30&lt;&gt;"OK","",IF(OR(BX30="Single",BX30=""),0.92*CZ30*CM30*BV30*AVERAGE(INDEX('DATA TABLES_Project'!$B$250:$B$285, MATCH('DATA TABLES_Project'!$C$247,'DATA TABLES_Project'!$A$250:$A$285, 0)):OFFSET(INDEX('DATA TABLES_Project'!$B$250:$B$285, MATCH('DATA TABLES_Project'!$C$247,'DATA TABLES_Project'!$A$250:$A$285, 0)),BV30-1,0)),0.92*CZ30*CM30*BW30*AVERAGE(INDEX('DATA TABLES_Project'!$B$250:$B$285, MATCH('DATA TABLES_Project'!$C$247,'DATA TABLES_Project'!$A$250:$A$285, 0)):OFFSET(INDEX('DATA TABLES_Project'!$B$250:$B$285, MATCH('DATA TABLES_Project'!$C$247,'DATA TABLES_Project'!$A$250:$A$285, 0)),BW30-1,0)) + (0.92*CZ30*(BY30-AJ30)*(BV30-BW30)*AVERAGE(OFFSET(INDEX('DATA TABLES_Project'!$B$250:$B$285, MATCH('DATA TABLES_Project'!$C$247,'DATA TABLES_Project'!$A$250:$A$285, 0)),BW30,0):OFFSET(INDEX('DATA TABLES_Project'!$B$250:$B$285, MATCH('DATA TABLES_Project'!$C$247,'DATA TABLES_Project'!$A$250:$A$285, 0)),BV30-1,0))))), "")</f>
        <v/>
      </c>
      <c r="DK30" s="925" t="str">
        <f>IFERROR(IF(CB30&lt;&gt;"OK","",CO30*'DATA TABLES_Project'!$C$250),"")</f>
        <v/>
      </c>
      <c r="DL30" s="925" t="str">
        <f t="shared" ref="DL30" si="150">IFERROR(IF(CB30&lt;&gt;"OK","",CO30*DA30*0.92),"")</f>
        <v/>
      </c>
      <c r="DM30" s="925" t="str">
        <f>IFERROR(IF(CB30&lt;&gt;"OK","",CO30*'DATA TABLES_Project'!$C$250*DA30*0.92),"")</f>
        <v/>
      </c>
      <c r="DN30" s="925" t="str">
        <f t="shared" ref="DN30" si="151">IFERROR(IF(CB30&lt;&gt;"OK","",CO30*BV30),IF(BX30="Dual",(CO30*BW30)+((BZ30-AP30)*(BV30-BW30)),""))</f>
        <v/>
      </c>
      <c r="DO30" s="925" t="str">
        <f ca="1">IFERROR(IF(CB30&lt;&gt;"OK","",CO30*BV30*AVERAGE('DATA TABLES_Project'!$C$250:OFFSET('DATA TABLES_Project'!$C$250,BV30,0))),IF(BX30="Dual",(CO30*BW30*AVERAGE('DATA TABLES_Project'!$C$251:$C$259))+((BZ30-AP30)*(BV30-BW30)*AVERAGE('DATA TABLES_Project'!$C$260:$C$279)),""))</f>
        <v/>
      </c>
      <c r="DP30" s="925" t="str">
        <f t="shared" ref="DP30" si="152">IFERROR(IF(CB30&lt;&gt;"OK","",IF(BX30="Dual",((CO30*BW30)+(BZ30-AP30)*(BV30-BW30))*DA30*0.92,CO30*BV30*DA30*0.92)),"")</f>
        <v/>
      </c>
      <c r="DQ30" s="925" t="str">
        <f ca="1">IFERROR(IF(CB30&lt;&gt;"OK","",IF(BX30="Dual",(0.92*DA30*CO30*BW30*AVERAGE('DATA TABLES_Project'!$C$251:$C$259))+(0.92*DA30*(BZ30-AP30)*(BV30-BW30)*AVERAGE('DATA TABLES_Project'!$C$260:$C$279)),0.92*DA30*CO30*BV30*AVERAGE('DATA TABLES_Project'!$C$250:OFFSET('DATA TABLES_Project'!$C$250,BV30,0)))),"")</f>
        <v/>
      </c>
      <c r="DR30" s="980" t="str">
        <f>IFERROR(IF($CB30&lt;&gt;"OK","",CM30*'DATA TABLES_Project'!$B$290+IF(CO30&lt;0,0,CO30*'DATA TABLES_Project'!$B$291)),"")</f>
        <v/>
      </c>
      <c r="DS30" s="980" t="str">
        <f>IFERROR(IF($CB30&lt;&gt;"OK","",DD30*'DATA TABLES_Project'!$B$290+IF(DK30&lt;0,0,DK30*'DATA TABLES_Project'!$B$291)),"")</f>
        <v/>
      </c>
      <c r="DT30" s="980" t="str">
        <f>IFERROR(IF($CB30&lt;&gt;"OK","",DE30*'DATA TABLES_Project'!$B$290+IF(DL30&lt;0,0,DL30*'DATA TABLES_Project'!$B$291)),"")</f>
        <v/>
      </c>
      <c r="DU30" s="980" t="str">
        <f>IFERROR(IF($CB30&lt;&gt;"OK","",DF30*'DATA TABLES_Project'!$B$290+IF(DM30&lt;0,0,DM30*'DATA TABLES_Project'!$B$291)),"")</f>
        <v/>
      </c>
      <c r="DV30" s="980" t="str">
        <f>IFERROR(IF($CB30&lt;&gt;"OK","",DG30*'DATA TABLES_Project'!$B$290+IF(DN30&lt;0,0,DN30*'DATA TABLES_Project'!$B$291)),"")</f>
        <v/>
      </c>
      <c r="DW30" s="980" t="str">
        <f>IFERROR(IF($CB30&lt;&gt;"OK","",DH30*'DATA TABLES_Project'!$B$290+IF(DO30&lt;0,0,DO30*'DATA TABLES_Project'!$B$291)),"")</f>
        <v/>
      </c>
      <c r="DX30" s="980" t="str">
        <f>IFERROR(IF($CB30&lt;&gt;"OK","",DI30*'DATA TABLES_Project'!$B$290+IF(DP30&lt;0,0,DP30*'DATA TABLES_Project'!$B$291)),"")</f>
        <v/>
      </c>
      <c r="DY30" s="925" t="str">
        <f>IFERROR(IF($CB30&lt;&gt;"OK","",DJ30*'DATA TABLES_Project'!$B$290+IF(DQ30&lt;0,0,DQ30*'DATA TABLES_Project'!$B$291)),"")</f>
        <v/>
      </c>
      <c r="DZ30" s="925" t="str">
        <f t="shared" ref="DZ30" si="153">IFERROR(IF($CB30&lt;&gt;"OK","",AS30),"")</f>
        <v/>
      </c>
      <c r="EA30" s="925" t="str">
        <f>IFERROR(IF(CB30&lt;&gt;"OK","",CN30*'DATA TABLES_Project'!$B$250*CZ30*1.03),"")</f>
        <v/>
      </c>
      <c r="EB30" s="925" t="str">
        <f t="shared" ref="EB30" si="154">IFERROR(IF(CB30&lt;&gt;"OK","",CN30*CZ30*1.03),"")</f>
        <v/>
      </c>
      <c r="EC30" s="925" t="str">
        <f>IFERROR(IF(CB30&lt;&gt;"OK","",CZ30*DZ30*'DATA TABLES_Project'!$C$250*0.92),"")</f>
        <v/>
      </c>
      <c r="ED30" s="925" t="str">
        <f>IFERROR(IF(CB30&lt;&gt;"OK","",CZ30*DZ30*'DATA TABLES_Project'!$C$250*0.92),"")</f>
        <v/>
      </c>
      <c r="EE30" s="925" t="str">
        <f t="shared" ref="EE30" si="155">IFERROR(IF(CB30&lt;&gt;"OK","",CZ30*DZ30*0.92),"")</f>
        <v/>
      </c>
      <c r="EF30" s="925" t="str">
        <f t="shared" ref="EF30" si="156">IFERROR(IF(CB30&lt;&gt;"OK","",CZ30*DZ30*0.92),"")</f>
        <v/>
      </c>
      <c r="EG30" s="925" t="str">
        <f>IFERROR(IF($CB30&lt;&gt;"OK","",CM30*'DATA TABLES_Project'!$B$290+CO30*'DATA TABLES_Project'!$B$291),"")</f>
        <v/>
      </c>
      <c r="EH30" s="925" t="str">
        <f>IFERROR(IF($CB30&lt;&gt;"OK","",DD30*'DATA TABLES_Project'!$B$290+DK30*'DATA TABLES_Project'!$B$291),"")</f>
        <v/>
      </c>
      <c r="EI30" s="925" t="str">
        <f>IFERROR(IF($CB30&lt;&gt;"OK","",DE30*'DATA TABLES_Project'!$B$290+DL30*'DATA TABLES_Project'!$B$291),"")</f>
        <v/>
      </c>
      <c r="EJ30" s="925" t="str">
        <f>IFERROR(IF($CB30&lt;&gt;"OK","",DF30*'DATA TABLES_Project'!$B$290+DM30*'DATA TABLES_Project'!$B$291),"")</f>
        <v/>
      </c>
      <c r="EK30" s="925" t="str">
        <f>IFERROR(IF($CB30&lt;&gt;"OK","",DG30*'DATA TABLES_Project'!$B$290+DN30*'DATA TABLES_Project'!$B$291),"")</f>
        <v/>
      </c>
      <c r="EL30" s="925" t="str">
        <f>IFERROR(IF($CB30&lt;&gt;"OK","",DH30*'DATA TABLES_Project'!$B$290+DO30*'DATA TABLES_Project'!$B$291),"")</f>
        <v/>
      </c>
      <c r="EM30" s="925" t="str">
        <f>IFERROR(IF($CB30&lt;&gt;"OK","",DI30*'DATA TABLES_Project'!$B$290+DP30*'DATA TABLES_Project'!$B$291),"")</f>
        <v/>
      </c>
      <c r="EN30" s="925" t="str">
        <f>IFERROR(IF($CB30&lt;&gt;"OK","",DJ30*'DATA TABLES_Project'!$B$290+DQ30*'DATA TABLES_Project'!$B$291),"")</f>
        <v/>
      </c>
    </row>
    <row r="31" spans="1:144" ht="16.350000000000001" customHeight="1">
      <c r="A31" s="462"/>
      <c r="B31" s="994"/>
      <c r="C31" s="998"/>
      <c r="D31" s="999"/>
      <c r="E31" s="1000"/>
      <c r="F31" s="964"/>
      <c r="G31" s="965"/>
      <c r="H31" s="965"/>
      <c r="I31" s="965"/>
      <c r="J31" s="965"/>
      <c r="K31" s="966"/>
      <c r="L31" s="964"/>
      <c r="M31" s="965"/>
      <c r="N31" s="965"/>
      <c r="O31" s="965"/>
      <c r="P31" s="965"/>
      <c r="Q31" s="966"/>
      <c r="R31" s="1044"/>
      <c r="S31" s="1044"/>
      <c r="T31" s="1044"/>
      <c r="U31" s="1044"/>
      <c r="V31" s="1044"/>
      <c r="W31" s="1044"/>
      <c r="X31" s="1045"/>
      <c r="Y31" s="1045"/>
      <c r="Z31" s="1045"/>
      <c r="AA31" s="1045"/>
      <c r="AB31" s="1045"/>
      <c r="AC31" s="1045"/>
      <c r="AD31" s="964"/>
      <c r="AE31" s="965"/>
      <c r="AF31" s="965"/>
      <c r="AG31" s="965"/>
      <c r="AH31" s="965"/>
      <c r="AI31" s="966"/>
      <c r="AJ31" s="952"/>
      <c r="AK31" s="953"/>
      <c r="AL31" s="954"/>
      <c r="AM31" s="952"/>
      <c r="AN31" s="953"/>
      <c r="AO31" s="954"/>
      <c r="AP31" s="958"/>
      <c r="AQ31" s="959"/>
      <c r="AR31" s="960"/>
      <c r="AS31" s="958"/>
      <c r="AT31" s="959"/>
      <c r="AU31" s="960"/>
      <c r="AV31" s="968"/>
      <c r="AW31" s="969"/>
      <c r="AX31" s="969"/>
      <c r="AY31" s="969"/>
      <c r="AZ31" s="969"/>
      <c r="BA31" s="970"/>
      <c r="BB31" s="947"/>
      <c r="BC31" s="948"/>
      <c r="BD31" s="947"/>
      <c r="BE31" s="948"/>
      <c r="BF31" s="931"/>
      <c r="BG31" s="932"/>
      <c r="BH31" s="974"/>
      <c r="BI31" s="975"/>
      <c r="BJ31" s="976"/>
      <c r="BK31" s="936"/>
      <c r="BL31" s="937"/>
      <c r="BM31" s="938"/>
      <c r="BN31" s="942"/>
      <c r="BO31" s="943"/>
      <c r="BP31" s="944"/>
      <c r="BQ31"/>
      <c r="BR31"/>
      <c r="BS31" s="967"/>
      <c r="BT31" s="967"/>
      <c r="BV31" s="926"/>
      <c r="BW31" s="926"/>
      <c r="BX31" s="926"/>
      <c r="BY31" s="927"/>
      <c r="BZ31" s="928"/>
      <c r="CB31" s="986"/>
      <c r="CC31" s="925"/>
      <c r="CD31" s="925"/>
      <c r="CE31" s="925"/>
      <c r="CF31" s="925"/>
      <c r="CG31" s="925"/>
      <c r="CH31" s="925"/>
      <c r="CI31" s="925"/>
      <c r="CJ31" s="977"/>
      <c r="CK31" s="977"/>
      <c r="CL31" s="977"/>
      <c r="CM31" s="977"/>
      <c r="CN31" s="977"/>
      <c r="CO31" s="977"/>
      <c r="CP31" s="977"/>
      <c r="CQ31" s="977"/>
      <c r="CR31" s="977"/>
      <c r="CS31" s="983"/>
      <c r="CT31" s="1056"/>
      <c r="CU31" s="979"/>
      <c r="CV31" s="925"/>
      <c r="CW31" s="925"/>
      <c r="CX31" s="925"/>
      <c r="CY31" s="925"/>
      <c r="CZ31" s="925"/>
      <c r="DA31" s="925"/>
      <c r="DD31" s="981"/>
      <c r="DE31" s="925"/>
      <c r="DF31" s="981"/>
      <c r="DG31" s="925"/>
      <c r="DH31" s="925"/>
      <c r="DI31" s="925"/>
      <c r="DJ31" s="925"/>
      <c r="DK31" s="925"/>
      <c r="DL31" s="925"/>
      <c r="DM31" s="925"/>
      <c r="DN31" s="925"/>
      <c r="DO31" s="925"/>
      <c r="DP31" s="925"/>
      <c r="DQ31" s="925"/>
      <c r="DR31" s="981"/>
      <c r="DS31" s="981"/>
      <c r="DT31" s="981"/>
      <c r="DU31" s="981"/>
      <c r="DV31" s="981"/>
      <c r="DW31" s="981"/>
      <c r="DX31" s="981"/>
      <c r="DY31" s="925"/>
      <c r="DZ31" s="925"/>
      <c r="EA31" s="925"/>
      <c r="EB31" s="925"/>
      <c r="EC31" s="925"/>
      <c r="ED31" s="925"/>
      <c r="EE31" s="925"/>
      <c r="EF31" s="925"/>
      <c r="EG31" s="925"/>
      <c r="EH31" s="925"/>
      <c r="EI31" s="925"/>
      <c r="EJ31" s="925"/>
      <c r="EK31" s="925"/>
      <c r="EL31" s="925"/>
      <c r="EM31" s="925"/>
      <c r="EN31" s="925"/>
    </row>
    <row r="32" spans="1:144" ht="16.350000000000001" customHeight="1">
      <c r="A32" s="462"/>
      <c r="B32" s="994">
        <v>8</v>
      </c>
      <c r="C32" s="995"/>
      <c r="D32" s="996"/>
      <c r="E32" s="997"/>
      <c r="F32" s="961"/>
      <c r="G32" s="962"/>
      <c r="H32" s="962"/>
      <c r="I32" s="962"/>
      <c r="J32" s="962"/>
      <c r="K32" s="963"/>
      <c r="L32" s="961"/>
      <c r="M32" s="962"/>
      <c r="N32" s="962"/>
      <c r="O32" s="962"/>
      <c r="P32" s="962"/>
      <c r="Q32" s="963"/>
      <c r="R32" s="1044"/>
      <c r="S32" s="1044"/>
      <c r="T32" s="1044"/>
      <c r="U32" s="1044"/>
      <c r="V32" s="1044"/>
      <c r="W32" s="1044"/>
      <c r="X32" s="1045"/>
      <c r="Y32" s="1045"/>
      <c r="Z32" s="1045"/>
      <c r="AA32" s="1045"/>
      <c r="AB32" s="1045"/>
      <c r="AC32" s="1045"/>
      <c r="AD32" s="961"/>
      <c r="AE32" s="962"/>
      <c r="AF32" s="962"/>
      <c r="AG32" s="962"/>
      <c r="AH32" s="962"/>
      <c r="AI32" s="963"/>
      <c r="AJ32" s="949"/>
      <c r="AK32" s="950"/>
      <c r="AL32" s="951"/>
      <c r="AM32" s="949"/>
      <c r="AN32" s="950"/>
      <c r="AO32" s="951"/>
      <c r="AP32" s="955"/>
      <c r="AQ32" s="956"/>
      <c r="AR32" s="957"/>
      <c r="AS32" s="955"/>
      <c r="AT32" s="956"/>
      <c r="AU32" s="957"/>
      <c r="AV32" s="968"/>
      <c r="AW32" s="969"/>
      <c r="AX32" s="970"/>
      <c r="AY32" s="968"/>
      <c r="AZ32" s="969"/>
      <c r="BA32" s="970"/>
      <c r="BB32" s="945"/>
      <c r="BC32" s="946"/>
      <c r="BD32" s="945"/>
      <c r="BE32" s="946"/>
      <c r="BF32" s="929" t="str">
        <f>IF(CB32="OK",ROUND(BB32+BD32,2),"")</f>
        <v/>
      </c>
      <c r="BG32" s="930"/>
      <c r="BH32" s="971" t="str">
        <f t="shared" ref="BH32" si="157">IFERROR(IF(AND($CB32="OK",$CU32="OK"),$CI32,IF($CB32&lt;&gt;"OK",$CB32,$CU32)),"")</f>
        <v/>
      </c>
      <c r="BI32" s="972"/>
      <c r="BJ32" s="973"/>
      <c r="BK32" s="933" t="str">
        <f t="shared" ref="BK32" si="158">IF($CB32="OK",CM32,"")</f>
        <v/>
      </c>
      <c r="BL32" s="934"/>
      <c r="BM32" s="935"/>
      <c r="BN32" s="939" t="str">
        <f t="shared" ref="BN32" si="159">IF($CB32="OK",$CR32,"")</f>
        <v/>
      </c>
      <c r="BO32" s="940"/>
      <c r="BP32" s="941"/>
      <c r="BQ32"/>
      <c r="BR32"/>
      <c r="BS32" s="967"/>
      <c r="BT32" s="967"/>
      <c r="BV32" s="926" t="str">
        <f t="shared" ref="BV32" si="160">IFERROR(ROUND(IF(AND(CB32="OK",CU32="OK"),CT32,""),0),"")</f>
        <v/>
      </c>
      <c r="BW32" s="926" t="str">
        <f t="shared" ref="BW32" si="161">IFERROR(ROUND(IF(AND(CB32="OK",CU32="OK"),BV32/3,""),0),"")</f>
        <v/>
      </c>
      <c r="BX32" s="926"/>
      <c r="BY32" s="927"/>
      <c r="BZ32" s="928"/>
      <c r="CB32" s="986" t="str">
        <f>IF(AND(C32="",F32="",R32="",AD32="",U32="",X32="",L32="",AJ32="",AV32="",AM32="",AP32="",AY32="",AV33="",BB32="",BD32="",AA32="",AS32=""),"",
IF(OR(C32="",F32="",R32="",AD32="",U32="",X32="",L32="",AJ32="",AV32="",AM32="",AP32="",AY32="",AV33="",BB32="",BD32="",AA32="",AS32=""),"Missing Fields",
IF(AND(M02S04F04disp="Required",M02S04F04=""),"TA Info Incomplete",
"OK")))</f>
        <v/>
      </c>
      <c r="CC32" s="925" t="str">
        <f>IF(AND(CB32="OK",CU32="OK"),INDEX(Tbl_Cust_Water[Measure Number], MATCH(F32,Tbl_Cust_Water[Proj Desc 1],0)),"")</f>
        <v/>
      </c>
      <c r="CD32" s="925"/>
      <c r="CE32" s="925" t="str">
        <f t="shared" ref="CE32" si="162">IF(CB32="OK","Measure","")</f>
        <v/>
      </c>
      <c r="CF32" s="925" t="str">
        <f t="shared" ref="CF32" si="163">IF(CB32="OK",1,"")</f>
        <v/>
      </c>
      <c r="CG32" s="978" t="str">
        <f t="shared" ref="CG32" si="164">IFERROR(CI32/CF32,"")</f>
        <v/>
      </c>
      <c r="CH32" s="978" t="str">
        <f>IF(CB32="OK",IF(CM32&gt;0,CM32*Incent_Rate_kWh,0)+IF(CO32&gt;0,CO32*Incent_Rate_thm,0),"")</f>
        <v/>
      </c>
      <c r="CI32" s="978" t="str">
        <f>IFERROR(IF($CB32="OK",IF(INCENTTOCOST_CUST&gt;CostCap_Cust,
CH32*CostCap_Cust/INCENTTOCOST_CUST,CH32),""),"")</f>
        <v/>
      </c>
      <c r="CJ32" s="977">
        <f t="shared" ref="CJ32" si="165">CM32</f>
        <v>0</v>
      </c>
      <c r="CK32" s="977">
        <f t="shared" ref="CK32" si="166">CN32</f>
        <v>0</v>
      </c>
      <c r="CL32" s="977">
        <f t="shared" ref="CL32" si="167">CO32</f>
        <v>0</v>
      </c>
      <c r="CM32" s="977">
        <f>R32-AJ32</f>
        <v>0</v>
      </c>
      <c r="CN32" s="977">
        <f>U32-AM32</f>
        <v>0</v>
      </c>
      <c r="CO32" s="977">
        <f t="shared" ref="CO32" si="168">IF(CR32&gt;0,CR32,0)</f>
        <v>0</v>
      </c>
      <c r="CP32" s="977">
        <f t="shared" ref="CP32" si="169">CM32</f>
        <v>0</v>
      </c>
      <c r="CQ32" s="977">
        <f t="shared" ref="CQ32" si="170">CN32</f>
        <v>0</v>
      </c>
      <c r="CR32" s="977">
        <f>X32-AP32</f>
        <v>0</v>
      </c>
      <c r="CS32" s="983"/>
      <c r="CT32" s="1056" t="str">
        <f>IF(CB32="OK",INDEX(Tbl_Cust_Water[EUL], MATCH(F32,Tbl_Cust_Water[Proj Desc 1],0)),"")</f>
        <v/>
      </c>
      <c r="CU32" s="979" t="str">
        <f t="shared" ref="CU32" si="171">IFERROR(IF(AND($CM32&lt;=0,$CN32&lt;=0,$CO32&lt;=0),"No Savings","OK"),"")</f>
        <v>No Savings</v>
      </c>
      <c r="CV32" s="925" t="str">
        <f t="shared" ref="CV32" si="172">IF(AND(CB32="OK",CU32="OK"),"1","")</f>
        <v/>
      </c>
      <c r="CW32" s="925" t="str">
        <f>IFERROR(IF($CB32="OK",ROUND($AQ$14*SUM(BB32:BE33)/SUM($BF$18:$BG$37),2),""),"")</f>
        <v/>
      </c>
      <c r="CX32" s="925" t="str">
        <f>IFERROR(IF(M02S04F04="Customer/Self-Installed",CW32,IF($CB32="OK",CW32+BD32,"")),"")</f>
        <v/>
      </c>
      <c r="CY32" s="925" t="str">
        <f>IFERROR(IF($CB32="OK",CX32+BB32,""),"")</f>
        <v/>
      </c>
      <c r="CZ32" s="925" t="str">
        <f>IF(CB32="OK",INDEX(MEASURES3_M!$O$28, MATCH(F32,MEASURES3_M!$C$28,0)),"")</f>
        <v/>
      </c>
      <c r="DA32" s="925" t="str">
        <f>IF(CB32="OK",INDEX(MEASURES3_M!$P$28, MATCH(F32,MEASURES3_M!$C$28,0)),"")</f>
        <v/>
      </c>
      <c r="DD32" s="980" t="str">
        <f>IFERROR(IF(CB32&lt;&gt;"OK","",CM32*VLOOKUP('DATA TABLES_Project'!$C$247,'DATA TABLES_Project'!$A$250:$B$285,2,FALSE)),"")</f>
        <v/>
      </c>
      <c r="DE32" s="925" t="str">
        <f t="shared" ref="DE32" si="173">IFERROR(IF(CB32&lt;&gt;"OK","",CM32*CZ32*0.92),"")</f>
        <v/>
      </c>
      <c r="DF32" s="980" t="str">
        <f>IFERROR(IF(CB32&lt;&gt;"OK","",CM32*CZ32*0.92*VLOOKUP('DATA TABLES_Project'!$C$247,'DATA TABLES_Project'!$A$250:$B$285,2,FALSE)),"")</f>
        <v/>
      </c>
      <c r="DG32" s="925" t="str">
        <f t="shared" ref="DG32" si="174">IFERROR(IF(CB32&lt;&gt;"OK","",CM32*BV32),IF(BX32="Dual",(CM32*BW32)+((BY32-AJ32)*(BV32-BW32)),""))</f>
        <v/>
      </c>
      <c r="DH32" s="925" t="str">
        <f ca="1">IFERROR(IF(CB32&lt;&gt;"OK","",IF(OR(BX32="Single",BX32=""), CM32*BV32*AVERAGE(INDEX('DATA TABLES_Project'!$B$250:$B$285, MATCH('DATA TABLES_Project'!$C$247,'DATA TABLES_Project'!$A$250:$A$285, 0)):OFFSET(INDEX('DATA TABLES_Project'!$B$250:$B$285, MATCH('DATA TABLES_Project'!$C$247,'DATA TABLES_Project'!$A$250:$A$285, 0)),BV32-1,0)),CM32*BW32*AVERAGE(INDEX('DATA TABLES_Project'!$B$250:$B$285, MATCH('DATA TABLES_Project'!$C$247,'DATA TABLES_Project'!$A$250:$A$285, 0)):OFFSET(INDEX('DATA TABLES_Project'!$B$250:$B$285, MATCH('DATA TABLES_Project'!$C$247,'DATA TABLES_Project'!$A$250:$A$285, 0)),BW32-1,0)) + ((BY32-AJ32)*(BV32-BW32)*AVERAGE(OFFSET(INDEX('DATA TABLES_Project'!$B$250:$B$285, MATCH('DATA TABLES_Project'!$C$247,'DATA TABLES_Project'!$A$250:$A$285, 0)),BW32,0):OFFSET(INDEX('DATA TABLES_Project'!$B$250:$B$285, MATCH('DATA TABLES_Project'!$C$247,'DATA TABLES_Project'!$A$250:$A$285, 0)),BV32-1,0))))), "")</f>
        <v/>
      </c>
      <c r="DI32" s="925" t="str">
        <f t="shared" ref="DI32" si="175">IFERROR(IF(CB32&lt;&gt;"OK","",IF(BX32="Dual",(CM32*BW32)+((BY32-AJ32)*(BV32-BW32))*CZ32*0.92,CM32*CZ32*BV32*0.92)),"")</f>
        <v/>
      </c>
      <c r="DJ32" s="925" t="str">
        <f ca="1">IFERROR(IF(CB32&lt;&gt;"OK","",IF(OR(BX32="Single",BX32=""),0.92*CZ32*CM32*BV32*AVERAGE(INDEX('DATA TABLES_Project'!$B$250:$B$285, MATCH('DATA TABLES_Project'!$C$247,'DATA TABLES_Project'!$A$250:$A$285, 0)):OFFSET(INDEX('DATA TABLES_Project'!$B$250:$B$285, MATCH('DATA TABLES_Project'!$C$247,'DATA TABLES_Project'!$A$250:$A$285, 0)),BV32-1,0)),0.92*CZ32*CM32*BW32*AVERAGE(INDEX('DATA TABLES_Project'!$B$250:$B$285, MATCH('DATA TABLES_Project'!$C$247,'DATA TABLES_Project'!$A$250:$A$285, 0)):OFFSET(INDEX('DATA TABLES_Project'!$B$250:$B$285, MATCH('DATA TABLES_Project'!$C$247,'DATA TABLES_Project'!$A$250:$A$285, 0)),BW32-1,0)) + (0.92*CZ32*(BY32-AJ32)*(BV32-BW32)*AVERAGE(OFFSET(INDEX('DATA TABLES_Project'!$B$250:$B$285, MATCH('DATA TABLES_Project'!$C$247,'DATA TABLES_Project'!$A$250:$A$285, 0)),BW32,0):OFFSET(INDEX('DATA TABLES_Project'!$B$250:$B$285, MATCH('DATA TABLES_Project'!$C$247,'DATA TABLES_Project'!$A$250:$A$285, 0)),BV32-1,0))))), "")</f>
        <v/>
      </c>
      <c r="DK32" s="925" t="str">
        <f>IFERROR(IF(CB32&lt;&gt;"OK","",CO32*'DATA TABLES_Project'!$C$250),"")</f>
        <v/>
      </c>
      <c r="DL32" s="925" t="str">
        <f t="shared" ref="DL32" si="176">IFERROR(IF(CB32&lt;&gt;"OK","",CO32*DA32*0.92),"")</f>
        <v/>
      </c>
      <c r="DM32" s="925" t="str">
        <f>IFERROR(IF(CB32&lt;&gt;"OK","",CO32*'DATA TABLES_Project'!$C$250*DA32*0.92),"")</f>
        <v/>
      </c>
      <c r="DN32" s="925" t="str">
        <f t="shared" ref="DN32" si="177">IFERROR(IF(CB32&lt;&gt;"OK","",CO32*BV32),IF(BX32="Dual",(CO32*BW32)+((BZ32-AP32)*(BV32-BW32)),""))</f>
        <v/>
      </c>
      <c r="DO32" s="925" t="str">
        <f ca="1">IFERROR(IF(CB32&lt;&gt;"OK","",CO32*BV32*AVERAGE('DATA TABLES_Project'!$C$250:OFFSET('DATA TABLES_Project'!$C$250,BV32,0))),IF(BX32="Dual",(CO32*BW32*AVERAGE('DATA TABLES_Project'!$C$251:$C$259))+((BZ32-AP32)*(BV32-BW32)*AVERAGE('DATA TABLES_Project'!$C$260:$C$279)),""))</f>
        <v/>
      </c>
      <c r="DP32" s="925" t="str">
        <f t="shared" ref="DP32" si="178">IFERROR(IF(CB32&lt;&gt;"OK","",IF(BX32="Dual",((CO32*BW32)+(BZ32-AP32)*(BV32-BW32))*DA32*0.92,CO32*BV32*DA32*0.92)),"")</f>
        <v/>
      </c>
      <c r="DQ32" s="925" t="str">
        <f ca="1">IFERROR(IF(CB32&lt;&gt;"OK","",IF(BX32="Dual",(0.92*DA32*CO32*BW32*AVERAGE('DATA TABLES_Project'!$C$251:$C$259))+(0.92*DA32*(BZ32-AP32)*(BV32-BW32)*AVERAGE('DATA TABLES_Project'!$C$260:$C$279)),0.92*DA32*CO32*BV32*AVERAGE('DATA TABLES_Project'!$C$250:OFFSET('DATA TABLES_Project'!$C$250,BV32,0)))),"")</f>
        <v/>
      </c>
      <c r="DR32" s="980" t="str">
        <f>IFERROR(IF($CB32&lt;&gt;"OK","",CM32*'DATA TABLES_Project'!$B$290+IF(CO32&lt;0,0,CO32*'DATA TABLES_Project'!$B$291)),"")</f>
        <v/>
      </c>
      <c r="DS32" s="980" t="str">
        <f>IFERROR(IF($CB32&lt;&gt;"OK","",DD32*'DATA TABLES_Project'!$B$290+IF(DK32&lt;0,0,DK32*'DATA TABLES_Project'!$B$291)),"")</f>
        <v/>
      </c>
      <c r="DT32" s="980" t="str">
        <f>IFERROR(IF($CB32&lt;&gt;"OK","",DE32*'DATA TABLES_Project'!$B$290+IF(DL32&lt;0,0,DL32*'DATA TABLES_Project'!$B$291)),"")</f>
        <v/>
      </c>
      <c r="DU32" s="980" t="str">
        <f>IFERROR(IF($CB32&lt;&gt;"OK","",DF32*'DATA TABLES_Project'!$B$290+IF(DM32&lt;0,0,DM32*'DATA TABLES_Project'!$B$291)),"")</f>
        <v/>
      </c>
      <c r="DV32" s="980" t="str">
        <f>IFERROR(IF($CB32&lt;&gt;"OK","",DG32*'DATA TABLES_Project'!$B$290+IF(DN32&lt;0,0,DN32*'DATA TABLES_Project'!$B$291)),"")</f>
        <v/>
      </c>
      <c r="DW32" s="980" t="str">
        <f>IFERROR(IF($CB32&lt;&gt;"OK","",DH32*'DATA TABLES_Project'!$B$290+IF(DO32&lt;0,0,DO32*'DATA TABLES_Project'!$B$291)),"")</f>
        <v/>
      </c>
      <c r="DX32" s="980" t="str">
        <f>IFERROR(IF($CB32&lt;&gt;"OK","",DI32*'DATA TABLES_Project'!$B$290+IF(DP32&lt;0,0,DP32*'DATA TABLES_Project'!$B$291)),"")</f>
        <v/>
      </c>
      <c r="DY32" s="925" t="str">
        <f>IFERROR(IF($CB32&lt;&gt;"OK","",DJ32*'DATA TABLES_Project'!$B$290+IF(DQ32&lt;0,0,DQ32*'DATA TABLES_Project'!$B$291)),"")</f>
        <v/>
      </c>
      <c r="DZ32" s="925" t="str">
        <f t="shared" ref="DZ32" si="179">IFERROR(IF($CB32&lt;&gt;"OK","",AS32),"")</f>
        <v/>
      </c>
      <c r="EA32" s="925" t="str">
        <f>IFERROR(IF(CB32&lt;&gt;"OK","",CN32*'DATA TABLES_Project'!$B$250*CZ32*1.03),"")</f>
        <v/>
      </c>
      <c r="EB32" s="925" t="str">
        <f t="shared" ref="EB32" si="180">IFERROR(IF(CB32&lt;&gt;"OK","",CN32*CZ32*1.03),"")</f>
        <v/>
      </c>
      <c r="EC32" s="925" t="str">
        <f>IFERROR(IF(CB32&lt;&gt;"OK","",CZ32*DZ32*'DATA TABLES_Project'!$C$250*0.92),"")</f>
        <v/>
      </c>
      <c r="ED32" s="925" t="str">
        <f>IFERROR(IF(CB32&lt;&gt;"OK","",CZ32*DZ32*'DATA TABLES_Project'!$C$250*0.92),"")</f>
        <v/>
      </c>
      <c r="EE32" s="925" t="str">
        <f t="shared" ref="EE32" si="181">IFERROR(IF(CB32&lt;&gt;"OK","",CZ32*DZ32*0.92),"")</f>
        <v/>
      </c>
      <c r="EF32" s="925" t="str">
        <f t="shared" ref="EF32" si="182">IFERROR(IF(CB32&lt;&gt;"OK","",CZ32*DZ32*0.92),"")</f>
        <v/>
      </c>
      <c r="EG32" s="925" t="str">
        <f>IFERROR(IF($CB32&lt;&gt;"OK","",CM32*'DATA TABLES_Project'!$B$290+CO32*'DATA TABLES_Project'!$B$291),"")</f>
        <v/>
      </c>
      <c r="EH32" s="925" t="str">
        <f>IFERROR(IF($CB32&lt;&gt;"OK","",DD32*'DATA TABLES_Project'!$B$290+DK32*'DATA TABLES_Project'!$B$291),"")</f>
        <v/>
      </c>
      <c r="EI32" s="925" t="str">
        <f>IFERROR(IF($CB32&lt;&gt;"OK","",DE32*'DATA TABLES_Project'!$B$290+DL32*'DATA TABLES_Project'!$B$291),"")</f>
        <v/>
      </c>
      <c r="EJ32" s="925" t="str">
        <f>IFERROR(IF($CB32&lt;&gt;"OK","",DF32*'DATA TABLES_Project'!$B$290+DM32*'DATA TABLES_Project'!$B$291),"")</f>
        <v/>
      </c>
      <c r="EK32" s="925" t="str">
        <f>IFERROR(IF($CB32&lt;&gt;"OK","",DG32*'DATA TABLES_Project'!$B$290+DN32*'DATA TABLES_Project'!$B$291),"")</f>
        <v/>
      </c>
      <c r="EL32" s="925" t="str">
        <f>IFERROR(IF($CB32&lt;&gt;"OK","",DH32*'DATA TABLES_Project'!$B$290+DO32*'DATA TABLES_Project'!$B$291),"")</f>
        <v/>
      </c>
      <c r="EM32" s="925" t="str">
        <f>IFERROR(IF($CB32&lt;&gt;"OK","",DI32*'DATA TABLES_Project'!$B$290+DP32*'DATA TABLES_Project'!$B$291),"")</f>
        <v/>
      </c>
      <c r="EN32" s="925" t="str">
        <f>IFERROR(IF($CB32&lt;&gt;"OK","",DJ32*'DATA TABLES_Project'!$B$290+DQ32*'DATA TABLES_Project'!$B$291),"")</f>
        <v/>
      </c>
    </row>
    <row r="33" spans="1:144" ht="16.350000000000001" customHeight="1">
      <c r="A33" s="462"/>
      <c r="B33" s="994"/>
      <c r="C33" s="998"/>
      <c r="D33" s="999"/>
      <c r="E33" s="1000"/>
      <c r="F33" s="964"/>
      <c r="G33" s="965"/>
      <c r="H33" s="965"/>
      <c r="I33" s="965"/>
      <c r="J33" s="965"/>
      <c r="K33" s="966"/>
      <c r="L33" s="964"/>
      <c r="M33" s="965"/>
      <c r="N33" s="965"/>
      <c r="O33" s="965"/>
      <c r="P33" s="965"/>
      <c r="Q33" s="966"/>
      <c r="R33" s="1044"/>
      <c r="S33" s="1044"/>
      <c r="T33" s="1044"/>
      <c r="U33" s="1044"/>
      <c r="V33" s="1044"/>
      <c r="W33" s="1044"/>
      <c r="X33" s="1045"/>
      <c r="Y33" s="1045"/>
      <c r="Z33" s="1045"/>
      <c r="AA33" s="1045"/>
      <c r="AB33" s="1045"/>
      <c r="AC33" s="1045"/>
      <c r="AD33" s="964"/>
      <c r="AE33" s="965"/>
      <c r="AF33" s="965"/>
      <c r="AG33" s="965"/>
      <c r="AH33" s="965"/>
      <c r="AI33" s="966"/>
      <c r="AJ33" s="952"/>
      <c r="AK33" s="953"/>
      <c r="AL33" s="954"/>
      <c r="AM33" s="952"/>
      <c r="AN33" s="953"/>
      <c r="AO33" s="954"/>
      <c r="AP33" s="958"/>
      <c r="AQ33" s="959"/>
      <c r="AR33" s="960"/>
      <c r="AS33" s="958"/>
      <c r="AT33" s="959"/>
      <c r="AU33" s="960"/>
      <c r="AV33" s="968"/>
      <c r="AW33" s="969"/>
      <c r="AX33" s="969"/>
      <c r="AY33" s="969"/>
      <c r="AZ33" s="969"/>
      <c r="BA33" s="970"/>
      <c r="BB33" s="947"/>
      <c r="BC33" s="948"/>
      <c r="BD33" s="947"/>
      <c r="BE33" s="948"/>
      <c r="BF33" s="931"/>
      <c r="BG33" s="932"/>
      <c r="BH33" s="974"/>
      <c r="BI33" s="975"/>
      <c r="BJ33" s="976"/>
      <c r="BK33" s="936"/>
      <c r="BL33" s="937"/>
      <c r="BM33" s="938"/>
      <c r="BN33" s="942"/>
      <c r="BO33" s="943"/>
      <c r="BP33" s="944"/>
      <c r="BQ33"/>
      <c r="BR33"/>
      <c r="BS33" s="967"/>
      <c r="BT33" s="967"/>
      <c r="BV33" s="926"/>
      <c r="BW33" s="926"/>
      <c r="BX33" s="926"/>
      <c r="BY33" s="927"/>
      <c r="BZ33" s="928"/>
      <c r="CB33" s="986"/>
      <c r="CC33" s="925"/>
      <c r="CD33" s="925"/>
      <c r="CE33" s="925"/>
      <c r="CF33" s="925"/>
      <c r="CG33" s="925"/>
      <c r="CH33" s="925"/>
      <c r="CI33" s="925"/>
      <c r="CJ33" s="977"/>
      <c r="CK33" s="977"/>
      <c r="CL33" s="977"/>
      <c r="CM33" s="977"/>
      <c r="CN33" s="977"/>
      <c r="CO33" s="977"/>
      <c r="CP33" s="977"/>
      <c r="CQ33" s="977"/>
      <c r="CR33" s="977"/>
      <c r="CS33" s="983"/>
      <c r="CT33" s="1056"/>
      <c r="CU33" s="979"/>
      <c r="CV33" s="925"/>
      <c r="CW33" s="925"/>
      <c r="CX33" s="925"/>
      <c r="CY33" s="925"/>
      <c r="CZ33" s="925"/>
      <c r="DA33" s="925"/>
      <c r="DD33" s="981"/>
      <c r="DE33" s="925"/>
      <c r="DF33" s="981"/>
      <c r="DG33" s="925"/>
      <c r="DH33" s="925"/>
      <c r="DI33" s="925"/>
      <c r="DJ33" s="925"/>
      <c r="DK33" s="925"/>
      <c r="DL33" s="925"/>
      <c r="DM33" s="925"/>
      <c r="DN33" s="925"/>
      <c r="DO33" s="925"/>
      <c r="DP33" s="925"/>
      <c r="DQ33" s="925"/>
      <c r="DR33" s="981"/>
      <c r="DS33" s="981"/>
      <c r="DT33" s="981"/>
      <c r="DU33" s="981"/>
      <c r="DV33" s="981"/>
      <c r="DW33" s="981"/>
      <c r="DX33" s="981"/>
      <c r="DY33" s="925"/>
      <c r="DZ33" s="925"/>
      <c r="EA33" s="925"/>
      <c r="EB33" s="925"/>
      <c r="EC33" s="925"/>
      <c r="ED33" s="925"/>
      <c r="EE33" s="925"/>
      <c r="EF33" s="925"/>
      <c r="EG33" s="925"/>
      <c r="EH33" s="925"/>
      <c r="EI33" s="925"/>
      <c r="EJ33" s="925"/>
      <c r="EK33" s="925"/>
      <c r="EL33" s="925"/>
      <c r="EM33" s="925"/>
      <c r="EN33" s="925"/>
    </row>
    <row r="34" spans="1:144" ht="16.350000000000001" customHeight="1">
      <c r="A34" s="462"/>
      <c r="B34" s="994">
        <v>9</v>
      </c>
      <c r="C34" s="995"/>
      <c r="D34" s="996"/>
      <c r="E34" s="997"/>
      <c r="F34" s="961"/>
      <c r="G34" s="962"/>
      <c r="H34" s="962"/>
      <c r="I34" s="962"/>
      <c r="J34" s="962"/>
      <c r="K34" s="963"/>
      <c r="L34" s="961"/>
      <c r="M34" s="962"/>
      <c r="N34" s="962"/>
      <c r="O34" s="962"/>
      <c r="P34" s="962"/>
      <c r="Q34" s="963"/>
      <c r="R34" s="1044"/>
      <c r="S34" s="1044"/>
      <c r="T34" s="1044"/>
      <c r="U34" s="1044"/>
      <c r="V34" s="1044"/>
      <c r="W34" s="1044"/>
      <c r="X34" s="1045"/>
      <c r="Y34" s="1045"/>
      <c r="Z34" s="1045"/>
      <c r="AA34" s="1045"/>
      <c r="AB34" s="1045"/>
      <c r="AC34" s="1045"/>
      <c r="AD34" s="961"/>
      <c r="AE34" s="962"/>
      <c r="AF34" s="962"/>
      <c r="AG34" s="962"/>
      <c r="AH34" s="962"/>
      <c r="AI34" s="963"/>
      <c r="AJ34" s="949"/>
      <c r="AK34" s="950"/>
      <c r="AL34" s="951"/>
      <c r="AM34" s="949"/>
      <c r="AN34" s="950"/>
      <c r="AO34" s="951"/>
      <c r="AP34" s="955"/>
      <c r="AQ34" s="956"/>
      <c r="AR34" s="957"/>
      <c r="AS34" s="955"/>
      <c r="AT34" s="956"/>
      <c r="AU34" s="957"/>
      <c r="AV34" s="968"/>
      <c r="AW34" s="969"/>
      <c r="AX34" s="970"/>
      <c r="AY34" s="968"/>
      <c r="AZ34" s="969"/>
      <c r="BA34" s="970"/>
      <c r="BB34" s="945"/>
      <c r="BC34" s="946"/>
      <c r="BD34" s="945"/>
      <c r="BE34" s="946"/>
      <c r="BF34" s="929" t="str">
        <f>IF(CB34="OK",ROUND(BB34+BD34,2),"")</f>
        <v/>
      </c>
      <c r="BG34" s="930"/>
      <c r="BH34" s="971" t="str">
        <f t="shared" ref="BH34" si="183">IFERROR(IF(AND($CB34="OK",$CU34="OK"),$CI34,IF($CB34&lt;&gt;"OK",$CB34,$CU34)),"")</f>
        <v/>
      </c>
      <c r="BI34" s="972"/>
      <c r="BJ34" s="973"/>
      <c r="BK34" s="933" t="str">
        <f t="shared" ref="BK34" si="184">IF($CB34="OK",CM34,"")</f>
        <v/>
      </c>
      <c r="BL34" s="934"/>
      <c r="BM34" s="935"/>
      <c r="BN34" s="939" t="str">
        <f t="shared" ref="BN34" si="185">IF($CB34="OK",$CR34,"")</f>
        <v/>
      </c>
      <c r="BO34" s="940"/>
      <c r="BP34" s="941"/>
      <c r="BQ34"/>
      <c r="BR34"/>
      <c r="BS34" s="967"/>
      <c r="BT34" s="967"/>
      <c r="BV34" s="926" t="str">
        <f t="shared" ref="BV34" si="186">IFERROR(ROUND(IF(AND(CB34="OK",CU34="OK"),CT34,""),0),"")</f>
        <v/>
      </c>
      <c r="BW34" s="926" t="str">
        <f t="shared" ref="BW34" si="187">IFERROR(ROUND(IF(AND(CB34="OK",CU34="OK"),BV34/3,""),0),"")</f>
        <v/>
      </c>
      <c r="BX34" s="926"/>
      <c r="BY34" s="927"/>
      <c r="BZ34" s="928"/>
      <c r="CB34" s="986" t="str">
        <f>IF(AND(C34="",F34="",R34="",AD34="",U34="",X34="",L34="",AJ34="",AV34="",AM34="",AP34="",AY34="",AV35="",BB34="",BD34="",AA34="",AS34=""),"",
IF(OR(C34="",F34="",R34="",AD34="",U34="",X34="",L34="",AJ34="",AV34="",AM34="",AP34="",AY34="",AV35="",BB34="",BD34="",AA34="",AS34=""),"Missing Fields",
IF(AND(M02S04F04disp="Required",M02S04F04=""),"TA Info Incomplete",
"OK")))</f>
        <v/>
      </c>
      <c r="CC34" s="925" t="str">
        <f>IF(AND(CB34="OK",CU34="OK"),INDEX(Tbl_Cust_Water[Measure Number], MATCH(F34,Tbl_Cust_Water[Proj Desc 1],0)),"")</f>
        <v/>
      </c>
      <c r="CD34" s="925"/>
      <c r="CE34" s="925" t="str">
        <f t="shared" ref="CE34" si="188">IF(CB34="OK","Measure","")</f>
        <v/>
      </c>
      <c r="CF34" s="925" t="str">
        <f t="shared" ref="CF34" si="189">IF(CB34="OK",1,"")</f>
        <v/>
      </c>
      <c r="CG34" s="978" t="str">
        <f t="shared" ref="CG34" si="190">IFERROR(CI34/CF34,"")</f>
        <v/>
      </c>
      <c r="CH34" s="978" t="str">
        <f>IF(CB34="OK",IF(CM34&gt;0,CM34*Incent_Rate_kWh,0)+IF(CO34&gt;0,CO34*Incent_Rate_thm,0),"")</f>
        <v/>
      </c>
      <c r="CI34" s="978" t="str">
        <f>IFERROR(IF($CB34="OK",IF(INCENTTOCOST_CUST&gt;CostCap_Cust,
CH34*CostCap_Cust/INCENTTOCOST_CUST,CH34),""),"")</f>
        <v/>
      </c>
      <c r="CJ34" s="977">
        <f t="shared" ref="CJ34" si="191">CM34</f>
        <v>0</v>
      </c>
      <c r="CK34" s="977">
        <f t="shared" ref="CK34" si="192">CN34</f>
        <v>0</v>
      </c>
      <c r="CL34" s="977">
        <f t="shared" ref="CL34" si="193">CO34</f>
        <v>0</v>
      </c>
      <c r="CM34" s="977">
        <f>R34-AJ34</f>
        <v>0</v>
      </c>
      <c r="CN34" s="977">
        <f>U34-AM34</f>
        <v>0</v>
      </c>
      <c r="CO34" s="977">
        <f t="shared" ref="CO34" si="194">IF(CR34&gt;0,CR34,0)</f>
        <v>0</v>
      </c>
      <c r="CP34" s="977">
        <f t="shared" ref="CP34" si="195">CM34</f>
        <v>0</v>
      </c>
      <c r="CQ34" s="977">
        <f t="shared" ref="CQ34" si="196">CN34</f>
        <v>0</v>
      </c>
      <c r="CR34" s="977">
        <f>X34-AP34</f>
        <v>0</v>
      </c>
      <c r="CS34" s="983"/>
      <c r="CT34" s="1056" t="str">
        <f>IF(CB34="OK",INDEX(Tbl_Cust_Water[EUL], MATCH(F34,Tbl_Cust_Water[Proj Desc 1],0)),"")</f>
        <v/>
      </c>
      <c r="CU34" s="979" t="str">
        <f t="shared" ref="CU34" si="197">IFERROR(IF(AND($CM34&lt;=0,$CN34&lt;=0,$CO34&lt;=0),"No Savings","OK"),"")</f>
        <v>No Savings</v>
      </c>
      <c r="CV34" s="925" t="str">
        <f t="shared" ref="CV34" si="198">IF(AND(CB34="OK",CU34="OK"),"1","")</f>
        <v/>
      </c>
      <c r="CW34" s="925" t="str">
        <f>IFERROR(IF($CB34="OK",ROUND($AQ$14*SUM(BB34:BE35)/SUM($BF$18:$BG$37),2),""),"")</f>
        <v/>
      </c>
      <c r="CX34" s="925" t="str">
        <f>IFERROR(IF(M02S04F04="Customer/Self-Installed",CW34,IF($CB34="OK",CW34+BD34,"")),"")</f>
        <v/>
      </c>
      <c r="CY34" s="925" t="str">
        <f>IFERROR(IF($CB34="OK",CX34+BB34,""),"")</f>
        <v/>
      </c>
      <c r="CZ34" s="925" t="str">
        <f>IF(CB34="OK",INDEX(MEASURES3_M!$O$28, MATCH(F34,MEASURES3_M!$C$28,0)),"")</f>
        <v/>
      </c>
      <c r="DA34" s="925" t="str">
        <f>IF(CB34="OK",INDEX(MEASURES3_M!$P$28, MATCH(F34,MEASURES3_M!$C$28,0)),"")</f>
        <v/>
      </c>
      <c r="DD34" s="980" t="str">
        <f>IFERROR(IF(CB34&lt;&gt;"OK","",CM34*VLOOKUP('DATA TABLES_Project'!$C$247,'DATA TABLES_Project'!$A$250:$B$285,2,FALSE)),"")</f>
        <v/>
      </c>
      <c r="DE34" s="925" t="str">
        <f t="shared" ref="DE34" si="199">IFERROR(IF(CB34&lt;&gt;"OK","",CM34*CZ34*0.92),"")</f>
        <v/>
      </c>
      <c r="DF34" s="980" t="str">
        <f>IFERROR(IF(CB34&lt;&gt;"OK","",CM34*CZ34*0.92*VLOOKUP('DATA TABLES_Project'!$C$247,'DATA TABLES_Project'!$A$250:$B$285,2,FALSE)),"")</f>
        <v/>
      </c>
      <c r="DG34" s="925" t="str">
        <f t="shared" ref="DG34" si="200">IFERROR(IF(CB34&lt;&gt;"OK","",CM34*BV34),IF(BX34="Dual",(CM34*BW34)+((BY34-AJ34)*(BV34-BW34)),""))</f>
        <v/>
      </c>
      <c r="DH34" s="925" t="str">
        <f ca="1">IFERROR(IF(CB34&lt;&gt;"OK","",IF(OR(BX34="Single",BX34=""), CM34*BV34*AVERAGE(INDEX('DATA TABLES_Project'!$B$250:$B$285, MATCH('DATA TABLES_Project'!$C$247,'DATA TABLES_Project'!$A$250:$A$285, 0)):OFFSET(INDEX('DATA TABLES_Project'!$B$250:$B$285, MATCH('DATA TABLES_Project'!$C$247,'DATA TABLES_Project'!$A$250:$A$285, 0)),BV34-1,0)),CM34*BW34*AVERAGE(INDEX('DATA TABLES_Project'!$B$250:$B$285, MATCH('DATA TABLES_Project'!$C$247,'DATA TABLES_Project'!$A$250:$A$285, 0)):OFFSET(INDEX('DATA TABLES_Project'!$B$250:$B$285, MATCH('DATA TABLES_Project'!$C$247,'DATA TABLES_Project'!$A$250:$A$285, 0)),BW34-1,0)) + ((BY34-AJ34)*(BV34-BW34)*AVERAGE(OFFSET(INDEX('DATA TABLES_Project'!$B$250:$B$285, MATCH('DATA TABLES_Project'!$C$247,'DATA TABLES_Project'!$A$250:$A$285, 0)),BW34,0):OFFSET(INDEX('DATA TABLES_Project'!$B$250:$B$285, MATCH('DATA TABLES_Project'!$C$247,'DATA TABLES_Project'!$A$250:$A$285, 0)),BV34-1,0))))), "")</f>
        <v/>
      </c>
      <c r="DI34" s="925" t="str">
        <f t="shared" ref="DI34" si="201">IFERROR(IF(CB34&lt;&gt;"OK","",IF(BX34="Dual",(CM34*BW34)+((BY34-AJ34)*(BV34-BW34))*CZ34*0.92,CM34*CZ34*BV34*0.92)),"")</f>
        <v/>
      </c>
      <c r="DJ34" s="925" t="str">
        <f ca="1">IFERROR(IF(CB34&lt;&gt;"OK","",IF(OR(BX34="Single",BX34=""),0.92*CZ34*CM34*BV34*AVERAGE(INDEX('DATA TABLES_Project'!$B$250:$B$285, MATCH('DATA TABLES_Project'!$C$247,'DATA TABLES_Project'!$A$250:$A$285, 0)):OFFSET(INDEX('DATA TABLES_Project'!$B$250:$B$285, MATCH('DATA TABLES_Project'!$C$247,'DATA TABLES_Project'!$A$250:$A$285, 0)),BV34-1,0)),0.92*CZ34*CM34*BW34*AVERAGE(INDEX('DATA TABLES_Project'!$B$250:$B$285, MATCH('DATA TABLES_Project'!$C$247,'DATA TABLES_Project'!$A$250:$A$285, 0)):OFFSET(INDEX('DATA TABLES_Project'!$B$250:$B$285, MATCH('DATA TABLES_Project'!$C$247,'DATA TABLES_Project'!$A$250:$A$285, 0)),BW34-1,0)) + (0.92*CZ34*(BY34-AJ34)*(BV34-BW34)*AVERAGE(OFFSET(INDEX('DATA TABLES_Project'!$B$250:$B$285, MATCH('DATA TABLES_Project'!$C$247,'DATA TABLES_Project'!$A$250:$A$285, 0)),BW34,0):OFFSET(INDEX('DATA TABLES_Project'!$B$250:$B$285, MATCH('DATA TABLES_Project'!$C$247,'DATA TABLES_Project'!$A$250:$A$285, 0)),BV34-1,0))))), "")</f>
        <v/>
      </c>
      <c r="DK34" s="925" t="str">
        <f>IFERROR(IF(CB34&lt;&gt;"OK","",CO34*'DATA TABLES_Project'!$C$250),"")</f>
        <v/>
      </c>
      <c r="DL34" s="925" t="str">
        <f t="shared" ref="DL34" si="202">IFERROR(IF(CB34&lt;&gt;"OK","",CO34*DA34*0.92),"")</f>
        <v/>
      </c>
      <c r="DM34" s="925" t="str">
        <f>IFERROR(IF(CB34&lt;&gt;"OK","",CO34*'DATA TABLES_Project'!$C$250*DA34*0.92),"")</f>
        <v/>
      </c>
      <c r="DN34" s="925" t="str">
        <f t="shared" ref="DN34" si="203">IFERROR(IF(CB34&lt;&gt;"OK","",CO34*BV34),IF(BX34="Dual",(CO34*BW34)+((BZ34-AP34)*(BV34-BW34)),""))</f>
        <v/>
      </c>
      <c r="DO34" s="925" t="str">
        <f ca="1">IFERROR(IF(CB34&lt;&gt;"OK","",CO34*BV34*AVERAGE('DATA TABLES_Project'!$C$250:OFFSET('DATA TABLES_Project'!$C$250,BV34,0))),IF(BX34="Dual",(CO34*BW34*AVERAGE('DATA TABLES_Project'!$C$251:$C$259))+((BZ34-AP34)*(BV34-BW34)*AVERAGE('DATA TABLES_Project'!$C$260:$C$279)),""))</f>
        <v/>
      </c>
      <c r="DP34" s="925" t="str">
        <f t="shared" ref="DP34" si="204">IFERROR(IF(CB34&lt;&gt;"OK","",IF(BX34="Dual",((CO34*BW34)+(BZ34-AP34)*(BV34-BW34))*DA34*0.92,CO34*BV34*DA34*0.92)),"")</f>
        <v/>
      </c>
      <c r="DQ34" s="925" t="str">
        <f ca="1">IFERROR(IF(CB34&lt;&gt;"OK","",IF(BX34="Dual",(0.92*DA34*CO34*BW34*AVERAGE('DATA TABLES_Project'!$C$251:$C$259))+(0.92*DA34*(BZ34-AP34)*(BV34-BW34)*AVERAGE('DATA TABLES_Project'!$C$260:$C$279)),0.92*DA34*CO34*BV34*AVERAGE('DATA TABLES_Project'!$C$250:OFFSET('DATA TABLES_Project'!$C$250,BV34,0)))),"")</f>
        <v/>
      </c>
      <c r="DR34" s="980" t="str">
        <f>IFERROR(IF($CB34&lt;&gt;"OK","",CM34*'DATA TABLES_Project'!$B$290+IF(CO34&lt;0,0,CO34*'DATA TABLES_Project'!$B$291)),"")</f>
        <v/>
      </c>
      <c r="DS34" s="980" t="str">
        <f>IFERROR(IF($CB34&lt;&gt;"OK","",DD34*'DATA TABLES_Project'!$B$290+IF(DK34&lt;0,0,DK34*'DATA TABLES_Project'!$B$291)),"")</f>
        <v/>
      </c>
      <c r="DT34" s="980" t="str">
        <f>IFERROR(IF($CB34&lt;&gt;"OK","",DE34*'DATA TABLES_Project'!$B$290+IF(DL34&lt;0,0,DL34*'DATA TABLES_Project'!$B$291)),"")</f>
        <v/>
      </c>
      <c r="DU34" s="980" t="str">
        <f>IFERROR(IF($CB34&lt;&gt;"OK","",DF34*'DATA TABLES_Project'!$B$290+IF(DM34&lt;0,0,DM34*'DATA TABLES_Project'!$B$291)),"")</f>
        <v/>
      </c>
      <c r="DV34" s="980" t="str">
        <f>IFERROR(IF($CB34&lt;&gt;"OK","",DG34*'DATA TABLES_Project'!$B$290+IF(DN34&lt;0,0,DN34*'DATA TABLES_Project'!$B$291)),"")</f>
        <v/>
      </c>
      <c r="DW34" s="980" t="str">
        <f>IFERROR(IF($CB34&lt;&gt;"OK","",DH34*'DATA TABLES_Project'!$B$290+IF(DO34&lt;0,0,DO34*'DATA TABLES_Project'!$B$291)),"")</f>
        <v/>
      </c>
      <c r="DX34" s="980" t="str">
        <f>IFERROR(IF($CB34&lt;&gt;"OK","",DI34*'DATA TABLES_Project'!$B$290+IF(DP34&lt;0,0,DP34*'DATA TABLES_Project'!$B$291)),"")</f>
        <v/>
      </c>
      <c r="DY34" s="925" t="str">
        <f>IFERROR(IF($CB34&lt;&gt;"OK","",DJ34*'DATA TABLES_Project'!$B$290+IF(DQ34&lt;0,0,DQ34*'DATA TABLES_Project'!$B$291)),"")</f>
        <v/>
      </c>
      <c r="DZ34" s="925" t="str">
        <f t="shared" ref="DZ34" si="205">IFERROR(IF($CB34&lt;&gt;"OK","",AS34),"")</f>
        <v/>
      </c>
      <c r="EA34" s="925" t="str">
        <f>IFERROR(IF(CB34&lt;&gt;"OK","",CN34*'DATA TABLES_Project'!$B$250*CZ34*1.03),"")</f>
        <v/>
      </c>
      <c r="EB34" s="925" t="str">
        <f t="shared" ref="EB34" si="206">IFERROR(IF(CB34&lt;&gt;"OK","",CN34*CZ34*1.03),"")</f>
        <v/>
      </c>
      <c r="EC34" s="925" t="str">
        <f>IFERROR(IF(CB34&lt;&gt;"OK","",CZ34*DZ34*'DATA TABLES_Project'!$C$250*0.92),"")</f>
        <v/>
      </c>
      <c r="ED34" s="925" t="str">
        <f>IFERROR(IF(CB34&lt;&gt;"OK","",CZ34*DZ34*'DATA TABLES_Project'!$C$250*0.92),"")</f>
        <v/>
      </c>
      <c r="EE34" s="925" t="str">
        <f t="shared" ref="EE34" si="207">IFERROR(IF(CB34&lt;&gt;"OK","",CZ34*DZ34*0.92),"")</f>
        <v/>
      </c>
      <c r="EF34" s="925" t="str">
        <f t="shared" ref="EF34" si="208">IFERROR(IF(CB34&lt;&gt;"OK","",CZ34*DZ34*0.92),"")</f>
        <v/>
      </c>
      <c r="EG34" s="925" t="str">
        <f>IFERROR(IF($CB34&lt;&gt;"OK","",CM34*'DATA TABLES_Project'!$B$290+CO34*'DATA TABLES_Project'!$B$291),"")</f>
        <v/>
      </c>
      <c r="EH34" s="925" t="str">
        <f>IFERROR(IF($CB34&lt;&gt;"OK","",DD34*'DATA TABLES_Project'!$B$290+DK34*'DATA TABLES_Project'!$B$291),"")</f>
        <v/>
      </c>
      <c r="EI34" s="925" t="str">
        <f>IFERROR(IF($CB34&lt;&gt;"OK","",DE34*'DATA TABLES_Project'!$B$290+DL34*'DATA TABLES_Project'!$B$291),"")</f>
        <v/>
      </c>
      <c r="EJ34" s="925" t="str">
        <f>IFERROR(IF($CB34&lt;&gt;"OK","",DF34*'DATA TABLES_Project'!$B$290+DM34*'DATA TABLES_Project'!$B$291),"")</f>
        <v/>
      </c>
      <c r="EK34" s="925" t="str">
        <f>IFERROR(IF($CB34&lt;&gt;"OK","",DG34*'DATA TABLES_Project'!$B$290+DN34*'DATA TABLES_Project'!$B$291),"")</f>
        <v/>
      </c>
      <c r="EL34" s="925" t="str">
        <f>IFERROR(IF($CB34&lt;&gt;"OK","",DH34*'DATA TABLES_Project'!$B$290+DO34*'DATA TABLES_Project'!$B$291),"")</f>
        <v/>
      </c>
      <c r="EM34" s="925" t="str">
        <f>IFERROR(IF($CB34&lt;&gt;"OK","",DI34*'DATA TABLES_Project'!$B$290+DP34*'DATA TABLES_Project'!$B$291),"")</f>
        <v/>
      </c>
      <c r="EN34" s="925" t="str">
        <f>IFERROR(IF($CB34&lt;&gt;"OK","",DJ34*'DATA TABLES_Project'!$B$290+DQ34*'DATA TABLES_Project'!$B$291),"")</f>
        <v/>
      </c>
    </row>
    <row r="35" spans="1:144" ht="16.350000000000001" customHeight="1">
      <c r="A35" s="462"/>
      <c r="B35" s="994"/>
      <c r="C35" s="998"/>
      <c r="D35" s="999"/>
      <c r="E35" s="1000"/>
      <c r="F35" s="964"/>
      <c r="G35" s="965"/>
      <c r="H35" s="965"/>
      <c r="I35" s="965"/>
      <c r="J35" s="965"/>
      <c r="K35" s="966"/>
      <c r="L35" s="964"/>
      <c r="M35" s="965"/>
      <c r="N35" s="965"/>
      <c r="O35" s="965"/>
      <c r="P35" s="965"/>
      <c r="Q35" s="966"/>
      <c r="R35" s="1044"/>
      <c r="S35" s="1044"/>
      <c r="T35" s="1044"/>
      <c r="U35" s="1044"/>
      <c r="V35" s="1044"/>
      <c r="W35" s="1044"/>
      <c r="X35" s="1045"/>
      <c r="Y35" s="1045"/>
      <c r="Z35" s="1045"/>
      <c r="AA35" s="1045"/>
      <c r="AB35" s="1045"/>
      <c r="AC35" s="1045"/>
      <c r="AD35" s="964"/>
      <c r="AE35" s="965"/>
      <c r="AF35" s="965"/>
      <c r="AG35" s="965"/>
      <c r="AH35" s="965"/>
      <c r="AI35" s="966"/>
      <c r="AJ35" s="952"/>
      <c r="AK35" s="953"/>
      <c r="AL35" s="954"/>
      <c r="AM35" s="952"/>
      <c r="AN35" s="953"/>
      <c r="AO35" s="954"/>
      <c r="AP35" s="958"/>
      <c r="AQ35" s="959"/>
      <c r="AR35" s="960"/>
      <c r="AS35" s="958"/>
      <c r="AT35" s="959"/>
      <c r="AU35" s="960"/>
      <c r="AV35" s="968"/>
      <c r="AW35" s="969"/>
      <c r="AX35" s="969"/>
      <c r="AY35" s="969"/>
      <c r="AZ35" s="969"/>
      <c r="BA35" s="970"/>
      <c r="BB35" s="947"/>
      <c r="BC35" s="948"/>
      <c r="BD35" s="947"/>
      <c r="BE35" s="948"/>
      <c r="BF35" s="931"/>
      <c r="BG35" s="932"/>
      <c r="BH35" s="974"/>
      <c r="BI35" s="975"/>
      <c r="BJ35" s="976"/>
      <c r="BK35" s="936"/>
      <c r="BL35" s="937"/>
      <c r="BM35" s="938"/>
      <c r="BN35" s="942"/>
      <c r="BO35" s="943"/>
      <c r="BP35" s="944"/>
      <c r="BQ35"/>
      <c r="BR35"/>
      <c r="BS35" s="967"/>
      <c r="BT35" s="967"/>
      <c r="BV35" s="926"/>
      <c r="BW35" s="926"/>
      <c r="BX35" s="926"/>
      <c r="BY35" s="927"/>
      <c r="BZ35" s="928"/>
      <c r="CB35" s="986"/>
      <c r="CC35" s="925"/>
      <c r="CD35" s="925"/>
      <c r="CE35" s="925"/>
      <c r="CF35" s="925"/>
      <c r="CG35" s="925"/>
      <c r="CH35" s="925"/>
      <c r="CI35" s="925"/>
      <c r="CJ35" s="977"/>
      <c r="CK35" s="977"/>
      <c r="CL35" s="977"/>
      <c r="CM35" s="977"/>
      <c r="CN35" s="977"/>
      <c r="CO35" s="977"/>
      <c r="CP35" s="977"/>
      <c r="CQ35" s="977"/>
      <c r="CR35" s="977"/>
      <c r="CS35" s="983"/>
      <c r="CT35" s="1056"/>
      <c r="CU35" s="979"/>
      <c r="CV35" s="925"/>
      <c r="CW35" s="925"/>
      <c r="CX35" s="925"/>
      <c r="CY35" s="925"/>
      <c r="CZ35" s="925"/>
      <c r="DA35" s="925"/>
      <c r="DD35" s="981"/>
      <c r="DE35" s="925"/>
      <c r="DF35" s="981"/>
      <c r="DG35" s="925"/>
      <c r="DH35" s="925"/>
      <c r="DI35" s="925"/>
      <c r="DJ35" s="925"/>
      <c r="DK35" s="925"/>
      <c r="DL35" s="925"/>
      <c r="DM35" s="925"/>
      <c r="DN35" s="925"/>
      <c r="DO35" s="925"/>
      <c r="DP35" s="925"/>
      <c r="DQ35" s="925"/>
      <c r="DR35" s="981"/>
      <c r="DS35" s="981"/>
      <c r="DT35" s="981"/>
      <c r="DU35" s="981"/>
      <c r="DV35" s="981"/>
      <c r="DW35" s="981"/>
      <c r="DX35" s="981"/>
      <c r="DY35" s="925"/>
      <c r="DZ35" s="925"/>
      <c r="EA35" s="925"/>
      <c r="EB35" s="925"/>
      <c r="EC35" s="925"/>
      <c r="ED35" s="925"/>
      <c r="EE35" s="925"/>
      <c r="EF35" s="925"/>
      <c r="EG35" s="925"/>
      <c r="EH35" s="925"/>
      <c r="EI35" s="925"/>
      <c r="EJ35" s="925"/>
      <c r="EK35" s="925"/>
      <c r="EL35" s="925"/>
      <c r="EM35" s="925"/>
      <c r="EN35" s="925"/>
    </row>
    <row r="36" spans="1:144" ht="16.350000000000001" customHeight="1">
      <c r="A36" s="462"/>
      <c r="B36" s="994">
        <v>10</v>
      </c>
      <c r="C36" s="995"/>
      <c r="D36" s="996"/>
      <c r="E36" s="997"/>
      <c r="F36" s="961"/>
      <c r="G36" s="962"/>
      <c r="H36" s="962"/>
      <c r="I36" s="962"/>
      <c r="J36" s="962"/>
      <c r="K36" s="963"/>
      <c r="L36" s="961"/>
      <c r="M36" s="962"/>
      <c r="N36" s="962"/>
      <c r="O36" s="962"/>
      <c r="P36" s="962"/>
      <c r="Q36" s="963"/>
      <c r="R36" s="1044"/>
      <c r="S36" s="1044"/>
      <c r="T36" s="1044"/>
      <c r="U36" s="1044"/>
      <c r="V36" s="1044"/>
      <c r="W36" s="1044"/>
      <c r="X36" s="1045"/>
      <c r="Y36" s="1045"/>
      <c r="Z36" s="1045"/>
      <c r="AA36" s="1045"/>
      <c r="AB36" s="1045"/>
      <c r="AC36" s="1045"/>
      <c r="AD36" s="961"/>
      <c r="AE36" s="962"/>
      <c r="AF36" s="962"/>
      <c r="AG36" s="962"/>
      <c r="AH36" s="962"/>
      <c r="AI36" s="963"/>
      <c r="AJ36" s="949"/>
      <c r="AK36" s="950"/>
      <c r="AL36" s="951"/>
      <c r="AM36" s="949"/>
      <c r="AN36" s="950"/>
      <c r="AO36" s="951"/>
      <c r="AP36" s="955"/>
      <c r="AQ36" s="956"/>
      <c r="AR36" s="957"/>
      <c r="AS36" s="955"/>
      <c r="AT36" s="956"/>
      <c r="AU36" s="957"/>
      <c r="AV36" s="968"/>
      <c r="AW36" s="969"/>
      <c r="AX36" s="970"/>
      <c r="AY36" s="968"/>
      <c r="AZ36" s="969"/>
      <c r="BA36" s="970"/>
      <c r="BB36" s="945"/>
      <c r="BC36" s="946"/>
      <c r="BD36" s="945"/>
      <c r="BE36" s="946"/>
      <c r="BF36" s="929" t="str">
        <f>IF(CB36="OK",ROUND(BB36+BD36,2),"")</f>
        <v/>
      </c>
      <c r="BG36" s="930"/>
      <c r="BH36" s="971" t="str">
        <f t="shared" ref="BH36" si="209">IFERROR(IF(AND($CB36="OK",$CU36="OK"),$CI36,IF($CB36&lt;&gt;"OK",$CB36,$CU36)),"")</f>
        <v/>
      </c>
      <c r="BI36" s="972"/>
      <c r="BJ36" s="973"/>
      <c r="BK36" s="933" t="str">
        <f t="shared" ref="BK36" si="210">IF($CB36="OK",CM36,"")</f>
        <v/>
      </c>
      <c r="BL36" s="934"/>
      <c r="BM36" s="935"/>
      <c r="BN36" s="939" t="str">
        <f t="shared" ref="BN36" si="211">IF($CB36="OK",$CR36,"")</f>
        <v/>
      </c>
      <c r="BO36" s="940"/>
      <c r="BP36" s="941"/>
      <c r="BQ36"/>
      <c r="BR36"/>
      <c r="BS36" s="967"/>
      <c r="BT36" s="967"/>
      <c r="BV36" s="926" t="str">
        <f t="shared" ref="BV36" si="212">IFERROR(ROUND(IF(AND(CB36="OK",CU36="OK"),CT36,""),0),"")</f>
        <v/>
      </c>
      <c r="BW36" s="926" t="str">
        <f t="shared" ref="BW36" si="213">IFERROR(ROUND(IF(AND(CB36="OK",CU36="OK"),BV36/3,""),0),"")</f>
        <v/>
      </c>
      <c r="BX36" s="926"/>
      <c r="BY36" s="927"/>
      <c r="BZ36" s="928"/>
      <c r="CB36" s="986" t="str">
        <f>IF(AND(C36="",F36="",R36="",AD36="",U36="",X36="",L36="",AJ36="",AV36="",AM36="",AP36="",AY36="",AV37="",BB36="",BD36="",AA36="",AS36=""),"",
IF(OR(C36="",F36="",R36="",AD36="",U36="",X36="",L36="",AJ36="",AV36="",AM36="",AP36="",AY36="",AV37="",BB36="",BD36="",AA36="",AS36=""),"Missing Fields",
IF(AND(M02S04F04disp="Required",M02S04F04=""),"TA Info Incomplete",
"OK")))</f>
        <v/>
      </c>
      <c r="CC36" s="925" t="str">
        <f>IF(AND(CB36="OK",CU36="OK"),INDEX(Tbl_Cust_Water[Measure Number], MATCH(F36,Tbl_Cust_Water[Proj Desc 1],0)),"")</f>
        <v/>
      </c>
      <c r="CD36" s="925"/>
      <c r="CE36" s="925" t="str">
        <f t="shared" ref="CE36" si="214">IF(CB36="OK","Measure","")</f>
        <v/>
      </c>
      <c r="CF36" s="925" t="str">
        <f t="shared" ref="CF36" si="215">IF(CB36="OK",1,"")</f>
        <v/>
      </c>
      <c r="CG36" s="978" t="str">
        <f t="shared" ref="CG36" si="216">IFERROR(CI36/CF36,"")</f>
        <v/>
      </c>
      <c r="CH36" s="978" t="str">
        <f>IF(CB36="OK",IF(CM36&gt;0,CM36*Incent_Rate_kWh,0)+IF(CO36&gt;0,CO36*Incent_Rate_thm,0),"")</f>
        <v/>
      </c>
      <c r="CI36" s="978" t="str">
        <f>IFERROR(IF($CB36="OK",IF(INCENTTOCOST_CUST&gt;CostCap_Cust,
CH36*CostCap_Cust/INCENTTOCOST_CUST,CH36),""),"")</f>
        <v/>
      </c>
      <c r="CJ36" s="977">
        <f t="shared" ref="CJ36" si="217">CM36</f>
        <v>0</v>
      </c>
      <c r="CK36" s="977">
        <f t="shared" ref="CK36" si="218">CN36</f>
        <v>0</v>
      </c>
      <c r="CL36" s="977">
        <f t="shared" ref="CL36" si="219">CO36</f>
        <v>0</v>
      </c>
      <c r="CM36" s="977">
        <f>R36-AJ36</f>
        <v>0</v>
      </c>
      <c r="CN36" s="977">
        <f>U36-AM36</f>
        <v>0</v>
      </c>
      <c r="CO36" s="977">
        <f t="shared" ref="CO36" si="220">IF(CR36&gt;0,CR36,0)</f>
        <v>0</v>
      </c>
      <c r="CP36" s="977">
        <f t="shared" ref="CP36" si="221">CM36</f>
        <v>0</v>
      </c>
      <c r="CQ36" s="977">
        <f t="shared" ref="CQ36" si="222">CN36</f>
        <v>0</v>
      </c>
      <c r="CR36" s="977">
        <f>X36-AP36</f>
        <v>0</v>
      </c>
      <c r="CS36" s="983"/>
      <c r="CT36" s="1056" t="str">
        <f>IF(CB36="OK",INDEX(Tbl_Cust_Water[EUL], MATCH(F36,Tbl_Cust_Water[Proj Desc 1],0)),"")</f>
        <v/>
      </c>
      <c r="CU36" s="979" t="str">
        <f t="shared" ref="CU36" si="223">IFERROR(IF(AND($CM36&lt;=0,$CN36&lt;=0,$CO36&lt;=0),"No Savings","OK"),"")</f>
        <v>No Savings</v>
      </c>
      <c r="CV36" s="925" t="str">
        <f t="shared" ref="CV36" si="224">IF(AND(CB36="OK",CU36="OK"),"1","")</f>
        <v/>
      </c>
      <c r="CW36" s="925" t="str">
        <f>IFERROR(IF($CB36="OK",ROUND($AQ$14*SUM(BB36:BE37)/SUM($BF$18:$BG$37),2),""),"")</f>
        <v/>
      </c>
      <c r="CX36" s="925" t="str">
        <f>IFERROR(IF(M02S04F04="Customer/Self-Installed",CW36,IF($CB36="OK",CW36+BD36,"")),"")</f>
        <v/>
      </c>
      <c r="CY36" s="925" t="str">
        <f>IFERROR(IF($CB36="OK",CX36+BB36,""),"")</f>
        <v/>
      </c>
      <c r="CZ36" s="925" t="str">
        <f>IF(CB36="OK",INDEX(MEASURES3_M!$O$28, MATCH(F36,MEASURES3_M!$C$28,0)),"")</f>
        <v/>
      </c>
      <c r="DA36" s="925" t="str">
        <f>IF(CB36="OK",INDEX(MEASURES3_M!$P$28, MATCH(F36,MEASURES3_M!$C$28,0)),"")</f>
        <v/>
      </c>
      <c r="DD36" s="980" t="str">
        <f>IFERROR(IF(CB36&lt;&gt;"OK","",CM36*VLOOKUP('DATA TABLES_Project'!$C$247,'DATA TABLES_Project'!$A$250:$B$285,2,FALSE)),"")</f>
        <v/>
      </c>
      <c r="DE36" s="925" t="str">
        <f t="shared" ref="DE36" si="225">IFERROR(IF(CB36&lt;&gt;"OK","",CM36*CZ36*0.92),"")</f>
        <v/>
      </c>
      <c r="DF36" s="980" t="str">
        <f>IFERROR(IF(CB36&lt;&gt;"OK","",CM36*CZ36*0.92*VLOOKUP('DATA TABLES_Project'!$C$247,'DATA TABLES_Project'!$A$250:$B$285,2,FALSE)),"")</f>
        <v/>
      </c>
      <c r="DG36" s="925" t="str">
        <f t="shared" ref="DG36" si="226">IFERROR(IF(CB36&lt;&gt;"OK","",CM36*BV36),IF(BX36="Dual",(CM36*BW36)+((BY36-AJ36)*(BV36-BW36)),""))</f>
        <v/>
      </c>
      <c r="DH36" s="925" t="str">
        <f ca="1">IFERROR(IF(CB36&lt;&gt;"OK","",IF(OR(BX36="Single",BX36=""), CM36*BV36*AVERAGE(INDEX('DATA TABLES_Project'!$B$250:$B$285, MATCH('DATA TABLES_Project'!$C$247,'DATA TABLES_Project'!$A$250:$A$285, 0)):OFFSET(INDEX('DATA TABLES_Project'!$B$250:$B$285, MATCH('DATA TABLES_Project'!$C$247,'DATA TABLES_Project'!$A$250:$A$285, 0)),BV36-1,0)),CM36*BW36*AVERAGE(INDEX('DATA TABLES_Project'!$B$250:$B$285, MATCH('DATA TABLES_Project'!$C$247,'DATA TABLES_Project'!$A$250:$A$285, 0)):OFFSET(INDEX('DATA TABLES_Project'!$B$250:$B$285, MATCH('DATA TABLES_Project'!$C$247,'DATA TABLES_Project'!$A$250:$A$285, 0)),BW36-1,0)) + ((BY36-AJ36)*(BV36-BW36)*AVERAGE(OFFSET(INDEX('DATA TABLES_Project'!$B$250:$B$285, MATCH('DATA TABLES_Project'!$C$247,'DATA TABLES_Project'!$A$250:$A$285, 0)),BW36,0):OFFSET(INDEX('DATA TABLES_Project'!$B$250:$B$285, MATCH('DATA TABLES_Project'!$C$247,'DATA TABLES_Project'!$A$250:$A$285, 0)),BV36-1,0))))), "")</f>
        <v/>
      </c>
      <c r="DI36" s="925" t="str">
        <f t="shared" ref="DI36" si="227">IFERROR(IF(CB36&lt;&gt;"OK","",IF(BX36="Dual",(CM36*BW36)+((BY36-AJ36)*(BV36-BW36))*CZ36*0.92,CM36*CZ36*BV36*0.92)),"")</f>
        <v/>
      </c>
      <c r="DJ36" s="925" t="str">
        <f ca="1">IFERROR(IF(CB36&lt;&gt;"OK","",IF(OR(BX36="Single",BX36=""),0.92*CZ36*CM36*BV36*AVERAGE(INDEX('DATA TABLES_Project'!$B$250:$B$285, MATCH('DATA TABLES_Project'!$C$247,'DATA TABLES_Project'!$A$250:$A$285, 0)):OFFSET(INDEX('DATA TABLES_Project'!$B$250:$B$285, MATCH('DATA TABLES_Project'!$C$247,'DATA TABLES_Project'!$A$250:$A$285, 0)),BV36-1,0)),0.92*CZ36*CM36*BW36*AVERAGE(INDEX('DATA TABLES_Project'!$B$250:$B$285, MATCH('DATA TABLES_Project'!$C$247,'DATA TABLES_Project'!$A$250:$A$285, 0)):OFFSET(INDEX('DATA TABLES_Project'!$B$250:$B$285, MATCH('DATA TABLES_Project'!$C$247,'DATA TABLES_Project'!$A$250:$A$285, 0)),BW36-1,0)) + (0.92*CZ36*(BY36-AJ36)*(BV36-BW36)*AVERAGE(OFFSET(INDEX('DATA TABLES_Project'!$B$250:$B$285, MATCH('DATA TABLES_Project'!$C$247,'DATA TABLES_Project'!$A$250:$A$285, 0)),BW36,0):OFFSET(INDEX('DATA TABLES_Project'!$B$250:$B$285, MATCH('DATA TABLES_Project'!$C$247,'DATA TABLES_Project'!$A$250:$A$285, 0)),BV36-1,0))))), "")</f>
        <v/>
      </c>
      <c r="DK36" s="925" t="str">
        <f>IFERROR(IF(CB36&lt;&gt;"OK","",CO36*'DATA TABLES_Project'!$C$250),"")</f>
        <v/>
      </c>
      <c r="DL36" s="925" t="str">
        <f t="shared" ref="DL36" si="228">IFERROR(IF(CB36&lt;&gt;"OK","",CO36*DA36*0.92),"")</f>
        <v/>
      </c>
      <c r="DM36" s="925" t="str">
        <f>IFERROR(IF(CB36&lt;&gt;"OK","",CO36*'DATA TABLES_Project'!$C$250*DA36*0.92),"")</f>
        <v/>
      </c>
      <c r="DN36" s="925" t="str">
        <f t="shared" ref="DN36" si="229">IFERROR(IF(CB36&lt;&gt;"OK","",CO36*BV36),IF(BX36="Dual",(CO36*BW36)+((BZ36-AP36)*(BV36-BW36)),""))</f>
        <v/>
      </c>
      <c r="DO36" s="925" t="str">
        <f ca="1">IFERROR(IF(CB36&lt;&gt;"OK","",CO36*BV36*AVERAGE('DATA TABLES_Project'!$C$250:OFFSET('DATA TABLES_Project'!$C$250,BV36,0))),IF(BX36="Dual",(CO36*BW36*AVERAGE('DATA TABLES_Project'!$C$251:$C$259))+((BZ36-AP36)*(BV36-BW36)*AVERAGE('DATA TABLES_Project'!$C$260:$C$279)),""))</f>
        <v/>
      </c>
      <c r="DP36" s="925" t="str">
        <f t="shared" ref="DP36" si="230">IFERROR(IF(CB36&lt;&gt;"OK","",IF(BX36="Dual",((CO36*BW36)+(BZ36-AP36)*(BV36-BW36))*DA36*0.92,CO36*BV36*DA36*0.92)),"")</f>
        <v/>
      </c>
      <c r="DQ36" s="925" t="str">
        <f ca="1">IFERROR(IF(CB36&lt;&gt;"OK","",IF(BX36="Dual",(0.92*DA36*CO36*BW36*AVERAGE('DATA TABLES_Project'!$C$251:$C$259))+(0.92*DA36*(BZ36-AP36)*(BV36-BW36)*AVERAGE('DATA TABLES_Project'!$C$260:$C$279)),0.92*DA36*CO36*BV36*AVERAGE('DATA TABLES_Project'!$C$250:OFFSET('DATA TABLES_Project'!$C$250,BV36,0)))),"")</f>
        <v/>
      </c>
      <c r="DR36" s="980" t="str">
        <f>IFERROR(IF($CB36&lt;&gt;"OK","",CM36*'DATA TABLES_Project'!$B$290+IF(CO36&lt;0,0,CO36*'DATA TABLES_Project'!$B$291)),"")</f>
        <v/>
      </c>
      <c r="DS36" s="980" t="str">
        <f>IFERROR(IF($CB36&lt;&gt;"OK","",DD36*'DATA TABLES_Project'!$B$290+IF(DK36&lt;0,0,DK36*'DATA TABLES_Project'!$B$291)),"")</f>
        <v/>
      </c>
      <c r="DT36" s="980" t="str">
        <f>IFERROR(IF($CB36&lt;&gt;"OK","",DE36*'DATA TABLES_Project'!$B$290+IF(DL36&lt;0,0,DL36*'DATA TABLES_Project'!$B$291)),"")</f>
        <v/>
      </c>
      <c r="DU36" s="980" t="str">
        <f>IFERROR(IF($CB36&lt;&gt;"OK","",DF36*'DATA TABLES_Project'!$B$290+IF(DM36&lt;0,0,DM36*'DATA TABLES_Project'!$B$291)),"")</f>
        <v/>
      </c>
      <c r="DV36" s="980" t="str">
        <f>IFERROR(IF($CB36&lt;&gt;"OK","",DG36*'DATA TABLES_Project'!$B$290+IF(DN36&lt;0,0,DN36*'DATA TABLES_Project'!$B$291)),"")</f>
        <v/>
      </c>
      <c r="DW36" s="980" t="str">
        <f>IFERROR(IF($CB36&lt;&gt;"OK","",DH36*'DATA TABLES_Project'!$B$290+IF(DO36&lt;0,0,DO36*'DATA TABLES_Project'!$B$291)),"")</f>
        <v/>
      </c>
      <c r="DX36" s="980" t="str">
        <f>IFERROR(IF($CB36&lt;&gt;"OK","",DI36*'DATA TABLES_Project'!$B$290+IF(DP36&lt;0,0,DP36*'DATA TABLES_Project'!$B$291)),"")</f>
        <v/>
      </c>
      <c r="DY36" s="925" t="str">
        <f>IFERROR(IF($CB36&lt;&gt;"OK","",DJ36*'DATA TABLES_Project'!$B$290+IF(DQ36&lt;0,0,DQ36*'DATA TABLES_Project'!$B$291)),"")</f>
        <v/>
      </c>
      <c r="DZ36" s="925" t="str">
        <f t="shared" ref="DZ36" si="231">IFERROR(IF($CB36&lt;&gt;"OK","",AS36),"")</f>
        <v/>
      </c>
      <c r="EA36" s="925" t="str">
        <f>IFERROR(IF(CB36&lt;&gt;"OK","",CN36*'DATA TABLES_Project'!$B$250*CZ36*1.03),"")</f>
        <v/>
      </c>
      <c r="EB36" s="925" t="str">
        <f t="shared" ref="EB36" si="232">IFERROR(IF(CB36&lt;&gt;"OK","",CN36*CZ36*1.03),"")</f>
        <v/>
      </c>
      <c r="EC36" s="925" t="str">
        <f>IFERROR(IF(CB36&lt;&gt;"OK","",CZ36*DZ36*'DATA TABLES_Project'!$C$250*0.92),"")</f>
        <v/>
      </c>
      <c r="ED36" s="925" t="str">
        <f>IFERROR(IF(CB36&lt;&gt;"OK","",CZ36*DZ36*'DATA TABLES_Project'!$C$250*0.92),"")</f>
        <v/>
      </c>
      <c r="EE36" s="925" t="str">
        <f t="shared" ref="EE36" si="233">IFERROR(IF(CB36&lt;&gt;"OK","",CZ36*DZ36*0.92),"")</f>
        <v/>
      </c>
      <c r="EF36" s="925" t="str">
        <f t="shared" ref="EF36" si="234">IFERROR(IF(CB36&lt;&gt;"OK","",CZ36*DZ36*0.92),"")</f>
        <v/>
      </c>
      <c r="EG36" s="925" t="str">
        <f>IFERROR(IF($CB36&lt;&gt;"OK","",CM36*'DATA TABLES_Project'!$B$290+CO36*'DATA TABLES_Project'!$B$291),"")</f>
        <v/>
      </c>
      <c r="EH36" s="925" t="str">
        <f>IFERROR(IF($CB36&lt;&gt;"OK","",DD36*'DATA TABLES_Project'!$B$290+DK36*'DATA TABLES_Project'!$B$291),"")</f>
        <v/>
      </c>
      <c r="EI36" s="925" t="str">
        <f>IFERROR(IF($CB36&lt;&gt;"OK","",DE36*'DATA TABLES_Project'!$B$290+DL36*'DATA TABLES_Project'!$B$291),"")</f>
        <v/>
      </c>
      <c r="EJ36" s="925" t="str">
        <f>IFERROR(IF($CB36&lt;&gt;"OK","",DF36*'DATA TABLES_Project'!$B$290+DM36*'DATA TABLES_Project'!$B$291),"")</f>
        <v/>
      </c>
      <c r="EK36" s="925" t="str">
        <f>IFERROR(IF($CB36&lt;&gt;"OK","",DG36*'DATA TABLES_Project'!$B$290+DN36*'DATA TABLES_Project'!$B$291),"")</f>
        <v/>
      </c>
      <c r="EL36" s="925" t="str">
        <f>IFERROR(IF($CB36&lt;&gt;"OK","",DH36*'DATA TABLES_Project'!$B$290+DO36*'DATA TABLES_Project'!$B$291),"")</f>
        <v/>
      </c>
      <c r="EM36" s="925" t="str">
        <f>IFERROR(IF($CB36&lt;&gt;"OK","",DI36*'DATA TABLES_Project'!$B$290+DP36*'DATA TABLES_Project'!$B$291),"")</f>
        <v/>
      </c>
      <c r="EN36" s="925" t="str">
        <f>IFERROR(IF($CB36&lt;&gt;"OK","",DJ36*'DATA TABLES_Project'!$B$290+DQ36*'DATA TABLES_Project'!$B$291),"")</f>
        <v/>
      </c>
    </row>
    <row r="37" spans="1:144" ht="16.350000000000001" customHeight="1">
      <c r="A37" s="462"/>
      <c r="B37" s="994"/>
      <c r="C37" s="998"/>
      <c r="D37" s="999"/>
      <c r="E37" s="1000"/>
      <c r="F37" s="964"/>
      <c r="G37" s="965"/>
      <c r="H37" s="965"/>
      <c r="I37" s="965"/>
      <c r="J37" s="965"/>
      <c r="K37" s="966"/>
      <c r="L37" s="964"/>
      <c r="M37" s="965"/>
      <c r="N37" s="965"/>
      <c r="O37" s="965"/>
      <c r="P37" s="965"/>
      <c r="Q37" s="966"/>
      <c r="R37" s="1044"/>
      <c r="S37" s="1044"/>
      <c r="T37" s="1044"/>
      <c r="U37" s="1044"/>
      <c r="V37" s="1044"/>
      <c r="W37" s="1044"/>
      <c r="X37" s="1045"/>
      <c r="Y37" s="1045"/>
      <c r="Z37" s="1045"/>
      <c r="AA37" s="1045"/>
      <c r="AB37" s="1045"/>
      <c r="AC37" s="1045"/>
      <c r="AD37" s="964"/>
      <c r="AE37" s="965"/>
      <c r="AF37" s="965"/>
      <c r="AG37" s="965"/>
      <c r="AH37" s="965"/>
      <c r="AI37" s="966"/>
      <c r="AJ37" s="952"/>
      <c r="AK37" s="953"/>
      <c r="AL37" s="954"/>
      <c r="AM37" s="952"/>
      <c r="AN37" s="953"/>
      <c r="AO37" s="954"/>
      <c r="AP37" s="958"/>
      <c r="AQ37" s="959"/>
      <c r="AR37" s="960"/>
      <c r="AS37" s="958"/>
      <c r="AT37" s="959"/>
      <c r="AU37" s="960"/>
      <c r="AV37" s="968"/>
      <c r="AW37" s="969"/>
      <c r="AX37" s="969"/>
      <c r="AY37" s="969"/>
      <c r="AZ37" s="969"/>
      <c r="BA37" s="970"/>
      <c r="BB37" s="947"/>
      <c r="BC37" s="948"/>
      <c r="BD37" s="947"/>
      <c r="BE37" s="948"/>
      <c r="BF37" s="931"/>
      <c r="BG37" s="932"/>
      <c r="BH37" s="974"/>
      <c r="BI37" s="975"/>
      <c r="BJ37" s="976"/>
      <c r="BK37" s="936"/>
      <c r="BL37" s="937"/>
      <c r="BM37" s="938"/>
      <c r="BN37" s="942"/>
      <c r="BO37" s="943"/>
      <c r="BP37" s="944"/>
      <c r="BQ37"/>
      <c r="BR37"/>
      <c r="BS37" s="967"/>
      <c r="BT37" s="967"/>
      <c r="BV37" s="926"/>
      <c r="BW37" s="926"/>
      <c r="BX37" s="926"/>
      <c r="BY37" s="927"/>
      <c r="BZ37" s="928"/>
      <c r="CB37" s="986"/>
      <c r="CC37" s="925"/>
      <c r="CD37" s="925"/>
      <c r="CE37" s="925"/>
      <c r="CF37" s="925"/>
      <c r="CG37" s="925"/>
      <c r="CH37" s="925"/>
      <c r="CI37" s="925"/>
      <c r="CJ37" s="977"/>
      <c r="CK37" s="977"/>
      <c r="CL37" s="977"/>
      <c r="CM37" s="977"/>
      <c r="CN37" s="977"/>
      <c r="CO37" s="977"/>
      <c r="CP37" s="977"/>
      <c r="CQ37" s="977"/>
      <c r="CR37" s="977"/>
      <c r="CS37" s="983"/>
      <c r="CT37" s="1056"/>
      <c r="CU37" s="979"/>
      <c r="CV37" s="925"/>
      <c r="CW37" s="925"/>
      <c r="CX37" s="925"/>
      <c r="CY37" s="925"/>
      <c r="CZ37" s="925"/>
      <c r="DA37" s="925"/>
      <c r="DD37" s="981"/>
      <c r="DE37" s="925"/>
      <c r="DF37" s="981"/>
      <c r="DG37" s="925"/>
      <c r="DH37" s="925"/>
      <c r="DI37" s="925"/>
      <c r="DJ37" s="925"/>
      <c r="DK37" s="925"/>
      <c r="DL37" s="925"/>
      <c r="DM37" s="925"/>
      <c r="DN37" s="925"/>
      <c r="DO37" s="925"/>
      <c r="DP37" s="925"/>
      <c r="DQ37" s="925"/>
      <c r="DR37" s="981"/>
      <c r="DS37" s="981"/>
      <c r="DT37" s="981"/>
      <c r="DU37" s="981"/>
      <c r="DV37" s="981"/>
      <c r="DW37" s="981"/>
      <c r="DX37" s="981"/>
      <c r="DY37" s="925"/>
      <c r="DZ37" s="925"/>
      <c r="EA37" s="925"/>
      <c r="EB37" s="925"/>
      <c r="EC37" s="925"/>
      <c r="ED37" s="925"/>
      <c r="EE37" s="925"/>
      <c r="EF37" s="925"/>
      <c r="EG37" s="925"/>
      <c r="EH37" s="925"/>
      <c r="EI37" s="925"/>
      <c r="EJ37" s="925"/>
      <c r="EK37" s="925"/>
      <c r="EL37" s="925"/>
      <c r="EM37" s="925"/>
      <c r="EN37" s="925"/>
    </row>
    <row r="38" spans="1:144" ht="16.350000000000001" customHeight="1">
      <c r="A38" s="462"/>
      <c r="B38" s="994"/>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462"/>
      <c r="BD38" s="462"/>
      <c r="BE38" s="462"/>
      <c r="BF38" s="462"/>
      <c r="BG38" s="462"/>
      <c r="BH38" s="462"/>
      <c r="BI38" s="462"/>
      <c r="BJ38" s="462"/>
      <c r="BK38"/>
      <c r="BL38"/>
      <c r="BM38"/>
      <c r="BN38"/>
      <c r="BO38"/>
      <c r="BP38"/>
      <c r="BQ38"/>
      <c r="BR38"/>
    </row>
    <row r="39" spans="1:144" ht="16.350000000000001" hidden="1" customHeight="1">
      <c r="A39" s="462"/>
      <c r="B39" s="994"/>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462"/>
      <c r="BD39" s="462"/>
      <c r="BE39" s="462"/>
      <c r="BF39" s="462"/>
      <c r="BG39" s="462"/>
      <c r="BH39" s="462"/>
      <c r="BI39" s="462"/>
      <c r="BJ39" s="462"/>
      <c r="BK39"/>
      <c r="BL39"/>
      <c r="BM39"/>
      <c r="BN39"/>
      <c r="BO39"/>
      <c r="BP39"/>
      <c r="BQ39"/>
      <c r="BR39"/>
    </row>
    <row r="40" spans="1:144" ht="16.350000000000001" hidden="1" customHeight="1">
      <c r="A40"/>
      <c r="B40" s="1046"/>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row>
    <row r="41" spans="1:144" ht="16.350000000000001" hidden="1" customHeight="1">
      <c r="A41"/>
      <c r="B41" s="1046"/>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row>
    <row r="42" spans="1:144" ht="16.350000000000001" hidden="1" customHeight="1">
      <c r="A42"/>
      <c r="B42" s="1046"/>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row>
    <row r="43" spans="1:144" ht="16.350000000000001" hidden="1" customHeight="1">
      <c r="A43"/>
      <c r="B43" s="1046"/>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row>
    <row r="44" spans="1:144" ht="16.350000000000001" hidden="1" customHeight="1">
      <c r="A44"/>
      <c r="B44" s="1046"/>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row>
    <row r="45" spans="1:144" ht="16.350000000000001" hidden="1" customHeight="1">
      <c r="A45"/>
      <c r="B45" s="1046"/>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row>
    <row r="46" spans="1:144" ht="16.350000000000001" hidden="1" customHeight="1">
      <c r="A46"/>
      <c r="B46" s="10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row>
    <row r="47" spans="1:144" ht="16.350000000000001" hidden="1" customHeight="1">
      <c r="A47"/>
      <c r="B47" s="1046"/>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row>
    <row r="48" spans="1:144" ht="16.350000000000001"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s="16"/>
      <c r="AZ48" s="20"/>
      <c r="BA48"/>
      <c r="BB48"/>
      <c r="BC48" s="20"/>
      <c r="BD48" s="20"/>
      <c r="BE48"/>
      <c r="BF48"/>
      <c r="BG48"/>
      <c r="BH48"/>
      <c r="BI48"/>
      <c r="BJ48"/>
      <c r="BK48"/>
      <c r="BL48"/>
      <c r="BM48"/>
      <c r="BN48"/>
      <c r="BO48"/>
      <c r="BP48"/>
      <c r="BQ48"/>
      <c r="BR48"/>
    </row>
    <row r="49" spans="51:56" customFormat="1" ht="16.350000000000001" hidden="1" customHeight="1">
      <c r="AY49" s="16"/>
      <c r="AZ49" s="20"/>
      <c r="BC49" s="20"/>
      <c r="BD49" s="20"/>
    </row>
    <row r="50" spans="51:56" customFormat="1" ht="16.350000000000001" hidden="1" customHeight="1">
      <c r="AY50" s="16"/>
      <c r="AZ50" s="20"/>
      <c r="BC50" s="20"/>
      <c r="BD50" s="20"/>
    </row>
    <row r="51" spans="51:56" customFormat="1" ht="16.350000000000001" hidden="1" customHeight="1">
      <c r="AY51" s="16"/>
      <c r="AZ51" s="20"/>
      <c r="BC51" s="20"/>
      <c r="BD51" s="20"/>
    </row>
    <row r="52" spans="51:56" customFormat="1" ht="16.350000000000001" hidden="1" customHeight="1">
      <c r="AY52" s="16"/>
      <c r="AZ52" s="20"/>
      <c r="BC52" s="20"/>
      <c r="BD52" s="20"/>
    </row>
    <row r="53" spans="51:56" customFormat="1" ht="16.350000000000001" hidden="1" customHeight="1">
      <c r="AY53" s="16"/>
      <c r="AZ53" s="20"/>
      <c r="BC53" s="20"/>
      <c r="BD53" s="20"/>
    </row>
    <row r="54" spans="51:56" customFormat="1" ht="16.350000000000001" hidden="1" customHeight="1">
      <c r="AY54" s="16"/>
      <c r="AZ54" s="20"/>
      <c r="BC54" s="20"/>
      <c r="BD54" s="20"/>
    </row>
    <row r="55" spans="51:56" customFormat="1" ht="16.350000000000001" hidden="1" customHeight="1">
      <c r="AY55" s="16"/>
      <c r="AZ55" s="20"/>
      <c r="BC55" s="20"/>
      <c r="BD55" s="20"/>
    </row>
    <row r="56" spans="51:56" customFormat="1" ht="16.350000000000001" hidden="1" customHeight="1">
      <c r="AY56" s="16"/>
      <c r="AZ56" s="20"/>
      <c r="BC56" s="20"/>
      <c r="BD56" s="20"/>
    </row>
    <row r="57" spans="51:56" customFormat="1" ht="16.350000000000001" hidden="1" customHeight="1">
      <c r="AY57" s="16"/>
      <c r="AZ57" s="20"/>
      <c r="BC57" s="20"/>
      <c r="BD57" s="20"/>
    </row>
    <row r="58" spans="51:56" customFormat="1" ht="16.350000000000001" hidden="1" customHeight="1">
      <c r="AY58" s="16"/>
      <c r="AZ58" s="20"/>
      <c r="BC58" s="20"/>
      <c r="BD58" s="20"/>
    </row>
    <row r="59" spans="51:56" customFormat="1" ht="16.350000000000001" hidden="1" customHeight="1">
      <c r="AY59" s="16"/>
      <c r="AZ59" s="20"/>
      <c r="BC59" s="20"/>
      <c r="BD59" s="20"/>
    </row>
    <row r="60" spans="51:56" customFormat="1" ht="16.350000000000001" hidden="1" customHeight="1">
      <c r="AY60" s="16"/>
      <c r="AZ60" s="20"/>
      <c r="BC60" s="20"/>
      <c r="BD60" s="20"/>
    </row>
    <row r="61" spans="51:56" customFormat="1" ht="16.350000000000001" hidden="1" customHeight="1">
      <c r="AY61" s="16"/>
      <c r="AZ61" s="20"/>
      <c r="BC61" s="20"/>
      <c r="BD61" s="20"/>
    </row>
    <row r="62" spans="51:56" customFormat="1" ht="16.350000000000001" hidden="1" customHeight="1">
      <c r="AY62" s="16"/>
      <c r="AZ62" s="20"/>
      <c r="BC62" s="20"/>
      <c r="BD62" s="20"/>
    </row>
    <row r="63" spans="51:56" customFormat="1" ht="16.350000000000001" hidden="1" customHeight="1">
      <c r="AY63" s="16"/>
      <c r="AZ63" s="20"/>
      <c r="BC63" s="20"/>
      <c r="BD63" s="20"/>
    </row>
    <row r="64" spans="51:56" customFormat="1" ht="16.350000000000001" hidden="1" customHeight="1">
      <c r="AY64" s="16"/>
      <c r="AZ64" s="20"/>
      <c r="BC64" s="20"/>
      <c r="BD64" s="20"/>
    </row>
    <row r="65" spans="51:56" customFormat="1" ht="16.350000000000001" hidden="1" customHeight="1">
      <c r="AY65" s="16"/>
      <c r="AZ65" s="20"/>
      <c r="BC65" s="20"/>
      <c r="BD65" s="20"/>
    </row>
    <row r="66" spans="51:56" customFormat="1" ht="16.350000000000001" hidden="1" customHeight="1">
      <c r="AY66" s="16"/>
      <c r="AZ66" s="20"/>
      <c r="BC66" s="20"/>
      <c r="BD66" s="20"/>
    </row>
    <row r="67" spans="51:56" customFormat="1" ht="16.350000000000001" hidden="1" customHeight="1">
      <c r="AY67" s="16"/>
      <c r="AZ67" s="20"/>
      <c r="BC67" s="20"/>
      <c r="BD67" s="20"/>
    </row>
    <row r="68" spans="51:56" customFormat="1" ht="16.350000000000001" hidden="1" customHeight="1">
      <c r="AY68" s="16"/>
      <c r="AZ68" s="20"/>
      <c r="BC68" s="20"/>
      <c r="BD68" s="20"/>
    </row>
    <row r="69" spans="51:56" customFormat="1" ht="16.350000000000001" hidden="1" customHeight="1">
      <c r="AY69" s="16"/>
      <c r="AZ69" s="20"/>
      <c r="BC69" s="20"/>
      <c r="BD69" s="20"/>
    </row>
    <row r="70" spans="51:56" customFormat="1" ht="16.350000000000001" hidden="1" customHeight="1">
      <c r="AY70" s="16"/>
      <c r="AZ70" s="20"/>
      <c r="BC70" s="20"/>
      <c r="BD70" s="20"/>
    </row>
    <row r="71" spans="51:56" customFormat="1" ht="16.350000000000001" hidden="1" customHeight="1">
      <c r="AY71" s="16"/>
      <c r="AZ71" s="20"/>
      <c r="BC71" s="20"/>
      <c r="BD71" s="20"/>
    </row>
    <row r="72" spans="51:56" customFormat="1" ht="16.350000000000001" hidden="1" customHeight="1">
      <c r="AY72" s="16"/>
      <c r="AZ72" s="20"/>
      <c r="BC72" s="20"/>
      <c r="BD72" s="20"/>
    </row>
    <row r="73" spans="51:56" customFormat="1" ht="16.350000000000001" hidden="1" customHeight="1">
      <c r="AY73" s="16"/>
      <c r="AZ73" s="20"/>
      <c r="BC73" s="20"/>
      <c r="BD73" s="20"/>
    </row>
    <row r="74" spans="51:56" customFormat="1" ht="16.350000000000001" hidden="1" customHeight="1">
      <c r="AY74" s="16"/>
      <c r="AZ74" s="20"/>
      <c r="BC74" s="20"/>
      <c r="BD74" s="20"/>
    </row>
    <row r="75" spans="51:56" customFormat="1" ht="16.350000000000001" hidden="1" customHeight="1">
      <c r="AY75" s="16"/>
      <c r="AZ75" s="20"/>
      <c r="BC75" s="20"/>
      <c r="BD75" s="20"/>
    </row>
    <row r="76" spans="51:56" customFormat="1" ht="16.350000000000001" hidden="1" customHeight="1">
      <c r="AY76" s="16"/>
      <c r="AZ76" s="20"/>
      <c r="BC76" s="20"/>
      <c r="BD76" s="20"/>
    </row>
    <row r="77" spans="51:56" customFormat="1" ht="16.350000000000001" hidden="1" customHeight="1">
      <c r="AY77" s="16"/>
      <c r="AZ77" s="20"/>
      <c r="BC77" s="20"/>
      <c r="BD77" s="20"/>
    </row>
    <row r="78" spans="51:56" customFormat="1" ht="16.350000000000001" hidden="1" customHeight="1">
      <c r="AY78" s="16"/>
      <c r="AZ78" s="20"/>
      <c r="BC78" s="20"/>
      <c r="BD78" s="20"/>
    </row>
    <row r="79" spans="51:56" customFormat="1" ht="16.350000000000001" hidden="1" customHeight="1">
      <c r="AY79" s="16"/>
      <c r="AZ79" s="20"/>
      <c r="BC79" s="20"/>
      <c r="BD79" s="20"/>
    </row>
    <row r="80" spans="51:56" customFormat="1" ht="16.350000000000001" hidden="1" customHeight="1">
      <c r="AY80" s="16"/>
      <c r="AZ80" s="20"/>
      <c r="BC80" s="20"/>
      <c r="BD80" s="20"/>
    </row>
    <row r="81" spans="51:56" customFormat="1" ht="16.350000000000001" hidden="1" customHeight="1">
      <c r="AY81" s="16"/>
      <c r="AZ81" s="20"/>
      <c r="BC81" s="20"/>
      <c r="BD81" s="20"/>
    </row>
    <row r="82" spans="51:56" customFormat="1" ht="16.350000000000001" hidden="1" customHeight="1">
      <c r="AY82" s="16"/>
      <c r="AZ82" s="20"/>
      <c r="BC82" s="20"/>
      <c r="BD82" s="20"/>
    </row>
    <row r="83" spans="51:56" customFormat="1" ht="16.350000000000001" hidden="1" customHeight="1">
      <c r="AY83" s="16"/>
      <c r="AZ83" s="20"/>
      <c r="BC83" s="20"/>
      <c r="BD83" s="20"/>
    </row>
    <row r="84" spans="51:56" customFormat="1" ht="16.350000000000001" hidden="1" customHeight="1">
      <c r="AY84" s="16"/>
      <c r="AZ84" s="20"/>
      <c r="BC84" s="20"/>
      <c r="BD84" s="20"/>
    </row>
    <row r="85" spans="51:56" customFormat="1" ht="16.350000000000001" hidden="1" customHeight="1">
      <c r="AY85" s="16"/>
      <c r="AZ85" s="20"/>
      <c r="BC85" s="20"/>
      <c r="BD85" s="20"/>
    </row>
    <row r="86" spans="51:56" customFormat="1" ht="16.350000000000001" hidden="1" customHeight="1">
      <c r="AY86" s="16"/>
      <c r="AZ86" s="20"/>
      <c r="BC86" s="20"/>
      <c r="BD86" s="20"/>
    </row>
    <row r="87" spans="51:56" customFormat="1" ht="16.350000000000001" hidden="1" customHeight="1">
      <c r="AY87" s="16"/>
      <c r="AZ87" s="20"/>
      <c r="BC87" s="20"/>
      <c r="BD87" s="20"/>
    </row>
    <row r="88" spans="51:56" customFormat="1" ht="16.350000000000001" hidden="1" customHeight="1">
      <c r="AY88" s="16"/>
      <c r="AZ88" s="20"/>
      <c r="BC88" s="20"/>
      <c r="BD88" s="20"/>
    </row>
    <row r="89" spans="51:56" customFormat="1" ht="16.350000000000001" hidden="1" customHeight="1">
      <c r="AY89" s="16"/>
      <c r="AZ89" s="20"/>
      <c r="BC89" s="20"/>
      <c r="BD89" s="20"/>
    </row>
    <row r="90" spans="51:56" customFormat="1" ht="16.350000000000001" hidden="1" customHeight="1">
      <c r="AY90" s="16"/>
      <c r="AZ90" s="20"/>
      <c r="BC90" s="20"/>
      <c r="BD90" s="20"/>
    </row>
    <row r="91" spans="51:56" customFormat="1" ht="16.350000000000001" hidden="1" customHeight="1">
      <c r="AY91" s="16"/>
      <c r="AZ91" s="20"/>
      <c r="BC91" s="20"/>
      <c r="BD91" s="20"/>
    </row>
    <row r="92" spans="51:56" customFormat="1" ht="16.350000000000001" hidden="1" customHeight="1">
      <c r="AY92" s="16"/>
      <c r="AZ92" s="20"/>
      <c r="BC92" s="20"/>
      <c r="BD92" s="20"/>
    </row>
    <row r="93" spans="51:56" customFormat="1" ht="16.350000000000001" hidden="1" customHeight="1">
      <c r="AY93" s="16"/>
      <c r="AZ93" s="20"/>
      <c r="BC93" s="20"/>
      <c r="BD93" s="20"/>
    </row>
    <row r="94" spans="51:56" customFormat="1" ht="16.350000000000001" hidden="1" customHeight="1">
      <c r="AY94" s="16"/>
      <c r="AZ94" s="20"/>
      <c r="BC94" s="20"/>
      <c r="BD94" s="20"/>
    </row>
    <row r="95" spans="51:56" customFormat="1" ht="16.350000000000001" hidden="1" customHeight="1">
      <c r="AY95" s="16"/>
      <c r="AZ95" s="20"/>
      <c r="BC95" s="20"/>
      <c r="BD95" s="20"/>
    </row>
    <row r="96" spans="51:56" customFormat="1" ht="16.350000000000001" hidden="1" customHeight="1">
      <c r="AY96" s="16"/>
      <c r="AZ96" s="20"/>
      <c r="BC96" s="20"/>
      <c r="BD96" s="20"/>
    </row>
    <row r="97" spans="51:56" customFormat="1" ht="16.350000000000001" hidden="1" customHeight="1">
      <c r="AY97" s="16"/>
      <c r="AZ97" s="20"/>
      <c r="BC97" s="20"/>
      <c r="BD97" s="20"/>
    </row>
    <row r="98" spans="51:56" customFormat="1" ht="16.350000000000001" hidden="1" customHeight="1">
      <c r="AY98" s="16"/>
      <c r="AZ98" s="20"/>
      <c r="BC98" s="20"/>
      <c r="BD98" s="20"/>
    </row>
    <row r="99" spans="51:56" customFormat="1" ht="16.350000000000001" hidden="1" customHeight="1">
      <c r="AY99" s="16"/>
      <c r="AZ99" s="20"/>
      <c r="BC99" s="20"/>
      <c r="BD99" s="20"/>
    </row>
    <row r="100" spans="51:56" customFormat="1" ht="16.350000000000001" hidden="1" customHeight="1">
      <c r="AY100" s="16"/>
      <c r="AZ100" s="20"/>
      <c r="BC100" s="20"/>
      <c r="BD100" s="20"/>
    </row>
    <row r="101" spans="51:56" customFormat="1" ht="16.350000000000001" hidden="1" customHeight="1">
      <c r="AY101" s="16"/>
      <c r="AZ101" s="20"/>
      <c r="BC101" s="20"/>
      <c r="BD101" s="20"/>
    </row>
    <row r="102" spans="51:56" customFormat="1" ht="16.350000000000001" hidden="1" customHeight="1">
      <c r="AY102" s="16"/>
      <c r="AZ102" s="20"/>
      <c r="BC102" s="20"/>
      <c r="BD102" s="20"/>
    </row>
    <row r="103" spans="51:56" customFormat="1" ht="16.350000000000001" hidden="1" customHeight="1">
      <c r="AY103" s="16"/>
      <c r="AZ103" s="20"/>
      <c r="BC103" s="20"/>
      <c r="BD103" s="20"/>
    </row>
    <row r="104" spans="51:56" customFormat="1" ht="16.350000000000001" hidden="1" customHeight="1">
      <c r="AY104" s="16"/>
      <c r="AZ104" s="20"/>
      <c r="BC104" s="20"/>
      <c r="BD104" s="20"/>
    </row>
    <row r="105" spans="51:56" customFormat="1" ht="16.350000000000001" hidden="1" customHeight="1">
      <c r="AY105" s="16"/>
      <c r="AZ105" s="20"/>
      <c r="BC105" s="20"/>
      <c r="BD105" s="20"/>
    </row>
    <row r="106" spans="51:56" customFormat="1" ht="16.350000000000001" hidden="1" customHeight="1">
      <c r="AY106" s="16"/>
      <c r="AZ106" s="20"/>
      <c r="BC106" s="20"/>
      <c r="BD106" s="20"/>
    </row>
    <row r="107" spans="51:56" customFormat="1" ht="16.350000000000001" hidden="1" customHeight="1">
      <c r="AY107" s="16"/>
      <c r="AZ107" s="20"/>
      <c r="BC107" s="20"/>
      <c r="BD107" s="20"/>
    </row>
    <row r="108" spans="51:56" customFormat="1" ht="16.350000000000001" hidden="1" customHeight="1">
      <c r="AY108" s="16"/>
      <c r="AZ108" s="20"/>
      <c r="BC108" s="20"/>
      <c r="BD108" s="20"/>
    </row>
    <row r="109" spans="51:56" customFormat="1" ht="16.350000000000001" hidden="1" customHeight="1">
      <c r="AY109" s="16"/>
      <c r="AZ109" s="20"/>
      <c r="BC109" s="20"/>
      <c r="BD109" s="20"/>
    </row>
    <row r="110" spans="51:56" customFormat="1" ht="16.350000000000001" hidden="1" customHeight="1">
      <c r="AY110" s="16"/>
      <c r="AZ110" s="20"/>
      <c r="BC110" s="20"/>
      <c r="BD110" s="20"/>
    </row>
    <row r="111" spans="51:56" customFormat="1" ht="16.350000000000001" hidden="1" customHeight="1">
      <c r="AY111" s="16"/>
      <c r="AZ111" s="20"/>
      <c r="BC111" s="20"/>
      <c r="BD111" s="20"/>
    </row>
    <row r="112" spans="51:56" customFormat="1" ht="16.350000000000001" hidden="1" customHeight="1">
      <c r="AY112" s="16"/>
      <c r="AZ112" s="20"/>
      <c r="BC112" s="20"/>
      <c r="BD112" s="20"/>
    </row>
    <row r="113" spans="51:56" customFormat="1" ht="16.350000000000001" hidden="1" customHeight="1">
      <c r="AY113" s="16"/>
      <c r="AZ113" s="20"/>
      <c r="BC113" s="20"/>
      <c r="BD113" s="20"/>
    </row>
    <row r="114" spans="51:56" customFormat="1" ht="16.350000000000001" hidden="1" customHeight="1">
      <c r="AY114" s="16"/>
      <c r="AZ114" s="20"/>
      <c r="BC114" s="20"/>
      <c r="BD114" s="20"/>
    </row>
    <row r="115" spans="51:56" customFormat="1" ht="16.350000000000001" hidden="1" customHeight="1">
      <c r="AY115" s="16"/>
      <c r="AZ115" s="20"/>
      <c r="BC115" s="20"/>
      <c r="BD115" s="20"/>
    </row>
    <row r="116" spans="51:56" customFormat="1" ht="16.350000000000001" hidden="1" customHeight="1">
      <c r="AY116" s="16"/>
      <c r="AZ116" s="20"/>
      <c r="BC116" s="20"/>
      <c r="BD116" s="20"/>
    </row>
    <row r="117" spans="51:56" customFormat="1" ht="16.350000000000001" hidden="1" customHeight="1">
      <c r="AY117" s="16"/>
      <c r="AZ117" s="20"/>
      <c r="BC117" s="20"/>
      <c r="BD117" s="20"/>
    </row>
    <row r="118" spans="51:56" customFormat="1" ht="16.350000000000001" hidden="1" customHeight="1">
      <c r="AY118" s="16"/>
      <c r="AZ118" s="20"/>
      <c r="BC118" s="20"/>
      <c r="BD118" s="20"/>
    </row>
    <row r="119" spans="51:56" customFormat="1" ht="16.350000000000001" hidden="1" customHeight="1">
      <c r="AY119" s="16"/>
      <c r="AZ119" s="20"/>
      <c r="BC119" s="20"/>
      <c r="BD119" s="20"/>
    </row>
    <row r="120" spans="51:56" customFormat="1" ht="16.350000000000001" hidden="1" customHeight="1">
      <c r="AY120" s="16"/>
      <c r="AZ120" s="20"/>
      <c r="BC120" s="20"/>
      <c r="BD120" s="20"/>
    </row>
    <row r="121" spans="51:56" customFormat="1" ht="16.350000000000001" hidden="1" customHeight="1">
      <c r="AY121" s="16"/>
      <c r="AZ121" s="20"/>
      <c r="BC121" s="20"/>
      <c r="BD121" s="20"/>
    </row>
    <row r="122" spans="51:56" customFormat="1" ht="16.350000000000001" hidden="1" customHeight="1">
      <c r="AY122" s="16"/>
      <c r="AZ122" s="20"/>
      <c r="BC122" s="20"/>
      <c r="BD122" s="20"/>
    </row>
    <row r="123" spans="51:56" customFormat="1" ht="16.350000000000001" hidden="1" customHeight="1">
      <c r="AY123" s="16"/>
      <c r="AZ123" s="20"/>
      <c r="BC123" s="20"/>
      <c r="BD123" s="20"/>
    </row>
    <row r="124" spans="51:56" customFormat="1" ht="16.350000000000001" hidden="1" customHeight="1">
      <c r="AY124" s="16"/>
      <c r="AZ124" s="20"/>
      <c r="BC124" s="20"/>
      <c r="BD124" s="20"/>
    </row>
    <row r="125" spans="51:56" customFormat="1" ht="16.350000000000001" hidden="1" customHeight="1">
      <c r="AY125" s="16"/>
      <c r="AZ125" s="20"/>
      <c r="BC125" s="20"/>
      <c r="BD125" s="20"/>
    </row>
    <row r="126" spans="51:56" customFormat="1" ht="16.350000000000001" hidden="1" customHeight="1">
      <c r="AY126" s="16"/>
      <c r="AZ126" s="20"/>
      <c r="BC126" s="20"/>
      <c r="BD126" s="20"/>
    </row>
    <row r="127" spans="51:56" customFormat="1" ht="16.350000000000001" hidden="1" customHeight="1">
      <c r="AY127" s="16"/>
      <c r="AZ127" s="20"/>
      <c r="BC127" s="20"/>
      <c r="BD127" s="20"/>
    </row>
    <row r="128" spans="51:56" customFormat="1" ht="16.350000000000001" hidden="1" customHeight="1">
      <c r="AY128" s="16"/>
      <c r="AZ128" s="20"/>
      <c r="BC128" s="20"/>
      <c r="BD128" s="20"/>
    </row>
    <row r="129" spans="51:56" customFormat="1" ht="16.350000000000001" hidden="1" customHeight="1">
      <c r="AY129" s="16"/>
      <c r="AZ129" s="20"/>
      <c r="BC129" s="20"/>
      <c r="BD129" s="20"/>
    </row>
    <row r="130" spans="51:56" customFormat="1" ht="16.350000000000001" hidden="1" customHeight="1">
      <c r="AY130" s="16"/>
      <c r="AZ130" s="20"/>
      <c r="BC130" s="20"/>
      <c r="BD130" s="20"/>
    </row>
    <row r="131" spans="51:56" customFormat="1" ht="16.350000000000001" hidden="1" customHeight="1">
      <c r="AY131" s="16"/>
      <c r="AZ131" s="20"/>
      <c r="BC131" s="20"/>
      <c r="BD131" s="20"/>
    </row>
    <row r="132" spans="51:56" customFormat="1" ht="16.350000000000001" hidden="1" customHeight="1">
      <c r="AY132" s="16"/>
      <c r="AZ132" s="20"/>
      <c r="BC132" s="20"/>
      <c r="BD132" s="20"/>
    </row>
    <row r="133" spans="51:56" customFormat="1" ht="16.350000000000001" hidden="1" customHeight="1">
      <c r="AY133" s="16"/>
      <c r="AZ133" s="20"/>
      <c r="BC133" s="20"/>
      <c r="BD133" s="20"/>
    </row>
    <row r="134" spans="51:56" customFormat="1" ht="16.350000000000001" hidden="1" customHeight="1">
      <c r="AY134" s="16"/>
      <c r="AZ134" s="20"/>
      <c r="BC134" s="20"/>
      <c r="BD134" s="20"/>
    </row>
    <row r="135" spans="51:56" customFormat="1" ht="16.350000000000001" hidden="1" customHeight="1">
      <c r="AY135" s="16"/>
      <c r="AZ135" s="20"/>
      <c r="BC135" s="20"/>
      <c r="BD135" s="20"/>
    </row>
    <row r="136" spans="51:56" customFormat="1" ht="16.350000000000001" hidden="1" customHeight="1">
      <c r="AY136" s="16"/>
      <c r="AZ136" s="20"/>
      <c r="BC136" s="20"/>
      <c r="BD136" s="20"/>
    </row>
    <row r="137" spans="51:56" customFormat="1" ht="16.350000000000001" hidden="1" customHeight="1">
      <c r="AY137" s="16"/>
      <c r="AZ137" s="20"/>
      <c r="BC137" s="20"/>
      <c r="BD137" s="20"/>
    </row>
    <row r="138" spans="51:56" customFormat="1" ht="16.350000000000001" hidden="1" customHeight="1">
      <c r="AY138" s="16"/>
      <c r="AZ138" s="20"/>
      <c r="BC138" s="20"/>
      <c r="BD138" s="20"/>
    </row>
    <row r="139" spans="51:56" customFormat="1" ht="16.350000000000001" hidden="1" customHeight="1">
      <c r="AY139" s="16"/>
      <c r="AZ139" s="20"/>
      <c r="BC139" s="20"/>
      <c r="BD139" s="20"/>
    </row>
    <row r="140" spans="51:56" customFormat="1" ht="16.350000000000001" hidden="1" customHeight="1">
      <c r="AY140" s="16"/>
      <c r="AZ140" s="20"/>
      <c r="BC140" s="20"/>
      <c r="BD140" s="20"/>
    </row>
    <row r="141" spans="51:56" customFormat="1" ht="16.350000000000001" hidden="1" customHeight="1">
      <c r="AY141" s="16"/>
      <c r="AZ141" s="20"/>
      <c r="BC141" s="20"/>
      <c r="BD141" s="20"/>
    </row>
    <row r="142" spans="51:56" customFormat="1" ht="16.350000000000001" hidden="1" customHeight="1">
      <c r="AY142" s="16"/>
      <c r="AZ142" s="20"/>
      <c r="BC142" s="20"/>
      <c r="BD142" s="20"/>
    </row>
    <row r="143" spans="51:56" customFormat="1" ht="16.350000000000001" hidden="1" customHeight="1">
      <c r="AY143" s="16"/>
      <c r="AZ143" s="20"/>
      <c r="BC143" s="20"/>
      <c r="BD143" s="20"/>
    </row>
    <row r="144" spans="51:56" customFormat="1" ht="16.350000000000001" hidden="1" customHeight="1">
      <c r="AY144" s="16"/>
      <c r="AZ144" s="20"/>
      <c r="BC144" s="20"/>
      <c r="BD144" s="20"/>
    </row>
    <row r="145" spans="51:56" customFormat="1" ht="16.350000000000001" hidden="1" customHeight="1">
      <c r="AY145" s="16"/>
      <c r="AZ145" s="20"/>
      <c r="BC145" s="20"/>
      <c r="BD145" s="20"/>
    </row>
    <row r="146" spans="51:56" customFormat="1" ht="16.350000000000001" hidden="1" customHeight="1">
      <c r="AY146" s="16"/>
      <c r="AZ146" s="20"/>
      <c r="BC146" s="20"/>
      <c r="BD146" s="20"/>
    </row>
    <row r="147" spans="51:56" customFormat="1" ht="16.350000000000001" hidden="1" customHeight="1">
      <c r="AY147" s="16"/>
      <c r="AZ147" s="20"/>
      <c r="BC147" s="20"/>
      <c r="BD147" s="20"/>
    </row>
    <row r="148" spans="51:56" customFormat="1" ht="16.350000000000001" hidden="1" customHeight="1">
      <c r="AY148" s="16"/>
      <c r="AZ148" s="20"/>
      <c r="BC148" s="20"/>
      <c r="BD148" s="20"/>
    </row>
    <row r="149" spans="51:56" customFormat="1" ht="16.350000000000001" hidden="1" customHeight="1">
      <c r="AY149" s="16"/>
      <c r="AZ149" s="20"/>
      <c r="BC149" s="20"/>
      <c r="BD149" s="20"/>
    </row>
    <row r="150" spans="51:56" customFormat="1" ht="16.350000000000001" hidden="1" customHeight="1">
      <c r="AY150" s="16"/>
      <c r="AZ150" s="20"/>
      <c r="BC150" s="20"/>
      <c r="BD150" s="20"/>
    </row>
    <row r="151" spans="51:56" customFormat="1" ht="16.350000000000001" hidden="1" customHeight="1">
      <c r="AY151" s="16"/>
      <c r="AZ151" s="20"/>
      <c r="BC151" s="20"/>
      <c r="BD151" s="20"/>
    </row>
    <row r="152" spans="51:56" customFormat="1" ht="16.350000000000001" hidden="1" customHeight="1">
      <c r="AY152" s="16"/>
      <c r="AZ152" s="20"/>
      <c r="BC152" s="20"/>
      <c r="BD152" s="20"/>
    </row>
    <row r="153" spans="51:56" customFormat="1" ht="16.350000000000001" hidden="1" customHeight="1">
      <c r="AY153" s="16"/>
      <c r="AZ153" s="20"/>
      <c r="BC153" s="20"/>
      <c r="BD153" s="20"/>
    </row>
    <row r="154" spans="51:56" customFormat="1" ht="16.350000000000001" hidden="1" customHeight="1">
      <c r="AY154" s="16"/>
      <c r="AZ154" s="20"/>
      <c r="BC154" s="20"/>
      <c r="BD154" s="20"/>
    </row>
    <row r="155" spans="51:56" customFormat="1" ht="16.350000000000001" hidden="1" customHeight="1">
      <c r="AY155" s="16"/>
      <c r="AZ155" s="20"/>
      <c r="BC155" s="20"/>
      <c r="BD155" s="20"/>
    </row>
    <row r="156" spans="51:56" customFormat="1" ht="16.350000000000001" hidden="1" customHeight="1">
      <c r="AY156" s="16"/>
      <c r="AZ156" s="20"/>
      <c r="BC156" s="20"/>
      <c r="BD156" s="20"/>
    </row>
    <row r="157" spans="51:56" customFormat="1" ht="16.350000000000001" hidden="1" customHeight="1">
      <c r="AY157" s="16"/>
      <c r="AZ157" s="20"/>
      <c r="BC157" s="20"/>
      <c r="BD157" s="20"/>
    </row>
    <row r="158" spans="51:56" customFormat="1" ht="16.350000000000001" hidden="1" customHeight="1">
      <c r="AY158" s="16"/>
      <c r="AZ158" s="20"/>
      <c r="BC158" s="20"/>
      <c r="BD158" s="20"/>
    </row>
    <row r="159" spans="51:56" customFormat="1" ht="16.350000000000001" hidden="1" customHeight="1">
      <c r="AY159" s="16"/>
      <c r="AZ159" s="20"/>
      <c r="BC159" s="20"/>
      <c r="BD159" s="20"/>
    </row>
    <row r="160" spans="51:56" customFormat="1" ht="16.350000000000001" hidden="1" customHeight="1">
      <c r="AY160" s="16"/>
      <c r="AZ160" s="20"/>
      <c r="BC160" s="20"/>
      <c r="BD160" s="20"/>
    </row>
    <row r="161" spans="51:56" customFormat="1" ht="16.350000000000001" hidden="1" customHeight="1">
      <c r="AY161" s="16"/>
      <c r="AZ161" s="20"/>
      <c r="BC161" s="20"/>
      <c r="BD161" s="20"/>
    </row>
    <row r="162" spans="51:56" customFormat="1" ht="16.350000000000001" hidden="1" customHeight="1">
      <c r="AY162" s="16"/>
      <c r="AZ162" s="20"/>
      <c r="BC162" s="20"/>
      <c r="BD162" s="20"/>
    </row>
    <row r="163" spans="51:56" customFormat="1" ht="16.350000000000001" hidden="1" customHeight="1">
      <c r="AY163" s="16"/>
      <c r="AZ163" s="20"/>
      <c r="BC163" s="20"/>
      <c r="BD163" s="20"/>
    </row>
    <row r="164" spans="51:56" customFormat="1" ht="16.350000000000001" hidden="1" customHeight="1">
      <c r="AY164" s="16"/>
      <c r="AZ164" s="20"/>
      <c r="BC164" s="20"/>
      <c r="BD164" s="20"/>
    </row>
    <row r="165" spans="51:56" customFormat="1" ht="16.350000000000001" hidden="1" customHeight="1">
      <c r="AY165" s="16"/>
      <c r="AZ165" s="20"/>
      <c r="BC165" s="20"/>
      <c r="BD165" s="20"/>
    </row>
    <row r="166" spans="51:56" customFormat="1" ht="16.350000000000001" hidden="1" customHeight="1">
      <c r="AY166" s="16"/>
      <c r="AZ166" s="20"/>
      <c r="BC166" s="20"/>
      <c r="BD166" s="20"/>
    </row>
    <row r="167" spans="51:56" customFormat="1" ht="16.350000000000001" hidden="1" customHeight="1">
      <c r="AY167" s="16"/>
      <c r="AZ167" s="20"/>
      <c r="BC167" s="20"/>
      <c r="BD167" s="20"/>
    </row>
    <row r="168" spans="51:56" customFormat="1" ht="16.350000000000001" hidden="1" customHeight="1">
      <c r="AY168" s="16"/>
      <c r="AZ168" s="20"/>
      <c r="BC168" s="20"/>
      <c r="BD168" s="20"/>
    </row>
    <row r="169" spans="51:56" customFormat="1" ht="16.350000000000001" hidden="1" customHeight="1">
      <c r="AY169" s="16"/>
      <c r="AZ169" s="20"/>
      <c r="BC169" s="20"/>
      <c r="BD169" s="20"/>
    </row>
    <row r="170" spans="51:56" customFormat="1" ht="16.350000000000001" hidden="1" customHeight="1">
      <c r="AY170" s="16"/>
      <c r="AZ170" s="20"/>
      <c r="BC170" s="20"/>
      <c r="BD170" s="20"/>
    </row>
    <row r="171" spans="51:56" customFormat="1" ht="16.350000000000001" hidden="1" customHeight="1">
      <c r="AY171" s="16"/>
      <c r="AZ171" s="20"/>
      <c r="BC171" s="20"/>
      <c r="BD171" s="20"/>
    </row>
    <row r="172" spans="51:56" customFormat="1" ht="16.350000000000001" hidden="1" customHeight="1">
      <c r="AY172" s="16"/>
      <c r="AZ172" s="20"/>
      <c r="BC172" s="20"/>
      <c r="BD172" s="20"/>
    </row>
    <row r="173" spans="51:56" customFormat="1" ht="16.350000000000001" hidden="1" customHeight="1">
      <c r="AY173" s="16"/>
      <c r="AZ173" s="20"/>
      <c r="BC173" s="20"/>
      <c r="BD173" s="20"/>
    </row>
    <row r="174" spans="51:56" customFormat="1" ht="16.350000000000001" hidden="1" customHeight="1">
      <c r="AY174" s="16"/>
      <c r="AZ174" s="20"/>
      <c r="BC174" s="20"/>
      <c r="BD174" s="20"/>
    </row>
    <row r="175" spans="51:56" customFormat="1" ht="16.350000000000001" hidden="1" customHeight="1">
      <c r="AY175" s="16"/>
      <c r="AZ175" s="20"/>
      <c r="BC175" s="20"/>
      <c r="BD175" s="20"/>
    </row>
    <row r="176" spans="51:56" customFormat="1" ht="16.350000000000001" hidden="1" customHeight="1">
      <c r="AY176" s="16"/>
      <c r="AZ176" s="20"/>
      <c r="BC176" s="20"/>
      <c r="BD176" s="20"/>
    </row>
    <row r="177" spans="51:56" customFormat="1" ht="16.350000000000001" hidden="1" customHeight="1">
      <c r="AY177" s="16"/>
      <c r="AZ177" s="20"/>
      <c r="BC177" s="20"/>
      <c r="BD177" s="20"/>
    </row>
    <row r="178" spans="51:56" customFormat="1" ht="16.350000000000001" hidden="1" customHeight="1">
      <c r="AY178" s="16"/>
      <c r="AZ178" s="20"/>
      <c r="BC178" s="20"/>
      <c r="BD178" s="20"/>
    </row>
    <row r="179" spans="51:56" customFormat="1" ht="16.350000000000001" hidden="1" customHeight="1">
      <c r="AY179" s="16"/>
      <c r="AZ179" s="20"/>
      <c r="BC179" s="20"/>
      <c r="BD179" s="20"/>
    </row>
    <row r="180" spans="51:56" customFormat="1" ht="16.350000000000001" hidden="1" customHeight="1">
      <c r="AY180" s="16"/>
      <c r="AZ180" s="20"/>
      <c r="BC180" s="20"/>
      <c r="BD180" s="20"/>
    </row>
    <row r="181" spans="51:56" customFormat="1" ht="16.350000000000001" hidden="1" customHeight="1">
      <c r="AY181" s="16"/>
      <c r="AZ181" s="20"/>
      <c r="BC181" s="20"/>
      <c r="BD181" s="20"/>
    </row>
    <row r="182" spans="51:56" customFormat="1" ht="16.350000000000001" hidden="1" customHeight="1">
      <c r="AY182" s="16"/>
      <c r="AZ182" s="20"/>
      <c r="BC182" s="20"/>
      <c r="BD182" s="20"/>
    </row>
    <row r="183" spans="51:56" customFormat="1" ht="16.350000000000001" hidden="1" customHeight="1">
      <c r="AY183" s="16"/>
      <c r="AZ183" s="20"/>
      <c r="BC183" s="20"/>
      <c r="BD183" s="20"/>
    </row>
    <row r="184" spans="51:56" customFormat="1" ht="16.350000000000001" hidden="1" customHeight="1">
      <c r="AY184" s="16"/>
      <c r="AZ184" s="20"/>
      <c r="BC184" s="20"/>
      <c r="BD184" s="20"/>
    </row>
    <row r="185" spans="51:56" customFormat="1" ht="16.350000000000001" hidden="1" customHeight="1">
      <c r="AY185" s="16"/>
      <c r="AZ185" s="20"/>
      <c r="BC185" s="20"/>
      <c r="BD185" s="20"/>
    </row>
    <row r="186" spans="51:56" customFormat="1" ht="16.350000000000001" hidden="1" customHeight="1">
      <c r="AY186" s="16"/>
      <c r="AZ186" s="20"/>
      <c r="BC186" s="20"/>
      <c r="BD186" s="20"/>
    </row>
    <row r="187" spans="51:56" customFormat="1" ht="16.350000000000001" hidden="1" customHeight="1">
      <c r="AY187" s="16"/>
      <c r="AZ187" s="20"/>
      <c r="BC187" s="20"/>
      <c r="BD187" s="20"/>
    </row>
    <row r="188" spans="51:56" customFormat="1" ht="16.350000000000001" hidden="1" customHeight="1">
      <c r="AY188" s="16"/>
      <c r="AZ188" s="20"/>
      <c r="BC188" s="20"/>
      <c r="BD188" s="20"/>
    </row>
    <row r="189" spans="51:56" customFormat="1" ht="16.350000000000001" hidden="1" customHeight="1">
      <c r="AY189" s="16"/>
      <c r="AZ189" s="20"/>
      <c r="BC189" s="20"/>
      <c r="BD189" s="20"/>
    </row>
    <row r="190" spans="51:56" customFormat="1" ht="16.350000000000001" hidden="1" customHeight="1">
      <c r="AY190" s="16"/>
      <c r="AZ190" s="20"/>
      <c r="BC190" s="20"/>
      <c r="BD190" s="20"/>
    </row>
    <row r="191" spans="51:56" customFormat="1" ht="16.350000000000001" hidden="1" customHeight="1">
      <c r="AY191" s="16"/>
      <c r="AZ191" s="20"/>
      <c r="BC191" s="20"/>
      <c r="BD191" s="20"/>
    </row>
    <row r="192" spans="51:56" customFormat="1" ht="16.350000000000001" hidden="1" customHeight="1">
      <c r="AY192" s="16"/>
      <c r="AZ192" s="20"/>
      <c r="BC192" s="20"/>
      <c r="BD192" s="20"/>
    </row>
    <row r="193" spans="1:70" ht="16.350000000000001" hidden="1" customHeigh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s="16"/>
      <c r="AZ193" s="20"/>
      <c r="BA193"/>
      <c r="BB193"/>
      <c r="BC193" s="20"/>
      <c r="BD193" s="20"/>
      <c r="BE193"/>
      <c r="BF193"/>
      <c r="BG193"/>
      <c r="BH193"/>
      <c r="BI193"/>
      <c r="BJ193"/>
      <c r="BK193"/>
      <c r="BL193"/>
      <c r="BM193"/>
      <c r="BN193"/>
      <c r="BO193"/>
      <c r="BP193"/>
      <c r="BQ193"/>
      <c r="BR193"/>
    </row>
    <row r="194" spans="1:70" ht="16.350000000000001" hidden="1" customHeigh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s="16"/>
      <c r="AZ194" s="20"/>
      <c r="BA194"/>
      <c r="BB194"/>
      <c r="BC194" s="20"/>
      <c r="BD194" s="20"/>
      <c r="BE194"/>
      <c r="BF194"/>
      <c r="BG194"/>
      <c r="BH194"/>
      <c r="BI194"/>
      <c r="BJ194"/>
      <c r="BK194"/>
      <c r="BL194"/>
      <c r="BM194"/>
      <c r="BN194"/>
      <c r="BO194"/>
      <c r="BP194"/>
      <c r="BQ194"/>
      <c r="BR194"/>
    </row>
    <row r="195" spans="1:70" ht="16.350000000000001" hidden="1"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s="16"/>
      <c r="AZ195" s="20"/>
      <c r="BA195"/>
      <c r="BB195"/>
      <c r="BC195" s="20"/>
      <c r="BD195" s="20"/>
      <c r="BE195"/>
      <c r="BF195"/>
      <c r="BG195"/>
      <c r="BH195"/>
      <c r="BI195"/>
      <c r="BJ195"/>
      <c r="BK195"/>
      <c r="BL195"/>
      <c r="BM195"/>
      <c r="BN195"/>
      <c r="BO195"/>
      <c r="BP195"/>
      <c r="BQ195"/>
      <c r="BR195"/>
    </row>
    <row r="196" spans="1:70" ht="16.350000000000001" hidden="1" customHeight="1">
      <c r="A196"/>
      <c r="B196"/>
      <c r="C196"/>
      <c r="D196"/>
      <c r="E196"/>
      <c r="F196"/>
      <c r="G196"/>
      <c r="H196"/>
      <c r="I196"/>
      <c r="J196"/>
      <c r="K196"/>
      <c r="L196"/>
      <c r="M196"/>
      <c r="N196"/>
      <c r="O196" s="919"/>
      <c r="P196" s="919"/>
      <c r="Q196" s="919"/>
      <c r="R196" s="919"/>
      <c r="S196" s="919"/>
      <c r="T196" s="919"/>
      <c r="U196" s="919"/>
      <c r="V196" s="919"/>
      <c r="W196" s="919"/>
      <c r="X196" s="919"/>
      <c r="Y196" s="919"/>
      <c r="Z196" s="919"/>
      <c r="AA196" s="919"/>
      <c r="AB196" s="919"/>
      <c r="AC196" s="919"/>
      <c r="AD196" s="919"/>
      <c r="AE196" s="919"/>
      <c r="AF196" s="919"/>
      <c r="AG196" s="919"/>
      <c r="AH196" s="919"/>
      <c r="AI196" s="919"/>
      <c r="AJ196" s="919"/>
      <c r="AK196" s="919"/>
      <c r="AL196" s="919"/>
      <c r="AM196" s="919"/>
      <c r="AN196" s="919"/>
      <c r="AO196" s="919"/>
      <c r="AP196" s="919"/>
      <c r="AQ196" s="919"/>
      <c r="AR196" s="919"/>
      <c r="AS196" s="919"/>
      <c r="AT196" s="919"/>
      <c r="AU196" s="919"/>
      <c r="AV196" s="919"/>
      <c r="AW196" s="919"/>
      <c r="AX196" s="919"/>
      <c r="AY196" s="919"/>
      <c r="AZ196"/>
      <c r="BA196"/>
      <c r="BB196"/>
      <c r="BC196"/>
      <c r="BD196"/>
      <c r="BE196"/>
      <c r="BF196"/>
      <c r="BG196"/>
      <c r="BH196"/>
      <c r="BI196"/>
      <c r="BJ196"/>
      <c r="BK196"/>
      <c r="BL196"/>
      <c r="BM196"/>
      <c r="BN196"/>
      <c r="BO196"/>
      <c r="BP196"/>
      <c r="BQ196"/>
      <c r="BR196"/>
    </row>
    <row r="197" spans="1:70" ht="16.350000000000001" hidden="1" customHeight="1">
      <c r="A197"/>
      <c r="B197"/>
      <c r="C197"/>
      <c r="D197"/>
      <c r="E197"/>
      <c r="F197"/>
      <c r="G197"/>
      <c r="H197"/>
      <c r="I197"/>
      <c r="J197"/>
      <c r="K197"/>
      <c r="L197"/>
      <c r="M197"/>
      <c r="N197"/>
      <c r="O197" s="919"/>
      <c r="P197" s="919"/>
      <c r="Q197" s="919"/>
      <c r="R197" s="919"/>
      <c r="S197" s="919"/>
      <c r="T197" s="919"/>
      <c r="U197" s="919"/>
      <c r="V197" s="919"/>
      <c r="W197" s="919"/>
      <c r="X197" s="919"/>
      <c r="Y197" s="919"/>
      <c r="Z197" s="919"/>
      <c r="AA197" s="919"/>
      <c r="AB197" s="919"/>
      <c r="AC197" s="919"/>
      <c r="AD197" s="919"/>
      <c r="AE197" s="919"/>
      <c r="AF197" s="919"/>
      <c r="AG197" s="919"/>
      <c r="AH197" s="919"/>
      <c r="AI197" s="919"/>
      <c r="AJ197" s="919"/>
      <c r="AK197" s="919"/>
      <c r="AL197" s="919"/>
      <c r="AM197" s="919"/>
      <c r="AN197" s="919"/>
      <c r="AO197" s="919"/>
      <c r="AP197" s="919"/>
      <c r="AQ197" s="919"/>
      <c r="AR197" s="919"/>
      <c r="AS197" s="919"/>
      <c r="AT197" s="919"/>
      <c r="AU197" s="919"/>
      <c r="AV197" s="919"/>
      <c r="AW197" s="919"/>
      <c r="AX197" s="919"/>
      <c r="AY197" s="919"/>
      <c r="AZ197"/>
      <c r="BA197"/>
      <c r="BB197"/>
      <c r="BC197"/>
      <c r="BD197"/>
      <c r="BE197"/>
      <c r="BF197"/>
      <c r="BG197"/>
      <c r="BH197"/>
      <c r="BI197"/>
      <c r="BJ197"/>
      <c r="BK197"/>
      <c r="BL197"/>
      <c r="BM197"/>
      <c r="BN197"/>
      <c r="BO197"/>
      <c r="BP197"/>
      <c r="BQ197"/>
      <c r="BR197"/>
    </row>
    <row r="198" spans="1:70" ht="16.350000000000001" hidden="1" customHeight="1">
      <c r="A198"/>
      <c r="B198"/>
      <c r="C198"/>
      <c r="D198"/>
      <c r="E198"/>
      <c r="F198"/>
      <c r="G198"/>
      <c r="H198"/>
      <c r="I198"/>
      <c r="J198"/>
      <c r="K198"/>
      <c r="L198"/>
      <c r="M198"/>
      <c r="N198"/>
      <c r="O198" s="919"/>
      <c r="P198" s="919"/>
      <c r="Q198" s="919"/>
      <c r="R198" s="919"/>
      <c r="S198" s="919"/>
      <c r="T198" s="919"/>
      <c r="U198" s="919"/>
      <c r="V198" s="919"/>
      <c r="W198" s="919"/>
      <c r="X198" s="919"/>
      <c r="Y198" s="919"/>
      <c r="Z198" s="919"/>
      <c r="AA198" s="919"/>
      <c r="AB198" s="919"/>
      <c r="AC198" s="919"/>
      <c r="AD198" s="919"/>
      <c r="AE198" s="919"/>
      <c r="AF198" s="919"/>
      <c r="AG198" s="919"/>
      <c r="AH198" s="919"/>
      <c r="AI198" s="919"/>
      <c r="AJ198" s="919"/>
      <c r="AK198" s="919"/>
      <c r="AL198" s="919"/>
      <c r="AM198" s="919"/>
      <c r="AN198" s="919"/>
      <c r="AO198" s="919"/>
      <c r="AP198" s="919"/>
      <c r="AQ198" s="919"/>
      <c r="AR198" s="919"/>
      <c r="AS198" s="919"/>
      <c r="AT198" s="919"/>
      <c r="AU198" s="919"/>
      <c r="AV198" s="919"/>
      <c r="AW198" s="919"/>
      <c r="AX198" s="919"/>
      <c r="AY198" s="919"/>
      <c r="AZ198" s="919"/>
      <c r="BA198"/>
      <c r="BB198"/>
      <c r="BC198"/>
      <c r="BD198"/>
      <c r="BE198"/>
      <c r="BF198"/>
      <c r="BG198"/>
      <c r="BH198"/>
      <c r="BI198"/>
      <c r="BJ198"/>
      <c r="BK198"/>
      <c r="BL198"/>
      <c r="BM198"/>
      <c r="BN198"/>
      <c r="BO198"/>
      <c r="BP198"/>
      <c r="BQ198"/>
      <c r="BR198"/>
    </row>
    <row r="199" spans="1:70" ht="16.350000000000001" hidden="1" customHeigh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s="16"/>
      <c r="AZ199" s="20"/>
      <c r="BA199"/>
      <c r="BB199"/>
      <c r="BC199" s="20"/>
      <c r="BD199" s="20"/>
      <c r="BE199"/>
      <c r="BF199"/>
      <c r="BG199"/>
      <c r="BH199"/>
      <c r="BI199"/>
      <c r="BJ199"/>
      <c r="BK199"/>
      <c r="BL199"/>
      <c r="BM199"/>
      <c r="BN199"/>
      <c r="BO199"/>
      <c r="BP199"/>
      <c r="BQ199"/>
      <c r="BR199"/>
    </row>
    <row r="200" spans="1:70"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03"/>
      <c r="BH200" s="503"/>
      <c r="BI200" s="503"/>
      <c r="BJ200" s="515"/>
    </row>
    <row r="201" spans="1:70"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03"/>
      <c r="BH201" s="503"/>
      <c r="BI201" s="503"/>
      <c r="BJ201" s="515"/>
    </row>
    <row r="202" spans="1:70"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03"/>
      <c r="BH202" s="503"/>
      <c r="BI202" s="503"/>
      <c r="BJ202" s="515"/>
    </row>
    <row r="203" spans="1:70" ht="16.350000000000001" hidden="1" customHeight="1"/>
    <row r="204" spans="1:70" ht="16.350000000000001" hidden="1" customHeight="1"/>
  </sheetData>
  <sheetProtection algorithmName="SHA-512" hashValue="g+h8dlAWUxmpn31dVvufUs5UkcTSGMafRoLGti5ojCY56sSCOt3dJHiLcxKdhQdWVsd1s5hvD+OOcU7WEYAnCA==" saltValue="vQCkvP2sATg8ldAXeu2l1w==" spinCount="100000" sheet="1" objects="1" scenarios="1" selectLockedCells="1"/>
  <mergeCells count="1019">
    <mergeCell ref="DX34:DX35"/>
    <mergeCell ref="DE36:DE37"/>
    <mergeCell ref="DF36:DF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V36:DV37"/>
    <mergeCell ref="DW36:DW37"/>
    <mergeCell ref="DX36:DX37"/>
    <mergeCell ref="DN34:DN35"/>
    <mergeCell ref="DO34:DO35"/>
    <mergeCell ref="DP34:DP35"/>
    <mergeCell ref="DQ34:DQ35"/>
    <mergeCell ref="DR34:DR35"/>
    <mergeCell ref="DS34:DS35"/>
    <mergeCell ref="DT34:DT35"/>
    <mergeCell ref="DU34:DU35"/>
    <mergeCell ref="DV34:DV35"/>
    <mergeCell ref="DE34:DE35"/>
    <mergeCell ref="DF34:DF35"/>
    <mergeCell ref="DG34:DG35"/>
    <mergeCell ref="DH34:DH35"/>
    <mergeCell ref="DI34:DI35"/>
    <mergeCell ref="DJ34:DJ35"/>
    <mergeCell ref="DK34:DK35"/>
    <mergeCell ref="DL34:DL35"/>
    <mergeCell ref="DM34:DM35"/>
    <mergeCell ref="DW34:DW35"/>
    <mergeCell ref="DX30:DX31"/>
    <mergeCell ref="DE32:DE33"/>
    <mergeCell ref="DF32:DF33"/>
    <mergeCell ref="DG32:DG33"/>
    <mergeCell ref="DH32:DH33"/>
    <mergeCell ref="DI32:DI33"/>
    <mergeCell ref="DJ32:DJ33"/>
    <mergeCell ref="DK32:DK33"/>
    <mergeCell ref="DL32:DL33"/>
    <mergeCell ref="DM32:DM33"/>
    <mergeCell ref="DN32:DN33"/>
    <mergeCell ref="DO32:DO33"/>
    <mergeCell ref="DP32:DP33"/>
    <mergeCell ref="DQ32:DQ33"/>
    <mergeCell ref="DR32:DR33"/>
    <mergeCell ref="DS32:DS33"/>
    <mergeCell ref="DT32:DT33"/>
    <mergeCell ref="DU32:DU33"/>
    <mergeCell ref="DV32:DV33"/>
    <mergeCell ref="DW32:DW33"/>
    <mergeCell ref="DX32:DX33"/>
    <mergeCell ref="DN30:DN31"/>
    <mergeCell ref="DO30:DO31"/>
    <mergeCell ref="DP30:DP31"/>
    <mergeCell ref="DQ30:DQ31"/>
    <mergeCell ref="DR30:DR31"/>
    <mergeCell ref="DS30:DS31"/>
    <mergeCell ref="DT30:DT31"/>
    <mergeCell ref="DU30:DU31"/>
    <mergeCell ref="DV30:DV31"/>
    <mergeCell ref="DE30:DE31"/>
    <mergeCell ref="DF30:DF31"/>
    <mergeCell ref="DG30:DG31"/>
    <mergeCell ref="DH30:DH31"/>
    <mergeCell ref="DI30:DI31"/>
    <mergeCell ref="DJ30:DJ31"/>
    <mergeCell ref="DK30:DK31"/>
    <mergeCell ref="DL30:DL31"/>
    <mergeCell ref="DM30:DM31"/>
    <mergeCell ref="DW30:DW31"/>
    <mergeCell ref="DM26:DM27"/>
    <mergeCell ref="DN26:DN27"/>
    <mergeCell ref="DO26:DO27"/>
    <mergeCell ref="DP26:DP27"/>
    <mergeCell ref="DQ26:DQ27"/>
    <mergeCell ref="DR26:DR27"/>
    <mergeCell ref="DS26:DS27"/>
    <mergeCell ref="DT26:DT27"/>
    <mergeCell ref="DU26:DU27"/>
    <mergeCell ref="DV26:DV27"/>
    <mergeCell ref="DW26:DW27"/>
    <mergeCell ref="DX26:DX27"/>
    <mergeCell ref="DE28:DE29"/>
    <mergeCell ref="DF28:DF29"/>
    <mergeCell ref="DG28:DG29"/>
    <mergeCell ref="DH28:DH29"/>
    <mergeCell ref="DI28:DI29"/>
    <mergeCell ref="DJ28:DJ29"/>
    <mergeCell ref="DK28:DK29"/>
    <mergeCell ref="DL28:DL29"/>
    <mergeCell ref="DM28:DM29"/>
    <mergeCell ref="DN28:DN29"/>
    <mergeCell ref="DO28:DO29"/>
    <mergeCell ref="DP28:DP29"/>
    <mergeCell ref="DQ28:DQ29"/>
    <mergeCell ref="DR28:DR29"/>
    <mergeCell ref="DS28:DS29"/>
    <mergeCell ref="DT28:DT29"/>
    <mergeCell ref="DU28:DU29"/>
    <mergeCell ref="DV28:DV29"/>
    <mergeCell ref="DW28:DW29"/>
    <mergeCell ref="DX28:DX29"/>
    <mergeCell ref="DE26:DE27"/>
    <mergeCell ref="DF26:DF27"/>
    <mergeCell ref="DG26:DG27"/>
    <mergeCell ref="DH26:DH27"/>
    <mergeCell ref="DI26:DI27"/>
    <mergeCell ref="DJ26:DJ27"/>
    <mergeCell ref="DK26:DK27"/>
    <mergeCell ref="DL26:DL27"/>
    <mergeCell ref="DX22:DX23"/>
    <mergeCell ref="DE24:DE25"/>
    <mergeCell ref="DF24:DF25"/>
    <mergeCell ref="DG24:DG25"/>
    <mergeCell ref="DH24:DH25"/>
    <mergeCell ref="DI24:DI25"/>
    <mergeCell ref="DJ24:DJ25"/>
    <mergeCell ref="DK24:DK25"/>
    <mergeCell ref="DL24:DL25"/>
    <mergeCell ref="DM24:DM25"/>
    <mergeCell ref="DN24:DN25"/>
    <mergeCell ref="DO24:DO25"/>
    <mergeCell ref="DP24:DP25"/>
    <mergeCell ref="DQ24:DQ25"/>
    <mergeCell ref="DR24:DR25"/>
    <mergeCell ref="DS24:DS25"/>
    <mergeCell ref="DT24:DT25"/>
    <mergeCell ref="DU24:DU25"/>
    <mergeCell ref="DV24:DV25"/>
    <mergeCell ref="DW24:DW25"/>
    <mergeCell ref="DX24:DX25"/>
    <mergeCell ref="DM22:DM23"/>
    <mergeCell ref="DN22:DN23"/>
    <mergeCell ref="DO22:DO23"/>
    <mergeCell ref="DP22:DP23"/>
    <mergeCell ref="DQ22:DQ23"/>
    <mergeCell ref="DR22:DR23"/>
    <mergeCell ref="DS22:DS23"/>
    <mergeCell ref="DT22:DT23"/>
    <mergeCell ref="DU22:DU23"/>
    <mergeCell ref="DV18:DV19"/>
    <mergeCell ref="DO18:DO19"/>
    <mergeCell ref="DP18:DP19"/>
    <mergeCell ref="DQ18:DQ19"/>
    <mergeCell ref="DR18:DR19"/>
    <mergeCell ref="DS18:DS19"/>
    <mergeCell ref="DT18:DT19"/>
    <mergeCell ref="DU18:DU19"/>
    <mergeCell ref="DV22:DV23"/>
    <mergeCell ref="DW22:DW23"/>
    <mergeCell ref="DW18:DW19"/>
    <mergeCell ref="DX18:DX19"/>
    <mergeCell ref="DE20:DE21"/>
    <mergeCell ref="DF20:DF21"/>
    <mergeCell ref="DG20:DG21"/>
    <mergeCell ref="DH20:DH21"/>
    <mergeCell ref="DI20:DI21"/>
    <mergeCell ref="DJ20:DJ21"/>
    <mergeCell ref="DK20:DK21"/>
    <mergeCell ref="DL20:DL21"/>
    <mergeCell ref="DM20:DM21"/>
    <mergeCell ref="DN20:DN21"/>
    <mergeCell ref="DO20:DO21"/>
    <mergeCell ref="DP20:DP21"/>
    <mergeCell ref="DQ20:DQ21"/>
    <mergeCell ref="DR20:DR21"/>
    <mergeCell ref="DS20:DS21"/>
    <mergeCell ref="DT20:DT21"/>
    <mergeCell ref="DU20:DU21"/>
    <mergeCell ref="DV20:DV21"/>
    <mergeCell ref="DW20:DW21"/>
    <mergeCell ref="DX20:DX21"/>
    <mergeCell ref="DM18:DM19"/>
    <mergeCell ref="DN18:DN19"/>
    <mergeCell ref="DE18:DE19"/>
    <mergeCell ref="DF18:DF19"/>
    <mergeCell ref="DG18:DG19"/>
    <mergeCell ref="DH18:DH19"/>
    <mergeCell ref="DI18:DI19"/>
    <mergeCell ref="DJ18:DJ19"/>
    <mergeCell ref="DK18:DK19"/>
    <mergeCell ref="DL18:DL19"/>
    <mergeCell ref="DE22:DE23"/>
    <mergeCell ref="DF22:DF23"/>
    <mergeCell ref="DG22:DG23"/>
    <mergeCell ref="DH22:DH23"/>
    <mergeCell ref="DI22:DI23"/>
    <mergeCell ref="DJ22:DJ23"/>
    <mergeCell ref="DK22:DK23"/>
    <mergeCell ref="DL22:DL23"/>
    <mergeCell ref="CY32:CY33"/>
    <mergeCell ref="CY34:CY35"/>
    <mergeCell ref="CY36:CY37"/>
    <mergeCell ref="CW13:CY14"/>
    <mergeCell ref="CY16:CY17"/>
    <mergeCell ref="CY18:CY19"/>
    <mergeCell ref="CY20:CY21"/>
    <mergeCell ref="CY22:CY23"/>
    <mergeCell ref="CY24:CY25"/>
    <mergeCell ref="CY26:CY27"/>
    <mergeCell ref="CY28:CY29"/>
    <mergeCell ref="CY30:CY31"/>
    <mergeCell ref="CW26:CW27"/>
    <mergeCell ref="CX26:CX27"/>
    <mergeCell ref="DD18:DD19"/>
    <mergeCell ref="DD20:DD21"/>
    <mergeCell ref="DD22:DD23"/>
    <mergeCell ref="DD24:DD25"/>
    <mergeCell ref="DD26:DD27"/>
    <mergeCell ref="DD28:DD29"/>
    <mergeCell ref="DD30:DD31"/>
    <mergeCell ref="DD32:DD33"/>
    <mergeCell ref="DD34:DD35"/>
    <mergeCell ref="DD36:DD37"/>
    <mergeCell ref="CX34:CX35"/>
    <mergeCell ref="CX36:CX37"/>
    <mergeCell ref="CX28:CX29"/>
    <mergeCell ref="CX30:CX31"/>
    <mergeCell ref="CX32:CX33"/>
    <mergeCell ref="CX22:CX23"/>
    <mergeCell ref="CZ16:CZ17"/>
    <mergeCell ref="DA16:DA17"/>
    <mergeCell ref="C32:E33"/>
    <mergeCell ref="F32:K33"/>
    <mergeCell ref="U30:W31"/>
    <mergeCell ref="C22:E23"/>
    <mergeCell ref="F22:K23"/>
    <mergeCell ref="L22:Q23"/>
    <mergeCell ref="C24:E25"/>
    <mergeCell ref="F24:K25"/>
    <mergeCell ref="L24:Q25"/>
    <mergeCell ref="AK9:AO11"/>
    <mergeCell ref="S9:V11"/>
    <mergeCell ref="O9:R11"/>
    <mergeCell ref="K9:N11"/>
    <mergeCell ref="AF9:AJ11"/>
    <mergeCell ref="L15:Z15"/>
    <mergeCell ref="X18:Z19"/>
    <mergeCell ref="C16:E17"/>
    <mergeCell ref="F16:K17"/>
    <mergeCell ref="L16:Q17"/>
    <mergeCell ref="C18:E19"/>
    <mergeCell ref="F18:K19"/>
    <mergeCell ref="L18:Q19"/>
    <mergeCell ref="R22:T23"/>
    <mergeCell ref="U22:W23"/>
    <mergeCell ref="X22:Z23"/>
    <mergeCell ref="AJ22:AL23"/>
    <mergeCell ref="W9:Z11"/>
    <mergeCell ref="L30:Q31"/>
    <mergeCell ref="AJ30:AL31"/>
    <mergeCell ref="BB1:BG3"/>
    <mergeCell ref="AX4:BA4"/>
    <mergeCell ref="BB4:BF4"/>
    <mergeCell ref="BG4:BJ4"/>
    <mergeCell ref="BH1:BK3"/>
    <mergeCell ref="O196:AY197"/>
    <mergeCell ref="BG5:BI7"/>
    <mergeCell ref="BG8:BI8"/>
    <mergeCell ref="BH16:BJ17"/>
    <mergeCell ref="AJ16:AL17"/>
    <mergeCell ref="AM16:AO17"/>
    <mergeCell ref="AM18:AO19"/>
    <mergeCell ref="AM24:AO25"/>
    <mergeCell ref="AM22:AO23"/>
    <mergeCell ref="Y14:AB14"/>
    <mergeCell ref="AQ12:BA13"/>
    <mergeCell ref="AQ14:BA14"/>
    <mergeCell ref="AA15:AU15"/>
    <mergeCell ref="AJ24:AL25"/>
    <mergeCell ref="AJ26:AL27"/>
    <mergeCell ref="L32:Q33"/>
    <mergeCell ref="R24:T25"/>
    <mergeCell ref="U24:W25"/>
    <mergeCell ref="X24:Z25"/>
    <mergeCell ref="L26:Q27"/>
    <mergeCell ref="AM26:AO27"/>
    <mergeCell ref="L34:Q35"/>
    <mergeCell ref="L36:Q37"/>
    <mergeCell ref="R26:T27"/>
    <mergeCell ref="U26:W27"/>
    <mergeCell ref="X26:Z27"/>
    <mergeCell ref="U28:W29"/>
    <mergeCell ref="O198:AZ198"/>
    <mergeCell ref="B24:B25"/>
    <mergeCell ref="B26:B27"/>
    <mergeCell ref="F1:I3"/>
    <mergeCell ref="J1:M3"/>
    <mergeCell ref="AT1:AW3"/>
    <mergeCell ref="AX1:BA3"/>
    <mergeCell ref="AP9:AS11"/>
    <mergeCell ref="AC14:AG14"/>
    <mergeCell ref="AH14:AK14"/>
    <mergeCell ref="AL14:AO14"/>
    <mergeCell ref="B46:B47"/>
    <mergeCell ref="B44:B45"/>
    <mergeCell ref="B42:B43"/>
    <mergeCell ref="B40:B41"/>
    <mergeCell ref="B38:B39"/>
    <mergeCell ref="B22:B23"/>
    <mergeCell ref="AT9:AW11"/>
    <mergeCell ref="AX9:BA11"/>
    <mergeCell ref="Y12:AB13"/>
    <mergeCell ref="AC12:AG13"/>
    <mergeCell ref="AH12:AK13"/>
    <mergeCell ref="AL12:AO13"/>
    <mergeCell ref="AP1:AS3"/>
    <mergeCell ref="C26:E27"/>
    <mergeCell ref="F26:K27"/>
    <mergeCell ref="C34:E35"/>
    <mergeCell ref="F34:K35"/>
    <mergeCell ref="C36:E37"/>
    <mergeCell ref="F36:K37"/>
    <mergeCell ref="X28:Z29"/>
    <mergeCell ref="AJ28:AL29"/>
    <mergeCell ref="CH18:CH19"/>
    <mergeCell ref="CD18:CD19"/>
    <mergeCell ref="CE18:CE19"/>
    <mergeCell ref="CF18:CF19"/>
    <mergeCell ref="U18:W19"/>
    <mergeCell ref="R16:T17"/>
    <mergeCell ref="U16:W17"/>
    <mergeCell ref="X16:Z17"/>
    <mergeCell ref="CB16:CB17"/>
    <mergeCell ref="BS16:BS17"/>
    <mergeCell ref="BT16:BT17"/>
    <mergeCell ref="AJ18:AL19"/>
    <mergeCell ref="AP16:AR17"/>
    <mergeCell ref="AS16:AU17"/>
    <mergeCell ref="BN16:BP17"/>
    <mergeCell ref="AV18:AX18"/>
    <mergeCell ref="AY18:BA18"/>
    <mergeCell ref="AV19:BA19"/>
    <mergeCell ref="BK18:BM19"/>
    <mergeCell ref="BN18:BP19"/>
    <mergeCell ref="AV16:AX16"/>
    <mergeCell ref="AY16:BA16"/>
    <mergeCell ref="AV17:BA17"/>
    <mergeCell ref="BB16:BE16"/>
    <mergeCell ref="BB17:BC17"/>
    <mergeCell ref="BD17:BE17"/>
    <mergeCell ref="BF16:BG17"/>
    <mergeCell ref="BK16:BM17"/>
    <mergeCell ref="CQ16:CQ17"/>
    <mergeCell ref="CR16:CR17"/>
    <mergeCell ref="CS16:CS17"/>
    <mergeCell ref="CJ18:CJ19"/>
    <mergeCell ref="CK18:CK19"/>
    <mergeCell ref="CL18:CL19"/>
    <mergeCell ref="CR18:CR19"/>
    <mergeCell ref="CS18:CS19"/>
    <mergeCell ref="CG18:CG19"/>
    <mergeCell ref="CM18:CM19"/>
    <mergeCell ref="CN18:CN19"/>
    <mergeCell ref="CO18:CO19"/>
    <mergeCell ref="CP18:CP19"/>
    <mergeCell ref="CQ18:CQ19"/>
    <mergeCell ref="CC18:CC19"/>
    <mergeCell ref="CI18:CI19"/>
    <mergeCell ref="CT16:CT17"/>
    <mergeCell ref="CL16:CL17"/>
    <mergeCell ref="CM16:CM17"/>
    <mergeCell ref="CN16:CN17"/>
    <mergeCell ref="CO16:CO17"/>
    <mergeCell ref="CP16:CP17"/>
    <mergeCell ref="CG16:CG17"/>
    <mergeCell ref="CH16:CH17"/>
    <mergeCell ref="CI16:CI17"/>
    <mergeCell ref="CJ16:CJ17"/>
    <mergeCell ref="CK16:CK17"/>
    <mergeCell ref="CC16:CC17"/>
    <mergeCell ref="CD16:CD17"/>
    <mergeCell ref="CE16:CE17"/>
    <mergeCell ref="CF16:CF17"/>
    <mergeCell ref="CT18:CT19"/>
    <mergeCell ref="B20:B21"/>
    <mergeCell ref="R20:T21"/>
    <mergeCell ref="U20:W21"/>
    <mergeCell ref="X20:Z21"/>
    <mergeCell ref="BH18:BJ19"/>
    <mergeCell ref="CB18:CB19"/>
    <mergeCell ref="BS18:BS19"/>
    <mergeCell ref="BT18:BT19"/>
    <mergeCell ref="B18:B19"/>
    <mergeCell ref="R18:T19"/>
    <mergeCell ref="CB20:CB21"/>
    <mergeCell ref="C20:E21"/>
    <mergeCell ref="F20:K21"/>
    <mergeCell ref="L20:Q21"/>
    <mergeCell ref="AJ20:AL21"/>
    <mergeCell ref="AM20:AO21"/>
    <mergeCell ref="BS20:BS21"/>
    <mergeCell ref="BT20:BT21"/>
    <mergeCell ref="AA18:AC19"/>
    <mergeCell ref="AA20:AC21"/>
    <mergeCell ref="AP18:AR19"/>
    <mergeCell ref="AS18:AU19"/>
    <mergeCell ref="AP20:AR21"/>
    <mergeCell ref="AS20:AU21"/>
    <mergeCell ref="AV20:AX20"/>
    <mergeCell ref="AY20:BA20"/>
    <mergeCell ref="AV21:BA21"/>
    <mergeCell ref="CT22:CT23"/>
    <mergeCell ref="CD20:CD21"/>
    <mergeCell ref="CC20:CC21"/>
    <mergeCell ref="CR22:CR23"/>
    <mergeCell ref="CS22:CS23"/>
    <mergeCell ref="CE22:CE23"/>
    <mergeCell ref="CF22:CF23"/>
    <mergeCell ref="CG22:CG23"/>
    <mergeCell ref="CM22:CM23"/>
    <mergeCell ref="CN22:CN23"/>
    <mergeCell ref="CO22:CO23"/>
    <mergeCell ref="CP22:CP23"/>
    <mergeCell ref="CQ22:CQ23"/>
    <mergeCell ref="CH22:CH23"/>
    <mergeCell ref="CI22:CI23"/>
    <mergeCell ref="CJ22:CJ23"/>
    <mergeCell ref="CL20:CL21"/>
    <mergeCell ref="CT20:CT21"/>
    <mergeCell ref="CM20:CM21"/>
    <mergeCell ref="CN20:CN21"/>
    <mergeCell ref="CE20:CE21"/>
    <mergeCell ref="CF20:CF21"/>
    <mergeCell ref="CG20:CG21"/>
    <mergeCell ref="CH20:CH21"/>
    <mergeCell ref="CI20:CI21"/>
    <mergeCell ref="CS20:CS21"/>
    <mergeCell ref="CJ20:CJ21"/>
    <mergeCell ref="CK20:CK21"/>
    <mergeCell ref="CK22:CK23"/>
    <mergeCell ref="CL22:CL23"/>
    <mergeCell ref="CO20:CO21"/>
    <mergeCell ref="CP20:CP21"/>
    <mergeCell ref="AV22:AX22"/>
    <mergeCell ref="AY22:BA22"/>
    <mergeCell ref="BH20:BJ21"/>
    <mergeCell ref="BK20:BM21"/>
    <mergeCell ref="BN20:BP21"/>
    <mergeCell ref="BK22:BM23"/>
    <mergeCell ref="BN22:BP23"/>
    <mergeCell ref="BH22:BJ23"/>
    <mergeCell ref="CB22:CB23"/>
    <mergeCell ref="BS22:BS23"/>
    <mergeCell ref="BT22:BT23"/>
    <mergeCell ref="AV23:BA23"/>
    <mergeCell ref="CC22:CC23"/>
    <mergeCell ref="CD22:CD23"/>
    <mergeCell ref="BK26:BM27"/>
    <mergeCell ref="CF26:CF27"/>
    <mergeCell ref="CG26:CG27"/>
    <mergeCell ref="CH26:CH27"/>
    <mergeCell ref="AV26:AX26"/>
    <mergeCell ref="AY26:BA26"/>
    <mergeCell ref="AV27:BA27"/>
    <mergeCell ref="CB24:CB25"/>
    <mergeCell ref="CC24:CC25"/>
    <mergeCell ref="CD24:CD25"/>
    <mergeCell ref="CE24:CE25"/>
    <mergeCell ref="BS24:BS25"/>
    <mergeCell ref="BT24:BT25"/>
    <mergeCell ref="BD26:BE27"/>
    <mergeCell ref="BF26:BG27"/>
    <mergeCell ref="BV24:BV25"/>
    <mergeCell ref="BW24:BW25"/>
    <mergeCell ref="BX24:BX25"/>
    <mergeCell ref="BY24:BY25"/>
    <mergeCell ref="BZ24:BZ25"/>
    <mergeCell ref="CF24:CF25"/>
    <mergeCell ref="CG24:CG25"/>
    <mergeCell ref="CH24:CH25"/>
    <mergeCell ref="BB26:BC27"/>
    <mergeCell ref="AV24:AX24"/>
    <mergeCell ref="AY24:BA24"/>
    <mergeCell ref="AV25:BA25"/>
    <mergeCell ref="BK24:BM25"/>
    <mergeCell ref="BN24:BP25"/>
    <mergeCell ref="B28:B29"/>
    <mergeCell ref="R28:T29"/>
    <mergeCell ref="C28:E29"/>
    <mergeCell ref="F28:K29"/>
    <mergeCell ref="L28:Q29"/>
    <mergeCell ref="CE28:CE29"/>
    <mergeCell ref="CF28:CF29"/>
    <mergeCell ref="CG28:CG29"/>
    <mergeCell ref="CM28:CM29"/>
    <mergeCell ref="CH28:CH29"/>
    <mergeCell ref="CI28:CI29"/>
    <mergeCell ref="CJ28:CJ29"/>
    <mergeCell ref="CK28:CK29"/>
    <mergeCell ref="CL28:CL29"/>
    <mergeCell ref="CR28:CR29"/>
    <mergeCell ref="CS28:CS29"/>
    <mergeCell ref="CI26:CI27"/>
    <mergeCell ref="CJ26:CJ27"/>
    <mergeCell ref="BH26:BJ27"/>
    <mergeCell ref="CB26:CB27"/>
    <mergeCell ref="CC26:CC27"/>
    <mergeCell ref="CD26:CD27"/>
    <mergeCell ref="CE26:CE27"/>
    <mergeCell ref="CP26:CP27"/>
    <mergeCell ref="CQ26:CQ27"/>
    <mergeCell ref="BN26:BP27"/>
    <mergeCell ref="BS26:BS27"/>
    <mergeCell ref="BT26:BT27"/>
    <mergeCell ref="BV26:BV27"/>
    <mergeCell ref="BW26:BW27"/>
    <mergeCell ref="BX26:BX27"/>
    <mergeCell ref="BY26:BY27"/>
    <mergeCell ref="CQ30:CQ31"/>
    <mergeCell ref="CJ30:CJ31"/>
    <mergeCell ref="CK30:CK31"/>
    <mergeCell ref="CC28:CC29"/>
    <mergeCell ref="CD28:CD29"/>
    <mergeCell ref="CB28:CB29"/>
    <mergeCell ref="BS28:BS29"/>
    <mergeCell ref="BT28:BT29"/>
    <mergeCell ref="BB28:BC29"/>
    <mergeCell ref="BD28:BE29"/>
    <mergeCell ref="BF28:BG29"/>
    <mergeCell ref="BH28:BJ29"/>
    <mergeCell ref="BK28:BM29"/>
    <mergeCell ref="BN28:BP29"/>
    <mergeCell ref="BV28:BV29"/>
    <mergeCell ref="BW28:BW29"/>
    <mergeCell ref="BX28:BX29"/>
    <mergeCell ref="BY28:BY29"/>
    <mergeCell ref="BZ28:BZ29"/>
    <mergeCell ref="CC30:CC31"/>
    <mergeCell ref="CD30:CD31"/>
    <mergeCell ref="BB30:BC31"/>
    <mergeCell ref="B32:B33"/>
    <mergeCell ref="R32:T33"/>
    <mergeCell ref="U32:W33"/>
    <mergeCell ref="X32:Z33"/>
    <mergeCell ref="AJ32:AL33"/>
    <mergeCell ref="AM32:AO33"/>
    <mergeCell ref="CO30:CO31"/>
    <mergeCell ref="B30:B31"/>
    <mergeCell ref="R30:T31"/>
    <mergeCell ref="AM30:AO31"/>
    <mergeCell ref="AP30:AR31"/>
    <mergeCell ref="AS30:AU31"/>
    <mergeCell ref="AP32:AR33"/>
    <mergeCell ref="AS32:AU33"/>
    <mergeCell ref="AV33:BA33"/>
    <mergeCell ref="BB32:BC33"/>
    <mergeCell ref="BH30:BJ31"/>
    <mergeCell ref="CB30:CB31"/>
    <mergeCell ref="BS30:BS31"/>
    <mergeCell ref="BT30:BT31"/>
    <mergeCell ref="CB32:CB33"/>
    <mergeCell ref="X30:Z31"/>
    <mergeCell ref="C30:E31"/>
    <mergeCell ref="F30:K31"/>
    <mergeCell ref="BD30:BE31"/>
    <mergeCell ref="BF30:BG31"/>
    <mergeCell ref="BK30:BM31"/>
    <mergeCell ref="BN30:BP31"/>
    <mergeCell ref="BK32:BM33"/>
    <mergeCell ref="BN32:BP33"/>
    <mergeCell ref="BH32:BJ33"/>
    <mergeCell ref="CC32:CC33"/>
    <mergeCell ref="CS32:CS33"/>
    <mergeCell ref="CT32:CT33"/>
    <mergeCell ref="CL32:CL33"/>
    <mergeCell ref="CM32:CM33"/>
    <mergeCell ref="CN32:CN33"/>
    <mergeCell ref="CO32:CO33"/>
    <mergeCell ref="CP32:CP33"/>
    <mergeCell ref="CG32:CG33"/>
    <mergeCell ref="CH32:CH33"/>
    <mergeCell ref="CI32:CI33"/>
    <mergeCell ref="CJ32:CJ33"/>
    <mergeCell ref="CK32:CK33"/>
    <mergeCell ref="CR32:CR33"/>
    <mergeCell ref="CE32:CE33"/>
    <mergeCell ref="CF32:CF33"/>
    <mergeCell ref="BS32:BS33"/>
    <mergeCell ref="BT32:BT33"/>
    <mergeCell ref="CQ32:CQ33"/>
    <mergeCell ref="BD32:BE33"/>
    <mergeCell ref="BF32:BG33"/>
    <mergeCell ref="CD32:CD33"/>
    <mergeCell ref="BV30:BV31"/>
    <mergeCell ref="BW30:BW31"/>
    <mergeCell ref="BX30:BX31"/>
    <mergeCell ref="BY30:BY31"/>
    <mergeCell ref="BZ30:BZ31"/>
    <mergeCell ref="BV32:BV33"/>
    <mergeCell ref="BW32:BW33"/>
    <mergeCell ref="CB34:CB35"/>
    <mergeCell ref="BS36:BS37"/>
    <mergeCell ref="B34:B35"/>
    <mergeCell ref="R34:T35"/>
    <mergeCell ref="AM34:AO35"/>
    <mergeCell ref="BS34:BS35"/>
    <mergeCell ref="BT34:BT35"/>
    <mergeCell ref="BH36:BJ37"/>
    <mergeCell ref="CB36:CB37"/>
    <mergeCell ref="B36:B37"/>
    <mergeCell ref="X36:Z37"/>
    <mergeCell ref="AJ36:AL37"/>
    <mergeCell ref="AM36:AO37"/>
    <mergeCell ref="AP34:AR35"/>
    <mergeCell ref="AS34:AU35"/>
    <mergeCell ref="AP36:AR37"/>
    <mergeCell ref="AS36:AU37"/>
    <mergeCell ref="AV34:AX34"/>
    <mergeCell ref="AY34:BA34"/>
    <mergeCell ref="AV35:BA35"/>
    <mergeCell ref="AV36:AX36"/>
    <mergeCell ref="AY36:BA36"/>
    <mergeCell ref="AV37:BA37"/>
    <mergeCell ref="BB34:BC35"/>
    <mergeCell ref="U34:W35"/>
    <mergeCell ref="X34:Z35"/>
    <mergeCell ref="AJ34:AL35"/>
    <mergeCell ref="R36:T37"/>
    <mergeCell ref="U36:W37"/>
    <mergeCell ref="CS34:CS35"/>
    <mergeCell ref="CT34:CT35"/>
    <mergeCell ref="CM34:CM35"/>
    <mergeCell ref="CN34:CN35"/>
    <mergeCell ref="CO34:CO35"/>
    <mergeCell ref="CP34:CP35"/>
    <mergeCell ref="CQ34:CQ35"/>
    <mergeCell ref="CT36:CT37"/>
    <mergeCell ref="CO36:CO37"/>
    <mergeCell ref="CP36:CP37"/>
    <mergeCell ref="CQ36:CQ37"/>
    <mergeCell ref="CJ34:CJ35"/>
    <mergeCell ref="CK34:CK35"/>
    <mergeCell ref="CL34:CL35"/>
    <mergeCell ref="CC34:CC35"/>
    <mergeCell ref="CD34:CD35"/>
    <mergeCell ref="CE34:CE35"/>
    <mergeCell ref="CF34:CF35"/>
    <mergeCell ref="CG34:CG35"/>
    <mergeCell ref="CE36:CE37"/>
    <mergeCell ref="CF36:CF37"/>
    <mergeCell ref="CG36:CG37"/>
    <mergeCell ref="CH36:CH37"/>
    <mergeCell ref="CI36:CI37"/>
    <mergeCell ref="CC36:CC37"/>
    <mergeCell ref="CD36:CD37"/>
    <mergeCell ref="CH34:CH35"/>
    <mergeCell ref="CI34:CI35"/>
    <mergeCell ref="AA16:AC17"/>
    <mergeCell ref="CV16:CV17"/>
    <mergeCell ref="CW16:CW17"/>
    <mergeCell ref="CX16:CX17"/>
    <mergeCell ref="CV18:CV19"/>
    <mergeCell ref="CW18:CW19"/>
    <mergeCell ref="CX18:CX19"/>
    <mergeCell ref="CV20:CV21"/>
    <mergeCell ref="CW20:CW21"/>
    <mergeCell ref="CX20:CX21"/>
    <mergeCell ref="CU16:CU17"/>
    <mergeCell ref="CU18:CU19"/>
    <mergeCell ref="CU20:CU21"/>
    <mergeCell ref="CU22:CU23"/>
    <mergeCell ref="CU24:CU25"/>
    <mergeCell ref="CU26:CU27"/>
    <mergeCell ref="CU28:CU29"/>
    <mergeCell ref="CT28:CT29"/>
    <mergeCell ref="CN28:CN29"/>
    <mergeCell ref="CO28:CO29"/>
    <mergeCell ref="CP28:CP29"/>
    <mergeCell ref="CQ28:CQ29"/>
    <mergeCell ref="CR26:CR27"/>
    <mergeCell ref="CS26:CS27"/>
    <mergeCell ref="CT26:CT27"/>
    <mergeCell ref="CK26:CK27"/>
    <mergeCell ref="CL26:CL27"/>
    <mergeCell ref="CM26:CM27"/>
    <mergeCell ref="CN26:CN27"/>
    <mergeCell ref="CO26:CO27"/>
    <mergeCell ref="BZ26:BZ27"/>
    <mergeCell ref="BH24:BJ25"/>
    <mergeCell ref="AD16:AI17"/>
    <mergeCell ref="AD18:AI19"/>
    <mergeCell ref="AD20:AI21"/>
    <mergeCell ref="AD22:AI23"/>
    <mergeCell ref="AD24:AI25"/>
    <mergeCell ref="AD26:AI27"/>
    <mergeCell ref="AD28:AI29"/>
    <mergeCell ref="AD30:AI31"/>
    <mergeCell ref="AD32:AI33"/>
    <mergeCell ref="AD34:AI35"/>
    <mergeCell ref="AD36:AI37"/>
    <mergeCell ref="AA9:AE11"/>
    <mergeCell ref="CV34:CV35"/>
    <mergeCell ref="CW34:CW35"/>
    <mergeCell ref="CV36:CV37"/>
    <mergeCell ref="CW36:CW37"/>
    <mergeCell ref="CV28:CV29"/>
    <mergeCell ref="CW28:CW29"/>
    <mergeCell ref="CV30:CV31"/>
    <mergeCell ref="CW30:CW31"/>
    <mergeCell ref="CV32:CV33"/>
    <mergeCell ref="CW32:CW33"/>
    <mergeCell ref="CV22:CV23"/>
    <mergeCell ref="CW22:CW23"/>
    <mergeCell ref="CV24:CV25"/>
    <mergeCell ref="CW24:CW25"/>
    <mergeCell ref="AP22:AR23"/>
    <mergeCell ref="AS22:AU23"/>
    <mergeCell ref="AP24:AR25"/>
    <mergeCell ref="AS24:AU25"/>
    <mergeCell ref="AP26:AR27"/>
    <mergeCell ref="AS26:AU27"/>
    <mergeCell ref="AM28:AO29"/>
    <mergeCell ref="AP28:AR29"/>
    <mergeCell ref="AS28:AU29"/>
    <mergeCell ref="AA22:AC23"/>
    <mergeCell ref="AA24:AC25"/>
    <mergeCell ref="AA26:AC27"/>
    <mergeCell ref="AA28:AC29"/>
    <mergeCell ref="AA30:AC31"/>
    <mergeCell ref="AA32:AC33"/>
    <mergeCell ref="AA34:AC35"/>
    <mergeCell ref="AA36:AC37"/>
    <mergeCell ref="BD18:BE19"/>
    <mergeCell ref="BF18:BG19"/>
    <mergeCell ref="BB20:BC21"/>
    <mergeCell ref="BD20:BE21"/>
    <mergeCell ref="BF20:BG21"/>
    <mergeCell ref="BB22:BC23"/>
    <mergeCell ref="BD22:BE23"/>
    <mergeCell ref="BF22:BG23"/>
    <mergeCell ref="BB24:BC25"/>
    <mergeCell ref="BD24:BE25"/>
    <mergeCell ref="BF24:BG25"/>
    <mergeCell ref="AV28:AX28"/>
    <mergeCell ref="AY28:BA28"/>
    <mergeCell ref="AV29:BA29"/>
    <mergeCell ref="AV30:AX30"/>
    <mergeCell ref="AY30:BA30"/>
    <mergeCell ref="AV31:BA31"/>
    <mergeCell ref="BB18:BC19"/>
    <mergeCell ref="DY34:DY35"/>
    <mergeCell ref="DZ34:DZ35"/>
    <mergeCell ref="DY36:DY37"/>
    <mergeCell ref="DZ36:DZ37"/>
    <mergeCell ref="DY18:DY19"/>
    <mergeCell ref="DZ18:DZ19"/>
    <mergeCell ref="DY20:DY21"/>
    <mergeCell ref="DZ20:DZ21"/>
    <mergeCell ref="DY22:DY23"/>
    <mergeCell ref="DZ22:DZ23"/>
    <mergeCell ref="DY24:DY25"/>
    <mergeCell ref="DZ24:DZ25"/>
    <mergeCell ref="DY26:DY27"/>
    <mergeCell ref="DZ26:DZ27"/>
    <mergeCell ref="BF34:BG35"/>
    <mergeCell ref="BK34:BM35"/>
    <mergeCell ref="BN34:BP35"/>
    <mergeCell ref="BF36:BG37"/>
    <mergeCell ref="BK36:BM37"/>
    <mergeCell ref="BN36:BP37"/>
    <mergeCell ref="BH34:BJ35"/>
    <mergeCell ref="CX24:CX25"/>
    <mergeCell ref="CV26:CV27"/>
    <mergeCell ref="CU30:CU31"/>
    <mergeCell ref="CU32:CU33"/>
    <mergeCell ref="CR36:CR37"/>
    <mergeCell ref="CS36:CS37"/>
    <mergeCell ref="CJ36:CJ37"/>
    <mergeCell ref="CK36:CK37"/>
    <mergeCell ref="CL36:CL37"/>
    <mergeCell ref="CM36:CM37"/>
    <mergeCell ref="CN36:CN37"/>
    <mergeCell ref="BV14:BZ15"/>
    <mergeCell ref="BV16:BV17"/>
    <mergeCell ref="BW16:BW17"/>
    <mergeCell ref="BX16:BX17"/>
    <mergeCell ref="BY16:BY17"/>
    <mergeCell ref="BZ16:BZ17"/>
    <mergeCell ref="BV18:BV19"/>
    <mergeCell ref="BW18:BW19"/>
    <mergeCell ref="BX18:BX19"/>
    <mergeCell ref="BY18:BY19"/>
    <mergeCell ref="BZ18:BZ19"/>
    <mergeCell ref="DY28:DY29"/>
    <mergeCell ref="DZ28:DZ29"/>
    <mergeCell ref="DY30:DY31"/>
    <mergeCell ref="DZ30:DZ31"/>
    <mergeCell ref="DY32:DY33"/>
    <mergeCell ref="DZ32:DZ33"/>
    <mergeCell ref="BX32:BX33"/>
    <mergeCell ref="BY32:BY33"/>
    <mergeCell ref="BZ32:BZ33"/>
    <mergeCell ref="CL30:CL31"/>
    <mergeCell ref="CM30:CM31"/>
    <mergeCell ref="CN30:CN31"/>
    <mergeCell ref="CE30:CE31"/>
    <mergeCell ref="CF30:CF31"/>
    <mergeCell ref="CG30:CG31"/>
    <mergeCell ref="CH30:CH31"/>
    <mergeCell ref="CI30:CI31"/>
    <mergeCell ref="CT30:CT31"/>
    <mergeCell ref="CR30:CR31"/>
    <mergeCell ref="CS30:CS31"/>
    <mergeCell ref="CP30:CP31"/>
    <mergeCell ref="CZ18:CZ19"/>
    <mergeCell ref="DA18:DA19"/>
    <mergeCell ref="CZ20:CZ21"/>
    <mergeCell ref="DA20:DA21"/>
    <mergeCell ref="CZ22:CZ23"/>
    <mergeCell ref="DA22:DA23"/>
    <mergeCell ref="CZ24:CZ25"/>
    <mergeCell ref="DA24:DA25"/>
    <mergeCell ref="BV20:BV21"/>
    <mergeCell ref="BW20:BW21"/>
    <mergeCell ref="BX20:BX21"/>
    <mergeCell ref="BY20:BY21"/>
    <mergeCell ref="BZ20:BZ21"/>
    <mergeCell ref="BV22:BV23"/>
    <mergeCell ref="BW22:BW23"/>
    <mergeCell ref="BX22:BX23"/>
    <mergeCell ref="BY22:BY23"/>
    <mergeCell ref="BZ22:BZ23"/>
    <mergeCell ref="CT24:CT25"/>
    <mergeCell ref="CK24:CK25"/>
    <mergeCell ref="CL24:CL25"/>
    <mergeCell ref="CM24:CM25"/>
    <mergeCell ref="CN24:CN25"/>
    <mergeCell ref="CO24:CO25"/>
    <mergeCell ref="CI24:CI25"/>
    <mergeCell ref="CJ24:CJ25"/>
    <mergeCell ref="CP24:CP25"/>
    <mergeCell ref="CQ24:CQ25"/>
    <mergeCell ref="CR24:CR25"/>
    <mergeCell ref="CS24:CS25"/>
    <mergeCell ref="CQ20:CQ21"/>
    <mergeCell ref="CR20:CR21"/>
    <mergeCell ref="R200:AR201"/>
    <mergeCell ref="CZ36:CZ37"/>
    <mergeCell ref="DA36:DA37"/>
    <mergeCell ref="CZ26:CZ27"/>
    <mergeCell ref="DA26:DA27"/>
    <mergeCell ref="CZ28:CZ29"/>
    <mergeCell ref="DA28:DA29"/>
    <mergeCell ref="CZ30:CZ31"/>
    <mergeCell ref="DA30:DA31"/>
    <mergeCell ref="CZ32:CZ33"/>
    <mergeCell ref="DA32:DA33"/>
    <mergeCell ref="CZ34:CZ35"/>
    <mergeCell ref="DA34:DA35"/>
    <mergeCell ref="BV34:BV35"/>
    <mergeCell ref="BW34:BW35"/>
    <mergeCell ref="BX34:BX35"/>
    <mergeCell ref="BY34:BY35"/>
    <mergeCell ref="BZ34:BZ35"/>
    <mergeCell ref="BV36:BV37"/>
    <mergeCell ref="BW36:BW37"/>
    <mergeCell ref="BX36:BX37"/>
    <mergeCell ref="BY36:BY37"/>
    <mergeCell ref="BZ36:BZ37"/>
    <mergeCell ref="BD34:BE35"/>
    <mergeCell ref="BB36:BC37"/>
    <mergeCell ref="BD36:BE37"/>
    <mergeCell ref="AV32:AX32"/>
    <mergeCell ref="AY32:BA32"/>
    <mergeCell ref="BT36:BT37"/>
    <mergeCell ref="CU34:CU35"/>
    <mergeCell ref="CU36:CU37"/>
    <mergeCell ref="CR34:CR35"/>
    <mergeCell ref="EJ18:EJ19"/>
    <mergeCell ref="EK18:EK19"/>
    <mergeCell ref="EL18:EL19"/>
    <mergeCell ref="EM18:EM19"/>
    <mergeCell ref="EN18:EN19"/>
    <mergeCell ref="EA20:EA21"/>
    <mergeCell ref="EB20:EB21"/>
    <mergeCell ref="EC20:EC21"/>
    <mergeCell ref="ED20:ED21"/>
    <mergeCell ref="EE20:EE21"/>
    <mergeCell ref="EF20:EF21"/>
    <mergeCell ref="EG20:EG21"/>
    <mergeCell ref="EH20:EH21"/>
    <mergeCell ref="EI20:EI21"/>
    <mergeCell ref="EJ20:EJ21"/>
    <mergeCell ref="EK20:EK21"/>
    <mergeCell ref="EL20:EL21"/>
    <mergeCell ref="EM20:EM21"/>
    <mergeCell ref="EN20:EN21"/>
    <mergeCell ref="EA18:EA19"/>
    <mergeCell ref="EB18:EB19"/>
    <mergeCell ref="EC18:EC19"/>
    <mergeCell ref="ED18:ED19"/>
    <mergeCell ref="EE18:EE19"/>
    <mergeCell ref="EF18:EF19"/>
    <mergeCell ref="EG18:EG19"/>
    <mergeCell ref="EH18:EH19"/>
    <mergeCell ref="EI18:EI19"/>
    <mergeCell ref="EJ22:EJ23"/>
    <mergeCell ref="EK22:EK23"/>
    <mergeCell ref="EL22:EL23"/>
    <mergeCell ref="EM22:EM23"/>
    <mergeCell ref="EN22:EN23"/>
    <mergeCell ref="EA24:EA25"/>
    <mergeCell ref="EB24:EB25"/>
    <mergeCell ref="EC24:EC25"/>
    <mergeCell ref="ED24:ED25"/>
    <mergeCell ref="EE24:EE25"/>
    <mergeCell ref="EF24:EF25"/>
    <mergeCell ref="EG24:EG25"/>
    <mergeCell ref="EH24:EH25"/>
    <mergeCell ref="EI24:EI25"/>
    <mergeCell ref="EJ24:EJ25"/>
    <mergeCell ref="EK24:EK25"/>
    <mergeCell ref="EL24:EL25"/>
    <mergeCell ref="EM24:EM25"/>
    <mergeCell ref="EN24:EN25"/>
    <mergeCell ref="EA22:EA23"/>
    <mergeCell ref="EB22:EB23"/>
    <mergeCell ref="EC22:EC23"/>
    <mergeCell ref="ED22:ED23"/>
    <mergeCell ref="EE22:EE23"/>
    <mergeCell ref="EF22:EF23"/>
    <mergeCell ref="EG22:EG23"/>
    <mergeCell ref="EH22:EH23"/>
    <mergeCell ref="EI22:EI23"/>
    <mergeCell ref="EJ26:EJ27"/>
    <mergeCell ref="EK26:EK27"/>
    <mergeCell ref="EL26:EL27"/>
    <mergeCell ref="EM26:EM27"/>
    <mergeCell ref="EN26:EN27"/>
    <mergeCell ref="EA28:EA29"/>
    <mergeCell ref="EB28:EB29"/>
    <mergeCell ref="EC28:EC29"/>
    <mergeCell ref="ED28:ED29"/>
    <mergeCell ref="EE28:EE29"/>
    <mergeCell ref="EF28:EF29"/>
    <mergeCell ref="EG28:EG29"/>
    <mergeCell ref="EH28:EH29"/>
    <mergeCell ref="EI28:EI29"/>
    <mergeCell ref="EJ28:EJ29"/>
    <mergeCell ref="EK28:EK29"/>
    <mergeCell ref="EL28:EL29"/>
    <mergeCell ref="EM28:EM29"/>
    <mergeCell ref="EN28:EN29"/>
    <mergeCell ref="EA26:EA27"/>
    <mergeCell ref="EB26:EB27"/>
    <mergeCell ref="EC26:EC27"/>
    <mergeCell ref="ED26:ED27"/>
    <mergeCell ref="EE26:EE27"/>
    <mergeCell ref="EF26:EF27"/>
    <mergeCell ref="EG26:EG27"/>
    <mergeCell ref="EH26:EH27"/>
    <mergeCell ref="EI26:EI27"/>
    <mergeCell ref="EJ30:EJ31"/>
    <mergeCell ref="EK30:EK31"/>
    <mergeCell ref="EL30:EL31"/>
    <mergeCell ref="EM30:EM31"/>
    <mergeCell ref="EN30:EN31"/>
    <mergeCell ref="EA32:EA33"/>
    <mergeCell ref="EB32:EB33"/>
    <mergeCell ref="EC32:EC33"/>
    <mergeCell ref="ED32:ED33"/>
    <mergeCell ref="EE32:EE33"/>
    <mergeCell ref="EF32:EF33"/>
    <mergeCell ref="EG32:EG33"/>
    <mergeCell ref="EH32:EH33"/>
    <mergeCell ref="EI32:EI33"/>
    <mergeCell ref="EJ32:EJ33"/>
    <mergeCell ref="EK32:EK33"/>
    <mergeCell ref="EL32:EL33"/>
    <mergeCell ref="EM32:EM33"/>
    <mergeCell ref="EN32:EN33"/>
    <mergeCell ref="EA30:EA31"/>
    <mergeCell ref="EB30:EB31"/>
    <mergeCell ref="EC30:EC31"/>
    <mergeCell ref="ED30:ED31"/>
    <mergeCell ref="EE30:EE31"/>
    <mergeCell ref="EF30:EF31"/>
    <mergeCell ref="EG30:EG31"/>
    <mergeCell ref="EH30:EH31"/>
    <mergeCell ref="EI30:EI31"/>
    <mergeCell ref="EJ34:EJ35"/>
    <mergeCell ref="EK34:EK35"/>
    <mergeCell ref="EL34:EL35"/>
    <mergeCell ref="EM34:EM35"/>
    <mergeCell ref="EN34:EN35"/>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A34:EA35"/>
    <mergeCell ref="EB34:EB35"/>
    <mergeCell ref="EC34:EC35"/>
    <mergeCell ref="ED34:ED35"/>
    <mergeCell ref="EE34:EE35"/>
    <mergeCell ref="EF34:EF35"/>
    <mergeCell ref="EG34:EG35"/>
    <mergeCell ref="EH34:EH35"/>
    <mergeCell ref="EI34:EI35"/>
  </mergeCells>
  <conditionalFormatting sqref="C18 L18 AD18 AJ18 AM18 AP18 AY18 BB18 BD18 AV18:AV37 C20 L20 AD20 AJ20 AM20 AP20 AY20 BB20 BD20 C22 L22 AD22 AJ22 AM22 AP22 AY22 BB22 BD22 C24 L24 AD24 AJ24 AM24 AP24 AY24 BB24 BD24 C26 L26 AD26 AJ26 AM26 AP26 AY26 BB26 BD26 C28 L28 AD28 AJ28 AM28 AP28 AY28 BB28 BD28 C30 L30 AD30 AJ30 AM30 AP30 AY30 BB30 BD30 C32 L32 AD32 AJ32 AM32 AP32 AY32 BB32 BD32 C34 L34 AD34 AJ34 AM34 AP34 AY34 BB34 BD34 C36 L36 AD36 AJ36 AM36 AP36 AY36 BB36 BD36">
    <cfRule type="expression" dxfId="333" priority="12">
      <formula>AND(ISBLANK($F18)=FALSE,OR(ISBLANK(C18)=TRUE,C18=""))</formula>
    </cfRule>
  </conditionalFormatting>
  <conditionalFormatting sqref="R18:AC37">
    <cfRule type="expression" dxfId="332" priority="3">
      <formula>AND(ISBLANK($F18)=FALSE,OR(ISBLANK(R18)=TRUE,R18=""))</formula>
    </cfRule>
  </conditionalFormatting>
  <conditionalFormatting sqref="AS18 AS20 AS22 AS24 AS26 AS28 AS30 AS32 AS34 AS36">
    <cfRule type="expression" dxfId="331" priority="2">
      <formula>AND(ISBLANK($F18)=FALSE,OR(ISBLANK(AS18)=TRUE,AS18=""))</formula>
    </cfRule>
  </conditionalFormatting>
  <conditionalFormatting sqref="AV18 AY18 AV20 AY20 AV22 AY22 AV24 AY24 AV26 AY26 AV28 AY28 AV30 AY30 AV32 AY32 AV34 AY34 AV36 AY36">
    <cfRule type="expression" dxfId="330" priority="2089">
      <formula>AND($F18&lt;&gt;"",$P18&lt;&gt;"",AV18="")</formula>
    </cfRule>
  </conditionalFormatting>
  <conditionalFormatting sqref="AV19 AV21 AV23 AV25 AV27 AV29 AV31 AV33 AV35 AV37">
    <cfRule type="expression" dxfId="329" priority="8">
      <formula>AND($F18&lt;&gt;"",AV19="")</formula>
    </cfRule>
  </conditionalFormatting>
  <conditionalFormatting sqref="BA8:BF8">
    <cfRule type="expression" dxfId="328" priority="5">
      <formula>IF($AO$8=PROJSTATMEASURE,FALSE,TRUE)</formula>
    </cfRule>
  </conditionalFormatting>
  <conditionalFormatting sqref="BH18 BH20 BH22 BH24 BH26 BH28 BH30 BH32 BH34 BH36">
    <cfRule type="expression" dxfId="327" priority="2147" stopIfTrue="1">
      <formula>ISNUMBER($BH18)=FALSE</formula>
    </cfRule>
    <cfRule type="expression" dxfId="326" priority="2148">
      <formula>$BH18 &lt;&gt; #REF!</formula>
    </cfRule>
  </conditionalFormatting>
  <conditionalFormatting sqref="BY18:BZ37">
    <cfRule type="expression" dxfId="325" priority="1">
      <formula>$BX18&lt;&gt;"Dual"</formula>
    </cfRule>
  </conditionalFormatting>
  <dataValidations count="20">
    <dataValidation type="list" allowBlank="1" showInputMessage="1" showErrorMessage="1" prompt="Select Custom Measure Category." sqref="F18 F20 F22 F24 F26 F28 F30 F32 F34 F36" xr:uid="{E72F925E-3C9F-4E2E-987B-0E92D706CAC4}">
      <formula1>List_Cust_Water</formula1>
    </dataValidation>
    <dataValidation type="decimal" allowBlank="1" showInputMessage="1" showErrorMessage="1" prompt="This is the TOTAL Labor Cost of the measure, NOT a per unit basis." sqref="BD18 BD20 BD22 BD24 BD26 BD28 BD30 BD32 BD34 BD36" xr:uid="{6C85B6AA-52F2-47E6-A35C-E4EFE31700CA}">
      <formula1>0</formula1>
      <formula2>999999999</formula2>
    </dataValidation>
    <dataValidation type="decimal" allowBlank="1" showInputMessage="1" showErrorMessage="1" prompt="This is the TOTAL Material Cost of the measure, NOT a per unit basis." sqref="BB18 BB20 BB22 BB24 BB26 BB28 BB30 BB32 BB34 BB36" xr:uid="{CFC2A638-AD24-4431-9E4B-DFA149BEDD2B}">
      <formula1>0</formula1>
      <formula2>999999999</formula2>
    </dataValidation>
    <dataValidation allowBlank="1" showInputMessage="1" showErrorMessage="1" prompt="Install Location should describe the area where the equipment is installed. (e.g. Room 201, Garage, Mechanical Room)." sqref="C18 C20 C22 C24 C26 C28 C30 C32 C34 C36" xr:uid="{F792CA49-25BA-4AAA-BBD5-E8635A64420E}"/>
    <dataValidation allowBlank="1" showInputMessage="1" showErrorMessage="1" prompt="Enter the Manufacturer name as it appears in technical documents and invoices." sqref="AV18 AV20 AV22 AV24 AV26 AV28 AV30 AV32 AV34 AV36" xr:uid="{91DFAA5D-3D41-4303-A4CF-D9C931937D31}"/>
    <dataValidation allowBlank="1" showInputMessage="1" showErrorMessage="1" prompt="Enter the Model number as it appears in technical documents and invoices." sqref="AY18 AY20 AY22 AY24 AY26 AY28 AY30 AY32 AY34 AY36" xr:uid="{BE4ECAAD-F0D6-40FC-8AD2-F2A928F6454B}"/>
    <dataValidation allowBlank="1" showInputMessage="1" showErrorMessage="1" prompt="Provide a brief description of the Existing Equipment." sqref="L18 L20 L22 L24 L26 L28 L30 L32 L34 L36" xr:uid="{79FBF765-D969-4B27-93EB-EF3FFA96F866}"/>
    <dataValidation allowBlank="1" showInputMessage="1" showErrorMessage="1" prompt="Enter the Serial number as it appears in technical documents and invoices." sqref="AV19 AV21 AV23 AV25 AV27 AV29 AV31 AV33 AV35 AV37" xr:uid="{8434D2E7-D939-4C68-8186-A8679E9AE3C2}"/>
    <dataValidation type="custom" operator="greaterThanOrEqual" allowBlank="1" showInputMessage="1" showErrorMessage="1" errorTitle="Invalid Entry" error="Please enter no more than 4 decimals." prompt="Enter the Total Annual kWh Usage for the Existing measure, NOT per unit." sqref="R18:T37" xr:uid="{0BA35A6C-30B6-4B79-99F6-0805FA57943E}">
      <formula1>AND(R18&gt;=0,R18=ROUND(R18,4))</formula1>
    </dataValidation>
    <dataValidation type="custom" operator="greaterThanOrEqual" allowBlank="1" showInputMessage="1" showErrorMessage="1" errorTitle="Invalid Entry" error="Please enter no more than 6 decimals." prompt="Enter the Total Annual kW Demand for the Existing measure, NOT per unit." sqref="U18:W37" xr:uid="{D5E1D89F-B782-4AA6-BBE6-947724D05244}">
      <formula1>AND(U18&gt;=0,U18=ROUND(U18,6))</formula1>
    </dataValidation>
    <dataValidation type="custom" operator="greaterThanOrEqual" allowBlank="1" showInputMessage="1" showErrorMessage="1" errorTitle="Invalid Entry" error="Please enter no more than 4 decimals." prompt="Enter the Total Annual kWh Usage for the Proposed measure, NOT per unit." sqref="AJ18 AJ20 AJ22 AJ24 AJ26 AJ28 AJ30 AJ32 AJ34 AJ36" xr:uid="{0891CF79-A058-4736-A941-078A7A999132}">
      <formula1>AND(AJ18&gt;=0,AJ18=ROUND(AJ18,4))</formula1>
    </dataValidation>
    <dataValidation type="custom" operator="greaterThanOrEqual" allowBlank="1" showInputMessage="1" showErrorMessage="1" errorTitle="Invalid Entry" error="Please enter no more than 6 decimals." prompt="Enter the Total Annual kW Demand for the Proposed measure, NOT per unit." sqref="AM18 AM20 AM22 AM24 AM26 AM28 AM30 AM32 AM34 AM36" xr:uid="{A1CFD489-3954-4D37-A90D-3778F29D90AD}">
      <formula1>AND(AM18&gt;=0,AM18=ROUND(AM18,6))</formula1>
    </dataValidation>
    <dataValidation type="textLength" errorStyle="warning" operator="lessThan" allowBlank="1" showInputMessage="1" showErrorMessage="1" errorTitle="*Important*" error="Text length must be less than 255 characters." prompt="Provide a brief description of the Proposed Equipment." sqref="AD18 AD20 AD22 AD24 AD26 AD28 AD30 AD32 AD34 AD36" xr:uid="{41D27E85-FB37-45CA-80A4-EEBC0A6AD88A}">
      <formula1>255</formula1>
    </dataValidation>
    <dataValidation type="custom" operator="greaterThanOrEqual" allowBlank="1" showInputMessage="1" showErrorMessage="1" errorTitle="Invalid Entry" error="Please enter no more than 6 decimals." prompt="Enter the Total Annual therm Usage for the Existing measure, NOT per unit." sqref="X18:Z37" xr:uid="{4220D956-D896-4E87-8D24-3B116CD25F39}">
      <formula1>AND(X18&gt;=0,X18=ROUND(X18,6))</formula1>
    </dataValidation>
    <dataValidation type="custom" operator="greaterThanOrEqual" allowBlank="1" showInputMessage="1" showErrorMessage="1" errorTitle="Invalid Entry" error="Please enter no more than 6 decimals." prompt="Enter the Peak Day therm Usage for the Existing measure, NOT per unit." sqref="AA18:AC37" xr:uid="{3053BA51-DE20-49F0-A37C-527CA5F73B32}">
      <formula1>AND(AA18&gt;=0,AA18=ROUND(AA18,6))</formula1>
    </dataValidation>
    <dataValidation type="custom" operator="greaterThanOrEqual" allowBlank="1" showInputMessage="1" showErrorMessage="1" errorTitle="Invalid Entry" error="Please enter no more than 6 decimals." prompt="Enter the Total Annual therm Usage for the Proposed measure, NOT per unit." sqref="AP18:AR37" xr:uid="{873C11ED-1C3B-44FF-B0C5-451B3A2CC32D}">
      <formula1>AND(AP18&gt;=0,AP18=ROUND(AP18,6))</formula1>
    </dataValidation>
    <dataValidation type="custom" operator="greaterThanOrEqual" allowBlank="1" showInputMessage="1" showErrorMessage="1" errorTitle="Invalid Entry" error="Please enter no more than 6 decimals." prompt="Enter the Peak Day therm Usage for the Proposed measure, NOT per unit." sqref="AS18:AU37" xr:uid="{61B4A089-712A-4022-BF77-069ADDE17345}">
      <formula1>AND(AS18&gt;=0,AS18=ROUND(AS18,6))</formula1>
    </dataValidation>
    <dataValidation type="custom" allowBlank="1" showInputMessage="1" showErrorMessage="1" sqref="BZ18:BZ37" xr:uid="{E20D0896-3025-40D4-BD56-AD3C5739D901}">
      <formula1>AND(BZ18&gt;=0,BZ18=ROUND(BZ18,6))</formula1>
    </dataValidation>
    <dataValidation type="custom" allowBlank="1" showInputMessage="1" showErrorMessage="1" sqref="BY18:BY37" xr:uid="{279DE495-8DF0-4C7C-93B5-7EED94BE3CB5}">
      <formula1>AND(BY18&gt;=0,BY18=ROUND(BY18,4))</formula1>
    </dataValidation>
    <dataValidation type="whole" operator="greaterThan" allowBlank="1" showInputMessage="1" showErrorMessage="1" sqref="BV18:BW37" xr:uid="{D7D0F34C-4374-431B-A6C6-59F684AFDD13}">
      <formula1>0</formula1>
    </dataValidation>
  </dataValidations>
  <hyperlinks>
    <hyperlink ref="J1:M3" location="'M01-S02'!J1" tooltip="Instructions" display="'M01-S02'!J1" xr:uid="{25D06977-8F61-4776-87C2-03C114F5FDDA}"/>
    <hyperlink ref="AX1:BA3" location="'M05-S05'!AL1" tooltip=" " display="'M05-S05'!AL1" xr:uid="{4A2175DF-526D-4DBC-AA0B-C7F5D95C482E}"/>
    <hyperlink ref="BH1:BK3" location="'M01-S03'!AP1" tooltip="Contact" display="'M01-S03'!AP1" xr:uid="{2A578CF2-4EB8-44D5-BE83-DBE70B5A29EA}"/>
    <hyperlink ref="AT1:AW3" location="'M05-S04'!AH1" tooltip=" " display="'M05-S04'!AH1" xr:uid="{A7273E4A-D969-4CF5-9F37-32B25928DA79}"/>
    <hyperlink ref="AP1:AS3" location="'M05-S05'!AL1" tooltip=" " display="'M05-S05'!AL1" xr:uid="{1E312BE0-C571-417D-BB64-BFC729A5803C}"/>
    <hyperlink ref="W9:Z11" location="Custom_WH_Tax" tooltip="Refrigeration" display="Custom_WH_Tax" xr:uid="{AFEDA578-C0E4-42A4-A8DB-5F2FCFFF9FEF}"/>
    <hyperlink ref="AP9:AS11" location="Custom_PL_Tax" tooltip="Motors and Drives" display="Custom_PL_Tax" xr:uid="{416F590E-0891-4A20-87A3-073F1EDDE0EE}"/>
    <hyperlink ref="K9:N11" location="Custom_Lighting_Tax" display="Custom_Lighting_Tax" xr:uid="{E743E632-126C-4134-B626-11BC2EDC3259}"/>
    <hyperlink ref="O9:R11" location="Custom_HVAC_Tax" display="Custom_HVAC_Tax" xr:uid="{1EC6E49B-7ECE-4F83-8F08-D1D30D48F1E6}"/>
    <hyperlink ref="S9:V11" location="Custom_Heating_Tax" display="Custom_Heating_Tax" xr:uid="{B020B751-FC16-426A-8ACC-27B55D64F404}"/>
    <hyperlink ref="AF9:AJ11" location="Custom_FS_Tax" display="Custom_FS_Tax" xr:uid="{D70DE863-7277-48D9-8430-AC94CFE16F6B}"/>
    <hyperlink ref="AK9:AO11" location="Custom_AG_Tax" display="Custom_AG_Tax" xr:uid="{13C8DBFE-ACFB-4B5F-93CC-AFD57C862E05}"/>
    <hyperlink ref="AT9:AW11" location="Custom_RA_Tax" display="Custom_RA_Tax" xr:uid="{8D49F3C8-F380-4608-82EB-9268782EB930}"/>
    <hyperlink ref="AX9:BA11" location="Custom_Misc_Tax" display="Custom_Misc_Tax" xr:uid="{CB1C294F-17D3-4BAD-BAE6-66572CFB6BD6}"/>
    <hyperlink ref="AA9:AE11" location="Custom_Refrig_Tax" display="Custom_Refrig_Tax" xr:uid="{8E8B03BB-7A59-4689-A786-006037ABA781}"/>
  </hyperlinks>
  <printOptions horizontalCentered="1"/>
  <pageMargins left="0" right="0" top="0.25" bottom="0.25" header="0.25" footer="0.25"/>
  <pageSetup scale="4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62A4C8A-3C37-431B-A861-314E30590C24}">
          <x14:formula1>
            <xm:f>'DATA TABLES_Project'!$A$112:$A$113</xm:f>
          </x14:formula1>
          <xm:sqref>BX18:BX37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229E-A5F8-4076-94AE-B5FCBDF4B5D5}">
  <sheetPr codeName="Sheet30">
    <tabColor rgb="FF142C41"/>
    <pageSetUpPr fitToPage="1"/>
  </sheetPr>
  <dimension ref="A1:EN204"/>
  <sheetViews>
    <sheetView showGridLines="0" showRowColHeaders="0" zoomScale="90" zoomScaleNormal="90" workbookViewId="0">
      <selection activeCell="AQ14" sqref="AQ14:BA14"/>
    </sheetView>
  </sheetViews>
  <sheetFormatPr defaultColWidth="0" defaultRowHeight="0" customHeight="1" zeroHeight="1"/>
  <cols>
    <col min="1" max="70" width="4.5703125" style="502" customWidth="1"/>
    <col min="71" max="71" width="11.5703125" hidden="1" customWidth="1"/>
    <col min="72" max="72" width="80.5703125" hidden="1" customWidth="1"/>
    <col min="73" max="73" width="4.5703125" hidden="1" customWidth="1"/>
    <col min="74" max="76" width="12" hidden="1" customWidth="1"/>
    <col min="77" max="77" width="14.85546875" hidden="1" customWidth="1"/>
    <col min="78" max="78" width="15.140625" hidden="1" customWidth="1"/>
    <col min="79" max="79" width="4.5703125" hidden="1" customWidth="1"/>
    <col min="80" max="98" width="12" hidden="1" customWidth="1"/>
    <col min="99" max="99" width="13.5703125" hidden="1" customWidth="1"/>
    <col min="100" max="102" width="12" hidden="1" customWidth="1"/>
    <col min="103" max="103" width="13.5703125" hidden="1" customWidth="1"/>
    <col min="104" max="107" width="12" hidden="1" customWidth="1"/>
    <col min="108" max="128" width="28.5703125" hidden="1" customWidth="1"/>
    <col min="129" max="129" width="26.7109375" hidden="1" customWidth="1"/>
    <col min="130" max="130" width="15.85546875" hidden="1" customWidth="1"/>
    <col min="131" max="144" width="32.5703125" hidden="1" customWidth="1"/>
    <col min="145" max="16384" width="13.5703125" hidden="1"/>
  </cols>
  <sheetData>
    <row r="1" spans="1:112" ht="16.350000000000001" customHeight="1">
      <c r="A1" s="12"/>
      <c r="B1" s="36"/>
      <c r="C1" s="36"/>
      <c r="D1" s="36"/>
      <c r="E1" s="36"/>
      <c r="F1" s="750" t="str">
        <f>M1S1</f>
        <v>WELCOME</v>
      </c>
      <c r="G1" s="750"/>
      <c r="H1" s="750"/>
      <c r="I1" s="750"/>
      <c r="J1" s="727" t="str">
        <f>M1S2</f>
        <v>INSTRUCTIONS</v>
      </c>
      <c r="K1" s="727"/>
      <c r="L1" s="727"/>
      <c r="M1" s="727"/>
      <c r="N1" s="166"/>
      <c r="O1" s="166"/>
      <c r="P1" s="166"/>
      <c r="Q1" s="166"/>
      <c r="R1" s="166"/>
      <c r="S1" s="166"/>
      <c r="T1" s="166"/>
      <c r="U1" s="189"/>
      <c r="V1" s="190" t="s">
        <v>118</v>
      </c>
      <c r="W1" s="190"/>
      <c r="X1" s="190"/>
      <c r="Y1" s="190"/>
      <c r="Z1" s="166"/>
      <c r="AA1" s="166"/>
      <c r="AB1" s="166"/>
      <c r="AC1" s="166"/>
      <c r="AD1" s="166"/>
      <c r="AE1" s="166"/>
      <c r="AF1" s="166"/>
      <c r="AG1" s="166"/>
      <c r="AH1" s="166"/>
      <c r="AI1" s="166"/>
      <c r="AJ1" s="166"/>
      <c r="AK1" s="166"/>
      <c r="AL1"/>
      <c r="AM1"/>
      <c r="AN1"/>
      <c r="AO1"/>
      <c r="AP1" s="734" t="str">
        <f>IF(ACTIVEINSPECT="Yes","Complete "&amp;M5S4,"")</f>
        <v/>
      </c>
      <c r="AQ1" s="734"/>
      <c r="AR1" s="734"/>
      <c r="AS1" s="734"/>
      <c r="AT1" s="730" t="str">
        <f>IF(ACTIVEOFFER="Yes","Sign "&amp;M5S6,"")</f>
        <v>Sign OBR: Repayment Agreement</v>
      </c>
      <c r="AU1" s="730"/>
      <c r="AV1" s="730"/>
      <c r="AW1" s="730"/>
      <c r="AX1" s="730" t="str">
        <f>IF(ACTIVECOMPL="Yes","Sign "&amp;M5S5,"")</f>
        <v xml:space="preserve">Sign Project Completion Certification </v>
      </c>
      <c r="AY1" s="730"/>
      <c r="AZ1" s="730"/>
      <c r="BA1" s="730"/>
      <c r="BB1" s="732" t="str">
        <f>M1S4</f>
        <v>INCENTIVE RATES &amp; REQUIREMENTS</v>
      </c>
      <c r="BC1" s="732"/>
      <c r="BD1" s="732"/>
      <c r="BE1" s="732"/>
      <c r="BF1" s="732"/>
      <c r="BG1" s="732"/>
      <c r="BH1" s="722" t="s">
        <v>119</v>
      </c>
      <c r="BI1" s="723"/>
      <c r="BJ1" s="723"/>
      <c r="BK1" s="723"/>
      <c r="BL1" s="676"/>
      <c r="BM1" s="676"/>
      <c r="BN1" s="676"/>
      <c r="BO1" s="676"/>
      <c r="BP1" s="676"/>
      <c r="BQ1" s="676"/>
      <c r="BR1" s="676"/>
    </row>
    <row r="2" spans="1:112" ht="16.350000000000001" customHeight="1">
      <c r="A2"/>
      <c r="B2" s="36"/>
      <c r="C2" s="36"/>
      <c r="D2" s="36"/>
      <c r="E2" s="36"/>
      <c r="F2" s="750"/>
      <c r="G2" s="750"/>
      <c r="H2" s="750"/>
      <c r="I2" s="750"/>
      <c r="J2" s="728"/>
      <c r="K2" s="728"/>
      <c r="L2" s="728"/>
      <c r="M2" s="728"/>
      <c r="N2" s="166"/>
      <c r="O2" s="166"/>
      <c r="P2" s="166"/>
      <c r="Q2" s="166"/>
      <c r="R2" s="166"/>
      <c r="S2" s="166"/>
      <c r="T2" s="166"/>
      <c r="U2" s="189"/>
      <c r="V2" s="190"/>
      <c r="W2" s="190"/>
      <c r="X2" s="190"/>
      <c r="Y2" s="190"/>
      <c r="Z2" s="166"/>
      <c r="AA2" s="166"/>
      <c r="AB2" s="166"/>
      <c r="AC2" s="166"/>
      <c r="AD2" s="166"/>
      <c r="AE2" s="166"/>
      <c r="AF2" s="166"/>
      <c r="AG2" s="166"/>
      <c r="AH2" s="166"/>
      <c r="AI2" s="166"/>
      <c r="AJ2" s="166"/>
      <c r="AK2" s="166"/>
      <c r="AL2"/>
      <c r="AM2"/>
      <c r="AN2"/>
      <c r="AO2"/>
      <c r="AP2" s="734"/>
      <c r="AQ2" s="734"/>
      <c r="AR2" s="734"/>
      <c r="AS2" s="734"/>
      <c r="AT2" s="730"/>
      <c r="AU2" s="730"/>
      <c r="AV2" s="730"/>
      <c r="AW2" s="730"/>
      <c r="AX2" s="730"/>
      <c r="AY2" s="730"/>
      <c r="AZ2" s="730"/>
      <c r="BA2" s="730"/>
      <c r="BB2" s="732"/>
      <c r="BC2" s="732"/>
      <c r="BD2" s="732"/>
      <c r="BE2" s="732"/>
      <c r="BF2" s="732"/>
      <c r="BG2" s="732"/>
      <c r="BH2" s="723"/>
      <c r="BI2" s="723"/>
      <c r="BJ2" s="723"/>
      <c r="BK2" s="723"/>
      <c r="BL2" s="676"/>
      <c r="BM2" s="676"/>
      <c r="BN2" s="676"/>
      <c r="BO2" s="676"/>
      <c r="BP2" s="676"/>
      <c r="BQ2" s="676"/>
      <c r="BR2" s="676"/>
    </row>
    <row r="3" spans="1:112" s="614" customFormat="1" ht="16.350000000000001" customHeight="1" thickBot="1">
      <c r="B3" s="627"/>
      <c r="C3" s="627"/>
      <c r="D3" s="627"/>
      <c r="E3" s="627"/>
      <c r="F3" s="875"/>
      <c r="G3" s="875"/>
      <c r="H3" s="875"/>
      <c r="I3" s="875"/>
      <c r="J3" s="876"/>
      <c r="K3" s="876"/>
      <c r="L3" s="876"/>
      <c r="M3" s="876"/>
      <c r="N3" s="608"/>
      <c r="O3" s="608"/>
      <c r="P3" s="608"/>
      <c r="Q3" s="608"/>
      <c r="R3" s="608"/>
      <c r="S3" s="608"/>
      <c r="T3" s="608"/>
      <c r="U3" s="608"/>
      <c r="V3" s="609"/>
      <c r="W3" s="609"/>
      <c r="X3" s="609"/>
      <c r="Y3" s="609"/>
      <c r="AP3" s="868"/>
      <c r="AQ3" s="868"/>
      <c r="AR3" s="868"/>
      <c r="AS3" s="868"/>
      <c r="AT3" s="869"/>
      <c r="AU3" s="869"/>
      <c r="AV3" s="869"/>
      <c r="AW3" s="869"/>
      <c r="AX3" s="869"/>
      <c r="AY3" s="869"/>
      <c r="AZ3" s="869"/>
      <c r="BA3" s="869"/>
      <c r="BB3" s="1009"/>
      <c r="BC3" s="1009"/>
      <c r="BD3" s="1009"/>
      <c r="BE3" s="1009"/>
      <c r="BF3" s="1009"/>
      <c r="BG3" s="1009"/>
      <c r="BH3" s="871"/>
      <c r="BI3" s="871"/>
      <c r="BJ3" s="871"/>
      <c r="BK3" s="871"/>
      <c r="BL3" s="677"/>
      <c r="BM3" s="677"/>
      <c r="BN3" s="677"/>
      <c r="BO3" s="677"/>
      <c r="BP3" s="677"/>
      <c r="BQ3" s="677"/>
      <c r="BR3" s="677"/>
    </row>
    <row r="4" spans="1:112" s="496" customFormat="1" ht="16.350000000000001" customHeight="1">
      <c r="A4" s="632"/>
      <c r="B4" s="632"/>
      <c r="C4" s="632"/>
      <c r="D4" s="632"/>
      <c r="E4" s="632"/>
      <c r="F4" s="632"/>
      <c r="G4" s="632"/>
      <c r="H4" s="632"/>
      <c r="I4" s="632"/>
      <c r="J4" s="632"/>
      <c r="K4" s="632"/>
      <c r="L4" s="632"/>
      <c r="M4" s="632"/>
      <c r="N4" s="633"/>
      <c r="O4" s="498"/>
      <c r="P4" s="632"/>
      <c r="Q4" s="632"/>
      <c r="R4" s="632"/>
      <c r="S4" s="632"/>
      <c r="T4" s="634" t="s">
        <v>707</v>
      </c>
      <c r="U4" s="635" t="str">
        <f>M05S07F07</f>
        <v>Custom</v>
      </c>
      <c r="V4" s="497"/>
      <c r="W4" s="497"/>
      <c r="X4" s="636"/>
      <c r="Y4" s="636"/>
      <c r="Z4" s="636"/>
      <c r="AA4" s="632"/>
      <c r="AB4" s="632"/>
      <c r="AC4" s="634" t="s">
        <v>708</v>
      </c>
      <c r="AD4" s="635" t="str">
        <f>IF(M02S02F02="","[Project Name]",LEFT(M02S02F02,25))</f>
        <v>[Project Name]</v>
      </c>
      <c r="AE4" s="497"/>
      <c r="AF4" s="647"/>
      <c r="AG4" s="647"/>
      <c r="AH4" s="647"/>
      <c r="AI4" s="647"/>
      <c r="AJ4" s="634" t="s">
        <v>709</v>
      </c>
      <c r="AK4" s="637" t="str">
        <f>IF(M02S02F27="Yes",Status_Final,Status_Pre)</f>
        <v>Draft Pre-Application</v>
      </c>
      <c r="AL4" s="632"/>
      <c r="AM4" s="497"/>
      <c r="AN4" s="497"/>
      <c r="AO4" s="498"/>
      <c r="AP4" s="632"/>
      <c r="AQ4" s="632"/>
      <c r="AR4" s="498"/>
      <c r="AS4" s="498"/>
      <c r="AT4" s="632"/>
      <c r="AU4" s="632"/>
      <c r="AV4" s="632"/>
      <c r="AW4" s="634" t="s">
        <v>710</v>
      </c>
      <c r="AX4" s="872">
        <f>Incent_Total_Cap_All</f>
        <v>0</v>
      </c>
      <c r="AY4" s="872"/>
      <c r="AZ4" s="872"/>
      <c r="BA4" s="872"/>
      <c r="BB4" s="873" t="s">
        <v>711</v>
      </c>
      <c r="BC4" s="873"/>
      <c r="BD4" s="873"/>
      <c r="BE4" s="873"/>
      <c r="BF4" s="873"/>
      <c r="BG4" s="872" t="str">
        <f>OBR_Amount_Requested</f>
        <v/>
      </c>
      <c r="BH4" s="872"/>
      <c r="BI4" s="872"/>
      <c r="BJ4" s="872"/>
      <c r="BK4" s="498"/>
      <c r="BL4" s="617"/>
      <c r="BM4" s="617"/>
      <c r="BN4" s="617"/>
      <c r="BO4" s="617"/>
      <c r="BP4" s="617"/>
      <c r="BQ4" s="617"/>
      <c r="BR4" s="617"/>
    </row>
    <row r="5" spans="1:112"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142"/>
      <c r="BK5" s="142"/>
      <c r="BL5"/>
      <c r="BM5"/>
      <c r="BN5"/>
      <c r="BO5"/>
      <c r="BP5"/>
      <c r="BQ5"/>
      <c r="BR5"/>
    </row>
    <row r="6" spans="1:112"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c r="BJ6"/>
      <c r="BK6"/>
      <c r="BL6"/>
      <c r="BM6"/>
      <c r="BN6"/>
      <c r="BO6"/>
      <c r="BP6"/>
      <c r="BQ6"/>
      <c r="BR6"/>
    </row>
    <row r="7" spans="1:112"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c r="BJ7"/>
      <c r="BK7"/>
      <c r="BL7"/>
      <c r="BM7"/>
      <c r="BN7"/>
      <c r="BO7"/>
      <c r="BP7"/>
      <c r="BQ7"/>
      <c r="BR7"/>
    </row>
    <row r="8" spans="1:112"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14"/>
      <c r="BK8" s="614"/>
      <c r="BL8"/>
      <c r="BM8"/>
      <c r="BN8"/>
      <c r="BO8"/>
      <c r="BP8"/>
      <c r="BQ8"/>
      <c r="BR8"/>
    </row>
    <row r="9" spans="1:112" s="43" customFormat="1" ht="16.350000000000001" customHeight="1">
      <c r="B9" s="44"/>
      <c r="C9" s="44"/>
      <c r="D9" s="44"/>
      <c r="E9" s="44"/>
      <c r="F9"/>
      <c r="K9" s="1051" t="str">
        <f>M4S2</f>
        <v>Lighting &amp; Lighting Controls</v>
      </c>
      <c r="L9" s="1014"/>
      <c r="M9" s="1014"/>
      <c r="N9" s="1014"/>
      <c r="O9" s="1005" t="str">
        <f>M4S3</f>
        <v>HVAC</v>
      </c>
      <c r="P9" s="1005"/>
      <c r="Q9" s="1005"/>
      <c r="R9" s="1005"/>
      <c r="S9" s="1005" t="str">
        <f>M4S4</f>
        <v>Heating</v>
      </c>
      <c r="T9" s="1005"/>
      <c r="U9" s="1005"/>
      <c r="V9" s="1005"/>
      <c r="W9" s="1005" t="str">
        <f>M4S5</f>
        <v>Water Heating &amp; Boilers</v>
      </c>
      <c r="X9" s="1005"/>
      <c r="Y9" s="1005"/>
      <c r="Z9" s="1005"/>
      <c r="AA9" s="1058" t="str">
        <f>M4S6</f>
        <v>Refrigeration</v>
      </c>
      <c r="AB9" s="1059"/>
      <c r="AC9" s="1059"/>
      <c r="AD9" s="1059"/>
      <c r="AE9" s="1060"/>
      <c r="AF9" s="1010" t="str">
        <f>M4S7</f>
        <v>Food Service</v>
      </c>
      <c r="AG9" s="1011"/>
      <c r="AH9" s="1011"/>
      <c r="AI9" s="1011"/>
      <c r="AJ9" s="1012"/>
      <c r="AK9" s="1010" t="str">
        <f>M4S8</f>
        <v>Agriculture</v>
      </c>
      <c r="AL9" s="1011"/>
      <c r="AM9" s="1011"/>
      <c r="AN9" s="1011"/>
      <c r="AO9" s="1012"/>
      <c r="AP9" s="1005" t="str">
        <f>M4S9</f>
        <v>Plug Load</v>
      </c>
      <c r="AQ9" s="1005"/>
      <c r="AR9" s="1005"/>
      <c r="AS9" s="1005"/>
      <c r="AT9" s="1005" t="str">
        <f>M4S10</f>
        <v>Residential Appliances</v>
      </c>
      <c r="AU9" s="1005"/>
      <c r="AV9" s="1005"/>
      <c r="AW9" s="1005"/>
      <c r="AX9" s="1005" t="str">
        <f>M4S11</f>
        <v>Miscellaneous</v>
      </c>
      <c r="AY9" s="1005"/>
      <c r="AZ9" s="1005"/>
      <c r="BA9" s="1005"/>
      <c r="DD9"/>
      <c r="DE9"/>
      <c r="DF9"/>
      <c r="DG9"/>
      <c r="DH9"/>
    </row>
    <row r="10" spans="1:112" s="43" customFormat="1" ht="16.350000000000001" customHeight="1">
      <c r="B10" s="44"/>
      <c r="C10" s="44"/>
      <c r="D10" s="44"/>
      <c r="E10" s="44"/>
      <c r="F10"/>
      <c r="K10" s="1051"/>
      <c r="L10" s="1014"/>
      <c r="M10" s="1014"/>
      <c r="N10" s="1014"/>
      <c r="O10" s="1005"/>
      <c r="P10" s="1005"/>
      <c r="Q10" s="1005"/>
      <c r="R10" s="1005"/>
      <c r="S10" s="1005"/>
      <c r="T10" s="1005"/>
      <c r="U10" s="1005"/>
      <c r="V10" s="1005"/>
      <c r="W10" s="1005"/>
      <c r="X10" s="1005"/>
      <c r="Y10" s="1005"/>
      <c r="Z10" s="1005"/>
      <c r="AA10" s="1061"/>
      <c r="AB10" s="1062"/>
      <c r="AC10" s="1062"/>
      <c r="AD10" s="1062"/>
      <c r="AE10" s="1063"/>
      <c r="AF10" s="1013"/>
      <c r="AG10" s="1014"/>
      <c r="AH10" s="1014"/>
      <c r="AI10" s="1014"/>
      <c r="AJ10" s="1015"/>
      <c r="AK10" s="1013"/>
      <c r="AL10" s="1014"/>
      <c r="AM10" s="1014"/>
      <c r="AN10" s="1014"/>
      <c r="AO10" s="1015"/>
      <c r="AP10" s="1005"/>
      <c r="AQ10" s="1005"/>
      <c r="AR10" s="1005"/>
      <c r="AS10" s="1005"/>
      <c r="AT10" s="1005"/>
      <c r="AU10" s="1005"/>
      <c r="AV10" s="1005"/>
      <c r="AW10" s="1005"/>
      <c r="AX10" s="1005"/>
      <c r="AY10" s="1005"/>
      <c r="AZ10" s="1005"/>
      <c r="BA10" s="1005"/>
      <c r="DD10"/>
      <c r="DE10"/>
      <c r="DF10"/>
      <c r="DG10"/>
      <c r="DH10"/>
    </row>
    <row r="11" spans="1:112" ht="16.350000000000001" customHeight="1">
      <c r="A11"/>
      <c r="B11" s="49"/>
      <c r="C11" s="49"/>
      <c r="D11" s="49"/>
      <c r="E11" s="49"/>
      <c r="F11"/>
      <c r="G11"/>
      <c r="H11"/>
      <c r="I11"/>
      <c r="J11"/>
      <c r="K11" s="1052"/>
      <c r="L11" s="1053"/>
      <c r="M11" s="1053"/>
      <c r="N11" s="1053"/>
      <c r="O11" s="1006"/>
      <c r="P11" s="1006"/>
      <c r="Q11" s="1006"/>
      <c r="R11" s="1006"/>
      <c r="S11" s="1006"/>
      <c r="T11" s="1006"/>
      <c r="U11" s="1006"/>
      <c r="V11" s="1006"/>
      <c r="W11" s="1006"/>
      <c r="X11" s="1006"/>
      <c r="Y11" s="1006"/>
      <c r="Z11" s="1006"/>
      <c r="AA11" s="1064"/>
      <c r="AB11" s="1065"/>
      <c r="AC11" s="1065"/>
      <c r="AD11" s="1065"/>
      <c r="AE11" s="1066"/>
      <c r="AF11" s="1016"/>
      <c r="AG11" s="1017"/>
      <c r="AH11" s="1017"/>
      <c r="AI11" s="1017"/>
      <c r="AJ11" s="1018"/>
      <c r="AK11" s="1016"/>
      <c r="AL11" s="1017"/>
      <c r="AM11" s="1017"/>
      <c r="AN11" s="1017"/>
      <c r="AO11" s="1018"/>
      <c r="AP11" s="1006"/>
      <c r="AQ11" s="1006"/>
      <c r="AR11" s="1006"/>
      <c r="AS11" s="1006"/>
      <c r="AT11" s="1006"/>
      <c r="AU11" s="1006"/>
      <c r="AV11" s="1006"/>
      <c r="AW11" s="1006"/>
      <c r="AX11" s="1006"/>
      <c r="AY11" s="1006"/>
      <c r="AZ11" s="1006"/>
      <c r="BA11" s="1006"/>
      <c r="BB11"/>
      <c r="BC11"/>
      <c r="BD11"/>
      <c r="BE11"/>
      <c r="BF11"/>
      <c r="BG11"/>
      <c r="BH11"/>
      <c r="BI11"/>
      <c r="BJ11"/>
      <c r="BK11"/>
      <c r="BL11"/>
      <c r="BM11"/>
      <c r="BN11"/>
      <c r="BO11"/>
      <c r="BP11"/>
      <c r="BQ11"/>
      <c r="BR11"/>
    </row>
    <row r="12" spans="1:112" ht="16.350000000000001" customHeight="1">
      <c r="A12" s="41"/>
      <c r="B12" s="41"/>
      <c r="C12" s="41"/>
      <c r="D12" s="41"/>
      <c r="E12" s="41"/>
      <c r="F12" s="41"/>
      <c r="G12"/>
      <c r="H12"/>
      <c r="I12"/>
      <c r="J12"/>
      <c r="K12"/>
      <c r="L12"/>
      <c r="M12"/>
      <c r="N12"/>
      <c r="O12"/>
      <c r="P12"/>
      <c r="Q12"/>
      <c r="R12"/>
      <c r="S12"/>
      <c r="T12"/>
      <c r="U12"/>
      <c r="V12"/>
      <c r="W12"/>
      <c r="X12"/>
      <c r="Y12" s="1004">
        <f>IFERROR(SUM(BF18:BG199,AQ14),0)</f>
        <v>0</v>
      </c>
      <c r="Z12" s="1004"/>
      <c r="AA12" s="1004"/>
      <c r="AB12" s="1004"/>
      <c r="AC12" s="1004">
        <f>IFERROR(SUM(BH18:BJ199),0)</f>
        <v>0</v>
      </c>
      <c r="AD12" s="1004"/>
      <c r="AE12" s="1004"/>
      <c r="AF12" s="1004"/>
      <c r="AG12" s="1004"/>
      <c r="AH12" s="1007">
        <f>IFERROR(SUMIF(BH18:BJ199,"&gt;0",BK18:BM199),0)</f>
        <v>0</v>
      </c>
      <c r="AI12" s="1007"/>
      <c r="AJ12" s="1007"/>
      <c r="AK12" s="1007"/>
      <c r="AL12" s="1008">
        <f>IFERROR(SUMIF(BH18:BJ199,"&gt;0",BN18:BP199),0)</f>
        <v>0</v>
      </c>
      <c r="AM12" s="1008"/>
      <c r="AN12" s="1008"/>
      <c r="AO12" s="1008"/>
      <c r="AP12"/>
      <c r="AQ12" s="1019" t="s">
        <v>1399</v>
      </c>
      <c r="AR12" s="1019"/>
      <c r="AS12" s="1019"/>
      <c r="AT12" s="1019"/>
      <c r="AU12" s="1019"/>
      <c r="AV12" s="1019"/>
      <c r="AW12" s="1019"/>
      <c r="AX12" s="1019"/>
      <c r="AY12" s="1019"/>
      <c r="AZ12" s="1019"/>
      <c r="BA12" s="1019"/>
      <c r="BB12"/>
      <c r="BC12"/>
      <c r="BD12"/>
      <c r="BE12"/>
      <c r="BF12"/>
      <c r="BG12"/>
      <c r="BH12"/>
      <c r="BI12"/>
      <c r="BJ12"/>
      <c r="BK12"/>
      <c r="BL12"/>
      <c r="BM12"/>
      <c r="BN12"/>
      <c r="BO12"/>
      <c r="BP12"/>
      <c r="BQ12"/>
      <c r="BR12"/>
    </row>
    <row r="13" spans="1:112" ht="16.350000000000001" customHeight="1">
      <c r="A13" s="41"/>
      <c r="B13" s="41"/>
      <c r="C13"/>
      <c r="D13"/>
      <c r="E13"/>
      <c r="F13"/>
      <c r="G13"/>
      <c r="H13"/>
      <c r="I13"/>
      <c r="J13"/>
      <c r="K13"/>
      <c r="L13"/>
      <c r="M13"/>
      <c r="N13"/>
      <c r="O13"/>
      <c r="P13"/>
      <c r="Q13"/>
      <c r="R13"/>
      <c r="S13"/>
      <c r="T13"/>
      <c r="U13"/>
      <c r="V13"/>
      <c r="W13"/>
      <c r="X13"/>
      <c r="Y13" s="1004"/>
      <c r="Z13" s="1004"/>
      <c r="AA13" s="1004"/>
      <c r="AB13" s="1004"/>
      <c r="AC13" s="1004"/>
      <c r="AD13" s="1004"/>
      <c r="AE13" s="1004"/>
      <c r="AF13" s="1004"/>
      <c r="AG13" s="1004"/>
      <c r="AH13" s="1007"/>
      <c r="AI13" s="1007"/>
      <c r="AJ13" s="1007"/>
      <c r="AK13" s="1007"/>
      <c r="AL13" s="1008"/>
      <c r="AM13" s="1008"/>
      <c r="AN13" s="1008"/>
      <c r="AO13" s="1008"/>
      <c r="AP13"/>
      <c r="AQ13" s="1020"/>
      <c r="AR13" s="1020"/>
      <c r="AS13" s="1020"/>
      <c r="AT13" s="1020"/>
      <c r="AU13" s="1020"/>
      <c r="AV13" s="1020"/>
      <c r="AW13" s="1020"/>
      <c r="AX13" s="1020"/>
      <c r="AY13" s="1020"/>
      <c r="AZ13" s="1020"/>
      <c r="BA13" s="1020"/>
      <c r="BB13"/>
      <c r="BC13"/>
      <c r="BD13"/>
      <c r="BE13"/>
      <c r="BF13"/>
      <c r="BG13"/>
      <c r="BH13"/>
      <c r="BI13"/>
      <c r="BJ13"/>
      <c r="BK13"/>
      <c r="BL13"/>
      <c r="BM13"/>
      <c r="BN13"/>
      <c r="BO13"/>
      <c r="BP13"/>
      <c r="BQ13"/>
      <c r="BR13"/>
      <c r="CW13" s="1041" t="s">
        <v>1400</v>
      </c>
      <c r="CX13" s="1041"/>
      <c r="CY13" s="1041"/>
    </row>
    <row r="14" spans="1:112" ht="16.350000000000001" customHeight="1">
      <c r="A14"/>
      <c r="B14"/>
      <c r="C14"/>
      <c r="D14"/>
      <c r="E14"/>
      <c r="F14"/>
      <c r="G14"/>
      <c r="H14"/>
      <c r="I14"/>
      <c r="J14"/>
      <c r="K14"/>
      <c r="L14"/>
      <c r="M14"/>
      <c r="N14"/>
      <c r="O14"/>
      <c r="P14"/>
      <c r="Q14"/>
      <c r="R14"/>
      <c r="S14"/>
      <c r="T14"/>
      <c r="U14"/>
      <c r="V14"/>
      <c r="W14"/>
      <c r="X14"/>
      <c r="Y14" s="1003" t="s">
        <v>1401</v>
      </c>
      <c r="Z14" s="1003"/>
      <c r="AA14" s="1003"/>
      <c r="AB14" s="1003"/>
      <c r="AC14" s="1003" t="s">
        <v>1402</v>
      </c>
      <c r="AD14" s="1003"/>
      <c r="AE14" s="1003"/>
      <c r="AF14" s="1003"/>
      <c r="AG14" s="1003"/>
      <c r="AH14" s="1003" t="s">
        <v>1403</v>
      </c>
      <c r="AI14" s="1003"/>
      <c r="AJ14" s="1003"/>
      <c r="AK14" s="1003"/>
      <c r="AL14" s="1003" t="s">
        <v>1403</v>
      </c>
      <c r="AM14" s="1003"/>
      <c r="AN14" s="1003"/>
      <c r="AO14" s="1003"/>
      <c r="AP14"/>
      <c r="AQ14" s="1021"/>
      <c r="AR14" s="1021"/>
      <c r="AS14" s="1021"/>
      <c r="AT14" s="1021"/>
      <c r="AU14" s="1021"/>
      <c r="AV14" s="1021"/>
      <c r="AW14" s="1021"/>
      <c r="AX14" s="1021"/>
      <c r="AY14" s="1021"/>
      <c r="AZ14" s="1021"/>
      <c r="BA14" s="1021"/>
      <c r="BB14"/>
      <c r="BC14"/>
      <c r="BD14"/>
      <c r="BE14"/>
      <c r="BF14"/>
      <c r="BG14"/>
      <c r="BH14"/>
      <c r="BI14"/>
      <c r="BJ14"/>
      <c r="BK14"/>
      <c r="BL14"/>
      <c r="BM14"/>
      <c r="BN14"/>
      <c r="BO14"/>
      <c r="BP14"/>
      <c r="BQ14"/>
      <c r="BR14"/>
      <c r="BV14" s="1040" t="s">
        <v>1404</v>
      </c>
      <c r="BW14" s="1040"/>
      <c r="BX14" s="1040"/>
      <c r="BY14" s="1040"/>
      <c r="BZ14" s="1040"/>
      <c r="CW14" s="1041"/>
      <c r="CX14" s="1041"/>
      <c r="CY14" s="1041"/>
    </row>
    <row r="15" spans="1:112" ht="16.350000000000001" customHeight="1">
      <c r="A15"/>
      <c r="B15"/>
      <c r="C15"/>
      <c r="D15" s="47"/>
      <c r="E15" s="47"/>
      <c r="F15" s="47"/>
      <c r="G15" s="47"/>
      <c r="H15" s="47"/>
      <c r="I15" s="47"/>
      <c r="J15" s="47"/>
      <c r="K15" s="47"/>
      <c r="L15" s="1038" t="s">
        <v>1405</v>
      </c>
      <c r="M15" s="1038"/>
      <c r="N15" s="1038"/>
      <c r="O15" s="1038"/>
      <c r="P15" s="1038"/>
      <c r="Q15" s="1038"/>
      <c r="R15" s="1038"/>
      <c r="S15" s="1038"/>
      <c r="T15" s="1038"/>
      <c r="U15" s="1038"/>
      <c r="V15" s="1038"/>
      <c r="W15" s="1038"/>
      <c r="X15" s="1038"/>
      <c r="Y15" s="1038"/>
      <c r="Z15" s="1038"/>
      <c r="AA15" s="1038" t="s">
        <v>1406</v>
      </c>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679"/>
      <c r="AW15" s="679"/>
      <c r="AX15" s="679"/>
      <c r="AY15" s="679"/>
      <c r="AZ15" s="679"/>
      <c r="BA15" s="679"/>
      <c r="BB15"/>
      <c r="BC15"/>
      <c r="BD15"/>
      <c r="BE15"/>
      <c r="BF15"/>
      <c r="BG15"/>
      <c r="BH15"/>
      <c r="BI15"/>
      <c r="BJ15"/>
      <c r="BK15"/>
      <c r="BL15"/>
      <c r="BM15"/>
      <c r="BN15"/>
      <c r="BO15"/>
      <c r="BP15"/>
      <c r="BQ15"/>
      <c r="BR15"/>
      <c r="BV15" s="1040"/>
      <c r="BW15" s="1040"/>
      <c r="BX15" s="1040"/>
      <c r="BY15" s="1040"/>
      <c r="BZ15" s="1040"/>
      <c r="CW15" s="595"/>
      <c r="CX15" s="595"/>
      <c r="CY15" s="595"/>
    </row>
    <row r="16" spans="1:112" ht="16.350000000000001" customHeight="1">
      <c r="A16"/>
      <c r="B16"/>
      <c r="C16" s="992" t="s">
        <v>1407</v>
      </c>
      <c r="D16" s="992"/>
      <c r="E16" s="992"/>
      <c r="F16" s="991" t="s">
        <v>1408</v>
      </c>
      <c r="G16" s="991"/>
      <c r="H16" s="991"/>
      <c r="I16" s="991"/>
      <c r="J16" s="991"/>
      <c r="K16" s="991"/>
      <c r="L16" s="991" t="s">
        <v>1409</v>
      </c>
      <c r="M16" s="991"/>
      <c r="N16" s="991"/>
      <c r="O16" s="991"/>
      <c r="P16" s="991"/>
      <c r="Q16" s="991"/>
      <c r="R16" s="991" t="s">
        <v>1410</v>
      </c>
      <c r="S16" s="991"/>
      <c r="T16" s="991"/>
      <c r="U16" s="991" t="s">
        <v>1411</v>
      </c>
      <c r="V16" s="991"/>
      <c r="W16" s="991"/>
      <c r="X16" s="991" t="s">
        <v>1412</v>
      </c>
      <c r="Y16" s="991"/>
      <c r="Z16" s="991"/>
      <c r="AA16" s="991" t="s">
        <v>1413</v>
      </c>
      <c r="AB16" s="991"/>
      <c r="AC16" s="991"/>
      <c r="AD16" s="1022" t="s">
        <v>1409</v>
      </c>
      <c r="AE16" s="991"/>
      <c r="AF16" s="991"/>
      <c r="AG16" s="991"/>
      <c r="AH16" s="991"/>
      <c r="AI16" s="991"/>
      <c r="AJ16" s="991" t="s">
        <v>1410</v>
      </c>
      <c r="AK16" s="991"/>
      <c r="AL16" s="991"/>
      <c r="AM16" s="991" t="s">
        <v>1411</v>
      </c>
      <c r="AN16" s="991"/>
      <c r="AO16" s="991"/>
      <c r="AP16" s="991" t="s">
        <v>1412</v>
      </c>
      <c r="AQ16" s="991"/>
      <c r="AR16" s="991"/>
      <c r="AS16" s="991" t="s">
        <v>1413</v>
      </c>
      <c r="AT16" s="991"/>
      <c r="AU16" s="991"/>
      <c r="AV16" s="1057" t="s">
        <v>1414</v>
      </c>
      <c r="AW16" s="1057"/>
      <c r="AX16" s="1057"/>
      <c r="AY16" s="1057" t="s">
        <v>1415</v>
      </c>
      <c r="AZ16" s="1057"/>
      <c r="BA16" s="1057"/>
      <c r="BB16" s="989" t="s">
        <v>1416</v>
      </c>
      <c r="BC16" s="989"/>
      <c r="BD16" s="989"/>
      <c r="BE16" s="989"/>
      <c r="BF16" s="991" t="s">
        <v>224</v>
      </c>
      <c r="BG16" s="991"/>
      <c r="BH16" s="984" t="s">
        <v>1417</v>
      </c>
      <c r="BI16" s="984"/>
      <c r="BJ16" s="984"/>
      <c r="BK16" s="984" t="s">
        <v>1418</v>
      </c>
      <c r="BL16" s="984"/>
      <c r="BM16" s="984"/>
      <c r="BN16" s="984" t="s">
        <v>1419</v>
      </c>
      <c r="BO16" s="984"/>
      <c r="BP16" s="984"/>
      <c r="BQ16"/>
      <c r="BR16"/>
      <c r="BS16" s="987" t="s">
        <v>1420</v>
      </c>
      <c r="BT16" s="987" t="s">
        <v>1421</v>
      </c>
      <c r="BV16" s="987" t="s">
        <v>1422</v>
      </c>
      <c r="BW16" s="987" t="s">
        <v>1423</v>
      </c>
      <c r="BX16" s="987" t="s">
        <v>1424</v>
      </c>
      <c r="BY16" s="987" t="s">
        <v>1425</v>
      </c>
      <c r="BZ16" s="987" t="s">
        <v>1426</v>
      </c>
      <c r="CB16" s="987" t="s">
        <v>1427</v>
      </c>
      <c r="CC16" s="987" t="s">
        <v>779</v>
      </c>
      <c r="CD16" s="987" t="s">
        <v>1428</v>
      </c>
      <c r="CE16" s="987" t="s">
        <v>1429</v>
      </c>
      <c r="CF16" s="987" t="s">
        <v>1430</v>
      </c>
      <c r="CG16" s="987" t="s">
        <v>1431</v>
      </c>
      <c r="CH16" s="987" t="s">
        <v>1432</v>
      </c>
      <c r="CI16" s="987" t="s">
        <v>1433</v>
      </c>
      <c r="CJ16" s="987" t="s">
        <v>1434</v>
      </c>
      <c r="CK16" s="987" t="s">
        <v>1435</v>
      </c>
      <c r="CL16" s="987" t="s">
        <v>1436</v>
      </c>
      <c r="CM16" s="987" t="s">
        <v>1437</v>
      </c>
      <c r="CN16" s="987" t="s">
        <v>1438</v>
      </c>
      <c r="CO16" s="987" t="s">
        <v>1439</v>
      </c>
      <c r="CP16" s="987" t="s">
        <v>1440</v>
      </c>
      <c r="CQ16" s="987" t="s">
        <v>1441</v>
      </c>
      <c r="CR16" s="987" t="s">
        <v>1442</v>
      </c>
      <c r="CS16" s="987" t="s">
        <v>1443</v>
      </c>
      <c r="CT16" s="987" t="s">
        <v>1444</v>
      </c>
      <c r="CU16" s="987" t="s">
        <v>1445</v>
      </c>
      <c r="CV16" s="919" t="s">
        <v>1446</v>
      </c>
      <c r="CW16" s="919" t="s">
        <v>1447</v>
      </c>
      <c r="CX16" s="919" t="s">
        <v>1448</v>
      </c>
      <c r="CY16" s="1042" t="s">
        <v>1449</v>
      </c>
      <c r="CZ16" s="1042" t="s">
        <v>1450</v>
      </c>
      <c r="DA16" s="1042" t="s">
        <v>1491</v>
      </c>
    </row>
    <row r="17" spans="1:144" ht="16.350000000000001" customHeight="1">
      <c r="A17"/>
      <c r="B17" s="12"/>
      <c r="C17" s="993"/>
      <c r="D17" s="993"/>
      <c r="E17" s="993"/>
      <c r="F17" s="990"/>
      <c r="G17" s="990"/>
      <c r="H17" s="990"/>
      <c r="I17" s="990"/>
      <c r="J17" s="990"/>
      <c r="K17" s="990"/>
      <c r="L17" s="990"/>
      <c r="M17" s="990"/>
      <c r="N17" s="990"/>
      <c r="O17" s="990"/>
      <c r="P17" s="990"/>
      <c r="Q17" s="990"/>
      <c r="R17" s="991"/>
      <c r="S17" s="991"/>
      <c r="T17" s="991"/>
      <c r="U17" s="991"/>
      <c r="V17" s="991"/>
      <c r="W17" s="991"/>
      <c r="X17" s="991"/>
      <c r="Y17" s="991"/>
      <c r="Z17" s="991"/>
      <c r="AA17" s="991"/>
      <c r="AB17" s="991"/>
      <c r="AC17" s="991"/>
      <c r="AD17" s="1023"/>
      <c r="AE17" s="990"/>
      <c r="AF17" s="990"/>
      <c r="AG17" s="990"/>
      <c r="AH17" s="990"/>
      <c r="AI17" s="990"/>
      <c r="AJ17" s="990"/>
      <c r="AK17" s="990"/>
      <c r="AL17" s="990"/>
      <c r="AM17" s="990"/>
      <c r="AN17" s="990"/>
      <c r="AO17" s="990"/>
      <c r="AP17" s="990"/>
      <c r="AQ17" s="990"/>
      <c r="AR17" s="990"/>
      <c r="AS17" s="990"/>
      <c r="AT17" s="990"/>
      <c r="AU17" s="990"/>
      <c r="AV17" s="1039" t="s">
        <v>1451</v>
      </c>
      <c r="AW17" s="1039"/>
      <c r="AX17" s="1039"/>
      <c r="AY17" s="1039"/>
      <c r="AZ17" s="1039"/>
      <c r="BA17" s="1039"/>
      <c r="BB17" s="990" t="s">
        <v>1452</v>
      </c>
      <c r="BC17" s="990"/>
      <c r="BD17" s="990" t="s">
        <v>1453</v>
      </c>
      <c r="BE17" s="990"/>
      <c r="BF17" s="990"/>
      <c r="BG17" s="990"/>
      <c r="BH17" s="985"/>
      <c r="BI17" s="985"/>
      <c r="BJ17" s="985"/>
      <c r="BK17" s="985"/>
      <c r="BL17" s="985"/>
      <c r="BM17" s="985"/>
      <c r="BN17" s="985"/>
      <c r="BO17" s="985"/>
      <c r="BP17" s="985"/>
      <c r="BQ17"/>
      <c r="BR17"/>
      <c r="BS17" s="987"/>
      <c r="BT17" s="987"/>
      <c r="BV17" s="988"/>
      <c r="BW17" s="988"/>
      <c r="BX17" s="988"/>
      <c r="BY17" s="988"/>
      <c r="BZ17" s="988"/>
      <c r="CB17" s="988"/>
      <c r="CC17" s="988"/>
      <c r="CD17" s="988"/>
      <c r="CE17" s="988"/>
      <c r="CF17" s="988"/>
      <c r="CG17" s="988"/>
      <c r="CH17" s="988"/>
      <c r="CI17" s="988"/>
      <c r="CJ17" s="988"/>
      <c r="CK17" s="988"/>
      <c r="CL17" s="988"/>
      <c r="CM17" s="988"/>
      <c r="CN17" s="988"/>
      <c r="CO17" s="988"/>
      <c r="CP17" s="988"/>
      <c r="CQ17" s="988"/>
      <c r="CR17" s="988"/>
      <c r="CS17" s="988"/>
      <c r="CT17" s="988"/>
      <c r="CU17" s="987"/>
      <c r="CV17" s="919"/>
      <c r="CW17" s="919"/>
      <c r="CX17" s="919"/>
      <c r="CY17" s="1042"/>
      <c r="CZ17" s="1042"/>
      <c r="DA17" s="1042"/>
      <c r="DD17" s="670" t="s">
        <v>1454</v>
      </c>
      <c r="DE17" s="670" t="s">
        <v>1455</v>
      </c>
      <c r="DF17" s="670" t="s">
        <v>1456</v>
      </c>
      <c r="DG17" s="670" t="s">
        <v>1457</v>
      </c>
      <c r="DH17" s="670" t="s">
        <v>1458</v>
      </c>
      <c r="DI17" s="670" t="s">
        <v>1459</v>
      </c>
      <c r="DJ17" s="670" t="s">
        <v>1460</v>
      </c>
      <c r="DK17" s="670" t="s">
        <v>1461</v>
      </c>
      <c r="DL17" s="670" t="s">
        <v>1462</v>
      </c>
      <c r="DM17" s="670" t="s">
        <v>1463</v>
      </c>
      <c r="DN17" s="670" t="s">
        <v>1464</v>
      </c>
      <c r="DO17" s="670" t="s">
        <v>1465</v>
      </c>
      <c r="DP17" s="670" t="s">
        <v>1466</v>
      </c>
      <c r="DQ17" s="670" t="s">
        <v>1467</v>
      </c>
      <c r="DR17" s="670" t="s">
        <v>1468</v>
      </c>
      <c r="DS17" s="670" t="s">
        <v>1469</v>
      </c>
      <c r="DT17" s="670" t="s">
        <v>1470</v>
      </c>
      <c r="DU17" s="670" t="s">
        <v>1471</v>
      </c>
      <c r="DV17" s="670" t="s">
        <v>1472</v>
      </c>
      <c r="DW17" s="670" t="s">
        <v>1473</v>
      </c>
      <c r="DX17" s="670" t="s">
        <v>1474</v>
      </c>
      <c r="DY17" s="670" t="s">
        <v>1475</v>
      </c>
      <c r="DZ17" s="670" t="s">
        <v>1476</v>
      </c>
      <c r="EA17" s="703" t="s">
        <v>1477</v>
      </c>
      <c r="EB17" s="703" t="s">
        <v>1478</v>
      </c>
      <c r="EC17" s="703" t="s">
        <v>1479</v>
      </c>
      <c r="ED17" s="703" t="s">
        <v>1480</v>
      </c>
      <c r="EE17" s="703" t="s">
        <v>1481</v>
      </c>
      <c r="EF17" s="703" t="s">
        <v>1482</v>
      </c>
      <c r="EG17" s="703" t="s">
        <v>1483</v>
      </c>
      <c r="EH17" s="703" t="s">
        <v>1484</v>
      </c>
      <c r="EI17" s="703" t="s">
        <v>1485</v>
      </c>
      <c r="EJ17" s="703" t="s">
        <v>1486</v>
      </c>
      <c r="EK17" s="703" t="s">
        <v>1487</v>
      </c>
      <c r="EL17" s="703" t="s">
        <v>1488</v>
      </c>
      <c r="EM17" s="703" t="s">
        <v>1489</v>
      </c>
      <c r="EN17" s="703" t="s">
        <v>1490</v>
      </c>
    </row>
    <row r="18" spans="1:144" ht="16.350000000000001" customHeight="1">
      <c r="A18" s="462"/>
      <c r="B18" s="994">
        <v>1</v>
      </c>
      <c r="C18" s="995"/>
      <c r="D18" s="996"/>
      <c r="E18" s="997"/>
      <c r="F18" s="961"/>
      <c r="G18" s="962"/>
      <c r="H18" s="962"/>
      <c r="I18" s="962"/>
      <c r="J18" s="962"/>
      <c r="K18" s="963"/>
      <c r="L18" s="961"/>
      <c r="M18" s="962"/>
      <c r="N18" s="962"/>
      <c r="O18" s="962"/>
      <c r="P18" s="962"/>
      <c r="Q18" s="963"/>
      <c r="R18" s="1044"/>
      <c r="S18" s="1044"/>
      <c r="T18" s="1044"/>
      <c r="U18" s="1044"/>
      <c r="V18" s="1044"/>
      <c r="W18" s="1044"/>
      <c r="X18" s="1045"/>
      <c r="Y18" s="1045"/>
      <c r="Z18" s="1045"/>
      <c r="AA18" s="1045"/>
      <c r="AB18" s="1045"/>
      <c r="AC18" s="1045"/>
      <c r="AD18" s="961"/>
      <c r="AE18" s="962"/>
      <c r="AF18" s="962"/>
      <c r="AG18" s="962"/>
      <c r="AH18" s="962"/>
      <c r="AI18" s="963"/>
      <c r="AJ18" s="949"/>
      <c r="AK18" s="950"/>
      <c r="AL18" s="951"/>
      <c r="AM18" s="949"/>
      <c r="AN18" s="950"/>
      <c r="AO18" s="951"/>
      <c r="AP18" s="955"/>
      <c r="AQ18" s="956"/>
      <c r="AR18" s="957"/>
      <c r="AS18" s="955"/>
      <c r="AT18" s="956"/>
      <c r="AU18" s="957"/>
      <c r="AV18" s="968"/>
      <c r="AW18" s="969"/>
      <c r="AX18" s="970"/>
      <c r="AY18" s="968"/>
      <c r="AZ18" s="969"/>
      <c r="BA18" s="970"/>
      <c r="BB18" s="945"/>
      <c r="BC18" s="946"/>
      <c r="BD18" s="945"/>
      <c r="BE18" s="946"/>
      <c r="BF18" s="929" t="str">
        <f>IF(CB18="OK",ROUND(BB18+BD18,2),"")</f>
        <v/>
      </c>
      <c r="BG18" s="930"/>
      <c r="BH18" s="971" t="str">
        <f>IFERROR(IF(AND($CB18="OK",$CU18="OK"),$CI18,IF($CB18&lt;&gt;"OK",$CB18,$CU18)),"")</f>
        <v/>
      </c>
      <c r="BI18" s="972"/>
      <c r="BJ18" s="973"/>
      <c r="BK18" s="933" t="str">
        <f>IF($CB18="OK",CM18,"")</f>
        <v/>
      </c>
      <c r="BL18" s="934"/>
      <c r="BM18" s="935"/>
      <c r="BN18" s="939" t="str">
        <f>IF($CB18="OK",$CR18,"")</f>
        <v/>
      </c>
      <c r="BO18" s="940"/>
      <c r="BP18" s="941"/>
      <c r="BQ18"/>
      <c r="BR18"/>
      <c r="BS18" s="967"/>
      <c r="BT18" s="967"/>
      <c r="BV18" s="926" t="str">
        <f>IFERROR(ROUND(IF(AND(CB18="OK",CU18="OK"),CT18,""),0),"")</f>
        <v/>
      </c>
      <c r="BW18" s="926" t="str">
        <f>IFERROR(ROUND(IF(AND(CB18="OK",CU18="OK"),BV18/3,""),0),"")</f>
        <v/>
      </c>
      <c r="BX18" s="926"/>
      <c r="BY18" s="927"/>
      <c r="BZ18" s="928"/>
      <c r="CB18" s="986" t="str">
        <f>IF(AND(C18="",F18="",R18="",AD18="",U18="",X18="",L18="",AJ18="",AV18="",AM18="",AP18="",AY18="",AV19="",BB18="",BD18="",AA18="",AS18=""),"",
IF(OR(C18="",F18="",R18="",AD18="",U18="",X18="",L18="",AJ18="",AV18="",AM18="",AP18="",AY18="",AV19="",BB18="",BD18="",AA18="",AS18=""),"Missing Fields",
IF(AND(M02S04F04disp="Required",M02S04F04=""),"TA Info Incomplete",
"OK")))</f>
        <v/>
      </c>
      <c r="CC18" s="925" t="str">
        <f>IF(AND(CB18="OK",CU18="OK"),INDEX(Tbl_Cust_Refrig[Measure Number], MATCH(F18,Tbl_Cust_Refrig[Proj Desc 1],0)),"")</f>
        <v/>
      </c>
      <c r="CD18" s="925"/>
      <c r="CE18" s="925" t="str">
        <f>IF(CB18="OK","Measure","")</f>
        <v/>
      </c>
      <c r="CF18" s="925" t="str">
        <f>IF(CB18="OK",1,"")</f>
        <v/>
      </c>
      <c r="CG18" s="978" t="str">
        <f>IFERROR(CI18/CF18,"")</f>
        <v/>
      </c>
      <c r="CH18" s="978" t="str">
        <f>IF(CB18="OK",IF(CM18&gt;0,CM18*Incent_Rate_kWh,0)+IF(CO18&gt;0,CO18*Incent_Rate_thm,0),"")</f>
        <v/>
      </c>
      <c r="CI18" s="978" t="str">
        <f>IFERROR(IF($CB18="OK",IF(INCENTTOCOST_CUST&gt;CostCap_Cust,
CH18*CostCap_Cust/INCENTTOCOST_CUST,CH18),""),"")</f>
        <v/>
      </c>
      <c r="CJ18" s="977">
        <f t="shared" ref="CJ18" si="0">CM18</f>
        <v>0</v>
      </c>
      <c r="CK18" s="977">
        <f>CN18</f>
        <v>0</v>
      </c>
      <c r="CL18" s="977">
        <f>CO18</f>
        <v>0</v>
      </c>
      <c r="CM18" s="977">
        <f>R18-AJ18</f>
        <v>0</v>
      </c>
      <c r="CN18" s="977">
        <f>U18-AM18</f>
        <v>0</v>
      </c>
      <c r="CO18" s="977">
        <f>IF(CR18&gt;0,CR18,0)</f>
        <v>0</v>
      </c>
      <c r="CP18" s="977">
        <f>CM18</f>
        <v>0</v>
      </c>
      <c r="CQ18" s="977">
        <f>CN18</f>
        <v>0</v>
      </c>
      <c r="CR18" s="977">
        <f>X18-AP18</f>
        <v>0</v>
      </c>
      <c r="CS18" s="983"/>
      <c r="CT18" s="1056" t="str">
        <f>IF(CB18="OK",INDEX(Tbl_Cust_Refrig[EUL], MATCH(F18,Tbl_Cust_Refrig[Proj Desc 1],0)),"")</f>
        <v/>
      </c>
      <c r="CU18" s="979" t="str">
        <f>IFERROR(IF(AND($CM18&lt;=0,$CN18&lt;=0,$CO18&lt;=0),"No Savings","OK"),"")</f>
        <v>No Savings</v>
      </c>
      <c r="CV18" s="925" t="str">
        <f>IF(AND(CB18="OK",CU18="OK"),"1","")</f>
        <v/>
      </c>
      <c r="CW18" s="1043" t="str">
        <f>IFERROR(IF($CB18="OK",ROUND($AQ$14-SUM($CW$20:$CW$37),2),""),"")</f>
        <v/>
      </c>
      <c r="CX18" s="925" t="str">
        <f>IFERROR(IF(M02S04F04="Customer/Self-Installed",CW18,IF($CB18="OK",CW18+BD18,"")),"")</f>
        <v/>
      </c>
      <c r="CY18" s="925" t="str">
        <f>IFERROR(IF($CB18="OK",CX18+BB18,""),"")</f>
        <v/>
      </c>
      <c r="CZ18" s="925" t="str">
        <f>IF(CB18="OK",INDEX(MEASURES3_M!$O$32,MATCH(F18,MEASURES3_M!$C$32,0)),"")</f>
        <v/>
      </c>
      <c r="DA18" s="925" t="str">
        <f>IF(CB18="OK",INDEX(MEASURES3_M!$P$32,MATCH(F18,MEASURES3_M!$C$32,0)),"")</f>
        <v/>
      </c>
      <c r="DD18" s="980" t="str">
        <f>IFERROR(IF(CB18&lt;&gt;"OK","",CM18*VLOOKUP('DATA TABLES_Project'!$C$247,'DATA TABLES_Project'!$A$250:$B$285,2,FALSE)),"")</f>
        <v/>
      </c>
      <c r="DE18" s="925" t="str">
        <f>IFERROR(IF(CB18&lt;&gt;"OK","",CM18*CZ18*0.92),"")</f>
        <v/>
      </c>
      <c r="DF18" s="925" t="str">
        <f>IFERROR(IF(CB18&lt;&gt;"OK","",CM18*CZ18*0.92*VLOOKUP('DATA TABLES_Project'!$C$247,'DATA TABLES_Project'!$A$250:$B$285,2,FALSE)),"")</f>
        <v/>
      </c>
      <c r="DG18" s="925" t="str">
        <f>IFERROR(IF(CB18&lt;&gt;"OK","",CM18*BV18),IF(BX18="Dual",(CM18*BW18)+((BY18-AJ18)*(BV18-BW18)),""))</f>
        <v/>
      </c>
      <c r="DH18" s="925" t="str">
        <f ca="1">IFERROR(IF(CB18&lt;&gt;"OK","",IF(OR(BX18="Single",BX18=""), CM18*BV18*AVERAGE(INDEX('DATA TABLES_Project'!$B$250:$B$285, MATCH('DATA TABLES_Project'!$C$247,'DATA TABLES_Project'!$A$250:$A$285, 0)):OFFSET(INDEX('DATA TABLES_Project'!$B$250:$B$285, MATCH('DATA TABLES_Project'!$C$247,'DATA TABLES_Project'!$A$250:$A$285, 0)),BV18-1,0)),CM18*BW18*AVERAGE(INDEX('DATA TABLES_Project'!$B$250:$B$285, MATCH('DATA TABLES_Project'!$C$247,'DATA TABLES_Project'!$A$250:$A$285, 0)):OFFSET(INDEX('DATA TABLES_Project'!$B$250:$B$285, MATCH('DATA TABLES_Project'!$C$247,'DATA TABLES_Project'!$A$250:$A$285, 0)),BW18-1,0)) + ((BY18-AJ18)*(BV18-BW18)*AVERAGE(OFFSET(INDEX('DATA TABLES_Project'!$B$250:$B$285, MATCH('DATA TABLES_Project'!$C$247,'DATA TABLES_Project'!$A$250:$A$285, 0)),BW18,0):OFFSET(INDEX('DATA TABLES_Project'!$B$250:$B$285, MATCH('DATA TABLES_Project'!$C$247,'DATA TABLES_Project'!$A$250:$A$285, 0)),BV18-1,0))))), "")</f>
        <v/>
      </c>
      <c r="DI18" s="925" t="str">
        <f>IFERROR(IF(CB18&lt;&gt;"OK","",IF(BX18="Dual",(CM18*BW18)+((BY18-AJ18)*(BV18-BW18))*CZ18*0.92,CM18*CZ18*BV18*0.92)),"")</f>
        <v/>
      </c>
      <c r="DJ18" s="925" t="str">
        <f ca="1">IFERROR(IF(CB18&lt;&gt;"OK","",IF(OR(BX18="Single",BX18=""),0.92*CZ18*CM18*BV18*AVERAGE(INDEX('DATA TABLES_Project'!$B$250:$B$285, MATCH('DATA TABLES_Project'!$C$247,'DATA TABLES_Project'!$A$250:$A$285, 0)):OFFSET(INDEX('DATA TABLES_Project'!$B$250:$B$285, MATCH('DATA TABLES_Project'!$C$247,'DATA TABLES_Project'!$A$250:$A$285, 0)),BV18-1,0)),0.92*CZ18*CM18*BW18*AVERAGE(INDEX('DATA TABLES_Project'!$B$250:$B$285, MATCH('DATA TABLES_Project'!$C$247,'DATA TABLES_Project'!$A$250:$A$285, 0)):OFFSET(INDEX('DATA TABLES_Project'!$B$250:$B$285, MATCH('DATA TABLES_Project'!$C$247,'DATA TABLES_Project'!$A$250:$A$285, 0)),BW18-1,0)) + (0.92*CZ18*(BY18-AJ18)*(BV18-BW18)*AVERAGE(OFFSET(INDEX('DATA TABLES_Project'!$B$250:$B$285, MATCH('DATA TABLES_Project'!$C$247,'DATA TABLES_Project'!$A$250:$A$285, 0)),BW18,0):OFFSET(INDEX('DATA TABLES_Project'!$B$250:$B$285, MATCH('DATA TABLES_Project'!$C$247,'DATA TABLES_Project'!$A$250:$A$285, 0)),BV18-1,0))))), "")</f>
        <v/>
      </c>
      <c r="DK18" s="925" t="str">
        <f>IFERROR(IF(CB18&lt;&gt;"OK","",CO18*'DATA TABLES_Project'!$C$250),"")</f>
        <v/>
      </c>
      <c r="DL18" s="925" t="str">
        <f>IFERROR(IF(CB18&lt;&gt;"OK","",CO18*DA18*0.92),"")</f>
        <v/>
      </c>
      <c r="DM18" s="925" t="str">
        <f>IFERROR(IF(CB18&lt;&gt;"OK","",CO18*'DATA TABLES_Project'!$C$250*DA18*0.92),"")</f>
        <v/>
      </c>
      <c r="DN18" s="925" t="str">
        <f>IFERROR(IF(CB18&lt;&gt;"OK","",CO18*BV18),IF(BX18="Dual",(CO18*BW18)+((BZ18-AP18)*(BV18-BW18)),""))</f>
        <v/>
      </c>
      <c r="DO18" s="925" t="str">
        <f ca="1">IFERROR(IF(CB18&lt;&gt;"OK","",CO18*BV18*AVERAGE('DATA TABLES_Project'!$C$250:OFFSET('DATA TABLES_Project'!$C$250,BV18,0))),IF(BX18="Dual",(CO18*BW18*AVERAGE('DATA TABLES_Project'!$C$251:$C$259))+((BZ18-AP18)*(BV18-BW18)*AVERAGE('DATA TABLES_Project'!$C$260:$C$279)),""))</f>
        <v/>
      </c>
      <c r="DP18" s="925" t="str">
        <f>IFERROR(IF(CB18&lt;&gt;"OK","",IF(BX18="Dual",((CO18*BW18)+(BZ18-AP18)*(BV18-BW18))*DA18*0.92,CO18*BV18*DA18*0.92)),"")</f>
        <v/>
      </c>
      <c r="DQ18" s="925" t="str">
        <f ca="1">IFERROR(IF(CB18&lt;&gt;"OK","",IF(BX18="Dual",(0.92*DA18*CO18*BW18*AVERAGE('DATA TABLES_Project'!$C$251:$C$259))+(0.92*DA18*(BZ18-AP18)*(BV18-BW18)*AVERAGE('DATA TABLES_Project'!$C$260:$C$279)),0.92*DA18*CO18*BV18*AVERAGE('DATA TABLES_Project'!$C$250:OFFSET('DATA TABLES_Project'!$C$250,BV18,0)))),"")</f>
        <v/>
      </c>
      <c r="DR18" s="925" t="str">
        <f>IFERROR(IF($CB18&lt;&gt;"OK","",CM18*'DATA TABLES_Project'!$B$290+IF(CO18&lt;0,0,CO18*'DATA TABLES_Project'!$B$291)),"")</f>
        <v/>
      </c>
      <c r="DS18" s="925" t="str">
        <f>IFERROR(IF($CB18&lt;&gt;"OK","",DD18*'DATA TABLES_Project'!$B$290+IF(DK18&lt;0,0,DK18*'DATA TABLES_Project'!$B$291)),"")</f>
        <v/>
      </c>
      <c r="DT18" s="925" t="str">
        <f>IFERROR(IF($CB18&lt;&gt;"OK","",DE18*'DATA TABLES_Project'!$B$290+IF(DL18&lt;0,0,DL18*'DATA TABLES_Project'!$B$291)),"")</f>
        <v/>
      </c>
      <c r="DU18" s="925" t="str">
        <f>IFERROR(IF($CB18&lt;&gt;"OK","",DF18*'DATA TABLES_Project'!$B$290+IF(DM18&lt;0,0,DM18*'DATA TABLES_Project'!$B$291)),"")</f>
        <v/>
      </c>
      <c r="DV18" s="925" t="str">
        <f>IFERROR(IF($CB18&lt;&gt;"OK","",DG18*'DATA TABLES_Project'!$B$290+IF(DN18&lt;0,0,DN18*'DATA TABLES_Project'!$B$291)),"")</f>
        <v/>
      </c>
      <c r="DW18" s="925" t="str">
        <f>IFERROR(IF($CB18&lt;&gt;"OK","",DH18*'DATA TABLES_Project'!$B$290+IF(DO18&lt;0,0,DO18*'DATA TABLES_Project'!$B$291)),"")</f>
        <v/>
      </c>
      <c r="DX18" s="925" t="str">
        <f>IFERROR(IF($CB18&lt;&gt;"OK","",DI18*'DATA TABLES_Project'!$B$290+IF(DP18&lt;0,0,DP18*'DATA TABLES_Project'!$B$291)),"")</f>
        <v/>
      </c>
      <c r="DY18" s="925" t="str">
        <f>IFERROR(IF($CB18&lt;&gt;"OK","",DJ18*'DATA TABLES_Project'!$B$290+IF(DQ18&lt;0,0,DQ18*'DATA TABLES_Project'!$B$291)),"")</f>
        <v/>
      </c>
      <c r="DZ18" s="925" t="str">
        <f>IFERROR(IF($CB18&lt;&gt;"OK","",AS18),"")</f>
        <v/>
      </c>
      <c r="EA18" s="925" t="str">
        <f>IFERROR(IF(CB18&lt;&gt;"OK","",CN18*'DATA TABLES_Project'!$B$250*CZ18*1.03),"")</f>
        <v/>
      </c>
      <c r="EB18" s="925" t="str">
        <f>IFERROR(IF(CB18&lt;&gt;"OK","",CN18*CZ18*1.03),"")</f>
        <v/>
      </c>
      <c r="EC18" s="925" t="str">
        <f>IFERROR(IF(CB18&lt;&gt;"OK","",CZ18*DZ18*'DATA TABLES_Project'!$C$250*0.92),"")</f>
        <v/>
      </c>
      <c r="ED18" s="925" t="str">
        <f>IFERROR(IF(CB18&lt;&gt;"OK","",CZ18*DZ18*'DATA TABLES_Project'!$C$250*0.92),"")</f>
        <v/>
      </c>
      <c r="EE18" s="925" t="str">
        <f>IFERROR(IF(CB18&lt;&gt;"OK","",CZ18*DZ18*0.92),"")</f>
        <v/>
      </c>
      <c r="EF18" s="925" t="str">
        <f>IFERROR(IF(CB18&lt;&gt;"OK","",CZ18*DZ18*0.92),"")</f>
        <v/>
      </c>
      <c r="EG18" s="925" t="str">
        <f>IFERROR(IF($CB18&lt;&gt;"OK","",CM18*'DATA TABLES_Project'!$B$290+CO18*'DATA TABLES_Project'!$B$291),"")</f>
        <v/>
      </c>
      <c r="EH18" s="925" t="str">
        <f>IFERROR(IF($CB18&lt;&gt;"OK","",DD18*'DATA TABLES_Project'!$B$290+DK18*'DATA TABLES_Project'!$B$291),"")</f>
        <v/>
      </c>
      <c r="EI18" s="925" t="str">
        <f>IFERROR(IF($CB18&lt;&gt;"OK","",DE18*'DATA TABLES_Project'!$B$290+DL18*'DATA TABLES_Project'!$B$291),"")</f>
        <v/>
      </c>
      <c r="EJ18" s="925" t="str">
        <f>IFERROR(IF($CB18&lt;&gt;"OK","",DF18*'DATA TABLES_Project'!$B$290+DM18*'DATA TABLES_Project'!$B$291),"")</f>
        <v/>
      </c>
      <c r="EK18" s="925" t="str">
        <f>IFERROR(IF($CB18&lt;&gt;"OK","",DG18*'DATA TABLES_Project'!$B$290+DN18*'DATA TABLES_Project'!$B$291),"")</f>
        <v/>
      </c>
      <c r="EL18" s="925" t="str">
        <f>IFERROR(IF($CB18&lt;&gt;"OK","",DH18*'DATA TABLES_Project'!$B$290+DO18*'DATA TABLES_Project'!$B$291),"")</f>
        <v/>
      </c>
      <c r="EM18" s="925" t="str">
        <f>IFERROR(IF($CB18&lt;&gt;"OK","",DI18*'DATA TABLES_Project'!$B$290+DP18*'DATA TABLES_Project'!$B$291),"")</f>
        <v/>
      </c>
      <c r="EN18" s="925" t="str">
        <f>IFERROR(IF($CB18&lt;&gt;"OK","",DJ18*'DATA TABLES_Project'!$B$290+DQ18*'DATA TABLES_Project'!$B$291),"")</f>
        <v/>
      </c>
    </row>
    <row r="19" spans="1:144" ht="16.350000000000001" customHeight="1">
      <c r="A19" s="462"/>
      <c r="B19" s="994"/>
      <c r="C19" s="998"/>
      <c r="D19" s="999"/>
      <c r="E19" s="1000"/>
      <c r="F19" s="964"/>
      <c r="G19" s="965"/>
      <c r="H19" s="965"/>
      <c r="I19" s="965"/>
      <c r="J19" s="965"/>
      <c r="K19" s="966"/>
      <c r="L19" s="964"/>
      <c r="M19" s="965"/>
      <c r="N19" s="965"/>
      <c r="O19" s="965"/>
      <c r="P19" s="965"/>
      <c r="Q19" s="966"/>
      <c r="R19" s="1044"/>
      <c r="S19" s="1044"/>
      <c r="T19" s="1044"/>
      <c r="U19" s="1044"/>
      <c r="V19" s="1044"/>
      <c r="W19" s="1044"/>
      <c r="X19" s="1045"/>
      <c r="Y19" s="1045"/>
      <c r="Z19" s="1045"/>
      <c r="AA19" s="1045"/>
      <c r="AB19" s="1045"/>
      <c r="AC19" s="1045"/>
      <c r="AD19" s="964"/>
      <c r="AE19" s="965"/>
      <c r="AF19" s="965"/>
      <c r="AG19" s="965"/>
      <c r="AH19" s="965"/>
      <c r="AI19" s="966"/>
      <c r="AJ19" s="952"/>
      <c r="AK19" s="953"/>
      <c r="AL19" s="954"/>
      <c r="AM19" s="952"/>
      <c r="AN19" s="953"/>
      <c r="AO19" s="954"/>
      <c r="AP19" s="958"/>
      <c r="AQ19" s="959"/>
      <c r="AR19" s="960"/>
      <c r="AS19" s="958"/>
      <c r="AT19" s="959"/>
      <c r="AU19" s="960"/>
      <c r="AV19" s="968"/>
      <c r="AW19" s="969"/>
      <c r="AX19" s="969"/>
      <c r="AY19" s="969"/>
      <c r="AZ19" s="969"/>
      <c r="BA19" s="970"/>
      <c r="BB19" s="947"/>
      <c r="BC19" s="948"/>
      <c r="BD19" s="947"/>
      <c r="BE19" s="948"/>
      <c r="BF19" s="931"/>
      <c r="BG19" s="932"/>
      <c r="BH19" s="974"/>
      <c r="BI19" s="975"/>
      <c r="BJ19" s="976"/>
      <c r="BK19" s="936"/>
      <c r="BL19" s="937"/>
      <c r="BM19" s="938"/>
      <c r="BN19" s="942"/>
      <c r="BO19" s="943"/>
      <c r="BP19" s="944"/>
      <c r="BQ19"/>
      <c r="BR19"/>
      <c r="BS19" s="967"/>
      <c r="BT19" s="967"/>
      <c r="BV19" s="926"/>
      <c r="BW19" s="926"/>
      <c r="BX19" s="926"/>
      <c r="BY19" s="927"/>
      <c r="BZ19" s="928"/>
      <c r="CB19" s="986"/>
      <c r="CC19" s="925"/>
      <c r="CD19" s="925"/>
      <c r="CE19" s="925"/>
      <c r="CF19" s="925"/>
      <c r="CG19" s="925"/>
      <c r="CH19" s="925"/>
      <c r="CI19" s="925"/>
      <c r="CJ19" s="977"/>
      <c r="CK19" s="977"/>
      <c r="CL19" s="977"/>
      <c r="CM19" s="977"/>
      <c r="CN19" s="977"/>
      <c r="CO19" s="977"/>
      <c r="CP19" s="977"/>
      <c r="CQ19" s="977"/>
      <c r="CR19" s="977"/>
      <c r="CS19" s="983"/>
      <c r="CT19" s="1056"/>
      <c r="CU19" s="979"/>
      <c r="CV19" s="925"/>
      <c r="CW19" s="1043"/>
      <c r="CX19" s="925"/>
      <c r="CY19" s="925"/>
      <c r="CZ19" s="925"/>
      <c r="DA19" s="925"/>
      <c r="DD19" s="981"/>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row>
    <row r="20" spans="1:144" ht="16.350000000000001" customHeight="1">
      <c r="A20" s="462"/>
      <c r="B20" s="994">
        <v>2</v>
      </c>
      <c r="C20" s="995"/>
      <c r="D20" s="996"/>
      <c r="E20" s="997"/>
      <c r="F20" s="961"/>
      <c r="G20" s="962"/>
      <c r="H20" s="962"/>
      <c r="I20" s="962"/>
      <c r="J20" s="962"/>
      <c r="K20" s="963"/>
      <c r="L20" s="961"/>
      <c r="M20" s="962"/>
      <c r="N20" s="962"/>
      <c r="O20" s="962"/>
      <c r="P20" s="962"/>
      <c r="Q20" s="963"/>
      <c r="R20" s="1044"/>
      <c r="S20" s="1044"/>
      <c r="T20" s="1044"/>
      <c r="U20" s="1044"/>
      <c r="V20" s="1044"/>
      <c r="W20" s="1044"/>
      <c r="X20" s="1045"/>
      <c r="Y20" s="1045"/>
      <c r="Z20" s="1045"/>
      <c r="AA20" s="1045"/>
      <c r="AB20" s="1045"/>
      <c r="AC20" s="1045"/>
      <c r="AD20" s="961"/>
      <c r="AE20" s="962"/>
      <c r="AF20" s="962"/>
      <c r="AG20" s="962"/>
      <c r="AH20" s="962"/>
      <c r="AI20" s="963"/>
      <c r="AJ20" s="949"/>
      <c r="AK20" s="950"/>
      <c r="AL20" s="951"/>
      <c r="AM20" s="949"/>
      <c r="AN20" s="950"/>
      <c r="AO20" s="951"/>
      <c r="AP20" s="955"/>
      <c r="AQ20" s="956"/>
      <c r="AR20" s="957"/>
      <c r="AS20" s="955"/>
      <c r="AT20" s="956"/>
      <c r="AU20" s="957"/>
      <c r="AV20" s="968"/>
      <c r="AW20" s="969"/>
      <c r="AX20" s="970"/>
      <c r="AY20" s="968"/>
      <c r="AZ20" s="969"/>
      <c r="BA20" s="970"/>
      <c r="BB20" s="945"/>
      <c r="BC20" s="946"/>
      <c r="BD20" s="945"/>
      <c r="BE20" s="946"/>
      <c r="BF20" s="929" t="str">
        <f t="shared" ref="BF20" si="1">IF(CB20="OK",ROUND(BB20+BD20,2),"")</f>
        <v/>
      </c>
      <c r="BG20" s="930"/>
      <c r="BH20" s="971" t="str">
        <f t="shared" ref="BH20" si="2">IFERROR(IF(AND($CB20="OK",$CU20="OK"),$CI20,IF($CB20&lt;&gt;"OK",$CB20,$CU20)),"")</f>
        <v/>
      </c>
      <c r="BI20" s="972"/>
      <c r="BJ20" s="973"/>
      <c r="BK20" s="933" t="str">
        <f t="shared" ref="BK20" si="3">IF($CB20="OK",CM20,"")</f>
        <v/>
      </c>
      <c r="BL20" s="934"/>
      <c r="BM20" s="935"/>
      <c r="BN20" s="939" t="str">
        <f t="shared" ref="BN20" si="4">IF($CB20="OK",$CR20,"")</f>
        <v/>
      </c>
      <c r="BO20" s="940"/>
      <c r="BP20" s="941"/>
      <c r="BQ20"/>
      <c r="BR20"/>
      <c r="BS20" s="967"/>
      <c r="BT20" s="967"/>
      <c r="BV20" s="926" t="str">
        <f t="shared" ref="BV20" si="5">IFERROR(ROUND(IF(AND(CB20="OK",CU20="OK"),CT20,""),0),"")</f>
        <v/>
      </c>
      <c r="BW20" s="926" t="str">
        <f t="shared" ref="BW20" si="6">IFERROR(ROUND(IF(AND(CB20="OK",CU20="OK"),BV20/3,""),0),"")</f>
        <v/>
      </c>
      <c r="BX20" s="926"/>
      <c r="BY20" s="927"/>
      <c r="BZ20" s="928"/>
      <c r="CB20" s="986" t="str">
        <f>IF(AND(C20="",F20="",R20="",AD20="",U20="",X20="",L20="",AJ20="",AV20="",AM20="",AP20="",AY20="",AV21="",BB20="",BD20="",AA20="",AS20=""),"",
IF(OR(C20="",F20="",R20="",AD20="",U20="",X20="",L20="",AJ20="",AV20="",AM20="",AP20="",AY20="",AV21="",BB20="",BD20="",AA20="",AS20=""),"Missing Fields",
IF(AND(M02S04F04disp="Required",M02S04F04=""),"TA Info Incomplete",
"OK")))</f>
        <v/>
      </c>
      <c r="CC20" s="925" t="str">
        <f>IF(AND(CB20="OK",CU20="OK"),INDEX(Tbl_Cust_Refrig[Measure Number], MATCH(F20,Tbl_Cust_Refrig[Proj Desc 1],0)),"")</f>
        <v/>
      </c>
      <c r="CD20" s="925"/>
      <c r="CE20" s="925" t="str">
        <f t="shared" ref="CE20" si="7">IF(CB20="OK","Measure","")</f>
        <v/>
      </c>
      <c r="CF20" s="925" t="str">
        <f t="shared" ref="CF20" si="8">IF(CB20="OK",1,"")</f>
        <v/>
      </c>
      <c r="CG20" s="978" t="str">
        <f t="shared" ref="CG20" si="9">IFERROR(CI20/CF20,"")</f>
        <v/>
      </c>
      <c r="CH20" s="978" t="str">
        <f>IF(CB20="OK",IF(CM20&gt;0,CM20*Incent_Rate_kWh,0)+IF(CO20&gt;0,CO20*Incent_Rate_thm,0),"")</f>
        <v/>
      </c>
      <c r="CI20" s="978" t="str">
        <f>IFERROR(IF($CB20="OK",IF(INCENTTOCOST_CUST&gt;CostCap_Cust,
CH20*CostCap_Cust/INCENTTOCOST_CUST,CH20),""),"")</f>
        <v/>
      </c>
      <c r="CJ20" s="977">
        <f t="shared" ref="CJ20" si="10">CM20</f>
        <v>0</v>
      </c>
      <c r="CK20" s="977">
        <f t="shared" ref="CK20" si="11">CN20</f>
        <v>0</v>
      </c>
      <c r="CL20" s="977">
        <f t="shared" ref="CL20" si="12">CO20</f>
        <v>0</v>
      </c>
      <c r="CM20" s="977">
        <f>R20-AJ20</f>
        <v>0</v>
      </c>
      <c r="CN20" s="977">
        <f>U20-AM20</f>
        <v>0</v>
      </c>
      <c r="CO20" s="977">
        <f t="shared" ref="CO20" si="13">IF(CR20&gt;0,CR20,0)</f>
        <v>0</v>
      </c>
      <c r="CP20" s="977">
        <f t="shared" ref="CP20" si="14">CM20</f>
        <v>0</v>
      </c>
      <c r="CQ20" s="977">
        <f t="shared" ref="CQ20" si="15">CN20</f>
        <v>0</v>
      </c>
      <c r="CR20" s="977">
        <f>X20-AP20</f>
        <v>0</v>
      </c>
      <c r="CS20" s="983"/>
      <c r="CT20" s="1056" t="str">
        <f>IF(CB20="OK",INDEX(Tbl_Cust_Refrig[EUL], MATCH(F20,Tbl_Cust_Refrig[Proj Desc 1],0)),"")</f>
        <v/>
      </c>
      <c r="CU20" s="979" t="str">
        <f t="shared" ref="CU20" si="16">IFERROR(IF(AND($CM20&lt;=0,$CN20&lt;=0,$CO20&lt;=0),"No Savings","OK"),"")</f>
        <v>No Savings</v>
      </c>
      <c r="CV20" s="925" t="str">
        <f t="shared" ref="CV20" si="17">IF(AND(CB20="OK",CU20="OK"),"1","")</f>
        <v/>
      </c>
      <c r="CW20" s="925" t="str">
        <f>IFERROR(IF($CB20="OK",ROUND($AQ$14*SUM(BB20:BE21)/SUM($BF$18:$BG$37),2),""),"")</f>
        <v/>
      </c>
      <c r="CX20" s="925" t="str">
        <f>IFERROR(IF(M02S04F04="Customer/Self-Installed",CW20,IF($CB20="OK",CW20+BD20,"")),"")</f>
        <v/>
      </c>
      <c r="CY20" s="925" t="str">
        <f>IFERROR(IF($CB20="OK",CX20+BB20,""),"")</f>
        <v/>
      </c>
      <c r="CZ20" s="925" t="str">
        <f>IF(CB20="OK",INDEX(MEASURES3_M!$O$32,MATCH(F20,MEASURES3_M!$C$32,0)),"")</f>
        <v/>
      </c>
      <c r="DA20" s="925" t="str">
        <f>IF(CB20="OK",INDEX(MEASURES3_M!$P$32,MATCH(F20,MEASURES3_M!$C$32,0)),"")</f>
        <v/>
      </c>
      <c r="DD20" s="980" t="str">
        <f>IFERROR(IF(CB20&lt;&gt;"OK","",CM20*VLOOKUP('DATA TABLES_Project'!$C$247,'DATA TABLES_Project'!$A$250:$B$285,2,FALSE)),"")</f>
        <v/>
      </c>
      <c r="DE20" s="925" t="str">
        <f t="shared" ref="DE20" si="18">IFERROR(IF(CB20&lt;&gt;"OK","",CM20*CZ20*0.92),"")</f>
        <v/>
      </c>
      <c r="DF20" s="980" t="str">
        <f>IFERROR(IF(CB20&lt;&gt;"OK","",CM20*CZ20*0.92*VLOOKUP('DATA TABLES_Project'!$C$247,'DATA TABLES_Project'!$A$250:$B$285,2,FALSE)),"")</f>
        <v/>
      </c>
      <c r="DG20" s="925" t="str">
        <f t="shared" ref="DG20" si="19">IFERROR(IF(CB20&lt;&gt;"OK","",CM20*BV20),IF(BX20="Dual",(CM20*BW20)+((BY20-AJ20)*(BV20-BW20)),""))</f>
        <v/>
      </c>
      <c r="DH20" s="925" t="str">
        <f ca="1">IFERROR(IF(CB20&lt;&gt;"OK","",IF(OR(BX20="Single",BX20=""), CM20*BV20*AVERAGE(INDEX('DATA TABLES_Project'!$B$250:$B$285, MATCH('DATA TABLES_Project'!$C$247,'DATA TABLES_Project'!$A$250:$A$285, 0)):OFFSET(INDEX('DATA TABLES_Project'!$B$250:$B$285, MATCH('DATA TABLES_Project'!$C$247,'DATA TABLES_Project'!$A$250:$A$285, 0)),BV20-1,0)),CM20*BW20*AVERAGE(INDEX('DATA TABLES_Project'!$B$250:$B$285, MATCH('DATA TABLES_Project'!$C$247,'DATA TABLES_Project'!$A$250:$A$285, 0)):OFFSET(INDEX('DATA TABLES_Project'!$B$250:$B$285, MATCH('DATA TABLES_Project'!$C$247,'DATA TABLES_Project'!$A$250:$A$285, 0)),BW20-1,0)) + ((BY20-AJ20)*(BV20-BW20)*AVERAGE(OFFSET(INDEX('DATA TABLES_Project'!$B$250:$B$285, MATCH('DATA TABLES_Project'!$C$247,'DATA TABLES_Project'!$A$250:$A$285, 0)),BW20,0):OFFSET(INDEX('DATA TABLES_Project'!$B$250:$B$285, MATCH('DATA TABLES_Project'!$C$247,'DATA TABLES_Project'!$A$250:$A$285, 0)),BV20-1,0))))), "")</f>
        <v/>
      </c>
      <c r="DI20" s="925" t="str">
        <f t="shared" ref="DI20" si="20">IFERROR(IF(CB20&lt;&gt;"OK","",IF(BX20="Dual",(CM20*BW20)+((BY20-AJ20)*(BV20-BW20))*CZ20*0.92,CM20*CZ20*BV20*0.92)),"")</f>
        <v/>
      </c>
      <c r="DJ20" s="925" t="str">
        <f ca="1">IFERROR(IF(CB20&lt;&gt;"OK","",IF(OR(BX20="Single",BX20=""),0.92*CZ20*CM20*BV20*AVERAGE(INDEX('DATA TABLES_Project'!$B$250:$B$285, MATCH('DATA TABLES_Project'!$C$247,'DATA TABLES_Project'!$A$250:$A$285, 0)):OFFSET(INDEX('DATA TABLES_Project'!$B$250:$B$285, MATCH('DATA TABLES_Project'!$C$247,'DATA TABLES_Project'!$A$250:$A$285, 0)),BV20-1,0)),0.92*CZ20*CM20*BW20*AVERAGE(INDEX('DATA TABLES_Project'!$B$250:$B$285, MATCH('DATA TABLES_Project'!$C$247,'DATA TABLES_Project'!$A$250:$A$285, 0)):OFFSET(INDEX('DATA TABLES_Project'!$B$250:$B$285, MATCH('DATA TABLES_Project'!$C$247,'DATA TABLES_Project'!$A$250:$A$285, 0)),BW20-1,0)) + (0.92*CZ20*(BY20-AJ20)*(BV20-BW20)*AVERAGE(OFFSET(INDEX('DATA TABLES_Project'!$B$250:$B$285, MATCH('DATA TABLES_Project'!$C$247,'DATA TABLES_Project'!$A$250:$A$285, 0)),BW20,0):OFFSET(INDEX('DATA TABLES_Project'!$B$250:$B$285, MATCH('DATA TABLES_Project'!$C$247,'DATA TABLES_Project'!$A$250:$A$285, 0)),BV20-1,0))))), "")</f>
        <v/>
      </c>
      <c r="DK20" s="925" t="str">
        <f>IFERROR(IF(CB20&lt;&gt;"OK","",CO20*'DATA TABLES_Project'!$C$250),"")</f>
        <v/>
      </c>
      <c r="DL20" s="925" t="str">
        <f t="shared" ref="DL20" si="21">IFERROR(IF(CB20&lt;&gt;"OK","",CO20*DA20*0.92),"")</f>
        <v/>
      </c>
      <c r="DM20" s="925" t="str">
        <f>IFERROR(IF(CB20&lt;&gt;"OK","",CO20*'DATA TABLES_Project'!$C$250*DA20*0.92),"")</f>
        <v/>
      </c>
      <c r="DN20" s="925" t="str">
        <f t="shared" ref="DN20" si="22">IFERROR(IF(CB20&lt;&gt;"OK","",CO20*BV20),IF(BX20="Dual",(CO20*BW20)+((BZ20-AP20)*(BV20-BW20)),""))</f>
        <v/>
      </c>
      <c r="DO20" s="925" t="str">
        <f ca="1">IFERROR(IF(CB20&lt;&gt;"OK","",CO20*BV20*AVERAGE('DATA TABLES_Project'!$C$250:OFFSET('DATA TABLES_Project'!$C$250,BV20,0))),IF(BX20="Dual",(CO20*BW20*AVERAGE('DATA TABLES_Project'!$C$251:$C$259))+((BZ20-AP20)*(BV20-BW20)*AVERAGE('DATA TABLES_Project'!$C$260:$C$279)),""))</f>
        <v/>
      </c>
      <c r="DP20" s="925" t="str">
        <f t="shared" ref="DP20" si="23">IFERROR(IF(CB20&lt;&gt;"OK","",IF(BX20="Dual",((CO20*BW20)+(BZ20-AP20)*(BV20-BW20))*DA20*0.92,CO20*BV20*DA20*0.92)),"")</f>
        <v/>
      </c>
      <c r="DQ20" s="925" t="str">
        <f ca="1">IFERROR(IF(CB20&lt;&gt;"OK","",IF(BX20="Dual",(0.92*DA20*CO20*BW20*AVERAGE('DATA TABLES_Project'!$C$251:$C$259))+(0.92*DA20*(BZ20-AP20)*(BV20-BW20)*AVERAGE('DATA TABLES_Project'!$C$260:$C$279)),0.92*DA20*CO20*BV20*AVERAGE('DATA TABLES_Project'!$C$250:OFFSET('DATA TABLES_Project'!$C$250,BV20,0)))),"")</f>
        <v/>
      </c>
      <c r="DR20" s="980" t="str">
        <f>IFERROR(IF($CB20&lt;&gt;"OK","",CM20*'DATA TABLES_Project'!$B$290+IF(CO20&lt;0,0,CO20*'DATA TABLES_Project'!$B$291)),"")</f>
        <v/>
      </c>
      <c r="DS20" s="980" t="str">
        <f>IFERROR(IF($CB20&lt;&gt;"OK","",DD20*'DATA TABLES_Project'!$B$290+IF(DK20&lt;0,0,DK20*'DATA TABLES_Project'!$B$291)),"")</f>
        <v/>
      </c>
      <c r="DT20" s="980" t="str">
        <f>IFERROR(IF($CB20&lt;&gt;"OK","",DE20*'DATA TABLES_Project'!$B$290+IF(DL20&lt;0,0,DL20*'DATA TABLES_Project'!$B$291)),"")</f>
        <v/>
      </c>
      <c r="DU20" s="980" t="str">
        <f>IFERROR(IF($CB20&lt;&gt;"OK","",DF20*'DATA TABLES_Project'!$B$290+IF(DM20&lt;0,0,DM20*'DATA TABLES_Project'!$B$291)),"")</f>
        <v/>
      </c>
      <c r="DV20" s="980" t="str">
        <f>IFERROR(IF($CB20&lt;&gt;"OK","",DG20*'DATA TABLES_Project'!$B$290+IF(DN20&lt;0,0,DN20*'DATA TABLES_Project'!$B$291)),"")</f>
        <v/>
      </c>
      <c r="DW20" s="980" t="str">
        <f>IFERROR(IF($CB20&lt;&gt;"OK","",DH20*'DATA TABLES_Project'!$B$290+IF(DO20&lt;0,0,DO20*'DATA TABLES_Project'!$B$291)),"")</f>
        <v/>
      </c>
      <c r="DX20" s="980" t="str">
        <f>IFERROR(IF($CB20&lt;&gt;"OK","",DI20*'DATA TABLES_Project'!$B$290+IF(DP20&lt;0,0,DP20*'DATA TABLES_Project'!$B$291)),"")</f>
        <v/>
      </c>
      <c r="DY20" s="925" t="str">
        <f>IFERROR(IF($CB20&lt;&gt;"OK","",DJ20*'DATA TABLES_Project'!$B$290+IF(DQ20&lt;0,0,DQ20*'DATA TABLES_Project'!$B$291)),"")</f>
        <v/>
      </c>
      <c r="DZ20" s="925" t="str">
        <f t="shared" ref="DZ20" si="24">IFERROR(IF($CB20&lt;&gt;"OK","",AS20),"")</f>
        <v/>
      </c>
      <c r="EA20" s="925" t="str">
        <f>IFERROR(IF(CB20&lt;&gt;"OK","",CN20*'DATA TABLES_Project'!$B$250*CZ20*1.03),"")</f>
        <v/>
      </c>
      <c r="EB20" s="925" t="str">
        <f t="shared" ref="EB20" si="25">IFERROR(IF(CB20&lt;&gt;"OK","",CN20*CZ20*1.03),"")</f>
        <v/>
      </c>
      <c r="EC20" s="925" t="str">
        <f>IFERROR(IF(CB20&lt;&gt;"OK","",CZ20*DZ20*'DATA TABLES_Project'!$C$250*0.92),"")</f>
        <v/>
      </c>
      <c r="ED20" s="925" t="str">
        <f>IFERROR(IF(CB20&lt;&gt;"OK","",CZ20*DZ20*'DATA TABLES_Project'!$C$250*0.92),"")</f>
        <v/>
      </c>
      <c r="EE20" s="925" t="str">
        <f t="shared" ref="EE20" si="26">IFERROR(IF(CB20&lt;&gt;"OK","",CZ20*DZ20*0.92),"")</f>
        <v/>
      </c>
      <c r="EF20" s="925" t="str">
        <f t="shared" ref="EF20" si="27">IFERROR(IF(CB20&lt;&gt;"OK","",CZ20*DZ20*0.92),"")</f>
        <v/>
      </c>
      <c r="EG20" s="925" t="str">
        <f>IFERROR(IF($CB20&lt;&gt;"OK","",CM20*'DATA TABLES_Project'!$B$290+CO20*'DATA TABLES_Project'!$B$291),"")</f>
        <v/>
      </c>
      <c r="EH20" s="925" t="str">
        <f>IFERROR(IF($CB20&lt;&gt;"OK","",DD20*'DATA TABLES_Project'!$B$290+DK20*'DATA TABLES_Project'!$B$291),"")</f>
        <v/>
      </c>
      <c r="EI20" s="925" t="str">
        <f>IFERROR(IF($CB20&lt;&gt;"OK","",DE20*'DATA TABLES_Project'!$B$290+DL20*'DATA TABLES_Project'!$B$291),"")</f>
        <v/>
      </c>
      <c r="EJ20" s="925" t="str">
        <f>IFERROR(IF($CB20&lt;&gt;"OK","",DF20*'DATA TABLES_Project'!$B$290+DM20*'DATA TABLES_Project'!$B$291),"")</f>
        <v/>
      </c>
      <c r="EK20" s="925" t="str">
        <f>IFERROR(IF($CB20&lt;&gt;"OK","",DG20*'DATA TABLES_Project'!$B$290+DN20*'DATA TABLES_Project'!$B$291),"")</f>
        <v/>
      </c>
      <c r="EL20" s="925" t="str">
        <f>IFERROR(IF($CB20&lt;&gt;"OK","",DH20*'DATA TABLES_Project'!$B$290+DO20*'DATA TABLES_Project'!$B$291),"")</f>
        <v/>
      </c>
      <c r="EM20" s="925" t="str">
        <f>IFERROR(IF($CB20&lt;&gt;"OK","",DI20*'DATA TABLES_Project'!$B$290+DP20*'DATA TABLES_Project'!$B$291),"")</f>
        <v/>
      </c>
      <c r="EN20" s="925" t="str">
        <f>IFERROR(IF($CB20&lt;&gt;"OK","",DJ20*'DATA TABLES_Project'!$B$290+DQ20*'DATA TABLES_Project'!$B$291),"")</f>
        <v/>
      </c>
    </row>
    <row r="21" spans="1:144" ht="16.350000000000001" customHeight="1">
      <c r="A21" s="462"/>
      <c r="B21" s="994"/>
      <c r="C21" s="998"/>
      <c r="D21" s="999"/>
      <c r="E21" s="1000"/>
      <c r="F21" s="964"/>
      <c r="G21" s="965"/>
      <c r="H21" s="965"/>
      <c r="I21" s="965"/>
      <c r="J21" s="965"/>
      <c r="K21" s="966"/>
      <c r="L21" s="964"/>
      <c r="M21" s="965"/>
      <c r="N21" s="965"/>
      <c r="O21" s="965"/>
      <c r="P21" s="965"/>
      <c r="Q21" s="966"/>
      <c r="R21" s="1044"/>
      <c r="S21" s="1044"/>
      <c r="T21" s="1044"/>
      <c r="U21" s="1044"/>
      <c r="V21" s="1044"/>
      <c r="W21" s="1044"/>
      <c r="X21" s="1045"/>
      <c r="Y21" s="1045"/>
      <c r="Z21" s="1045"/>
      <c r="AA21" s="1045"/>
      <c r="AB21" s="1045"/>
      <c r="AC21" s="1045"/>
      <c r="AD21" s="964"/>
      <c r="AE21" s="965"/>
      <c r="AF21" s="965"/>
      <c r="AG21" s="965"/>
      <c r="AH21" s="965"/>
      <c r="AI21" s="966"/>
      <c r="AJ21" s="952"/>
      <c r="AK21" s="953"/>
      <c r="AL21" s="954"/>
      <c r="AM21" s="952"/>
      <c r="AN21" s="953"/>
      <c r="AO21" s="954"/>
      <c r="AP21" s="958"/>
      <c r="AQ21" s="959"/>
      <c r="AR21" s="960"/>
      <c r="AS21" s="958"/>
      <c r="AT21" s="959"/>
      <c r="AU21" s="960"/>
      <c r="AV21" s="968"/>
      <c r="AW21" s="969"/>
      <c r="AX21" s="969"/>
      <c r="AY21" s="969"/>
      <c r="AZ21" s="969"/>
      <c r="BA21" s="970"/>
      <c r="BB21" s="947"/>
      <c r="BC21" s="948"/>
      <c r="BD21" s="947"/>
      <c r="BE21" s="948"/>
      <c r="BF21" s="931"/>
      <c r="BG21" s="932"/>
      <c r="BH21" s="974"/>
      <c r="BI21" s="975"/>
      <c r="BJ21" s="976"/>
      <c r="BK21" s="936"/>
      <c r="BL21" s="937"/>
      <c r="BM21" s="938"/>
      <c r="BN21" s="942"/>
      <c r="BO21" s="943"/>
      <c r="BP21" s="944"/>
      <c r="BQ21"/>
      <c r="BR21"/>
      <c r="BS21" s="967"/>
      <c r="BT21" s="967"/>
      <c r="BV21" s="926"/>
      <c r="BW21" s="926"/>
      <c r="BX21" s="926"/>
      <c r="BY21" s="927"/>
      <c r="BZ21" s="928"/>
      <c r="CB21" s="986"/>
      <c r="CC21" s="925"/>
      <c r="CD21" s="925"/>
      <c r="CE21" s="925"/>
      <c r="CF21" s="925"/>
      <c r="CG21" s="925"/>
      <c r="CH21" s="925"/>
      <c r="CI21" s="925"/>
      <c r="CJ21" s="977"/>
      <c r="CK21" s="977"/>
      <c r="CL21" s="977"/>
      <c r="CM21" s="977"/>
      <c r="CN21" s="977"/>
      <c r="CO21" s="977"/>
      <c r="CP21" s="977"/>
      <c r="CQ21" s="977"/>
      <c r="CR21" s="977"/>
      <c r="CS21" s="983"/>
      <c r="CT21" s="1056"/>
      <c r="CU21" s="979"/>
      <c r="CV21" s="925"/>
      <c r="CW21" s="925"/>
      <c r="CX21" s="925"/>
      <c r="CY21" s="925"/>
      <c r="CZ21" s="925"/>
      <c r="DA21" s="925"/>
      <c r="DD21" s="981"/>
      <c r="DE21" s="925"/>
      <c r="DF21" s="981"/>
      <c r="DG21" s="925"/>
      <c r="DH21" s="925"/>
      <c r="DI21" s="925"/>
      <c r="DJ21" s="925"/>
      <c r="DK21" s="925"/>
      <c r="DL21" s="925"/>
      <c r="DM21" s="925"/>
      <c r="DN21" s="925"/>
      <c r="DO21" s="925"/>
      <c r="DP21" s="925"/>
      <c r="DQ21" s="925"/>
      <c r="DR21" s="981"/>
      <c r="DS21" s="981"/>
      <c r="DT21" s="981"/>
      <c r="DU21" s="981"/>
      <c r="DV21" s="981"/>
      <c r="DW21" s="981"/>
      <c r="DX21" s="981"/>
      <c r="DY21" s="925"/>
      <c r="DZ21" s="925"/>
      <c r="EA21" s="925"/>
      <c r="EB21" s="925"/>
      <c r="EC21" s="925"/>
      <c r="ED21" s="925"/>
      <c r="EE21" s="925"/>
      <c r="EF21" s="925"/>
      <c r="EG21" s="925"/>
      <c r="EH21" s="925"/>
      <c r="EI21" s="925"/>
      <c r="EJ21" s="925"/>
      <c r="EK21" s="925"/>
      <c r="EL21" s="925"/>
      <c r="EM21" s="925"/>
      <c r="EN21" s="925"/>
    </row>
    <row r="22" spans="1:144" ht="16.350000000000001" customHeight="1">
      <c r="A22" s="462"/>
      <c r="B22" s="994">
        <v>3</v>
      </c>
      <c r="C22" s="995"/>
      <c r="D22" s="996"/>
      <c r="E22" s="997"/>
      <c r="F22" s="961"/>
      <c r="G22" s="962"/>
      <c r="H22" s="962"/>
      <c r="I22" s="962"/>
      <c r="J22" s="962"/>
      <c r="K22" s="963"/>
      <c r="L22" s="961"/>
      <c r="M22" s="962"/>
      <c r="N22" s="962"/>
      <c r="O22" s="962"/>
      <c r="P22" s="962"/>
      <c r="Q22" s="963"/>
      <c r="R22" s="1044"/>
      <c r="S22" s="1044"/>
      <c r="T22" s="1044"/>
      <c r="U22" s="1044"/>
      <c r="V22" s="1044"/>
      <c r="W22" s="1044"/>
      <c r="X22" s="1045"/>
      <c r="Y22" s="1045"/>
      <c r="Z22" s="1045"/>
      <c r="AA22" s="1045"/>
      <c r="AB22" s="1045"/>
      <c r="AC22" s="1045"/>
      <c r="AD22" s="961"/>
      <c r="AE22" s="962"/>
      <c r="AF22" s="962"/>
      <c r="AG22" s="962"/>
      <c r="AH22" s="962"/>
      <c r="AI22" s="963"/>
      <c r="AJ22" s="949"/>
      <c r="AK22" s="950"/>
      <c r="AL22" s="951"/>
      <c r="AM22" s="949"/>
      <c r="AN22" s="950"/>
      <c r="AO22" s="951"/>
      <c r="AP22" s="955"/>
      <c r="AQ22" s="956"/>
      <c r="AR22" s="957"/>
      <c r="AS22" s="955"/>
      <c r="AT22" s="956"/>
      <c r="AU22" s="957"/>
      <c r="AV22" s="968"/>
      <c r="AW22" s="969"/>
      <c r="AX22" s="970"/>
      <c r="AY22" s="968"/>
      <c r="AZ22" s="969"/>
      <c r="BA22" s="970"/>
      <c r="BB22" s="945"/>
      <c r="BC22" s="946"/>
      <c r="BD22" s="945"/>
      <c r="BE22" s="946"/>
      <c r="BF22" s="929" t="str">
        <f t="shared" ref="BF22" si="28">IF(CB22="OK",ROUND(BB22+BD22,2),"")</f>
        <v/>
      </c>
      <c r="BG22" s="930"/>
      <c r="BH22" s="971" t="str">
        <f t="shared" ref="BH22" si="29">IFERROR(IF(AND($CB22="OK",$CU22="OK"),$CI22,IF($CB22&lt;&gt;"OK",$CB22,$CU22)),"")</f>
        <v/>
      </c>
      <c r="BI22" s="972"/>
      <c r="BJ22" s="973"/>
      <c r="BK22" s="933" t="str">
        <f t="shared" ref="BK22" si="30">IF($CB22="OK",CM22,"")</f>
        <v/>
      </c>
      <c r="BL22" s="934"/>
      <c r="BM22" s="935"/>
      <c r="BN22" s="939" t="str">
        <f t="shared" ref="BN22" si="31">IF($CB22="OK",$CR22,"")</f>
        <v/>
      </c>
      <c r="BO22" s="940"/>
      <c r="BP22" s="941"/>
      <c r="BQ22"/>
      <c r="BR22"/>
      <c r="BS22" s="967"/>
      <c r="BT22" s="967"/>
      <c r="BV22" s="926" t="str">
        <f t="shared" ref="BV22" si="32">IFERROR(ROUND(IF(AND(CB22="OK",CU22="OK"),CT22,""),0),"")</f>
        <v/>
      </c>
      <c r="BW22" s="926" t="str">
        <f t="shared" ref="BW22" si="33">IFERROR(ROUND(IF(AND(CB22="OK",CU22="OK"),BV22/3,""),0),"")</f>
        <v/>
      </c>
      <c r="BX22" s="926"/>
      <c r="BY22" s="927"/>
      <c r="BZ22" s="928"/>
      <c r="CB22" s="986" t="str">
        <f>IF(AND(C22="",F22="",R22="",AD22="",U22="",X22="",L22="",AJ22="",AV22="",AM22="",AP22="",AY22="",AV23="",BB22="",BD22="",AA22="",AS22=""),"",
IF(OR(C22="",F22="",R22="",AD22="",U22="",X22="",L22="",AJ22="",AV22="",AM22="",AP22="",AY22="",AV23="",BB22="",BD22="",AA22="",AS22=""),"Missing Fields",
IF(AND(M02S04F04disp="Required",M02S04F04=""),"TA Info Incomplete",
"OK")))</f>
        <v/>
      </c>
      <c r="CC22" s="925" t="str">
        <f>IF(AND(CB22="OK",CU22="OK"),INDEX(Tbl_Cust_Refrig[Measure Number], MATCH(F22,Tbl_Cust_Refrig[Proj Desc 1],0)),"")</f>
        <v/>
      </c>
      <c r="CD22" s="925"/>
      <c r="CE22" s="925" t="str">
        <f t="shared" ref="CE22" si="34">IF(CB22="OK","Measure","")</f>
        <v/>
      </c>
      <c r="CF22" s="925" t="str">
        <f t="shared" ref="CF22" si="35">IF(CB22="OK",1,"")</f>
        <v/>
      </c>
      <c r="CG22" s="978" t="str">
        <f t="shared" ref="CG22" si="36">IFERROR(CI22/CF22,"")</f>
        <v/>
      </c>
      <c r="CH22" s="978" t="str">
        <f>IF(CB22="OK",IF(CM22&gt;0,CM22*Incent_Rate_kWh,0)+IF(CO22&gt;0,CO22*Incent_Rate_thm,0),"")</f>
        <v/>
      </c>
      <c r="CI22" s="978" t="str">
        <f>IFERROR(IF($CB22="OK",IF(INCENTTOCOST_CUST&gt;CostCap_Cust,
CH22*CostCap_Cust/INCENTTOCOST_CUST,CH22),""),"")</f>
        <v/>
      </c>
      <c r="CJ22" s="977">
        <f t="shared" ref="CJ22" si="37">CM22</f>
        <v>0</v>
      </c>
      <c r="CK22" s="977">
        <f t="shared" ref="CK22" si="38">CN22</f>
        <v>0</v>
      </c>
      <c r="CL22" s="977">
        <f t="shared" ref="CL22" si="39">CO22</f>
        <v>0</v>
      </c>
      <c r="CM22" s="977">
        <f>R22-AJ22</f>
        <v>0</v>
      </c>
      <c r="CN22" s="977">
        <f>U22-AM22</f>
        <v>0</v>
      </c>
      <c r="CO22" s="977">
        <f t="shared" ref="CO22" si="40">IF(CR22&gt;0,CR22,0)</f>
        <v>0</v>
      </c>
      <c r="CP22" s="977">
        <f t="shared" ref="CP22" si="41">CM22</f>
        <v>0</v>
      </c>
      <c r="CQ22" s="977">
        <f t="shared" ref="CQ22" si="42">CN22</f>
        <v>0</v>
      </c>
      <c r="CR22" s="977">
        <f>X22-AP22</f>
        <v>0</v>
      </c>
      <c r="CS22" s="983"/>
      <c r="CT22" s="1056" t="str">
        <f>IF(CB22="OK",INDEX(Tbl_Cust_Refrig[EUL], MATCH(F22,Tbl_Cust_Refrig[Proj Desc 1],0)),"")</f>
        <v/>
      </c>
      <c r="CU22" s="979" t="str">
        <f t="shared" ref="CU22" si="43">IFERROR(IF(AND($CM22&lt;=0,$CN22&lt;=0,$CO22&lt;=0),"No Savings","OK"),"")</f>
        <v>No Savings</v>
      </c>
      <c r="CV22" s="925" t="str">
        <f t="shared" ref="CV22" si="44">IF(AND(CB22="OK",CU22="OK"),"1","")</f>
        <v/>
      </c>
      <c r="CW22" s="925" t="str">
        <f>IFERROR(IF($CB22="OK",ROUND($AQ$14*SUM(BB22:BE23)/SUM($BF$18:$BG$37),2),""),"")</f>
        <v/>
      </c>
      <c r="CX22" s="925" t="str">
        <f>IFERROR(IF(M02S04F04="Customer/Self-Installed",CW22,IF($CB22="OK",CW22+BD22,"")),"")</f>
        <v/>
      </c>
      <c r="CY22" s="925" t="str">
        <f>IFERROR(IF($CB22="OK",CX22+BB22,""),"")</f>
        <v/>
      </c>
      <c r="CZ22" s="925" t="str">
        <f>IF(CB22="OK",INDEX(MEASURES3_M!$O$32,MATCH(F22,MEASURES3_M!$C$32,0)),"")</f>
        <v/>
      </c>
      <c r="DA22" s="925" t="str">
        <f>IF(CB22="OK",INDEX(MEASURES3_M!$P$32,MATCH(F22,MEASURES3_M!$C$32,0)),"")</f>
        <v/>
      </c>
      <c r="DD22" s="980" t="str">
        <f>IFERROR(IF(CB22&lt;&gt;"OK","",CM22*VLOOKUP('DATA TABLES_Project'!$C$247,'DATA TABLES_Project'!$A$250:$B$285,2,FALSE)),"")</f>
        <v/>
      </c>
      <c r="DE22" s="925" t="str">
        <f t="shared" ref="DE22" si="45">IFERROR(IF(CB22&lt;&gt;"OK","",CM22*CZ22*0.92),"")</f>
        <v/>
      </c>
      <c r="DF22" s="980" t="str">
        <f>IFERROR(IF(CB22&lt;&gt;"OK","",CM22*CZ22*0.92*VLOOKUP('DATA TABLES_Project'!$C$247,'DATA TABLES_Project'!$A$250:$B$285,2,FALSE)),"")</f>
        <v/>
      </c>
      <c r="DG22" s="925" t="str">
        <f t="shared" ref="DG22" si="46">IFERROR(IF(CB22&lt;&gt;"OK","",CM22*BV22),IF(BX22="Dual",(CM22*BW22)+((BY22-AJ22)*(BV22-BW22)),""))</f>
        <v/>
      </c>
      <c r="DH22" s="925" t="str">
        <f ca="1">IFERROR(IF(CB22&lt;&gt;"OK","",IF(OR(BX22="Single",BX22=""), CM22*BV22*AVERAGE(INDEX('DATA TABLES_Project'!$B$250:$B$285, MATCH('DATA TABLES_Project'!$C$247,'DATA TABLES_Project'!$A$250:$A$285, 0)):OFFSET(INDEX('DATA TABLES_Project'!$B$250:$B$285, MATCH('DATA TABLES_Project'!$C$247,'DATA TABLES_Project'!$A$250:$A$285, 0)),BV22-1,0)),CM22*BW22*AVERAGE(INDEX('DATA TABLES_Project'!$B$250:$B$285, MATCH('DATA TABLES_Project'!$C$247,'DATA TABLES_Project'!$A$250:$A$285, 0)):OFFSET(INDEX('DATA TABLES_Project'!$B$250:$B$285, MATCH('DATA TABLES_Project'!$C$247,'DATA TABLES_Project'!$A$250:$A$285, 0)),BW22-1,0)) + ((BY22-AJ22)*(BV22-BW22)*AVERAGE(OFFSET(INDEX('DATA TABLES_Project'!$B$250:$B$285, MATCH('DATA TABLES_Project'!$C$247,'DATA TABLES_Project'!$A$250:$A$285, 0)),BW22,0):OFFSET(INDEX('DATA TABLES_Project'!$B$250:$B$285, MATCH('DATA TABLES_Project'!$C$247,'DATA TABLES_Project'!$A$250:$A$285, 0)),BV22-1,0))))), "")</f>
        <v/>
      </c>
      <c r="DI22" s="925" t="str">
        <f t="shared" ref="DI22" si="47">IFERROR(IF(CB22&lt;&gt;"OK","",IF(BX22="Dual",(CM22*BW22)+((BY22-AJ22)*(BV22-BW22))*CZ22*0.92,CM22*CZ22*BV22*0.92)),"")</f>
        <v/>
      </c>
      <c r="DJ22" s="925" t="str">
        <f ca="1">IFERROR(IF(CB22&lt;&gt;"OK","",IF(OR(BX22="Single",BX22=""),0.92*CZ22*CM22*BV22*AVERAGE(INDEX('DATA TABLES_Project'!$B$250:$B$285, MATCH('DATA TABLES_Project'!$C$247,'DATA TABLES_Project'!$A$250:$A$285, 0)):OFFSET(INDEX('DATA TABLES_Project'!$B$250:$B$285, MATCH('DATA TABLES_Project'!$C$247,'DATA TABLES_Project'!$A$250:$A$285, 0)),BV22-1,0)),0.92*CZ22*CM22*BW22*AVERAGE(INDEX('DATA TABLES_Project'!$B$250:$B$285, MATCH('DATA TABLES_Project'!$C$247,'DATA TABLES_Project'!$A$250:$A$285, 0)):OFFSET(INDEX('DATA TABLES_Project'!$B$250:$B$285, MATCH('DATA TABLES_Project'!$C$247,'DATA TABLES_Project'!$A$250:$A$285, 0)),BW22-1,0)) + (0.92*CZ22*(BY22-AJ22)*(BV22-BW22)*AVERAGE(OFFSET(INDEX('DATA TABLES_Project'!$B$250:$B$285, MATCH('DATA TABLES_Project'!$C$247,'DATA TABLES_Project'!$A$250:$A$285, 0)),BW22,0):OFFSET(INDEX('DATA TABLES_Project'!$B$250:$B$285, MATCH('DATA TABLES_Project'!$C$247,'DATA TABLES_Project'!$A$250:$A$285, 0)),BV22-1,0))))), "")</f>
        <v/>
      </c>
      <c r="DK22" s="925" t="str">
        <f>IFERROR(IF(CB22&lt;&gt;"OK","",CO22*'DATA TABLES_Project'!$C$250),"")</f>
        <v/>
      </c>
      <c r="DL22" s="925" t="str">
        <f t="shared" ref="DL22" si="48">IFERROR(IF(CB22&lt;&gt;"OK","",CO22*DA22*0.92),"")</f>
        <v/>
      </c>
      <c r="DM22" s="925" t="str">
        <f>IFERROR(IF(CB22&lt;&gt;"OK","",CO22*'DATA TABLES_Project'!$C$250*DA22*0.92),"")</f>
        <v/>
      </c>
      <c r="DN22" s="925" t="str">
        <f t="shared" ref="DN22" si="49">IFERROR(IF(CB22&lt;&gt;"OK","",CO22*BV22),IF(BX22="Dual",(CO22*BW22)+((BZ22-AP22)*(BV22-BW22)),""))</f>
        <v/>
      </c>
      <c r="DO22" s="925" t="str">
        <f ca="1">IFERROR(IF(CB22&lt;&gt;"OK","",CO22*BV22*AVERAGE('DATA TABLES_Project'!$C$250:OFFSET('DATA TABLES_Project'!$C$250,BV22,0))),IF(BX22="Dual",(CO22*BW22*AVERAGE('DATA TABLES_Project'!$C$251:$C$259))+((BZ22-AP22)*(BV22-BW22)*AVERAGE('DATA TABLES_Project'!$C$260:$C$279)),""))</f>
        <v/>
      </c>
      <c r="DP22" s="925" t="str">
        <f t="shared" ref="DP22" si="50">IFERROR(IF(CB22&lt;&gt;"OK","",IF(BX22="Dual",((CO22*BW22)+(BZ22-AP22)*(BV22-BW22))*DA22*0.92,CO22*BV22*DA22*0.92)),"")</f>
        <v/>
      </c>
      <c r="DQ22" s="925" t="str">
        <f ca="1">IFERROR(IF(CB22&lt;&gt;"OK","",IF(BX22="Dual",(0.92*DA22*CO22*BW22*AVERAGE('DATA TABLES_Project'!$C$251:$C$259))+(0.92*DA22*(BZ22-AP22)*(BV22-BW22)*AVERAGE('DATA TABLES_Project'!$C$260:$C$279)),0.92*DA22*CO22*BV22*AVERAGE('DATA TABLES_Project'!$C$250:OFFSET('DATA TABLES_Project'!$C$250,BV22,0)))),"")</f>
        <v/>
      </c>
      <c r="DR22" s="980" t="str">
        <f>IFERROR(IF($CB22&lt;&gt;"OK","",CM22*'DATA TABLES_Project'!$B$290+IF(CO22&lt;0,0,CO22*'DATA TABLES_Project'!$B$291)),"")</f>
        <v/>
      </c>
      <c r="DS22" s="980" t="str">
        <f>IFERROR(IF($CB22&lt;&gt;"OK","",DD22*'DATA TABLES_Project'!$B$290+IF(DK22&lt;0,0,DK22*'DATA TABLES_Project'!$B$291)),"")</f>
        <v/>
      </c>
      <c r="DT22" s="980" t="str">
        <f>IFERROR(IF($CB22&lt;&gt;"OK","",DE22*'DATA TABLES_Project'!$B$290+IF(DL22&lt;0,0,DL22*'DATA TABLES_Project'!$B$291)),"")</f>
        <v/>
      </c>
      <c r="DU22" s="980" t="str">
        <f>IFERROR(IF($CB22&lt;&gt;"OK","",DF22*'DATA TABLES_Project'!$B$290+IF(DM22&lt;0,0,DM22*'DATA TABLES_Project'!$B$291)),"")</f>
        <v/>
      </c>
      <c r="DV22" s="980" t="str">
        <f>IFERROR(IF($CB22&lt;&gt;"OK","",DG22*'DATA TABLES_Project'!$B$290+IF(DN22&lt;0,0,DN22*'DATA TABLES_Project'!$B$291)),"")</f>
        <v/>
      </c>
      <c r="DW22" s="980" t="str">
        <f>IFERROR(IF($CB22&lt;&gt;"OK","",DH22*'DATA TABLES_Project'!$B$290+IF(DO22&lt;0,0,DO22*'DATA TABLES_Project'!$B$291)),"")</f>
        <v/>
      </c>
      <c r="DX22" s="980" t="str">
        <f>IFERROR(IF($CB22&lt;&gt;"OK","",DI22*'DATA TABLES_Project'!$B$290+IF(DP22&lt;0,0,DP22*'DATA TABLES_Project'!$B$291)),"")</f>
        <v/>
      </c>
      <c r="DY22" s="925" t="str">
        <f>IFERROR(IF($CB22&lt;&gt;"OK","",DJ22*'DATA TABLES_Project'!$B$290+IF(DQ22&lt;0,0,DQ22*'DATA TABLES_Project'!$B$291)),"")</f>
        <v/>
      </c>
      <c r="DZ22" s="925" t="str">
        <f t="shared" ref="DZ22" si="51">IFERROR(IF($CB22&lt;&gt;"OK","",AS22),"")</f>
        <v/>
      </c>
      <c r="EA22" s="925" t="str">
        <f>IFERROR(IF(CB22&lt;&gt;"OK","",CN22*'DATA TABLES_Project'!$B$250*CZ22*1.03),"")</f>
        <v/>
      </c>
      <c r="EB22" s="925" t="str">
        <f t="shared" ref="EB22" si="52">IFERROR(IF(CB22&lt;&gt;"OK","",CN22*CZ22*1.03),"")</f>
        <v/>
      </c>
      <c r="EC22" s="925" t="str">
        <f>IFERROR(IF(CB22&lt;&gt;"OK","",CZ22*DZ22*'DATA TABLES_Project'!$C$250*0.92),"")</f>
        <v/>
      </c>
      <c r="ED22" s="925" t="str">
        <f>IFERROR(IF(CB22&lt;&gt;"OK","",CZ22*DZ22*'DATA TABLES_Project'!$C$250*0.92),"")</f>
        <v/>
      </c>
      <c r="EE22" s="925" t="str">
        <f t="shared" ref="EE22" si="53">IFERROR(IF(CB22&lt;&gt;"OK","",CZ22*DZ22*0.92),"")</f>
        <v/>
      </c>
      <c r="EF22" s="925" t="str">
        <f t="shared" ref="EF22" si="54">IFERROR(IF(CB22&lt;&gt;"OK","",CZ22*DZ22*0.92),"")</f>
        <v/>
      </c>
      <c r="EG22" s="925" t="str">
        <f>IFERROR(IF($CB22&lt;&gt;"OK","",CM22*'DATA TABLES_Project'!$B$290+CO22*'DATA TABLES_Project'!$B$291),"")</f>
        <v/>
      </c>
      <c r="EH22" s="925" t="str">
        <f>IFERROR(IF($CB22&lt;&gt;"OK","",DD22*'DATA TABLES_Project'!$B$290+DK22*'DATA TABLES_Project'!$B$291),"")</f>
        <v/>
      </c>
      <c r="EI22" s="925" t="str">
        <f>IFERROR(IF($CB22&lt;&gt;"OK","",DE22*'DATA TABLES_Project'!$B$290+DL22*'DATA TABLES_Project'!$B$291),"")</f>
        <v/>
      </c>
      <c r="EJ22" s="925" t="str">
        <f>IFERROR(IF($CB22&lt;&gt;"OK","",DF22*'DATA TABLES_Project'!$B$290+DM22*'DATA TABLES_Project'!$B$291),"")</f>
        <v/>
      </c>
      <c r="EK22" s="925" t="str">
        <f>IFERROR(IF($CB22&lt;&gt;"OK","",DG22*'DATA TABLES_Project'!$B$290+DN22*'DATA TABLES_Project'!$B$291),"")</f>
        <v/>
      </c>
      <c r="EL22" s="925" t="str">
        <f>IFERROR(IF($CB22&lt;&gt;"OK","",DH22*'DATA TABLES_Project'!$B$290+DO22*'DATA TABLES_Project'!$B$291),"")</f>
        <v/>
      </c>
      <c r="EM22" s="925" t="str">
        <f>IFERROR(IF($CB22&lt;&gt;"OK","",DI22*'DATA TABLES_Project'!$B$290+DP22*'DATA TABLES_Project'!$B$291),"")</f>
        <v/>
      </c>
      <c r="EN22" s="925" t="str">
        <f>IFERROR(IF($CB22&lt;&gt;"OK","",DJ22*'DATA TABLES_Project'!$B$290+DQ22*'DATA TABLES_Project'!$B$291),"")</f>
        <v/>
      </c>
    </row>
    <row r="23" spans="1:144" ht="16.350000000000001" customHeight="1">
      <c r="A23" s="462"/>
      <c r="B23" s="994"/>
      <c r="C23" s="998"/>
      <c r="D23" s="999"/>
      <c r="E23" s="1000"/>
      <c r="F23" s="964"/>
      <c r="G23" s="965"/>
      <c r="H23" s="965"/>
      <c r="I23" s="965"/>
      <c r="J23" s="965"/>
      <c r="K23" s="966"/>
      <c r="L23" s="964"/>
      <c r="M23" s="965"/>
      <c r="N23" s="965"/>
      <c r="O23" s="965"/>
      <c r="P23" s="965"/>
      <c r="Q23" s="966"/>
      <c r="R23" s="1044"/>
      <c r="S23" s="1044"/>
      <c r="T23" s="1044"/>
      <c r="U23" s="1044"/>
      <c r="V23" s="1044"/>
      <c r="W23" s="1044"/>
      <c r="X23" s="1045"/>
      <c r="Y23" s="1045"/>
      <c r="Z23" s="1045"/>
      <c r="AA23" s="1045"/>
      <c r="AB23" s="1045"/>
      <c r="AC23" s="1045"/>
      <c r="AD23" s="964"/>
      <c r="AE23" s="965"/>
      <c r="AF23" s="965"/>
      <c r="AG23" s="965"/>
      <c r="AH23" s="965"/>
      <c r="AI23" s="966"/>
      <c r="AJ23" s="952"/>
      <c r="AK23" s="953"/>
      <c r="AL23" s="954"/>
      <c r="AM23" s="952"/>
      <c r="AN23" s="953"/>
      <c r="AO23" s="954"/>
      <c r="AP23" s="958"/>
      <c r="AQ23" s="959"/>
      <c r="AR23" s="960"/>
      <c r="AS23" s="958"/>
      <c r="AT23" s="959"/>
      <c r="AU23" s="960"/>
      <c r="AV23" s="968"/>
      <c r="AW23" s="969"/>
      <c r="AX23" s="969"/>
      <c r="AY23" s="969"/>
      <c r="AZ23" s="969"/>
      <c r="BA23" s="970"/>
      <c r="BB23" s="947"/>
      <c r="BC23" s="948"/>
      <c r="BD23" s="947"/>
      <c r="BE23" s="948"/>
      <c r="BF23" s="931"/>
      <c r="BG23" s="932"/>
      <c r="BH23" s="974"/>
      <c r="BI23" s="975"/>
      <c r="BJ23" s="976"/>
      <c r="BK23" s="936"/>
      <c r="BL23" s="937"/>
      <c r="BM23" s="938"/>
      <c r="BN23" s="942"/>
      <c r="BO23" s="943"/>
      <c r="BP23" s="944"/>
      <c r="BQ23"/>
      <c r="BR23"/>
      <c r="BS23" s="967"/>
      <c r="BT23" s="967"/>
      <c r="BV23" s="926"/>
      <c r="BW23" s="926"/>
      <c r="BX23" s="926"/>
      <c r="BY23" s="927"/>
      <c r="BZ23" s="928"/>
      <c r="CB23" s="986"/>
      <c r="CC23" s="925"/>
      <c r="CD23" s="925"/>
      <c r="CE23" s="925"/>
      <c r="CF23" s="925"/>
      <c r="CG23" s="925"/>
      <c r="CH23" s="925"/>
      <c r="CI23" s="925"/>
      <c r="CJ23" s="977"/>
      <c r="CK23" s="977"/>
      <c r="CL23" s="977"/>
      <c r="CM23" s="977"/>
      <c r="CN23" s="977"/>
      <c r="CO23" s="977"/>
      <c r="CP23" s="977"/>
      <c r="CQ23" s="977"/>
      <c r="CR23" s="977"/>
      <c r="CS23" s="983"/>
      <c r="CT23" s="1056"/>
      <c r="CU23" s="979"/>
      <c r="CV23" s="925"/>
      <c r="CW23" s="925"/>
      <c r="CX23" s="925"/>
      <c r="CY23" s="925"/>
      <c r="CZ23" s="925"/>
      <c r="DA23" s="925"/>
      <c r="DD23" s="981"/>
      <c r="DE23" s="925"/>
      <c r="DF23" s="981"/>
      <c r="DG23" s="925"/>
      <c r="DH23" s="925"/>
      <c r="DI23" s="925"/>
      <c r="DJ23" s="925"/>
      <c r="DK23" s="925"/>
      <c r="DL23" s="925"/>
      <c r="DM23" s="925"/>
      <c r="DN23" s="925"/>
      <c r="DO23" s="925"/>
      <c r="DP23" s="925"/>
      <c r="DQ23" s="925"/>
      <c r="DR23" s="981"/>
      <c r="DS23" s="981"/>
      <c r="DT23" s="981"/>
      <c r="DU23" s="981"/>
      <c r="DV23" s="981"/>
      <c r="DW23" s="981"/>
      <c r="DX23" s="981"/>
      <c r="DY23" s="925"/>
      <c r="DZ23" s="925"/>
      <c r="EA23" s="925"/>
      <c r="EB23" s="925"/>
      <c r="EC23" s="925"/>
      <c r="ED23" s="925"/>
      <c r="EE23" s="925"/>
      <c r="EF23" s="925"/>
      <c r="EG23" s="925"/>
      <c r="EH23" s="925"/>
      <c r="EI23" s="925"/>
      <c r="EJ23" s="925"/>
      <c r="EK23" s="925"/>
      <c r="EL23" s="925"/>
      <c r="EM23" s="925"/>
      <c r="EN23" s="925"/>
    </row>
    <row r="24" spans="1:144" ht="16.350000000000001" customHeight="1">
      <c r="A24" s="462"/>
      <c r="B24" s="994">
        <v>4</v>
      </c>
      <c r="C24" s="995"/>
      <c r="D24" s="996"/>
      <c r="E24" s="997"/>
      <c r="F24" s="961"/>
      <c r="G24" s="962"/>
      <c r="H24" s="962"/>
      <c r="I24" s="962"/>
      <c r="J24" s="962"/>
      <c r="K24" s="963"/>
      <c r="L24" s="961"/>
      <c r="M24" s="962"/>
      <c r="N24" s="962"/>
      <c r="O24" s="962"/>
      <c r="P24" s="962"/>
      <c r="Q24" s="963"/>
      <c r="R24" s="1044"/>
      <c r="S24" s="1044"/>
      <c r="T24" s="1044"/>
      <c r="U24" s="1044"/>
      <c r="V24" s="1044"/>
      <c r="W24" s="1044"/>
      <c r="X24" s="1045"/>
      <c r="Y24" s="1045"/>
      <c r="Z24" s="1045"/>
      <c r="AA24" s="1045"/>
      <c r="AB24" s="1045"/>
      <c r="AC24" s="1045"/>
      <c r="AD24" s="961"/>
      <c r="AE24" s="962"/>
      <c r="AF24" s="962"/>
      <c r="AG24" s="962"/>
      <c r="AH24" s="962"/>
      <c r="AI24" s="963"/>
      <c r="AJ24" s="949"/>
      <c r="AK24" s="950"/>
      <c r="AL24" s="951"/>
      <c r="AM24" s="949"/>
      <c r="AN24" s="950"/>
      <c r="AO24" s="951"/>
      <c r="AP24" s="955"/>
      <c r="AQ24" s="956"/>
      <c r="AR24" s="957"/>
      <c r="AS24" s="955"/>
      <c r="AT24" s="956"/>
      <c r="AU24" s="957"/>
      <c r="AV24" s="968"/>
      <c r="AW24" s="969"/>
      <c r="AX24" s="970"/>
      <c r="AY24" s="968"/>
      <c r="AZ24" s="969"/>
      <c r="BA24" s="970"/>
      <c r="BB24" s="945"/>
      <c r="BC24" s="946"/>
      <c r="BD24" s="945"/>
      <c r="BE24" s="946"/>
      <c r="BF24" s="929" t="str">
        <f t="shared" ref="BF24" si="55">IF(CB24="OK",ROUND(BB24+BD24,2),"")</f>
        <v/>
      </c>
      <c r="BG24" s="930"/>
      <c r="BH24" s="971" t="str">
        <f t="shared" ref="BH24" si="56">IFERROR(IF(AND($CB24="OK",$CU24="OK"),$CI24,IF($CB24&lt;&gt;"OK",$CB24,$CU24)),"")</f>
        <v/>
      </c>
      <c r="BI24" s="972"/>
      <c r="BJ24" s="973"/>
      <c r="BK24" s="933" t="str">
        <f t="shared" ref="BK24" si="57">IF($CB24="OK",CM24,"")</f>
        <v/>
      </c>
      <c r="BL24" s="934"/>
      <c r="BM24" s="935"/>
      <c r="BN24" s="939" t="str">
        <f t="shared" ref="BN24" si="58">IF($CB24="OK",$CR24,"")</f>
        <v/>
      </c>
      <c r="BO24" s="940"/>
      <c r="BP24" s="941"/>
      <c r="BQ24"/>
      <c r="BR24"/>
      <c r="BS24" s="967"/>
      <c r="BT24" s="967"/>
      <c r="BV24" s="926" t="str">
        <f t="shared" ref="BV24" si="59">IFERROR(ROUND(IF(AND(CB24="OK",CU24="OK"),CT24,""),0),"")</f>
        <v/>
      </c>
      <c r="BW24" s="926" t="str">
        <f t="shared" ref="BW24" si="60">IFERROR(ROUND(IF(AND(CB24="OK",CU24="OK"),BV24/3,""),0),"")</f>
        <v/>
      </c>
      <c r="BX24" s="926"/>
      <c r="BY24" s="927"/>
      <c r="BZ24" s="928"/>
      <c r="CB24" s="986" t="str">
        <f>IF(AND(C24="",F24="",R24="",AD24="",U24="",X24="",L24="",AJ24="",AV24="",AM24="",AP24="",AY24="",AV25="",BB24="",BD24="",AA24="",AS24=""),"",
IF(OR(C24="",F24="",R24="",AD24="",U24="",X24="",L24="",AJ24="",AV24="",AM24="",AP24="",AY24="",AV25="",BB24="",BD24="",AA24="",AS24=""),"Missing Fields",
IF(AND(M02S04F04disp="Required",M02S04F04=""),"TA Info Incomplete",
"OK")))</f>
        <v/>
      </c>
      <c r="CC24" s="925" t="str">
        <f>IF(AND(CB24="OK",CU24="OK"),INDEX(Tbl_Cust_Refrig[Measure Number], MATCH(F24,Tbl_Cust_Refrig[Proj Desc 1],0)),"")</f>
        <v/>
      </c>
      <c r="CD24" s="925"/>
      <c r="CE24" s="925" t="str">
        <f t="shared" ref="CE24" si="61">IF(CB24="OK","Measure","")</f>
        <v/>
      </c>
      <c r="CF24" s="925" t="str">
        <f t="shared" ref="CF24" si="62">IF(CB24="OK",1,"")</f>
        <v/>
      </c>
      <c r="CG24" s="978" t="str">
        <f t="shared" ref="CG24" si="63">IFERROR(CI24/CF24,"")</f>
        <v/>
      </c>
      <c r="CH24" s="978" t="str">
        <f>IF(CB24="OK",IF(CM24&gt;0,CM24*Incent_Rate_kWh,0)+IF(CO24&gt;0,CO24*Incent_Rate_thm,0),"")</f>
        <v/>
      </c>
      <c r="CI24" s="978" t="str">
        <f>IFERROR(IF($CB24="OK",IF(INCENTTOCOST_CUST&gt;CostCap_Cust,
CH24*CostCap_Cust/INCENTTOCOST_CUST,CH24),""),"")</f>
        <v/>
      </c>
      <c r="CJ24" s="977">
        <f t="shared" ref="CJ24" si="64">CM24</f>
        <v>0</v>
      </c>
      <c r="CK24" s="977">
        <f t="shared" ref="CK24" si="65">CN24</f>
        <v>0</v>
      </c>
      <c r="CL24" s="977">
        <f t="shared" ref="CL24" si="66">CO24</f>
        <v>0</v>
      </c>
      <c r="CM24" s="977">
        <f>R24-AJ24</f>
        <v>0</v>
      </c>
      <c r="CN24" s="977">
        <f>U24-AM24</f>
        <v>0</v>
      </c>
      <c r="CO24" s="977">
        <f t="shared" ref="CO24" si="67">IF(CR24&gt;0,CR24,0)</f>
        <v>0</v>
      </c>
      <c r="CP24" s="977">
        <f t="shared" ref="CP24" si="68">CM24</f>
        <v>0</v>
      </c>
      <c r="CQ24" s="977">
        <f t="shared" ref="CQ24" si="69">CN24</f>
        <v>0</v>
      </c>
      <c r="CR24" s="977">
        <f>X24-AP24</f>
        <v>0</v>
      </c>
      <c r="CS24" s="983"/>
      <c r="CT24" s="1056" t="str">
        <f>IF(CB24="OK",INDEX(Tbl_Cust_Refrig[EUL], MATCH(F24,Tbl_Cust_Refrig[Proj Desc 1],0)),"")</f>
        <v/>
      </c>
      <c r="CU24" s="979" t="str">
        <f t="shared" ref="CU24" si="70">IFERROR(IF(AND($CM24&lt;=0,$CN24&lt;=0,$CO24&lt;=0),"No Savings","OK"),"")</f>
        <v>No Savings</v>
      </c>
      <c r="CV24" s="925" t="str">
        <f t="shared" ref="CV24" si="71">IF(AND(CB24="OK",CU24="OK"),"1","")</f>
        <v/>
      </c>
      <c r="CW24" s="925" t="str">
        <f>IFERROR(IF($CB24="OK",ROUND($AQ$14*SUM(BB24:BE25)/SUM($BF$18:$BG$37),2),""),"")</f>
        <v/>
      </c>
      <c r="CX24" s="925" t="str">
        <f>IFERROR(IF(M02S04F04="Customer/Self-Installed",CW24,IF($CB24="OK",CW24+BD24,"")),"")</f>
        <v/>
      </c>
      <c r="CY24" s="925" t="str">
        <f>IFERROR(IF($CB24="OK",CX24+BB24,""),"")</f>
        <v/>
      </c>
      <c r="CZ24" s="925" t="str">
        <f>IF(CB24="OK",INDEX(MEASURES3_M!$O$32,MATCH(F24,MEASURES3_M!$C$32,0)),"")</f>
        <v/>
      </c>
      <c r="DA24" s="925" t="str">
        <f>IF(CB24="OK",INDEX(MEASURES3_M!$P$32,MATCH(F24,MEASURES3_M!$C$32,0)),"")</f>
        <v/>
      </c>
      <c r="DD24" s="980" t="str">
        <f>IFERROR(IF(CB24&lt;&gt;"OK","",CM24*VLOOKUP('DATA TABLES_Project'!$C$247,'DATA TABLES_Project'!$A$250:$B$285,2,FALSE)),"")</f>
        <v/>
      </c>
      <c r="DE24" s="925" t="str">
        <f t="shared" ref="DE24" si="72">IFERROR(IF(CB24&lt;&gt;"OK","",CM24*CZ24*0.92),"")</f>
        <v/>
      </c>
      <c r="DF24" s="980" t="str">
        <f>IFERROR(IF(CB24&lt;&gt;"OK","",CM24*CZ24*0.92*VLOOKUP('DATA TABLES_Project'!$C$247,'DATA TABLES_Project'!$A$250:$B$285,2,FALSE)),"")</f>
        <v/>
      </c>
      <c r="DG24" s="925" t="str">
        <f t="shared" ref="DG24" si="73">IFERROR(IF(CB24&lt;&gt;"OK","",CM24*BV24),IF(BX24="Dual",(CM24*BW24)+((BY24-AJ24)*(BV24-BW24)),""))</f>
        <v/>
      </c>
      <c r="DH24" s="925" t="str">
        <f ca="1">IFERROR(IF(CB24&lt;&gt;"OK","",IF(OR(BX24="Single",BX24=""), CM24*BV24*AVERAGE(INDEX('DATA TABLES_Project'!$B$250:$B$285, MATCH('DATA TABLES_Project'!$C$247,'DATA TABLES_Project'!$A$250:$A$285, 0)):OFFSET(INDEX('DATA TABLES_Project'!$B$250:$B$285, MATCH('DATA TABLES_Project'!$C$247,'DATA TABLES_Project'!$A$250:$A$285, 0)),BV24-1,0)),CM24*BW24*AVERAGE(INDEX('DATA TABLES_Project'!$B$250:$B$285, MATCH('DATA TABLES_Project'!$C$247,'DATA TABLES_Project'!$A$250:$A$285, 0)):OFFSET(INDEX('DATA TABLES_Project'!$B$250:$B$285, MATCH('DATA TABLES_Project'!$C$247,'DATA TABLES_Project'!$A$250:$A$285, 0)),BW24-1,0)) + ((BY24-AJ24)*(BV24-BW24)*AVERAGE(OFFSET(INDEX('DATA TABLES_Project'!$B$250:$B$285, MATCH('DATA TABLES_Project'!$C$247,'DATA TABLES_Project'!$A$250:$A$285, 0)),BW24,0):OFFSET(INDEX('DATA TABLES_Project'!$B$250:$B$285, MATCH('DATA TABLES_Project'!$C$247,'DATA TABLES_Project'!$A$250:$A$285, 0)),BV24-1,0))))), "")</f>
        <v/>
      </c>
      <c r="DI24" s="925" t="str">
        <f t="shared" ref="DI24" si="74">IFERROR(IF(CB24&lt;&gt;"OK","",IF(BX24="Dual",(CM24*BW24)+((BY24-AJ24)*(BV24-BW24))*CZ24*0.92,CM24*CZ24*BV24*0.92)),"")</f>
        <v/>
      </c>
      <c r="DJ24" s="925" t="str">
        <f ca="1">IFERROR(IF(CB24&lt;&gt;"OK","",IF(OR(BX24="Single",BX24=""),0.92*CZ24*CM24*BV24*AVERAGE(INDEX('DATA TABLES_Project'!$B$250:$B$285, MATCH('DATA TABLES_Project'!$C$247,'DATA TABLES_Project'!$A$250:$A$285, 0)):OFFSET(INDEX('DATA TABLES_Project'!$B$250:$B$285, MATCH('DATA TABLES_Project'!$C$247,'DATA TABLES_Project'!$A$250:$A$285, 0)),BV24-1,0)),0.92*CZ24*CM24*BW24*AVERAGE(INDEX('DATA TABLES_Project'!$B$250:$B$285, MATCH('DATA TABLES_Project'!$C$247,'DATA TABLES_Project'!$A$250:$A$285, 0)):OFFSET(INDEX('DATA TABLES_Project'!$B$250:$B$285, MATCH('DATA TABLES_Project'!$C$247,'DATA TABLES_Project'!$A$250:$A$285, 0)),BW24-1,0)) + (0.92*CZ24*(BY24-AJ24)*(BV24-BW24)*AVERAGE(OFFSET(INDEX('DATA TABLES_Project'!$B$250:$B$285, MATCH('DATA TABLES_Project'!$C$247,'DATA TABLES_Project'!$A$250:$A$285, 0)),BW24,0):OFFSET(INDEX('DATA TABLES_Project'!$B$250:$B$285, MATCH('DATA TABLES_Project'!$C$247,'DATA TABLES_Project'!$A$250:$A$285, 0)),BV24-1,0))))), "")</f>
        <v/>
      </c>
      <c r="DK24" s="925" t="str">
        <f>IFERROR(IF(CB24&lt;&gt;"OK","",CO24*'DATA TABLES_Project'!$C$250),"")</f>
        <v/>
      </c>
      <c r="DL24" s="925" t="str">
        <f t="shared" ref="DL24" si="75">IFERROR(IF(CB24&lt;&gt;"OK","",CO24*DA24*0.92),"")</f>
        <v/>
      </c>
      <c r="DM24" s="925" t="str">
        <f>IFERROR(IF(CB24&lt;&gt;"OK","",CO24*'DATA TABLES_Project'!$C$250*DA24*0.92),"")</f>
        <v/>
      </c>
      <c r="DN24" s="925" t="str">
        <f t="shared" ref="DN24" si="76">IFERROR(IF(CB24&lt;&gt;"OK","",CO24*BV24),IF(BX24="Dual",(CO24*BW24)+((BZ24-AP24)*(BV24-BW24)),""))</f>
        <v/>
      </c>
      <c r="DO24" s="925" t="str">
        <f ca="1">IFERROR(IF(CB24&lt;&gt;"OK","",CO24*BV24*AVERAGE('DATA TABLES_Project'!$C$250:OFFSET('DATA TABLES_Project'!$C$250,BV24,0))),IF(BX24="Dual",(CO24*BW24*AVERAGE('DATA TABLES_Project'!$C$251:$C$259))+((BZ24-AP24)*(BV24-BW24)*AVERAGE('DATA TABLES_Project'!$C$260:$C$279)),""))</f>
        <v/>
      </c>
      <c r="DP24" s="925" t="str">
        <f t="shared" ref="DP24" si="77">IFERROR(IF(CB24&lt;&gt;"OK","",IF(BX24="Dual",((CO24*BW24)+(BZ24-AP24)*(BV24-BW24))*DA24*0.92,CO24*BV24*DA24*0.92)),"")</f>
        <v/>
      </c>
      <c r="DQ24" s="925" t="str">
        <f ca="1">IFERROR(IF(CB24&lt;&gt;"OK","",IF(BX24="Dual",(0.92*DA24*CO24*BW24*AVERAGE('DATA TABLES_Project'!$C$251:$C$259))+(0.92*DA24*(BZ24-AP24)*(BV24-BW24)*AVERAGE('DATA TABLES_Project'!$C$260:$C$279)),0.92*DA24*CO24*BV24*AVERAGE('DATA TABLES_Project'!$C$250:OFFSET('DATA TABLES_Project'!$C$250,BV24,0)))),"")</f>
        <v/>
      </c>
      <c r="DR24" s="980" t="str">
        <f>IFERROR(IF($CB24&lt;&gt;"OK","",CM24*'DATA TABLES_Project'!$B$290+IF(CO24&lt;0,0,CO24*'DATA TABLES_Project'!$B$291)),"")</f>
        <v/>
      </c>
      <c r="DS24" s="980" t="str">
        <f>IFERROR(IF($CB24&lt;&gt;"OK","",DD24*'DATA TABLES_Project'!$B$290+IF(DK24&lt;0,0,DK24*'DATA TABLES_Project'!$B$291)),"")</f>
        <v/>
      </c>
      <c r="DT24" s="980" t="str">
        <f>IFERROR(IF($CB24&lt;&gt;"OK","",DE24*'DATA TABLES_Project'!$B$290+IF(DL24&lt;0,0,DL24*'DATA TABLES_Project'!$B$291)),"")</f>
        <v/>
      </c>
      <c r="DU24" s="980" t="str">
        <f>IFERROR(IF($CB24&lt;&gt;"OK","",DF24*'DATA TABLES_Project'!$B$290+IF(DM24&lt;0,0,DM24*'DATA TABLES_Project'!$B$291)),"")</f>
        <v/>
      </c>
      <c r="DV24" s="980" t="str">
        <f>IFERROR(IF($CB24&lt;&gt;"OK","",DG24*'DATA TABLES_Project'!$B$290+IF(DN24&lt;0,0,DN24*'DATA TABLES_Project'!$B$291)),"")</f>
        <v/>
      </c>
      <c r="DW24" s="980" t="str">
        <f>IFERROR(IF($CB24&lt;&gt;"OK","",DH24*'DATA TABLES_Project'!$B$290+IF(DO24&lt;0,0,DO24*'DATA TABLES_Project'!$B$291)),"")</f>
        <v/>
      </c>
      <c r="DX24" s="980" t="str">
        <f>IFERROR(IF($CB24&lt;&gt;"OK","",DI24*'DATA TABLES_Project'!$B$290+IF(DP24&lt;0,0,DP24*'DATA TABLES_Project'!$B$291)),"")</f>
        <v/>
      </c>
      <c r="DY24" s="925" t="str">
        <f>IFERROR(IF($CB24&lt;&gt;"OK","",DJ24*'DATA TABLES_Project'!$B$290+IF(DQ24&lt;0,0,DQ24*'DATA TABLES_Project'!$B$291)),"")</f>
        <v/>
      </c>
      <c r="DZ24" s="925" t="str">
        <f t="shared" ref="DZ24" si="78">IFERROR(IF($CB24&lt;&gt;"OK","",AS24),"")</f>
        <v/>
      </c>
      <c r="EA24" s="925" t="str">
        <f>IFERROR(IF(CB24&lt;&gt;"OK","",CN24*'DATA TABLES_Project'!$B$250*CZ24*1.03),"")</f>
        <v/>
      </c>
      <c r="EB24" s="925" t="str">
        <f t="shared" ref="EB24" si="79">IFERROR(IF(CB24&lt;&gt;"OK","",CN24*CZ24*1.03),"")</f>
        <v/>
      </c>
      <c r="EC24" s="925" t="str">
        <f>IFERROR(IF(CB24&lt;&gt;"OK","",CZ24*DZ24*'DATA TABLES_Project'!$C$250*0.92),"")</f>
        <v/>
      </c>
      <c r="ED24" s="925" t="str">
        <f>IFERROR(IF(CB24&lt;&gt;"OK","",CZ24*DZ24*'DATA TABLES_Project'!$C$250*0.92),"")</f>
        <v/>
      </c>
      <c r="EE24" s="925" t="str">
        <f t="shared" ref="EE24" si="80">IFERROR(IF(CB24&lt;&gt;"OK","",CZ24*DZ24*0.92),"")</f>
        <v/>
      </c>
      <c r="EF24" s="925" t="str">
        <f t="shared" ref="EF24" si="81">IFERROR(IF(CB24&lt;&gt;"OK","",CZ24*DZ24*0.92),"")</f>
        <v/>
      </c>
      <c r="EG24" s="925" t="str">
        <f>IFERROR(IF($CB24&lt;&gt;"OK","",CM24*'DATA TABLES_Project'!$B$290+CO24*'DATA TABLES_Project'!$B$291),"")</f>
        <v/>
      </c>
      <c r="EH24" s="925" t="str">
        <f>IFERROR(IF($CB24&lt;&gt;"OK","",DD24*'DATA TABLES_Project'!$B$290+DK24*'DATA TABLES_Project'!$B$291),"")</f>
        <v/>
      </c>
      <c r="EI24" s="925" t="str">
        <f>IFERROR(IF($CB24&lt;&gt;"OK","",DE24*'DATA TABLES_Project'!$B$290+DL24*'DATA TABLES_Project'!$B$291),"")</f>
        <v/>
      </c>
      <c r="EJ24" s="925" t="str">
        <f>IFERROR(IF($CB24&lt;&gt;"OK","",DF24*'DATA TABLES_Project'!$B$290+DM24*'DATA TABLES_Project'!$B$291),"")</f>
        <v/>
      </c>
      <c r="EK24" s="925" t="str">
        <f>IFERROR(IF($CB24&lt;&gt;"OK","",DG24*'DATA TABLES_Project'!$B$290+DN24*'DATA TABLES_Project'!$B$291),"")</f>
        <v/>
      </c>
      <c r="EL24" s="925" t="str">
        <f>IFERROR(IF($CB24&lt;&gt;"OK","",DH24*'DATA TABLES_Project'!$B$290+DO24*'DATA TABLES_Project'!$B$291),"")</f>
        <v/>
      </c>
      <c r="EM24" s="925" t="str">
        <f>IFERROR(IF($CB24&lt;&gt;"OK","",DI24*'DATA TABLES_Project'!$B$290+DP24*'DATA TABLES_Project'!$B$291),"")</f>
        <v/>
      </c>
      <c r="EN24" s="925" t="str">
        <f>IFERROR(IF($CB24&lt;&gt;"OK","",DJ24*'DATA TABLES_Project'!$B$290+DQ24*'DATA TABLES_Project'!$B$291),"")</f>
        <v/>
      </c>
    </row>
    <row r="25" spans="1:144" ht="16.350000000000001" customHeight="1">
      <c r="A25" s="462"/>
      <c r="B25" s="994"/>
      <c r="C25" s="998"/>
      <c r="D25" s="999"/>
      <c r="E25" s="1000"/>
      <c r="F25" s="964"/>
      <c r="G25" s="965"/>
      <c r="H25" s="965"/>
      <c r="I25" s="965"/>
      <c r="J25" s="965"/>
      <c r="K25" s="966"/>
      <c r="L25" s="964"/>
      <c r="M25" s="965"/>
      <c r="N25" s="965"/>
      <c r="O25" s="965"/>
      <c r="P25" s="965"/>
      <c r="Q25" s="966"/>
      <c r="R25" s="1044"/>
      <c r="S25" s="1044"/>
      <c r="T25" s="1044"/>
      <c r="U25" s="1044"/>
      <c r="V25" s="1044"/>
      <c r="W25" s="1044"/>
      <c r="X25" s="1045"/>
      <c r="Y25" s="1045"/>
      <c r="Z25" s="1045"/>
      <c r="AA25" s="1045"/>
      <c r="AB25" s="1045"/>
      <c r="AC25" s="1045"/>
      <c r="AD25" s="964"/>
      <c r="AE25" s="965"/>
      <c r="AF25" s="965"/>
      <c r="AG25" s="965"/>
      <c r="AH25" s="965"/>
      <c r="AI25" s="966"/>
      <c r="AJ25" s="952"/>
      <c r="AK25" s="953"/>
      <c r="AL25" s="954"/>
      <c r="AM25" s="952"/>
      <c r="AN25" s="953"/>
      <c r="AO25" s="954"/>
      <c r="AP25" s="958"/>
      <c r="AQ25" s="959"/>
      <c r="AR25" s="960"/>
      <c r="AS25" s="958"/>
      <c r="AT25" s="959"/>
      <c r="AU25" s="960"/>
      <c r="AV25" s="968"/>
      <c r="AW25" s="969"/>
      <c r="AX25" s="969"/>
      <c r="AY25" s="969"/>
      <c r="AZ25" s="969"/>
      <c r="BA25" s="970"/>
      <c r="BB25" s="947"/>
      <c r="BC25" s="948"/>
      <c r="BD25" s="947"/>
      <c r="BE25" s="948"/>
      <c r="BF25" s="931"/>
      <c r="BG25" s="932"/>
      <c r="BH25" s="974"/>
      <c r="BI25" s="975"/>
      <c r="BJ25" s="976"/>
      <c r="BK25" s="936"/>
      <c r="BL25" s="937"/>
      <c r="BM25" s="938"/>
      <c r="BN25" s="942"/>
      <c r="BO25" s="943"/>
      <c r="BP25" s="944"/>
      <c r="BQ25"/>
      <c r="BR25"/>
      <c r="BS25" s="967"/>
      <c r="BT25" s="967"/>
      <c r="BV25" s="926"/>
      <c r="BW25" s="926"/>
      <c r="BX25" s="926"/>
      <c r="BY25" s="927"/>
      <c r="BZ25" s="928"/>
      <c r="CB25" s="986"/>
      <c r="CC25" s="925"/>
      <c r="CD25" s="925"/>
      <c r="CE25" s="925"/>
      <c r="CF25" s="925"/>
      <c r="CG25" s="925"/>
      <c r="CH25" s="925"/>
      <c r="CI25" s="925"/>
      <c r="CJ25" s="977"/>
      <c r="CK25" s="977"/>
      <c r="CL25" s="977"/>
      <c r="CM25" s="977"/>
      <c r="CN25" s="977"/>
      <c r="CO25" s="977"/>
      <c r="CP25" s="977"/>
      <c r="CQ25" s="977"/>
      <c r="CR25" s="977"/>
      <c r="CS25" s="983"/>
      <c r="CT25" s="1056"/>
      <c r="CU25" s="979"/>
      <c r="CV25" s="925"/>
      <c r="CW25" s="925"/>
      <c r="CX25" s="925"/>
      <c r="CY25" s="925"/>
      <c r="CZ25" s="925"/>
      <c r="DA25" s="925"/>
      <c r="DD25" s="981"/>
      <c r="DE25" s="925"/>
      <c r="DF25" s="981"/>
      <c r="DG25" s="925"/>
      <c r="DH25" s="925"/>
      <c r="DI25" s="925"/>
      <c r="DJ25" s="925"/>
      <c r="DK25" s="925"/>
      <c r="DL25" s="925"/>
      <c r="DM25" s="925"/>
      <c r="DN25" s="925"/>
      <c r="DO25" s="925"/>
      <c r="DP25" s="925"/>
      <c r="DQ25" s="925"/>
      <c r="DR25" s="981"/>
      <c r="DS25" s="981"/>
      <c r="DT25" s="981"/>
      <c r="DU25" s="981"/>
      <c r="DV25" s="981"/>
      <c r="DW25" s="981"/>
      <c r="DX25" s="981"/>
      <c r="DY25" s="925"/>
      <c r="DZ25" s="925"/>
      <c r="EA25" s="925"/>
      <c r="EB25" s="925"/>
      <c r="EC25" s="925"/>
      <c r="ED25" s="925"/>
      <c r="EE25" s="925"/>
      <c r="EF25" s="925"/>
      <c r="EG25" s="925"/>
      <c r="EH25" s="925"/>
      <c r="EI25" s="925"/>
      <c r="EJ25" s="925"/>
      <c r="EK25" s="925"/>
      <c r="EL25" s="925"/>
      <c r="EM25" s="925"/>
      <c r="EN25" s="925"/>
    </row>
    <row r="26" spans="1:144" ht="16.350000000000001" customHeight="1">
      <c r="A26" s="462"/>
      <c r="B26" s="994">
        <v>5</v>
      </c>
      <c r="C26" s="995"/>
      <c r="D26" s="996"/>
      <c r="E26" s="997"/>
      <c r="F26" s="961"/>
      <c r="G26" s="962"/>
      <c r="H26" s="962"/>
      <c r="I26" s="962"/>
      <c r="J26" s="962"/>
      <c r="K26" s="963"/>
      <c r="L26" s="961"/>
      <c r="M26" s="962"/>
      <c r="N26" s="962"/>
      <c r="O26" s="962"/>
      <c r="P26" s="962"/>
      <c r="Q26" s="963"/>
      <c r="R26" s="1044"/>
      <c r="S26" s="1044"/>
      <c r="T26" s="1044"/>
      <c r="U26" s="1044"/>
      <c r="V26" s="1044"/>
      <c r="W26" s="1044"/>
      <c r="X26" s="1045"/>
      <c r="Y26" s="1045"/>
      <c r="Z26" s="1045"/>
      <c r="AA26" s="1045"/>
      <c r="AB26" s="1045"/>
      <c r="AC26" s="1045"/>
      <c r="AD26" s="961"/>
      <c r="AE26" s="962"/>
      <c r="AF26" s="962"/>
      <c r="AG26" s="962"/>
      <c r="AH26" s="962"/>
      <c r="AI26" s="963"/>
      <c r="AJ26" s="949"/>
      <c r="AK26" s="950"/>
      <c r="AL26" s="951"/>
      <c r="AM26" s="949"/>
      <c r="AN26" s="950"/>
      <c r="AO26" s="951"/>
      <c r="AP26" s="955"/>
      <c r="AQ26" s="956"/>
      <c r="AR26" s="957"/>
      <c r="AS26" s="955"/>
      <c r="AT26" s="956"/>
      <c r="AU26" s="957"/>
      <c r="AV26" s="968"/>
      <c r="AW26" s="969"/>
      <c r="AX26" s="970"/>
      <c r="AY26" s="968"/>
      <c r="AZ26" s="969"/>
      <c r="BA26" s="970"/>
      <c r="BB26" s="945"/>
      <c r="BC26" s="946"/>
      <c r="BD26" s="945"/>
      <c r="BE26" s="946"/>
      <c r="BF26" s="929" t="str">
        <f t="shared" ref="BF26" si="82">IF(CB26="OK",ROUND(BB26+BD26,2),"")</f>
        <v/>
      </c>
      <c r="BG26" s="930"/>
      <c r="BH26" s="971" t="str">
        <f t="shared" ref="BH26" si="83">IFERROR(IF(AND($CB26="OK",$CU26="OK"),$CI26,IF($CB26&lt;&gt;"OK",$CB26,$CU26)),"")</f>
        <v/>
      </c>
      <c r="BI26" s="972"/>
      <c r="BJ26" s="973"/>
      <c r="BK26" s="933" t="str">
        <f t="shared" ref="BK26" si="84">IF($CB26="OK",CM26,"")</f>
        <v/>
      </c>
      <c r="BL26" s="934"/>
      <c r="BM26" s="935"/>
      <c r="BN26" s="939" t="str">
        <f t="shared" ref="BN26" si="85">IF($CB26="OK",$CR26,"")</f>
        <v/>
      </c>
      <c r="BO26" s="940"/>
      <c r="BP26" s="941"/>
      <c r="BQ26"/>
      <c r="BR26"/>
      <c r="BS26" s="967"/>
      <c r="BT26" s="967"/>
      <c r="BV26" s="926" t="str">
        <f t="shared" ref="BV26" si="86">IFERROR(ROUND(IF(AND(CB26="OK",CU26="OK"),CT26,""),0),"")</f>
        <v/>
      </c>
      <c r="BW26" s="926" t="str">
        <f t="shared" ref="BW26" si="87">IFERROR(ROUND(IF(AND(CB26="OK",CU26="OK"),BV26/3,""),0),"")</f>
        <v/>
      </c>
      <c r="BX26" s="926"/>
      <c r="BY26" s="927"/>
      <c r="BZ26" s="928"/>
      <c r="CB26" s="986" t="str">
        <f>IF(AND(C26="",F26="",R26="",AD26="",U26="",X26="",L26="",AJ26="",AV26="",AM26="",AP26="",AY26="",AV27="",BB26="",BD26="",AA26="",AS26=""),"",
IF(OR(C26="",F26="",R26="",AD26="",U26="",X26="",L26="",AJ26="",AV26="",AM26="",AP26="",AY26="",AV27="",BB26="",BD26="",AA26="",AS26=""),"Missing Fields",
IF(AND(M02S04F04disp="Required",M02S04F04=""),"TA Info Incomplete",
"OK")))</f>
        <v/>
      </c>
      <c r="CC26" s="925" t="str">
        <f>IF(AND(CB26="OK",CU26="OK"),INDEX(Tbl_Cust_Refrig[Measure Number], MATCH(F26,Tbl_Cust_Refrig[Proj Desc 1],0)),"")</f>
        <v/>
      </c>
      <c r="CD26" s="925"/>
      <c r="CE26" s="925" t="str">
        <f t="shared" ref="CE26" si="88">IF(CB26="OK","Measure","")</f>
        <v/>
      </c>
      <c r="CF26" s="925" t="str">
        <f t="shared" ref="CF26" si="89">IF(CB26="OK",1,"")</f>
        <v/>
      </c>
      <c r="CG26" s="978" t="str">
        <f t="shared" ref="CG26" si="90">IFERROR(CI26/CF26,"")</f>
        <v/>
      </c>
      <c r="CH26" s="978" t="str">
        <f>IF(CB26="OK",IF(CM26&gt;0,CM26*Incent_Rate_kWh,0)+IF(CO26&gt;0,CO26*Incent_Rate_thm,0),"")</f>
        <v/>
      </c>
      <c r="CI26" s="978" t="str">
        <f>IFERROR(IF($CB26="OK",IF(INCENTTOCOST_CUST&gt;CostCap_Cust,
CH26*CostCap_Cust/INCENTTOCOST_CUST,CH26),""),"")</f>
        <v/>
      </c>
      <c r="CJ26" s="977">
        <f t="shared" ref="CJ26" si="91">CM26</f>
        <v>0</v>
      </c>
      <c r="CK26" s="977">
        <f t="shared" ref="CK26" si="92">CN26</f>
        <v>0</v>
      </c>
      <c r="CL26" s="977">
        <f t="shared" ref="CL26" si="93">CO26</f>
        <v>0</v>
      </c>
      <c r="CM26" s="977">
        <f>R26-AJ26</f>
        <v>0</v>
      </c>
      <c r="CN26" s="977">
        <f>U26-AM26</f>
        <v>0</v>
      </c>
      <c r="CO26" s="977">
        <f t="shared" ref="CO26" si="94">IF(CR26&gt;0,CR26,0)</f>
        <v>0</v>
      </c>
      <c r="CP26" s="977">
        <f t="shared" ref="CP26" si="95">CM26</f>
        <v>0</v>
      </c>
      <c r="CQ26" s="977">
        <f t="shared" ref="CQ26" si="96">CN26</f>
        <v>0</v>
      </c>
      <c r="CR26" s="977">
        <f>X26-AP26</f>
        <v>0</v>
      </c>
      <c r="CS26" s="983"/>
      <c r="CT26" s="1056" t="str">
        <f>IF(CB26="OK",INDEX(Tbl_Cust_Refrig[EUL], MATCH(F26,Tbl_Cust_Refrig[Proj Desc 1],0)),"")</f>
        <v/>
      </c>
      <c r="CU26" s="979" t="str">
        <f t="shared" ref="CU26" si="97">IFERROR(IF(AND($CM26&lt;=0,$CN26&lt;=0,$CO26&lt;=0),"No Savings","OK"),"")</f>
        <v>No Savings</v>
      </c>
      <c r="CV26" s="925" t="str">
        <f t="shared" ref="CV26" si="98">IF(AND(CB26="OK",CU26="OK"),"1","")</f>
        <v/>
      </c>
      <c r="CW26" s="925" t="str">
        <f>IFERROR(IF($CB26="OK",ROUND($AQ$14*SUM(BB26:BE27)/SUM($BF$18:$BG$37),2),""),"")</f>
        <v/>
      </c>
      <c r="CX26" s="925" t="str">
        <f>IFERROR(IF(M02S04F04="Customer/Self-Installed",CW26,IF($CB26="OK",CW26+BD26,"")),"")</f>
        <v/>
      </c>
      <c r="CY26" s="925" t="str">
        <f>IFERROR(IF($CB26="OK",CX26+BB26,""),"")</f>
        <v/>
      </c>
      <c r="CZ26" s="925" t="str">
        <f>IF(CB26="OK",INDEX(MEASURES3_M!$O$32,MATCH(F26,MEASURES3_M!$C$32,0)),"")</f>
        <v/>
      </c>
      <c r="DA26" s="925" t="str">
        <f>IF(CB26="OK",INDEX(MEASURES3_M!$P$32,MATCH(F26,MEASURES3_M!$C$32,0)),"")</f>
        <v/>
      </c>
      <c r="DD26" s="980" t="str">
        <f>IFERROR(IF(CB26&lt;&gt;"OK","",CM26*VLOOKUP('DATA TABLES_Project'!$C$247,'DATA TABLES_Project'!$A$250:$B$285,2,FALSE)),"")</f>
        <v/>
      </c>
      <c r="DE26" s="925" t="str">
        <f t="shared" ref="DE26" si="99">IFERROR(IF(CB26&lt;&gt;"OK","",CM26*CZ26*0.92),"")</f>
        <v/>
      </c>
      <c r="DF26" s="980" t="str">
        <f>IFERROR(IF(CB26&lt;&gt;"OK","",CM26*CZ26*0.92*VLOOKUP('DATA TABLES_Project'!$C$247,'DATA TABLES_Project'!$A$250:$B$285,2,FALSE)),"")</f>
        <v/>
      </c>
      <c r="DG26" s="925" t="str">
        <f t="shared" ref="DG26" si="100">IFERROR(IF(CB26&lt;&gt;"OK","",CM26*BV26),IF(BX26="Dual",(CM26*BW26)+((BY26-AJ26)*(BV26-BW26)),""))</f>
        <v/>
      </c>
      <c r="DH26" s="925" t="str">
        <f ca="1">IFERROR(IF(CB26&lt;&gt;"OK","",IF(OR(BX26="Single",BX26=""), CM26*BV26*AVERAGE(INDEX('DATA TABLES_Project'!$B$250:$B$285, MATCH('DATA TABLES_Project'!$C$247,'DATA TABLES_Project'!$A$250:$A$285, 0)):OFFSET(INDEX('DATA TABLES_Project'!$B$250:$B$285, MATCH('DATA TABLES_Project'!$C$247,'DATA TABLES_Project'!$A$250:$A$285, 0)),BV26-1,0)),CM26*BW26*AVERAGE(INDEX('DATA TABLES_Project'!$B$250:$B$285, MATCH('DATA TABLES_Project'!$C$247,'DATA TABLES_Project'!$A$250:$A$285, 0)):OFFSET(INDEX('DATA TABLES_Project'!$B$250:$B$285, MATCH('DATA TABLES_Project'!$C$247,'DATA TABLES_Project'!$A$250:$A$285, 0)),BW26-1,0)) + ((BY26-AJ26)*(BV26-BW26)*AVERAGE(OFFSET(INDEX('DATA TABLES_Project'!$B$250:$B$285, MATCH('DATA TABLES_Project'!$C$247,'DATA TABLES_Project'!$A$250:$A$285, 0)),BW26,0):OFFSET(INDEX('DATA TABLES_Project'!$B$250:$B$285, MATCH('DATA TABLES_Project'!$C$247,'DATA TABLES_Project'!$A$250:$A$285, 0)),BV26-1,0))))), "")</f>
        <v/>
      </c>
      <c r="DI26" s="925" t="str">
        <f t="shared" ref="DI26" si="101">IFERROR(IF(CB26&lt;&gt;"OK","",IF(BX26="Dual",(CM26*BW26)+((BY26-AJ26)*(BV26-BW26))*CZ26*0.92,CM26*CZ26*BV26*0.92)),"")</f>
        <v/>
      </c>
      <c r="DJ26" s="925" t="str">
        <f ca="1">IFERROR(IF(CB26&lt;&gt;"OK","",IF(OR(BX26="Single",BX26=""),0.92*CZ26*CM26*BV26*AVERAGE(INDEX('DATA TABLES_Project'!$B$250:$B$285, MATCH('DATA TABLES_Project'!$C$247,'DATA TABLES_Project'!$A$250:$A$285, 0)):OFFSET(INDEX('DATA TABLES_Project'!$B$250:$B$285, MATCH('DATA TABLES_Project'!$C$247,'DATA TABLES_Project'!$A$250:$A$285, 0)),BV26-1,0)),0.92*CZ26*CM26*BW26*AVERAGE(INDEX('DATA TABLES_Project'!$B$250:$B$285, MATCH('DATA TABLES_Project'!$C$247,'DATA TABLES_Project'!$A$250:$A$285, 0)):OFFSET(INDEX('DATA TABLES_Project'!$B$250:$B$285, MATCH('DATA TABLES_Project'!$C$247,'DATA TABLES_Project'!$A$250:$A$285, 0)),BW26-1,0)) + (0.92*CZ26*(BY26-AJ26)*(BV26-BW26)*AVERAGE(OFFSET(INDEX('DATA TABLES_Project'!$B$250:$B$285, MATCH('DATA TABLES_Project'!$C$247,'DATA TABLES_Project'!$A$250:$A$285, 0)),BW26,0):OFFSET(INDEX('DATA TABLES_Project'!$B$250:$B$285, MATCH('DATA TABLES_Project'!$C$247,'DATA TABLES_Project'!$A$250:$A$285, 0)),BV26-1,0))))), "")</f>
        <v/>
      </c>
      <c r="DK26" s="925" t="str">
        <f>IFERROR(IF(CB26&lt;&gt;"OK","",CO26*'DATA TABLES_Project'!$C$250),"")</f>
        <v/>
      </c>
      <c r="DL26" s="925" t="str">
        <f t="shared" ref="DL26" si="102">IFERROR(IF(CB26&lt;&gt;"OK","",CO26*DA26*0.92),"")</f>
        <v/>
      </c>
      <c r="DM26" s="925" t="str">
        <f>IFERROR(IF(CB26&lt;&gt;"OK","",CO26*'DATA TABLES_Project'!$C$250*DA26*0.92),"")</f>
        <v/>
      </c>
      <c r="DN26" s="925" t="str">
        <f t="shared" ref="DN26" si="103">IFERROR(IF(CB26&lt;&gt;"OK","",CO26*BV26),IF(BX26="Dual",(CO26*BW26)+((BZ26-AP26)*(BV26-BW26)),""))</f>
        <v/>
      </c>
      <c r="DO26" s="925" t="str">
        <f ca="1">IFERROR(IF(CB26&lt;&gt;"OK","",CO26*BV26*AVERAGE('DATA TABLES_Project'!$C$250:OFFSET('DATA TABLES_Project'!$C$250,BV26,0))),IF(BX26="Dual",(CO26*BW26*AVERAGE('DATA TABLES_Project'!$C$251:$C$259))+((BZ26-AP26)*(BV26-BW26)*AVERAGE('DATA TABLES_Project'!$C$260:$C$279)),""))</f>
        <v/>
      </c>
      <c r="DP26" s="925" t="str">
        <f t="shared" ref="DP26" si="104">IFERROR(IF(CB26&lt;&gt;"OK","",IF(BX26="Dual",((CO26*BW26)+(BZ26-AP26)*(BV26-BW26))*DA26*0.92,CO26*BV26*DA26*0.92)),"")</f>
        <v/>
      </c>
      <c r="DQ26" s="925" t="str">
        <f ca="1">IFERROR(IF(CB26&lt;&gt;"OK","",IF(BX26="Dual",(0.92*DA26*CO26*BW26*AVERAGE('DATA TABLES_Project'!$C$251:$C$259))+(0.92*DA26*(BZ26-AP26)*(BV26-BW26)*AVERAGE('DATA TABLES_Project'!$C$260:$C$279)),0.92*DA26*CO26*BV26*AVERAGE('DATA TABLES_Project'!$C$250:OFFSET('DATA TABLES_Project'!$C$250,BV26,0)))),"")</f>
        <v/>
      </c>
      <c r="DR26" s="980" t="str">
        <f>IFERROR(IF($CB26&lt;&gt;"OK","",CM26*'DATA TABLES_Project'!$B$290+IF(CO26&lt;0,0,CO26*'DATA TABLES_Project'!$B$291)),"")</f>
        <v/>
      </c>
      <c r="DS26" s="980" t="str">
        <f>IFERROR(IF($CB26&lt;&gt;"OK","",DD26*'DATA TABLES_Project'!$B$290+IF(DK26&lt;0,0,DK26*'DATA TABLES_Project'!$B$291)),"")</f>
        <v/>
      </c>
      <c r="DT26" s="980" t="str">
        <f>IFERROR(IF($CB26&lt;&gt;"OK","",DE26*'DATA TABLES_Project'!$B$290+IF(DL26&lt;0,0,DL26*'DATA TABLES_Project'!$B$291)),"")</f>
        <v/>
      </c>
      <c r="DU26" s="980" t="str">
        <f>IFERROR(IF($CB26&lt;&gt;"OK","",DF26*'DATA TABLES_Project'!$B$290+IF(DM26&lt;0,0,DM26*'DATA TABLES_Project'!$B$291)),"")</f>
        <v/>
      </c>
      <c r="DV26" s="980" t="str">
        <f>IFERROR(IF($CB26&lt;&gt;"OK","",DG26*'DATA TABLES_Project'!$B$290+IF(DN26&lt;0,0,DN26*'DATA TABLES_Project'!$B$291)),"")</f>
        <v/>
      </c>
      <c r="DW26" s="980" t="str">
        <f>IFERROR(IF($CB26&lt;&gt;"OK","",DH26*'DATA TABLES_Project'!$B$290+IF(DO26&lt;0,0,DO26*'DATA TABLES_Project'!$B$291)),"")</f>
        <v/>
      </c>
      <c r="DX26" s="980" t="str">
        <f>IFERROR(IF($CB26&lt;&gt;"OK","",DI26*'DATA TABLES_Project'!$B$290+IF(DP26&lt;0,0,DP26*'DATA TABLES_Project'!$B$291)),"")</f>
        <v/>
      </c>
      <c r="DY26" s="925" t="str">
        <f>IFERROR(IF($CB26&lt;&gt;"OK","",DJ26*'DATA TABLES_Project'!$B$290+IF(DQ26&lt;0,0,DQ26*'DATA TABLES_Project'!$B$291)),"")</f>
        <v/>
      </c>
      <c r="DZ26" s="925" t="str">
        <f t="shared" ref="DZ26" si="105">IFERROR(IF($CB26&lt;&gt;"OK","",AS26),"")</f>
        <v/>
      </c>
      <c r="EA26" s="925" t="str">
        <f>IFERROR(IF(CB26&lt;&gt;"OK","",CN26*'DATA TABLES_Project'!$B$250*CZ26*1.03),"")</f>
        <v/>
      </c>
      <c r="EB26" s="925" t="str">
        <f t="shared" ref="EB26" si="106">IFERROR(IF(CB26&lt;&gt;"OK","",CN26*CZ26*1.03),"")</f>
        <v/>
      </c>
      <c r="EC26" s="925" t="str">
        <f>IFERROR(IF(CB26&lt;&gt;"OK","",CZ26*DZ26*'DATA TABLES_Project'!$C$250*0.92),"")</f>
        <v/>
      </c>
      <c r="ED26" s="925" t="str">
        <f>IFERROR(IF(CB26&lt;&gt;"OK","",CZ26*DZ26*'DATA TABLES_Project'!$C$250*0.92),"")</f>
        <v/>
      </c>
      <c r="EE26" s="925" t="str">
        <f t="shared" ref="EE26" si="107">IFERROR(IF(CB26&lt;&gt;"OK","",CZ26*DZ26*0.92),"")</f>
        <v/>
      </c>
      <c r="EF26" s="925" t="str">
        <f t="shared" ref="EF26" si="108">IFERROR(IF(CB26&lt;&gt;"OK","",CZ26*DZ26*0.92),"")</f>
        <v/>
      </c>
      <c r="EG26" s="925" t="str">
        <f>IFERROR(IF($CB26&lt;&gt;"OK","",CM26*'DATA TABLES_Project'!$B$290+CO26*'DATA TABLES_Project'!$B$291),"")</f>
        <v/>
      </c>
      <c r="EH26" s="925" t="str">
        <f>IFERROR(IF($CB26&lt;&gt;"OK","",DD26*'DATA TABLES_Project'!$B$290+DK26*'DATA TABLES_Project'!$B$291),"")</f>
        <v/>
      </c>
      <c r="EI26" s="925" t="str">
        <f>IFERROR(IF($CB26&lt;&gt;"OK","",DE26*'DATA TABLES_Project'!$B$290+DL26*'DATA TABLES_Project'!$B$291),"")</f>
        <v/>
      </c>
      <c r="EJ26" s="925" t="str">
        <f>IFERROR(IF($CB26&lt;&gt;"OK","",DF26*'DATA TABLES_Project'!$B$290+DM26*'DATA TABLES_Project'!$B$291),"")</f>
        <v/>
      </c>
      <c r="EK26" s="925" t="str">
        <f>IFERROR(IF($CB26&lt;&gt;"OK","",DG26*'DATA TABLES_Project'!$B$290+DN26*'DATA TABLES_Project'!$B$291),"")</f>
        <v/>
      </c>
      <c r="EL26" s="925" t="str">
        <f>IFERROR(IF($CB26&lt;&gt;"OK","",DH26*'DATA TABLES_Project'!$B$290+DO26*'DATA TABLES_Project'!$B$291),"")</f>
        <v/>
      </c>
      <c r="EM26" s="925" t="str">
        <f>IFERROR(IF($CB26&lt;&gt;"OK","",DI26*'DATA TABLES_Project'!$B$290+DP26*'DATA TABLES_Project'!$B$291),"")</f>
        <v/>
      </c>
      <c r="EN26" s="925" t="str">
        <f>IFERROR(IF($CB26&lt;&gt;"OK","",DJ26*'DATA TABLES_Project'!$B$290+DQ26*'DATA TABLES_Project'!$B$291),"")</f>
        <v/>
      </c>
    </row>
    <row r="27" spans="1:144" ht="16.350000000000001" customHeight="1">
      <c r="A27" s="462"/>
      <c r="B27" s="994"/>
      <c r="C27" s="998"/>
      <c r="D27" s="999"/>
      <c r="E27" s="1000"/>
      <c r="F27" s="964"/>
      <c r="G27" s="965"/>
      <c r="H27" s="965"/>
      <c r="I27" s="965"/>
      <c r="J27" s="965"/>
      <c r="K27" s="966"/>
      <c r="L27" s="964"/>
      <c r="M27" s="965"/>
      <c r="N27" s="965"/>
      <c r="O27" s="965"/>
      <c r="P27" s="965"/>
      <c r="Q27" s="966"/>
      <c r="R27" s="1044"/>
      <c r="S27" s="1044"/>
      <c r="T27" s="1044"/>
      <c r="U27" s="1044"/>
      <c r="V27" s="1044"/>
      <c r="W27" s="1044"/>
      <c r="X27" s="1045"/>
      <c r="Y27" s="1045"/>
      <c r="Z27" s="1045"/>
      <c r="AA27" s="1045"/>
      <c r="AB27" s="1045"/>
      <c r="AC27" s="1045"/>
      <c r="AD27" s="964"/>
      <c r="AE27" s="965"/>
      <c r="AF27" s="965"/>
      <c r="AG27" s="965"/>
      <c r="AH27" s="965"/>
      <c r="AI27" s="966"/>
      <c r="AJ27" s="952"/>
      <c r="AK27" s="953"/>
      <c r="AL27" s="954"/>
      <c r="AM27" s="952"/>
      <c r="AN27" s="953"/>
      <c r="AO27" s="954"/>
      <c r="AP27" s="958"/>
      <c r="AQ27" s="959"/>
      <c r="AR27" s="960"/>
      <c r="AS27" s="958"/>
      <c r="AT27" s="959"/>
      <c r="AU27" s="960"/>
      <c r="AV27" s="968"/>
      <c r="AW27" s="969"/>
      <c r="AX27" s="969"/>
      <c r="AY27" s="969"/>
      <c r="AZ27" s="969"/>
      <c r="BA27" s="970"/>
      <c r="BB27" s="947"/>
      <c r="BC27" s="948"/>
      <c r="BD27" s="947"/>
      <c r="BE27" s="948"/>
      <c r="BF27" s="931"/>
      <c r="BG27" s="932"/>
      <c r="BH27" s="974"/>
      <c r="BI27" s="975"/>
      <c r="BJ27" s="976"/>
      <c r="BK27" s="936"/>
      <c r="BL27" s="937"/>
      <c r="BM27" s="938"/>
      <c r="BN27" s="942"/>
      <c r="BO27" s="943"/>
      <c r="BP27" s="944"/>
      <c r="BQ27"/>
      <c r="BR27"/>
      <c r="BS27" s="967"/>
      <c r="BT27" s="967"/>
      <c r="BV27" s="926"/>
      <c r="BW27" s="926"/>
      <c r="BX27" s="926"/>
      <c r="BY27" s="927"/>
      <c r="BZ27" s="928"/>
      <c r="CB27" s="986"/>
      <c r="CC27" s="925"/>
      <c r="CD27" s="925"/>
      <c r="CE27" s="925"/>
      <c r="CF27" s="925"/>
      <c r="CG27" s="925"/>
      <c r="CH27" s="925"/>
      <c r="CI27" s="925"/>
      <c r="CJ27" s="977"/>
      <c r="CK27" s="977"/>
      <c r="CL27" s="977"/>
      <c r="CM27" s="977"/>
      <c r="CN27" s="977"/>
      <c r="CO27" s="977"/>
      <c r="CP27" s="977"/>
      <c r="CQ27" s="977"/>
      <c r="CR27" s="977"/>
      <c r="CS27" s="983"/>
      <c r="CT27" s="1056"/>
      <c r="CU27" s="979"/>
      <c r="CV27" s="925"/>
      <c r="CW27" s="925"/>
      <c r="CX27" s="925"/>
      <c r="CY27" s="925"/>
      <c r="CZ27" s="925"/>
      <c r="DA27" s="925"/>
      <c r="DD27" s="981"/>
      <c r="DE27" s="925"/>
      <c r="DF27" s="981"/>
      <c r="DG27" s="925"/>
      <c r="DH27" s="925"/>
      <c r="DI27" s="925"/>
      <c r="DJ27" s="925"/>
      <c r="DK27" s="925"/>
      <c r="DL27" s="925"/>
      <c r="DM27" s="925"/>
      <c r="DN27" s="925"/>
      <c r="DO27" s="925"/>
      <c r="DP27" s="925"/>
      <c r="DQ27" s="925"/>
      <c r="DR27" s="981"/>
      <c r="DS27" s="981"/>
      <c r="DT27" s="981"/>
      <c r="DU27" s="981"/>
      <c r="DV27" s="981"/>
      <c r="DW27" s="981"/>
      <c r="DX27" s="981"/>
      <c r="DY27" s="925"/>
      <c r="DZ27" s="925"/>
      <c r="EA27" s="925"/>
      <c r="EB27" s="925"/>
      <c r="EC27" s="925"/>
      <c r="ED27" s="925"/>
      <c r="EE27" s="925"/>
      <c r="EF27" s="925"/>
      <c r="EG27" s="925"/>
      <c r="EH27" s="925"/>
      <c r="EI27" s="925"/>
      <c r="EJ27" s="925"/>
      <c r="EK27" s="925"/>
      <c r="EL27" s="925"/>
      <c r="EM27" s="925"/>
      <c r="EN27" s="925"/>
    </row>
    <row r="28" spans="1:144" ht="16.350000000000001" customHeight="1">
      <c r="A28" s="462"/>
      <c r="B28" s="994">
        <v>6</v>
      </c>
      <c r="C28" s="995"/>
      <c r="D28" s="996"/>
      <c r="E28" s="997"/>
      <c r="F28" s="961"/>
      <c r="G28" s="962"/>
      <c r="H28" s="962"/>
      <c r="I28" s="962"/>
      <c r="J28" s="962"/>
      <c r="K28" s="963"/>
      <c r="L28" s="961"/>
      <c r="M28" s="962"/>
      <c r="N28" s="962"/>
      <c r="O28" s="962"/>
      <c r="P28" s="962"/>
      <c r="Q28" s="963"/>
      <c r="R28" s="1044"/>
      <c r="S28" s="1044"/>
      <c r="T28" s="1044"/>
      <c r="U28" s="1044"/>
      <c r="V28" s="1044"/>
      <c r="W28" s="1044"/>
      <c r="X28" s="1045"/>
      <c r="Y28" s="1045"/>
      <c r="Z28" s="1045"/>
      <c r="AA28" s="1045"/>
      <c r="AB28" s="1045"/>
      <c r="AC28" s="1045"/>
      <c r="AD28" s="961"/>
      <c r="AE28" s="962"/>
      <c r="AF28" s="962"/>
      <c r="AG28" s="962"/>
      <c r="AH28" s="962"/>
      <c r="AI28" s="963"/>
      <c r="AJ28" s="949"/>
      <c r="AK28" s="950"/>
      <c r="AL28" s="951"/>
      <c r="AM28" s="949"/>
      <c r="AN28" s="950"/>
      <c r="AO28" s="951"/>
      <c r="AP28" s="955"/>
      <c r="AQ28" s="956"/>
      <c r="AR28" s="957"/>
      <c r="AS28" s="955"/>
      <c r="AT28" s="956"/>
      <c r="AU28" s="957"/>
      <c r="AV28" s="968"/>
      <c r="AW28" s="969"/>
      <c r="AX28" s="970"/>
      <c r="AY28" s="968"/>
      <c r="AZ28" s="969"/>
      <c r="BA28" s="970"/>
      <c r="BB28" s="945"/>
      <c r="BC28" s="946"/>
      <c r="BD28" s="945"/>
      <c r="BE28" s="946"/>
      <c r="BF28" s="929" t="str">
        <f t="shared" ref="BF28" si="109">IF(CB28="OK",ROUND(BB28+BD28,2),"")</f>
        <v/>
      </c>
      <c r="BG28" s="930"/>
      <c r="BH28" s="971" t="str">
        <f t="shared" ref="BH28" si="110">IFERROR(IF(AND($CB28="OK",$CU28="OK"),$CI28,IF($CB28&lt;&gt;"OK",$CB28,$CU28)),"")</f>
        <v/>
      </c>
      <c r="BI28" s="972"/>
      <c r="BJ28" s="973"/>
      <c r="BK28" s="933" t="str">
        <f t="shared" ref="BK28" si="111">IF($CB28="OK",CM28,"")</f>
        <v/>
      </c>
      <c r="BL28" s="934"/>
      <c r="BM28" s="935"/>
      <c r="BN28" s="939" t="str">
        <f t="shared" ref="BN28" si="112">IF($CB28="OK",$CR28,"")</f>
        <v/>
      </c>
      <c r="BO28" s="940"/>
      <c r="BP28" s="941"/>
      <c r="BQ28"/>
      <c r="BR28"/>
      <c r="BS28" s="967"/>
      <c r="BT28" s="967"/>
      <c r="BV28" s="926" t="str">
        <f t="shared" ref="BV28" si="113">IFERROR(ROUND(IF(AND(CB28="OK",CU28="OK"),CT28,""),0),"")</f>
        <v/>
      </c>
      <c r="BW28" s="926" t="str">
        <f t="shared" ref="BW28" si="114">IFERROR(ROUND(IF(AND(CB28="OK",CU28="OK"),BV28/3,""),0),"")</f>
        <v/>
      </c>
      <c r="BX28" s="926"/>
      <c r="BY28" s="927"/>
      <c r="BZ28" s="928"/>
      <c r="CB28" s="986" t="str">
        <f>IF(AND(C28="",F28="",R28="",AD28="",U28="",X28="",L28="",AJ28="",AV28="",AM28="",AP28="",AY28="",AV29="",BB28="",BD28="",AA28="",AS28=""),"",
IF(OR(C28="",F28="",R28="",AD28="",U28="",X28="",L28="",AJ28="",AV28="",AM28="",AP28="",AY28="",AV29="",BB28="",BD28="",AA28="",AS28=""),"Missing Fields",
IF(AND(M02S04F04disp="Required",M02S04F04=""),"TA Info Incomplete",
"OK")))</f>
        <v/>
      </c>
      <c r="CC28" s="925" t="str">
        <f>IF(AND(CB28="OK",CU28="OK"),INDEX(Tbl_Cust_Refrig[Measure Number], MATCH(F28,Tbl_Cust_Refrig[Proj Desc 1],0)),"")</f>
        <v/>
      </c>
      <c r="CD28" s="925"/>
      <c r="CE28" s="925" t="str">
        <f t="shared" ref="CE28" si="115">IF(CB28="OK","Measure","")</f>
        <v/>
      </c>
      <c r="CF28" s="925" t="str">
        <f t="shared" ref="CF28" si="116">IF(CB28="OK",1,"")</f>
        <v/>
      </c>
      <c r="CG28" s="978" t="str">
        <f t="shared" ref="CG28" si="117">IFERROR(CI28/CF28,"")</f>
        <v/>
      </c>
      <c r="CH28" s="978" t="str">
        <f>IF(CB28="OK",IF(CM28&gt;0,CM28*Incent_Rate_kWh,0)+IF(CO28&gt;0,CO28*Incent_Rate_thm,0),"")</f>
        <v/>
      </c>
      <c r="CI28" s="978" t="str">
        <f>IFERROR(IF($CB28="OK",IF(INCENTTOCOST_CUST&gt;CostCap_Cust,
CH28*CostCap_Cust/INCENTTOCOST_CUST,CH28),""),"")</f>
        <v/>
      </c>
      <c r="CJ28" s="977">
        <f t="shared" ref="CJ28" si="118">CM28</f>
        <v>0</v>
      </c>
      <c r="CK28" s="977">
        <f t="shared" ref="CK28" si="119">CN28</f>
        <v>0</v>
      </c>
      <c r="CL28" s="977">
        <f t="shared" ref="CL28" si="120">CO28</f>
        <v>0</v>
      </c>
      <c r="CM28" s="977">
        <f>R28-AJ28</f>
        <v>0</v>
      </c>
      <c r="CN28" s="977">
        <f>U28-AM28</f>
        <v>0</v>
      </c>
      <c r="CO28" s="977">
        <f t="shared" ref="CO28" si="121">IF(CR28&gt;0,CR28,0)</f>
        <v>0</v>
      </c>
      <c r="CP28" s="977">
        <f t="shared" ref="CP28" si="122">CM28</f>
        <v>0</v>
      </c>
      <c r="CQ28" s="977">
        <f t="shared" ref="CQ28" si="123">CN28</f>
        <v>0</v>
      </c>
      <c r="CR28" s="977">
        <f>X28-AP28</f>
        <v>0</v>
      </c>
      <c r="CS28" s="983"/>
      <c r="CT28" s="1056" t="str">
        <f>IF(CB28="OK",INDEX(Tbl_Cust_Refrig[EUL], MATCH(F28,Tbl_Cust_Refrig[Proj Desc 1],0)),"")</f>
        <v/>
      </c>
      <c r="CU28" s="979" t="str">
        <f t="shared" ref="CU28" si="124">IFERROR(IF(AND($CM28&lt;=0,$CN28&lt;=0,$CO28&lt;=0),"No Savings","OK"),"")</f>
        <v>No Savings</v>
      </c>
      <c r="CV28" s="925" t="str">
        <f t="shared" ref="CV28" si="125">IF(AND(CB28="OK",CU28="OK"),"1","")</f>
        <v/>
      </c>
      <c r="CW28" s="925" t="str">
        <f>IFERROR(IF($CB28="OK",ROUND($AQ$14*SUM(BB28:BE29)/SUM($BF$18:$BG$37),2),""),"")</f>
        <v/>
      </c>
      <c r="CX28" s="925" t="str">
        <f>IFERROR(IF(M02S04F04="Customer/Self-Installed",CW28,IF($CB28="OK",CW28+BD28,"")),"")</f>
        <v/>
      </c>
      <c r="CY28" s="925" t="str">
        <f>IFERROR(IF($CB28="OK",CX28+BB28,""),"")</f>
        <v/>
      </c>
      <c r="CZ28" s="925" t="str">
        <f>IF(CB28="OK",INDEX(MEASURES3_M!$O$32,MATCH(F28,MEASURES3_M!$C$32,0)),"")</f>
        <v/>
      </c>
      <c r="DA28" s="925" t="str">
        <f>IF(CB28="OK",INDEX(MEASURES3_M!$P$32,MATCH(F28,MEASURES3_M!$C$32,0)),"")</f>
        <v/>
      </c>
      <c r="DD28" s="980" t="str">
        <f>IFERROR(IF(CB28&lt;&gt;"OK","",CM28*VLOOKUP('DATA TABLES_Project'!$C$247,'DATA TABLES_Project'!$A$250:$B$285,2,FALSE)),"")</f>
        <v/>
      </c>
      <c r="DE28" s="925" t="str">
        <f t="shared" ref="DE28" si="126">IFERROR(IF(CB28&lt;&gt;"OK","",CM28*CZ28*0.92),"")</f>
        <v/>
      </c>
      <c r="DF28" s="980" t="str">
        <f>IFERROR(IF(CB28&lt;&gt;"OK","",CM28*CZ28*0.92*VLOOKUP('DATA TABLES_Project'!$C$247,'DATA TABLES_Project'!$A$250:$B$285,2,FALSE)),"")</f>
        <v/>
      </c>
      <c r="DG28" s="925" t="str">
        <f t="shared" ref="DG28" si="127">IFERROR(IF(CB28&lt;&gt;"OK","",CM28*BV28),IF(BX28="Dual",(CM28*BW28)+((BY28-AJ28)*(BV28-BW28)),""))</f>
        <v/>
      </c>
      <c r="DH28" s="925" t="str">
        <f ca="1">IFERROR(IF(CB28&lt;&gt;"OK","",IF(OR(BX28="Single",BX28=""), CM28*BV28*AVERAGE(INDEX('DATA TABLES_Project'!$B$250:$B$285, MATCH('DATA TABLES_Project'!$C$247,'DATA TABLES_Project'!$A$250:$A$285, 0)):OFFSET(INDEX('DATA TABLES_Project'!$B$250:$B$285, MATCH('DATA TABLES_Project'!$C$247,'DATA TABLES_Project'!$A$250:$A$285, 0)),BV28-1,0)),CM28*BW28*AVERAGE(INDEX('DATA TABLES_Project'!$B$250:$B$285, MATCH('DATA TABLES_Project'!$C$247,'DATA TABLES_Project'!$A$250:$A$285, 0)):OFFSET(INDEX('DATA TABLES_Project'!$B$250:$B$285, MATCH('DATA TABLES_Project'!$C$247,'DATA TABLES_Project'!$A$250:$A$285, 0)),BW28-1,0)) + ((BY28-AJ28)*(BV28-BW28)*AVERAGE(OFFSET(INDEX('DATA TABLES_Project'!$B$250:$B$285, MATCH('DATA TABLES_Project'!$C$247,'DATA TABLES_Project'!$A$250:$A$285, 0)),BW28,0):OFFSET(INDEX('DATA TABLES_Project'!$B$250:$B$285, MATCH('DATA TABLES_Project'!$C$247,'DATA TABLES_Project'!$A$250:$A$285, 0)),BV28-1,0))))), "")</f>
        <v/>
      </c>
      <c r="DI28" s="925" t="str">
        <f t="shared" ref="DI28" si="128">IFERROR(IF(CB28&lt;&gt;"OK","",IF(BX28="Dual",(CM28*BW28)+((BY28-AJ28)*(BV28-BW28))*CZ28*0.92,CM28*CZ28*BV28*0.92)),"")</f>
        <v/>
      </c>
      <c r="DJ28" s="925" t="str">
        <f ca="1">IFERROR(IF(CB28&lt;&gt;"OK","",IF(OR(BX28="Single",BX28=""),0.92*CZ28*CM28*BV28*AVERAGE(INDEX('DATA TABLES_Project'!$B$250:$B$285, MATCH('DATA TABLES_Project'!$C$247,'DATA TABLES_Project'!$A$250:$A$285, 0)):OFFSET(INDEX('DATA TABLES_Project'!$B$250:$B$285, MATCH('DATA TABLES_Project'!$C$247,'DATA TABLES_Project'!$A$250:$A$285, 0)),BV28-1,0)),0.92*CZ28*CM28*BW28*AVERAGE(INDEX('DATA TABLES_Project'!$B$250:$B$285, MATCH('DATA TABLES_Project'!$C$247,'DATA TABLES_Project'!$A$250:$A$285, 0)):OFFSET(INDEX('DATA TABLES_Project'!$B$250:$B$285, MATCH('DATA TABLES_Project'!$C$247,'DATA TABLES_Project'!$A$250:$A$285, 0)),BW28-1,0)) + (0.92*CZ28*(BY28-AJ28)*(BV28-BW28)*AVERAGE(OFFSET(INDEX('DATA TABLES_Project'!$B$250:$B$285, MATCH('DATA TABLES_Project'!$C$247,'DATA TABLES_Project'!$A$250:$A$285, 0)),BW28,0):OFFSET(INDEX('DATA TABLES_Project'!$B$250:$B$285, MATCH('DATA TABLES_Project'!$C$247,'DATA TABLES_Project'!$A$250:$A$285, 0)),BV28-1,0))))), "")</f>
        <v/>
      </c>
      <c r="DK28" s="925" t="str">
        <f>IFERROR(IF(CB28&lt;&gt;"OK","",CO28*'DATA TABLES_Project'!$C$250),"")</f>
        <v/>
      </c>
      <c r="DL28" s="925" t="str">
        <f t="shared" ref="DL28" si="129">IFERROR(IF(CB28&lt;&gt;"OK","",CO28*DA28*0.92),"")</f>
        <v/>
      </c>
      <c r="DM28" s="925" t="str">
        <f>IFERROR(IF(CB28&lt;&gt;"OK","",CO28*'DATA TABLES_Project'!$C$250*DA28*0.92),"")</f>
        <v/>
      </c>
      <c r="DN28" s="925" t="str">
        <f t="shared" ref="DN28" si="130">IFERROR(IF(CB28&lt;&gt;"OK","",CO28*BV28),IF(BX28="Dual",(CO28*BW28)+((BZ28-AP28)*(BV28-BW28)),""))</f>
        <v/>
      </c>
      <c r="DO28" s="925" t="str">
        <f ca="1">IFERROR(IF(CB28&lt;&gt;"OK","",CO28*BV28*AVERAGE('DATA TABLES_Project'!$C$250:OFFSET('DATA TABLES_Project'!$C$250,BV28,0))),IF(BX28="Dual",(CO28*BW28*AVERAGE('DATA TABLES_Project'!$C$251:$C$259))+((BZ28-AP28)*(BV28-BW28)*AVERAGE('DATA TABLES_Project'!$C$260:$C$279)),""))</f>
        <v/>
      </c>
      <c r="DP28" s="925" t="str">
        <f t="shared" ref="DP28" si="131">IFERROR(IF(CB28&lt;&gt;"OK","",IF(BX28="Dual",((CO28*BW28)+(BZ28-AP28)*(BV28-BW28))*DA28*0.92,CO28*BV28*DA28*0.92)),"")</f>
        <v/>
      </c>
      <c r="DQ28" s="925" t="str">
        <f ca="1">IFERROR(IF(CB28&lt;&gt;"OK","",IF(BX28="Dual",(0.92*DA28*CO28*BW28*AVERAGE('DATA TABLES_Project'!$C$251:$C$259))+(0.92*DA28*(BZ28-AP28)*(BV28-BW28)*AVERAGE('DATA TABLES_Project'!$C$260:$C$279)),0.92*DA28*CO28*BV28*AVERAGE('DATA TABLES_Project'!$C$250:OFFSET('DATA TABLES_Project'!$C$250,BV28,0)))),"")</f>
        <v/>
      </c>
      <c r="DR28" s="980" t="str">
        <f>IFERROR(IF($CB28&lt;&gt;"OK","",CM28*'DATA TABLES_Project'!$B$290+IF(CO28&lt;0,0,CO28*'DATA TABLES_Project'!$B$291)),"")</f>
        <v/>
      </c>
      <c r="DS28" s="980" t="str">
        <f>IFERROR(IF($CB28&lt;&gt;"OK","",DD28*'DATA TABLES_Project'!$B$290+IF(DK28&lt;0,0,DK28*'DATA TABLES_Project'!$B$291)),"")</f>
        <v/>
      </c>
      <c r="DT28" s="980" t="str">
        <f>IFERROR(IF($CB28&lt;&gt;"OK","",DE28*'DATA TABLES_Project'!$B$290+IF(DL28&lt;0,0,DL28*'DATA TABLES_Project'!$B$291)),"")</f>
        <v/>
      </c>
      <c r="DU28" s="980" t="str">
        <f>IFERROR(IF($CB28&lt;&gt;"OK","",DF28*'DATA TABLES_Project'!$B$290+IF(DM28&lt;0,0,DM28*'DATA TABLES_Project'!$B$291)),"")</f>
        <v/>
      </c>
      <c r="DV28" s="980" t="str">
        <f>IFERROR(IF($CB28&lt;&gt;"OK","",DG28*'DATA TABLES_Project'!$B$290+IF(DN28&lt;0,0,DN28*'DATA TABLES_Project'!$B$291)),"")</f>
        <v/>
      </c>
      <c r="DW28" s="980" t="str">
        <f>IFERROR(IF($CB28&lt;&gt;"OK","",DH28*'DATA TABLES_Project'!$B$290+IF(DO28&lt;0,0,DO28*'DATA TABLES_Project'!$B$291)),"")</f>
        <v/>
      </c>
      <c r="DX28" s="980" t="str">
        <f>IFERROR(IF($CB28&lt;&gt;"OK","",DI28*'DATA TABLES_Project'!$B$290+IF(DP28&lt;0,0,DP28*'DATA TABLES_Project'!$B$291)),"")</f>
        <v/>
      </c>
      <c r="DY28" s="925" t="str">
        <f>IFERROR(IF($CB28&lt;&gt;"OK","",DJ28*'DATA TABLES_Project'!$B$290+IF(DQ28&lt;0,0,DQ28*'DATA TABLES_Project'!$B$291)),"")</f>
        <v/>
      </c>
      <c r="DZ28" s="925" t="str">
        <f t="shared" ref="DZ28" si="132">IFERROR(IF($CB28&lt;&gt;"OK","",AS28),"")</f>
        <v/>
      </c>
      <c r="EA28" s="925" t="str">
        <f>IFERROR(IF(CB28&lt;&gt;"OK","",CN28*'DATA TABLES_Project'!$B$250*CZ28*1.03),"")</f>
        <v/>
      </c>
      <c r="EB28" s="925" t="str">
        <f t="shared" ref="EB28" si="133">IFERROR(IF(CB28&lt;&gt;"OK","",CN28*CZ28*1.03),"")</f>
        <v/>
      </c>
      <c r="EC28" s="925" t="str">
        <f>IFERROR(IF(CB28&lt;&gt;"OK","",CZ28*DZ28*'DATA TABLES_Project'!$C$250*0.92),"")</f>
        <v/>
      </c>
      <c r="ED28" s="925" t="str">
        <f>IFERROR(IF(CB28&lt;&gt;"OK","",CZ28*DZ28*'DATA TABLES_Project'!$C$250*0.92),"")</f>
        <v/>
      </c>
      <c r="EE28" s="925" t="str">
        <f t="shared" ref="EE28" si="134">IFERROR(IF(CB28&lt;&gt;"OK","",CZ28*DZ28*0.92),"")</f>
        <v/>
      </c>
      <c r="EF28" s="925" t="str">
        <f t="shared" ref="EF28" si="135">IFERROR(IF(CB28&lt;&gt;"OK","",CZ28*DZ28*0.92),"")</f>
        <v/>
      </c>
      <c r="EG28" s="925" t="str">
        <f>IFERROR(IF($CB28&lt;&gt;"OK","",CM28*'DATA TABLES_Project'!$B$290+CO28*'DATA TABLES_Project'!$B$291),"")</f>
        <v/>
      </c>
      <c r="EH28" s="925" t="str">
        <f>IFERROR(IF($CB28&lt;&gt;"OK","",DD28*'DATA TABLES_Project'!$B$290+DK28*'DATA TABLES_Project'!$B$291),"")</f>
        <v/>
      </c>
      <c r="EI28" s="925" t="str">
        <f>IFERROR(IF($CB28&lt;&gt;"OK","",DE28*'DATA TABLES_Project'!$B$290+DL28*'DATA TABLES_Project'!$B$291),"")</f>
        <v/>
      </c>
      <c r="EJ28" s="925" t="str">
        <f>IFERROR(IF($CB28&lt;&gt;"OK","",DF28*'DATA TABLES_Project'!$B$290+DM28*'DATA TABLES_Project'!$B$291),"")</f>
        <v/>
      </c>
      <c r="EK28" s="925" t="str">
        <f>IFERROR(IF($CB28&lt;&gt;"OK","",DG28*'DATA TABLES_Project'!$B$290+DN28*'DATA TABLES_Project'!$B$291),"")</f>
        <v/>
      </c>
      <c r="EL28" s="925" t="str">
        <f>IFERROR(IF($CB28&lt;&gt;"OK","",DH28*'DATA TABLES_Project'!$B$290+DO28*'DATA TABLES_Project'!$B$291),"")</f>
        <v/>
      </c>
      <c r="EM28" s="925" t="str">
        <f>IFERROR(IF($CB28&lt;&gt;"OK","",DI28*'DATA TABLES_Project'!$B$290+DP28*'DATA TABLES_Project'!$B$291),"")</f>
        <v/>
      </c>
      <c r="EN28" s="925" t="str">
        <f>IFERROR(IF($CB28&lt;&gt;"OK","",DJ28*'DATA TABLES_Project'!$B$290+DQ28*'DATA TABLES_Project'!$B$291),"")</f>
        <v/>
      </c>
    </row>
    <row r="29" spans="1:144" ht="16.350000000000001" customHeight="1">
      <c r="A29" s="462"/>
      <c r="B29" s="994"/>
      <c r="C29" s="998"/>
      <c r="D29" s="999"/>
      <c r="E29" s="1000"/>
      <c r="F29" s="964"/>
      <c r="G29" s="965"/>
      <c r="H29" s="965"/>
      <c r="I29" s="965"/>
      <c r="J29" s="965"/>
      <c r="K29" s="966"/>
      <c r="L29" s="964"/>
      <c r="M29" s="965"/>
      <c r="N29" s="965"/>
      <c r="O29" s="965"/>
      <c r="P29" s="965"/>
      <c r="Q29" s="966"/>
      <c r="R29" s="1044"/>
      <c r="S29" s="1044"/>
      <c r="T29" s="1044"/>
      <c r="U29" s="1044"/>
      <c r="V29" s="1044"/>
      <c r="W29" s="1044"/>
      <c r="X29" s="1045"/>
      <c r="Y29" s="1045"/>
      <c r="Z29" s="1045"/>
      <c r="AA29" s="1045"/>
      <c r="AB29" s="1045"/>
      <c r="AC29" s="1045"/>
      <c r="AD29" s="964"/>
      <c r="AE29" s="965"/>
      <c r="AF29" s="965"/>
      <c r="AG29" s="965"/>
      <c r="AH29" s="965"/>
      <c r="AI29" s="966"/>
      <c r="AJ29" s="952"/>
      <c r="AK29" s="953"/>
      <c r="AL29" s="954"/>
      <c r="AM29" s="952"/>
      <c r="AN29" s="953"/>
      <c r="AO29" s="954"/>
      <c r="AP29" s="958"/>
      <c r="AQ29" s="959"/>
      <c r="AR29" s="960"/>
      <c r="AS29" s="958"/>
      <c r="AT29" s="959"/>
      <c r="AU29" s="960"/>
      <c r="AV29" s="968"/>
      <c r="AW29" s="969"/>
      <c r="AX29" s="969"/>
      <c r="AY29" s="969"/>
      <c r="AZ29" s="969"/>
      <c r="BA29" s="970"/>
      <c r="BB29" s="947"/>
      <c r="BC29" s="948"/>
      <c r="BD29" s="947"/>
      <c r="BE29" s="948"/>
      <c r="BF29" s="931"/>
      <c r="BG29" s="932"/>
      <c r="BH29" s="974"/>
      <c r="BI29" s="975"/>
      <c r="BJ29" s="976"/>
      <c r="BK29" s="936"/>
      <c r="BL29" s="937"/>
      <c r="BM29" s="938"/>
      <c r="BN29" s="942"/>
      <c r="BO29" s="943"/>
      <c r="BP29" s="944"/>
      <c r="BQ29"/>
      <c r="BR29"/>
      <c r="BS29" s="967"/>
      <c r="BT29" s="967"/>
      <c r="BV29" s="926"/>
      <c r="BW29" s="926"/>
      <c r="BX29" s="926"/>
      <c r="BY29" s="927"/>
      <c r="BZ29" s="928"/>
      <c r="CB29" s="986"/>
      <c r="CC29" s="925"/>
      <c r="CD29" s="925"/>
      <c r="CE29" s="925"/>
      <c r="CF29" s="925"/>
      <c r="CG29" s="925"/>
      <c r="CH29" s="925"/>
      <c r="CI29" s="925"/>
      <c r="CJ29" s="977"/>
      <c r="CK29" s="977"/>
      <c r="CL29" s="977"/>
      <c r="CM29" s="977"/>
      <c r="CN29" s="977"/>
      <c r="CO29" s="977"/>
      <c r="CP29" s="977"/>
      <c r="CQ29" s="977"/>
      <c r="CR29" s="977"/>
      <c r="CS29" s="983"/>
      <c r="CT29" s="1056"/>
      <c r="CU29" s="979"/>
      <c r="CV29" s="925"/>
      <c r="CW29" s="925"/>
      <c r="CX29" s="925"/>
      <c r="CY29" s="925"/>
      <c r="CZ29" s="925"/>
      <c r="DA29" s="925"/>
      <c r="DD29" s="981"/>
      <c r="DE29" s="925"/>
      <c r="DF29" s="981"/>
      <c r="DG29" s="925"/>
      <c r="DH29" s="925"/>
      <c r="DI29" s="925"/>
      <c r="DJ29" s="925"/>
      <c r="DK29" s="925"/>
      <c r="DL29" s="925"/>
      <c r="DM29" s="925"/>
      <c r="DN29" s="925"/>
      <c r="DO29" s="925"/>
      <c r="DP29" s="925"/>
      <c r="DQ29" s="925"/>
      <c r="DR29" s="981"/>
      <c r="DS29" s="981"/>
      <c r="DT29" s="981"/>
      <c r="DU29" s="981"/>
      <c r="DV29" s="981"/>
      <c r="DW29" s="981"/>
      <c r="DX29" s="981"/>
      <c r="DY29" s="925"/>
      <c r="DZ29" s="925"/>
      <c r="EA29" s="925"/>
      <c r="EB29" s="925"/>
      <c r="EC29" s="925"/>
      <c r="ED29" s="925"/>
      <c r="EE29" s="925"/>
      <c r="EF29" s="925"/>
      <c r="EG29" s="925"/>
      <c r="EH29" s="925"/>
      <c r="EI29" s="925"/>
      <c r="EJ29" s="925"/>
      <c r="EK29" s="925"/>
      <c r="EL29" s="925"/>
      <c r="EM29" s="925"/>
      <c r="EN29" s="925"/>
    </row>
    <row r="30" spans="1:144" ht="16.350000000000001" customHeight="1">
      <c r="A30" s="462"/>
      <c r="B30" s="994">
        <v>7</v>
      </c>
      <c r="C30" s="995"/>
      <c r="D30" s="996"/>
      <c r="E30" s="997"/>
      <c r="F30" s="961"/>
      <c r="G30" s="962"/>
      <c r="H30" s="962"/>
      <c r="I30" s="962"/>
      <c r="J30" s="962"/>
      <c r="K30" s="963"/>
      <c r="L30" s="961"/>
      <c r="M30" s="962"/>
      <c r="N30" s="962"/>
      <c r="O30" s="962"/>
      <c r="P30" s="962"/>
      <c r="Q30" s="963"/>
      <c r="R30" s="1044"/>
      <c r="S30" s="1044"/>
      <c r="T30" s="1044"/>
      <c r="U30" s="1044"/>
      <c r="V30" s="1044"/>
      <c r="W30" s="1044"/>
      <c r="X30" s="1045"/>
      <c r="Y30" s="1045"/>
      <c r="Z30" s="1045"/>
      <c r="AA30" s="1045"/>
      <c r="AB30" s="1045"/>
      <c r="AC30" s="1045"/>
      <c r="AD30" s="961"/>
      <c r="AE30" s="962"/>
      <c r="AF30" s="962"/>
      <c r="AG30" s="962"/>
      <c r="AH30" s="962"/>
      <c r="AI30" s="963"/>
      <c r="AJ30" s="949"/>
      <c r="AK30" s="950"/>
      <c r="AL30" s="951"/>
      <c r="AM30" s="949"/>
      <c r="AN30" s="950"/>
      <c r="AO30" s="951"/>
      <c r="AP30" s="955"/>
      <c r="AQ30" s="956"/>
      <c r="AR30" s="957"/>
      <c r="AS30" s="955"/>
      <c r="AT30" s="956"/>
      <c r="AU30" s="957"/>
      <c r="AV30" s="968"/>
      <c r="AW30" s="969"/>
      <c r="AX30" s="970"/>
      <c r="AY30" s="968"/>
      <c r="AZ30" s="969"/>
      <c r="BA30" s="970"/>
      <c r="BB30" s="945"/>
      <c r="BC30" s="946"/>
      <c r="BD30" s="945"/>
      <c r="BE30" s="946"/>
      <c r="BF30" s="929" t="str">
        <f t="shared" ref="BF30" si="136">IF(CB30="OK",ROUND(BB30+BD30,2),"")</f>
        <v/>
      </c>
      <c r="BG30" s="930"/>
      <c r="BH30" s="971" t="str">
        <f t="shared" ref="BH30" si="137">IFERROR(IF(AND($CB30="OK",$CU30="OK"),$CI30,IF($CB30&lt;&gt;"OK",$CB30,$CU30)),"")</f>
        <v/>
      </c>
      <c r="BI30" s="972"/>
      <c r="BJ30" s="973"/>
      <c r="BK30" s="933" t="str">
        <f t="shared" ref="BK30" si="138">IF($CB30="OK",CM30,"")</f>
        <v/>
      </c>
      <c r="BL30" s="934"/>
      <c r="BM30" s="935"/>
      <c r="BN30" s="939" t="str">
        <f t="shared" ref="BN30" si="139">IF($CB30="OK",$CR30,"")</f>
        <v/>
      </c>
      <c r="BO30" s="940"/>
      <c r="BP30" s="941"/>
      <c r="BQ30"/>
      <c r="BR30"/>
      <c r="BS30" s="967"/>
      <c r="BT30" s="967"/>
      <c r="BV30" s="926" t="str">
        <f t="shared" ref="BV30" si="140">IFERROR(ROUND(IF(AND(CB30="OK",CU30="OK"),CT30,""),0),"")</f>
        <v/>
      </c>
      <c r="BW30" s="926" t="str">
        <f t="shared" ref="BW30" si="141">IFERROR(ROUND(IF(AND(CB30="OK",CU30="OK"),BV30/3,""),0),"")</f>
        <v/>
      </c>
      <c r="BX30" s="926"/>
      <c r="BY30" s="927"/>
      <c r="BZ30" s="928"/>
      <c r="CB30" s="986" t="str">
        <f>IF(AND(C30="",F30="",R30="",AD30="",U30="",X30="",L30="",AJ30="",AV30="",AM30="",AP30="",AY30="",AV31="",BB30="",BD30="",AA30="",AS30=""),"",
IF(OR(C30="",F30="",R30="",AD30="",U30="",X30="",L30="",AJ30="",AV30="",AM30="",AP30="",AY30="",AV31="",BB30="",BD30="",AA30="",AS30=""),"Missing Fields",
IF(AND(M02S04F04disp="Required",M02S04F04=""),"TA Info Incomplete",
"OK")))</f>
        <v/>
      </c>
      <c r="CC30" s="925" t="str">
        <f>IF(AND(CB30="OK",CU30="OK"),INDEX(Tbl_Cust_Refrig[Measure Number], MATCH(F30,Tbl_Cust_Refrig[Proj Desc 1],0)),"")</f>
        <v/>
      </c>
      <c r="CD30" s="925"/>
      <c r="CE30" s="925" t="str">
        <f t="shared" ref="CE30" si="142">IF(CB30="OK","Measure","")</f>
        <v/>
      </c>
      <c r="CF30" s="925" t="str">
        <f t="shared" ref="CF30" si="143">IF(CB30="OK",1,"")</f>
        <v/>
      </c>
      <c r="CG30" s="978" t="str">
        <f t="shared" ref="CG30" si="144">IFERROR(CI30/CF30,"")</f>
        <v/>
      </c>
      <c r="CH30" s="978" t="str">
        <f>IF(CB30="OK",IF(CM30&gt;0,CM30*Incent_Rate_kWh,0)+IF(CO30&gt;0,CO30*Incent_Rate_thm,0),"")</f>
        <v/>
      </c>
      <c r="CI30" s="978" t="str">
        <f>IFERROR(IF($CB30="OK",IF(INCENTTOCOST_CUST&gt;CostCap_Cust,
CH30*CostCap_Cust/INCENTTOCOST_CUST,CH30),""),"")</f>
        <v/>
      </c>
      <c r="CJ30" s="977">
        <f t="shared" ref="CJ30" si="145">CM30</f>
        <v>0</v>
      </c>
      <c r="CK30" s="977">
        <f t="shared" ref="CK30" si="146">CN30</f>
        <v>0</v>
      </c>
      <c r="CL30" s="977">
        <f t="shared" ref="CL30" si="147">CO30</f>
        <v>0</v>
      </c>
      <c r="CM30" s="977">
        <f>R30-AJ30</f>
        <v>0</v>
      </c>
      <c r="CN30" s="977">
        <f>U30-AM30</f>
        <v>0</v>
      </c>
      <c r="CO30" s="977">
        <f t="shared" ref="CO30" si="148">IF(CR30&gt;0,CR30,0)</f>
        <v>0</v>
      </c>
      <c r="CP30" s="977">
        <f t="shared" ref="CP30" si="149">CM30</f>
        <v>0</v>
      </c>
      <c r="CQ30" s="977">
        <f t="shared" ref="CQ30" si="150">CN30</f>
        <v>0</v>
      </c>
      <c r="CR30" s="977">
        <f>X30-AP30</f>
        <v>0</v>
      </c>
      <c r="CS30" s="983"/>
      <c r="CT30" s="1056" t="str">
        <f>IF(CB30="OK",INDEX(Tbl_Cust_Refrig[EUL], MATCH(F30,Tbl_Cust_Refrig[Proj Desc 1],0)),"")</f>
        <v/>
      </c>
      <c r="CU30" s="979" t="str">
        <f t="shared" ref="CU30" si="151">IFERROR(IF(AND($CM30&lt;=0,$CN30&lt;=0,$CO30&lt;=0),"No Savings","OK"),"")</f>
        <v>No Savings</v>
      </c>
      <c r="CV30" s="925" t="str">
        <f t="shared" ref="CV30" si="152">IF(AND(CB30="OK",CU30="OK"),"1","")</f>
        <v/>
      </c>
      <c r="CW30" s="925" t="str">
        <f>IFERROR(IF($CB30="OK",ROUND($AQ$14*SUM(BB30:BE31)/SUM($BF$18:$BG$37),2),""),"")</f>
        <v/>
      </c>
      <c r="CX30" s="925" t="str">
        <f>IFERROR(IF(M02S04F04="Customer/Self-Installed",CW30,IF($CB30="OK",CW30+BD30,"")),"")</f>
        <v/>
      </c>
      <c r="CY30" s="925" t="str">
        <f>IFERROR(IF($CB30="OK",CX30+BB30,""),"")</f>
        <v/>
      </c>
      <c r="CZ30" s="925" t="str">
        <f>IF(CB30="OK",INDEX(MEASURES3_M!$O$32,MATCH(F30,MEASURES3_M!$C$32,0)),"")</f>
        <v/>
      </c>
      <c r="DA30" s="925" t="str">
        <f>IF(CB30="OK",INDEX(MEASURES3_M!$P$32,MATCH(F30,MEASURES3_M!$C$32,0)),"")</f>
        <v/>
      </c>
      <c r="DD30" s="980" t="str">
        <f>IFERROR(IF(CB30&lt;&gt;"OK","",CM30*VLOOKUP('DATA TABLES_Project'!$C$247,'DATA TABLES_Project'!$A$250:$B$285,2,FALSE)),"")</f>
        <v/>
      </c>
      <c r="DE30" s="925" t="str">
        <f t="shared" ref="DE30" si="153">IFERROR(IF(CB30&lt;&gt;"OK","",CM30*CZ30*0.92),"")</f>
        <v/>
      </c>
      <c r="DF30" s="980" t="str">
        <f>IFERROR(IF(CB30&lt;&gt;"OK","",CM30*CZ30*0.92*VLOOKUP('DATA TABLES_Project'!$C$247,'DATA TABLES_Project'!$A$250:$B$285,2,FALSE)),"")</f>
        <v/>
      </c>
      <c r="DG30" s="925" t="str">
        <f t="shared" ref="DG30" si="154">IFERROR(IF(CB30&lt;&gt;"OK","",CM30*BV30),IF(BX30="Dual",(CM30*BW30)+((BY30-AJ30)*(BV30-BW30)),""))</f>
        <v/>
      </c>
      <c r="DH30" s="925" t="str">
        <f ca="1">IFERROR(IF(CB30&lt;&gt;"OK","",IF(OR(BX30="Single",BX30=""), CM30*BV30*AVERAGE(INDEX('DATA TABLES_Project'!$B$250:$B$285, MATCH('DATA TABLES_Project'!$C$247,'DATA TABLES_Project'!$A$250:$A$285, 0)):OFFSET(INDEX('DATA TABLES_Project'!$B$250:$B$285, MATCH('DATA TABLES_Project'!$C$247,'DATA TABLES_Project'!$A$250:$A$285, 0)),BV30-1,0)),CM30*BW30*AVERAGE(INDEX('DATA TABLES_Project'!$B$250:$B$285, MATCH('DATA TABLES_Project'!$C$247,'DATA TABLES_Project'!$A$250:$A$285, 0)):OFFSET(INDEX('DATA TABLES_Project'!$B$250:$B$285, MATCH('DATA TABLES_Project'!$C$247,'DATA TABLES_Project'!$A$250:$A$285, 0)),BW30-1,0)) + ((BY30-AJ30)*(BV30-BW30)*AVERAGE(OFFSET(INDEX('DATA TABLES_Project'!$B$250:$B$285, MATCH('DATA TABLES_Project'!$C$247,'DATA TABLES_Project'!$A$250:$A$285, 0)),BW30,0):OFFSET(INDEX('DATA TABLES_Project'!$B$250:$B$285, MATCH('DATA TABLES_Project'!$C$247,'DATA TABLES_Project'!$A$250:$A$285, 0)),BV30-1,0))))), "")</f>
        <v/>
      </c>
      <c r="DI30" s="925" t="str">
        <f t="shared" ref="DI30" si="155">IFERROR(IF(CB30&lt;&gt;"OK","",IF(BX30="Dual",(CM30*BW30)+((BY30-AJ30)*(BV30-BW30))*CZ30*0.92,CM30*CZ30*BV30*0.92)),"")</f>
        <v/>
      </c>
      <c r="DJ30" s="925" t="str">
        <f ca="1">IFERROR(IF(CB30&lt;&gt;"OK","",IF(OR(BX30="Single",BX30=""),0.92*CZ30*CM30*BV30*AVERAGE(INDEX('DATA TABLES_Project'!$B$250:$B$285, MATCH('DATA TABLES_Project'!$C$247,'DATA TABLES_Project'!$A$250:$A$285, 0)):OFFSET(INDEX('DATA TABLES_Project'!$B$250:$B$285, MATCH('DATA TABLES_Project'!$C$247,'DATA TABLES_Project'!$A$250:$A$285, 0)),BV30-1,0)),0.92*CZ30*CM30*BW30*AVERAGE(INDEX('DATA TABLES_Project'!$B$250:$B$285, MATCH('DATA TABLES_Project'!$C$247,'DATA TABLES_Project'!$A$250:$A$285, 0)):OFFSET(INDEX('DATA TABLES_Project'!$B$250:$B$285, MATCH('DATA TABLES_Project'!$C$247,'DATA TABLES_Project'!$A$250:$A$285, 0)),BW30-1,0)) + (0.92*CZ30*(BY30-AJ30)*(BV30-BW30)*AVERAGE(OFFSET(INDEX('DATA TABLES_Project'!$B$250:$B$285, MATCH('DATA TABLES_Project'!$C$247,'DATA TABLES_Project'!$A$250:$A$285, 0)),BW30,0):OFFSET(INDEX('DATA TABLES_Project'!$B$250:$B$285, MATCH('DATA TABLES_Project'!$C$247,'DATA TABLES_Project'!$A$250:$A$285, 0)),BV30-1,0))))), "")</f>
        <v/>
      </c>
      <c r="DK30" s="925" t="str">
        <f>IFERROR(IF(CB30&lt;&gt;"OK","",CO30*'DATA TABLES_Project'!$C$250),"")</f>
        <v/>
      </c>
      <c r="DL30" s="925" t="str">
        <f t="shared" ref="DL30" si="156">IFERROR(IF(CB30&lt;&gt;"OK","",CO30*DA30*0.92),"")</f>
        <v/>
      </c>
      <c r="DM30" s="925" t="str">
        <f>IFERROR(IF(CB30&lt;&gt;"OK","",CO30*'DATA TABLES_Project'!$C$250*DA30*0.92),"")</f>
        <v/>
      </c>
      <c r="DN30" s="925" t="str">
        <f t="shared" ref="DN30" si="157">IFERROR(IF(CB30&lt;&gt;"OK","",CO30*BV30),IF(BX30="Dual",(CO30*BW30)+((BZ30-AP30)*(BV30-BW30)),""))</f>
        <v/>
      </c>
      <c r="DO30" s="925" t="str">
        <f ca="1">IFERROR(IF(CB30&lt;&gt;"OK","",CO30*BV30*AVERAGE('DATA TABLES_Project'!$C$250:OFFSET('DATA TABLES_Project'!$C$250,BV30,0))),IF(BX30="Dual",(CO30*BW30*AVERAGE('DATA TABLES_Project'!$C$251:$C$259))+((BZ30-AP30)*(BV30-BW30)*AVERAGE('DATA TABLES_Project'!$C$260:$C$279)),""))</f>
        <v/>
      </c>
      <c r="DP30" s="925" t="str">
        <f t="shared" ref="DP30" si="158">IFERROR(IF(CB30&lt;&gt;"OK","",IF(BX30="Dual",((CO30*BW30)+(BZ30-AP30)*(BV30-BW30))*DA30*0.92,CO30*BV30*DA30*0.92)),"")</f>
        <v/>
      </c>
      <c r="DQ30" s="925" t="str">
        <f ca="1">IFERROR(IF(CB30&lt;&gt;"OK","",IF(BX30="Dual",(0.92*DA30*CO30*BW30*AVERAGE('DATA TABLES_Project'!$C$251:$C$259))+(0.92*DA30*(BZ30-AP30)*(BV30-BW30)*AVERAGE('DATA TABLES_Project'!$C$260:$C$279)),0.92*DA30*CO30*BV30*AVERAGE('DATA TABLES_Project'!$C$250:OFFSET('DATA TABLES_Project'!$C$250,BV30,0)))),"")</f>
        <v/>
      </c>
      <c r="DR30" s="980" t="str">
        <f>IFERROR(IF($CB30&lt;&gt;"OK","",CM30*'DATA TABLES_Project'!$B$290+IF(CO30&lt;0,0,CO30*'DATA TABLES_Project'!$B$291)),"")</f>
        <v/>
      </c>
      <c r="DS30" s="980" t="str">
        <f>IFERROR(IF($CB30&lt;&gt;"OK","",DD30*'DATA TABLES_Project'!$B$290+IF(DK30&lt;0,0,DK30*'DATA TABLES_Project'!$B$291)),"")</f>
        <v/>
      </c>
      <c r="DT30" s="980" t="str">
        <f>IFERROR(IF($CB30&lt;&gt;"OK","",DE30*'DATA TABLES_Project'!$B$290+IF(DL30&lt;0,0,DL30*'DATA TABLES_Project'!$B$291)),"")</f>
        <v/>
      </c>
      <c r="DU30" s="980" t="str">
        <f>IFERROR(IF($CB30&lt;&gt;"OK","",DF30*'DATA TABLES_Project'!$B$290+IF(DM30&lt;0,0,DM30*'DATA TABLES_Project'!$B$291)),"")</f>
        <v/>
      </c>
      <c r="DV30" s="980" t="str">
        <f>IFERROR(IF($CB30&lt;&gt;"OK","",DG30*'DATA TABLES_Project'!$B$290+IF(DN30&lt;0,0,DN30*'DATA TABLES_Project'!$B$291)),"")</f>
        <v/>
      </c>
      <c r="DW30" s="980" t="str">
        <f>IFERROR(IF($CB30&lt;&gt;"OK","",DH30*'DATA TABLES_Project'!$B$290+IF(DO30&lt;0,0,DO30*'DATA TABLES_Project'!$B$291)),"")</f>
        <v/>
      </c>
      <c r="DX30" s="980" t="str">
        <f>IFERROR(IF($CB30&lt;&gt;"OK","",DI30*'DATA TABLES_Project'!$B$290+IF(DP30&lt;0,0,DP30*'DATA TABLES_Project'!$B$291)),"")</f>
        <v/>
      </c>
      <c r="DY30" s="925" t="str">
        <f>IFERROR(IF($CB30&lt;&gt;"OK","",DJ30*'DATA TABLES_Project'!$B$290+IF(DQ30&lt;0,0,DQ30*'DATA TABLES_Project'!$B$291)),"")</f>
        <v/>
      </c>
      <c r="DZ30" s="925" t="str">
        <f t="shared" ref="DZ30" si="159">IFERROR(IF($CB30&lt;&gt;"OK","",AS30),"")</f>
        <v/>
      </c>
      <c r="EA30" s="925" t="str">
        <f>IFERROR(IF(CB30&lt;&gt;"OK","",CN30*'DATA TABLES_Project'!$B$250*CZ30*1.03),"")</f>
        <v/>
      </c>
      <c r="EB30" s="925" t="str">
        <f t="shared" ref="EB30" si="160">IFERROR(IF(CB30&lt;&gt;"OK","",CN30*CZ30*1.03),"")</f>
        <v/>
      </c>
      <c r="EC30" s="925" t="str">
        <f>IFERROR(IF(CB30&lt;&gt;"OK","",CZ30*DZ30*'DATA TABLES_Project'!$C$250*0.92),"")</f>
        <v/>
      </c>
      <c r="ED30" s="925" t="str">
        <f>IFERROR(IF(CB30&lt;&gt;"OK","",CZ30*DZ30*'DATA TABLES_Project'!$C$250*0.92),"")</f>
        <v/>
      </c>
      <c r="EE30" s="925" t="str">
        <f t="shared" ref="EE30" si="161">IFERROR(IF(CB30&lt;&gt;"OK","",CZ30*DZ30*0.92),"")</f>
        <v/>
      </c>
      <c r="EF30" s="925" t="str">
        <f t="shared" ref="EF30" si="162">IFERROR(IF(CB30&lt;&gt;"OK","",CZ30*DZ30*0.92),"")</f>
        <v/>
      </c>
      <c r="EG30" s="925" t="str">
        <f>IFERROR(IF($CB30&lt;&gt;"OK","",CM30*'DATA TABLES_Project'!$B$290+CO30*'DATA TABLES_Project'!$B$291),"")</f>
        <v/>
      </c>
      <c r="EH30" s="925" t="str">
        <f>IFERROR(IF($CB30&lt;&gt;"OK","",DD30*'DATA TABLES_Project'!$B$290+DK30*'DATA TABLES_Project'!$B$291),"")</f>
        <v/>
      </c>
      <c r="EI30" s="925" t="str">
        <f>IFERROR(IF($CB30&lt;&gt;"OK","",DE30*'DATA TABLES_Project'!$B$290+DL30*'DATA TABLES_Project'!$B$291),"")</f>
        <v/>
      </c>
      <c r="EJ30" s="925" t="str">
        <f>IFERROR(IF($CB30&lt;&gt;"OK","",DF30*'DATA TABLES_Project'!$B$290+DM30*'DATA TABLES_Project'!$B$291),"")</f>
        <v/>
      </c>
      <c r="EK30" s="925" t="str">
        <f>IFERROR(IF($CB30&lt;&gt;"OK","",DG30*'DATA TABLES_Project'!$B$290+DN30*'DATA TABLES_Project'!$B$291),"")</f>
        <v/>
      </c>
      <c r="EL30" s="925" t="str">
        <f>IFERROR(IF($CB30&lt;&gt;"OK","",DH30*'DATA TABLES_Project'!$B$290+DO30*'DATA TABLES_Project'!$B$291),"")</f>
        <v/>
      </c>
      <c r="EM30" s="925" t="str">
        <f>IFERROR(IF($CB30&lt;&gt;"OK","",DI30*'DATA TABLES_Project'!$B$290+DP30*'DATA TABLES_Project'!$B$291),"")</f>
        <v/>
      </c>
      <c r="EN30" s="925" t="str">
        <f>IFERROR(IF($CB30&lt;&gt;"OK","",DJ30*'DATA TABLES_Project'!$B$290+DQ30*'DATA TABLES_Project'!$B$291),"")</f>
        <v/>
      </c>
    </row>
    <row r="31" spans="1:144" ht="16.350000000000001" customHeight="1">
      <c r="A31" s="462"/>
      <c r="B31" s="994"/>
      <c r="C31" s="998"/>
      <c r="D31" s="999"/>
      <c r="E31" s="1000"/>
      <c r="F31" s="964"/>
      <c r="G31" s="965"/>
      <c r="H31" s="965"/>
      <c r="I31" s="965"/>
      <c r="J31" s="965"/>
      <c r="K31" s="966"/>
      <c r="L31" s="964"/>
      <c r="M31" s="965"/>
      <c r="N31" s="965"/>
      <c r="O31" s="965"/>
      <c r="P31" s="965"/>
      <c r="Q31" s="966"/>
      <c r="R31" s="1044"/>
      <c r="S31" s="1044"/>
      <c r="T31" s="1044"/>
      <c r="U31" s="1044"/>
      <c r="V31" s="1044"/>
      <c r="W31" s="1044"/>
      <c r="X31" s="1045"/>
      <c r="Y31" s="1045"/>
      <c r="Z31" s="1045"/>
      <c r="AA31" s="1045"/>
      <c r="AB31" s="1045"/>
      <c r="AC31" s="1045"/>
      <c r="AD31" s="964"/>
      <c r="AE31" s="965"/>
      <c r="AF31" s="965"/>
      <c r="AG31" s="965"/>
      <c r="AH31" s="965"/>
      <c r="AI31" s="966"/>
      <c r="AJ31" s="952"/>
      <c r="AK31" s="953"/>
      <c r="AL31" s="954"/>
      <c r="AM31" s="952"/>
      <c r="AN31" s="953"/>
      <c r="AO31" s="954"/>
      <c r="AP31" s="958"/>
      <c r="AQ31" s="959"/>
      <c r="AR31" s="960"/>
      <c r="AS31" s="958"/>
      <c r="AT31" s="959"/>
      <c r="AU31" s="960"/>
      <c r="AV31" s="968"/>
      <c r="AW31" s="969"/>
      <c r="AX31" s="969"/>
      <c r="AY31" s="969"/>
      <c r="AZ31" s="969"/>
      <c r="BA31" s="970"/>
      <c r="BB31" s="947"/>
      <c r="BC31" s="948"/>
      <c r="BD31" s="947"/>
      <c r="BE31" s="948"/>
      <c r="BF31" s="931"/>
      <c r="BG31" s="932"/>
      <c r="BH31" s="974"/>
      <c r="BI31" s="975"/>
      <c r="BJ31" s="976"/>
      <c r="BK31" s="936"/>
      <c r="BL31" s="937"/>
      <c r="BM31" s="938"/>
      <c r="BN31" s="942"/>
      <c r="BO31" s="943"/>
      <c r="BP31" s="944"/>
      <c r="BQ31"/>
      <c r="BR31"/>
      <c r="BS31" s="967"/>
      <c r="BT31" s="967"/>
      <c r="BV31" s="926"/>
      <c r="BW31" s="926"/>
      <c r="BX31" s="926"/>
      <c r="BY31" s="927"/>
      <c r="BZ31" s="928"/>
      <c r="CB31" s="986"/>
      <c r="CC31" s="925"/>
      <c r="CD31" s="925"/>
      <c r="CE31" s="925"/>
      <c r="CF31" s="925"/>
      <c r="CG31" s="925"/>
      <c r="CH31" s="925"/>
      <c r="CI31" s="925"/>
      <c r="CJ31" s="977"/>
      <c r="CK31" s="977"/>
      <c r="CL31" s="977"/>
      <c r="CM31" s="977"/>
      <c r="CN31" s="977"/>
      <c r="CO31" s="977"/>
      <c r="CP31" s="977"/>
      <c r="CQ31" s="977"/>
      <c r="CR31" s="977"/>
      <c r="CS31" s="983"/>
      <c r="CT31" s="1056"/>
      <c r="CU31" s="979"/>
      <c r="CV31" s="925"/>
      <c r="CW31" s="925"/>
      <c r="CX31" s="925"/>
      <c r="CY31" s="925"/>
      <c r="CZ31" s="925"/>
      <c r="DA31" s="925"/>
      <c r="DD31" s="981"/>
      <c r="DE31" s="925"/>
      <c r="DF31" s="981"/>
      <c r="DG31" s="925"/>
      <c r="DH31" s="925"/>
      <c r="DI31" s="925"/>
      <c r="DJ31" s="925"/>
      <c r="DK31" s="925"/>
      <c r="DL31" s="925"/>
      <c r="DM31" s="925"/>
      <c r="DN31" s="925"/>
      <c r="DO31" s="925"/>
      <c r="DP31" s="925"/>
      <c r="DQ31" s="925"/>
      <c r="DR31" s="981"/>
      <c r="DS31" s="981"/>
      <c r="DT31" s="981"/>
      <c r="DU31" s="981"/>
      <c r="DV31" s="981"/>
      <c r="DW31" s="981"/>
      <c r="DX31" s="981"/>
      <c r="DY31" s="925"/>
      <c r="DZ31" s="925"/>
      <c r="EA31" s="925"/>
      <c r="EB31" s="925"/>
      <c r="EC31" s="925"/>
      <c r="ED31" s="925"/>
      <c r="EE31" s="925"/>
      <c r="EF31" s="925"/>
      <c r="EG31" s="925"/>
      <c r="EH31" s="925"/>
      <c r="EI31" s="925"/>
      <c r="EJ31" s="925"/>
      <c r="EK31" s="925"/>
      <c r="EL31" s="925"/>
      <c r="EM31" s="925"/>
      <c r="EN31" s="925"/>
    </row>
    <row r="32" spans="1:144" ht="16.350000000000001" customHeight="1">
      <c r="A32" s="462"/>
      <c r="B32" s="994">
        <v>8</v>
      </c>
      <c r="C32" s="995"/>
      <c r="D32" s="996"/>
      <c r="E32" s="997"/>
      <c r="F32" s="961"/>
      <c r="G32" s="962"/>
      <c r="H32" s="962"/>
      <c r="I32" s="962"/>
      <c r="J32" s="962"/>
      <c r="K32" s="963"/>
      <c r="L32" s="961"/>
      <c r="M32" s="962"/>
      <c r="N32" s="962"/>
      <c r="O32" s="962"/>
      <c r="P32" s="962"/>
      <c r="Q32" s="963"/>
      <c r="R32" s="1044"/>
      <c r="S32" s="1044"/>
      <c r="T32" s="1044"/>
      <c r="U32" s="1044"/>
      <c r="V32" s="1044"/>
      <c r="W32" s="1044"/>
      <c r="X32" s="1045"/>
      <c r="Y32" s="1045"/>
      <c r="Z32" s="1045"/>
      <c r="AA32" s="1045"/>
      <c r="AB32" s="1045"/>
      <c r="AC32" s="1045"/>
      <c r="AD32" s="961"/>
      <c r="AE32" s="962"/>
      <c r="AF32" s="962"/>
      <c r="AG32" s="962"/>
      <c r="AH32" s="962"/>
      <c r="AI32" s="963"/>
      <c r="AJ32" s="949"/>
      <c r="AK32" s="950"/>
      <c r="AL32" s="951"/>
      <c r="AM32" s="949"/>
      <c r="AN32" s="950"/>
      <c r="AO32" s="951"/>
      <c r="AP32" s="955"/>
      <c r="AQ32" s="956"/>
      <c r="AR32" s="957"/>
      <c r="AS32" s="955"/>
      <c r="AT32" s="956"/>
      <c r="AU32" s="957"/>
      <c r="AV32" s="968"/>
      <c r="AW32" s="969"/>
      <c r="AX32" s="970"/>
      <c r="AY32" s="968"/>
      <c r="AZ32" s="969"/>
      <c r="BA32" s="970"/>
      <c r="BB32" s="945"/>
      <c r="BC32" s="946"/>
      <c r="BD32" s="945"/>
      <c r="BE32" s="946"/>
      <c r="BF32" s="929" t="str">
        <f t="shared" ref="BF32" si="163">IF(CB32="OK",ROUND(BB32+BD32,2),"")</f>
        <v/>
      </c>
      <c r="BG32" s="930"/>
      <c r="BH32" s="971" t="str">
        <f t="shared" ref="BH32" si="164">IFERROR(IF(AND($CB32="OK",$CU32="OK"),$CI32,IF($CB32&lt;&gt;"OK",$CB32,$CU32)),"")</f>
        <v/>
      </c>
      <c r="BI32" s="972"/>
      <c r="BJ32" s="973"/>
      <c r="BK32" s="933" t="str">
        <f t="shared" ref="BK32" si="165">IF($CB32="OK",CM32,"")</f>
        <v/>
      </c>
      <c r="BL32" s="934"/>
      <c r="BM32" s="935"/>
      <c r="BN32" s="939" t="str">
        <f t="shared" ref="BN32" si="166">IF($CB32="OK",$CR32,"")</f>
        <v/>
      </c>
      <c r="BO32" s="940"/>
      <c r="BP32" s="941"/>
      <c r="BQ32"/>
      <c r="BR32"/>
      <c r="BS32" s="967"/>
      <c r="BT32" s="967"/>
      <c r="BV32" s="926" t="str">
        <f t="shared" ref="BV32" si="167">IFERROR(ROUND(IF(AND(CB32="OK",CU32="OK"),CT32,""),0),"")</f>
        <v/>
      </c>
      <c r="BW32" s="926" t="str">
        <f t="shared" ref="BW32" si="168">IFERROR(ROUND(IF(AND(CB32="OK",CU32="OK"),BV32/3,""),0),"")</f>
        <v/>
      </c>
      <c r="BX32" s="926"/>
      <c r="BY32" s="927"/>
      <c r="BZ32" s="928"/>
      <c r="CB32" s="986" t="str">
        <f>IF(AND(C32="",F32="",R32="",AD32="",U32="",X32="",L32="",AJ32="",AV32="",AM32="",AP32="",AY32="",AV33="",BB32="",BD32="",AA32="",AS32=""),"",
IF(OR(C32="",F32="",R32="",AD32="",U32="",X32="",L32="",AJ32="",AV32="",AM32="",AP32="",AY32="",AV33="",BB32="",BD32="",AA32="",AS32=""),"Missing Fields",
IF(AND(M02S04F04disp="Required",M02S04F04=""),"TA Info Incomplete",
"OK")))</f>
        <v/>
      </c>
      <c r="CC32" s="925" t="str">
        <f>IF(AND(CB32="OK",CU32="OK"),INDEX(Tbl_Cust_Refrig[Measure Number], MATCH(F32,Tbl_Cust_Refrig[Proj Desc 1],0)),"")</f>
        <v/>
      </c>
      <c r="CD32" s="925"/>
      <c r="CE32" s="925" t="str">
        <f t="shared" ref="CE32" si="169">IF(CB32="OK","Measure","")</f>
        <v/>
      </c>
      <c r="CF32" s="925" t="str">
        <f t="shared" ref="CF32" si="170">IF(CB32="OK",1,"")</f>
        <v/>
      </c>
      <c r="CG32" s="978" t="str">
        <f t="shared" ref="CG32" si="171">IFERROR(CI32/CF32,"")</f>
        <v/>
      </c>
      <c r="CH32" s="978" t="str">
        <f>IF(CB32="OK",IF(CM32&gt;0,CM32*Incent_Rate_kWh,0)+IF(CO32&gt;0,CO32*Incent_Rate_thm,0),"")</f>
        <v/>
      </c>
      <c r="CI32" s="978" t="str">
        <f>IFERROR(IF($CB32="OK",IF(INCENTTOCOST_CUST&gt;CostCap_Cust,
CH32*CostCap_Cust/INCENTTOCOST_CUST,CH32),""),"")</f>
        <v/>
      </c>
      <c r="CJ32" s="977">
        <f t="shared" ref="CJ32" si="172">CM32</f>
        <v>0</v>
      </c>
      <c r="CK32" s="977">
        <f t="shared" ref="CK32" si="173">CN32</f>
        <v>0</v>
      </c>
      <c r="CL32" s="977">
        <f t="shared" ref="CL32" si="174">CO32</f>
        <v>0</v>
      </c>
      <c r="CM32" s="977">
        <f>R32-AJ32</f>
        <v>0</v>
      </c>
      <c r="CN32" s="977">
        <f>U32-AM32</f>
        <v>0</v>
      </c>
      <c r="CO32" s="977">
        <f t="shared" ref="CO32" si="175">IF(CR32&gt;0,CR32,0)</f>
        <v>0</v>
      </c>
      <c r="CP32" s="977">
        <f t="shared" ref="CP32" si="176">CM32</f>
        <v>0</v>
      </c>
      <c r="CQ32" s="977">
        <f t="shared" ref="CQ32" si="177">CN32</f>
        <v>0</v>
      </c>
      <c r="CR32" s="977">
        <f>X32-AP32</f>
        <v>0</v>
      </c>
      <c r="CS32" s="983"/>
      <c r="CT32" s="1056" t="str">
        <f>IF(CB32="OK",INDEX(Tbl_Cust_Refrig[EUL], MATCH(F32,Tbl_Cust_Refrig[Proj Desc 1],0)),"")</f>
        <v/>
      </c>
      <c r="CU32" s="979" t="str">
        <f t="shared" ref="CU32" si="178">IFERROR(IF(AND($CM32&lt;=0,$CN32&lt;=0,$CO32&lt;=0),"No Savings","OK"),"")</f>
        <v>No Savings</v>
      </c>
      <c r="CV32" s="925" t="str">
        <f t="shared" ref="CV32" si="179">IF(AND(CB32="OK",CU32="OK"),"1","")</f>
        <v/>
      </c>
      <c r="CW32" s="925" t="str">
        <f>IFERROR(IF($CB32="OK",ROUND($AQ$14*SUM(BB32:BE33)/SUM($BF$18:$BG$37),2),""),"")</f>
        <v/>
      </c>
      <c r="CX32" s="925" t="str">
        <f>IFERROR(IF(M02S04F04="Customer/Self-Installed",CW32,IF($CB32="OK",CW32+BD32,"")),"")</f>
        <v/>
      </c>
      <c r="CY32" s="925" t="str">
        <f>IFERROR(IF($CB32="OK",CX32+BB32,""),"")</f>
        <v/>
      </c>
      <c r="CZ32" s="925" t="str">
        <f>IF(CB32="OK",INDEX(MEASURES3_M!$O$32,MATCH(F32,MEASURES3_M!$C$32,0)),"")</f>
        <v/>
      </c>
      <c r="DA32" s="925" t="str">
        <f>IF(CB32="OK",INDEX(MEASURES3_M!$P$32,MATCH(F32,MEASURES3_M!$C$32,0)),"")</f>
        <v/>
      </c>
      <c r="DD32" s="980" t="str">
        <f>IFERROR(IF(CB32&lt;&gt;"OK","",CM32*VLOOKUP('DATA TABLES_Project'!$C$247,'DATA TABLES_Project'!$A$250:$B$285,2,FALSE)),"")</f>
        <v/>
      </c>
      <c r="DE32" s="925" t="str">
        <f t="shared" ref="DE32" si="180">IFERROR(IF(CB32&lt;&gt;"OK","",CM32*CZ32*0.92),"")</f>
        <v/>
      </c>
      <c r="DF32" s="980" t="str">
        <f>IFERROR(IF(CB32&lt;&gt;"OK","",CM32*CZ32*0.92*VLOOKUP('DATA TABLES_Project'!$C$247,'DATA TABLES_Project'!$A$250:$B$285,2,FALSE)),"")</f>
        <v/>
      </c>
      <c r="DG32" s="925" t="str">
        <f t="shared" ref="DG32" si="181">IFERROR(IF(CB32&lt;&gt;"OK","",CM32*BV32),IF(BX32="Dual",(CM32*BW32)+((BY32-AJ32)*(BV32-BW32)),""))</f>
        <v/>
      </c>
      <c r="DH32" s="925" t="str">
        <f ca="1">IFERROR(IF(CB32&lt;&gt;"OK","",IF(OR(BX32="Single",BX32=""), CM32*BV32*AVERAGE(INDEX('DATA TABLES_Project'!$B$250:$B$285, MATCH('DATA TABLES_Project'!$C$247,'DATA TABLES_Project'!$A$250:$A$285, 0)):OFFSET(INDEX('DATA TABLES_Project'!$B$250:$B$285, MATCH('DATA TABLES_Project'!$C$247,'DATA TABLES_Project'!$A$250:$A$285, 0)),BV32-1,0)),CM32*BW32*AVERAGE(INDEX('DATA TABLES_Project'!$B$250:$B$285, MATCH('DATA TABLES_Project'!$C$247,'DATA TABLES_Project'!$A$250:$A$285, 0)):OFFSET(INDEX('DATA TABLES_Project'!$B$250:$B$285, MATCH('DATA TABLES_Project'!$C$247,'DATA TABLES_Project'!$A$250:$A$285, 0)),BW32-1,0)) + ((BY32-AJ32)*(BV32-BW32)*AVERAGE(OFFSET(INDEX('DATA TABLES_Project'!$B$250:$B$285, MATCH('DATA TABLES_Project'!$C$247,'DATA TABLES_Project'!$A$250:$A$285, 0)),BW32,0):OFFSET(INDEX('DATA TABLES_Project'!$B$250:$B$285, MATCH('DATA TABLES_Project'!$C$247,'DATA TABLES_Project'!$A$250:$A$285, 0)),BV32-1,0))))), "")</f>
        <v/>
      </c>
      <c r="DI32" s="925" t="str">
        <f t="shared" ref="DI32" si="182">IFERROR(IF(CB32&lt;&gt;"OK","",IF(BX32="Dual",(CM32*BW32)+((BY32-AJ32)*(BV32-BW32))*CZ32*0.92,CM32*CZ32*BV32*0.92)),"")</f>
        <v/>
      </c>
      <c r="DJ32" s="925" t="str">
        <f ca="1">IFERROR(IF(CB32&lt;&gt;"OK","",IF(OR(BX32="Single",BX32=""),0.92*CZ32*CM32*BV32*AVERAGE(INDEX('DATA TABLES_Project'!$B$250:$B$285, MATCH('DATA TABLES_Project'!$C$247,'DATA TABLES_Project'!$A$250:$A$285, 0)):OFFSET(INDEX('DATA TABLES_Project'!$B$250:$B$285, MATCH('DATA TABLES_Project'!$C$247,'DATA TABLES_Project'!$A$250:$A$285, 0)),BV32-1,0)),0.92*CZ32*CM32*BW32*AVERAGE(INDEX('DATA TABLES_Project'!$B$250:$B$285, MATCH('DATA TABLES_Project'!$C$247,'DATA TABLES_Project'!$A$250:$A$285, 0)):OFFSET(INDEX('DATA TABLES_Project'!$B$250:$B$285, MATCH('DATA TABLES_Project'!$C$247,'DATA TABLES_Project'!$A$250:$A$285, 0)),BW32-1,0)) + (0.92*CZ32*(BY32-AJ32)*(BV32-BW32)*AVERAGE(OFFSET(INDEX('DATA TABLES_Project'!$B$250:$B$285, MATCH('DATA TABLES_Project'!$C$247,'DATA TABLES_Project'!$A$250:$A$285, 0)),BW32,0):OFFSET(INDEX('DATA TABLES_Project'!$B$250:$B$285, MATCH('DATA TABLES_Project'!$C$247,'DATA TABLES_Project'!$A$250:$A$285, 0)),BV32-1,0))))), "")</f>
        <v/>
      </c>
      <c r="DK32" s="925" t="str">
        <f>IFERROR(IF(CB32&lt;&gt;"OK","",CO32*'DATA TABLES_Project'!$C$250),"")</f>
        <v/>
      </c>
      <c r="DL32" s="925" t="str">
        <f t="shared" ref="DL32" si="183">IFERROR(IF(CB32&lt;&gt;"OK","",CO32*DA32*0.92),"")</f>
        <v/>
      </c>
      <c r="DM32" s="925" t="str">
        <f>IFERROR(IF(CB32&lt;&gt;"OK","",CO32*'DATA TABLES_Project'!$C$250*DA32*0.92),"")</f>
        <v/>
      </c>
      <c r="DN32" s="925" t="str">
        <f t="shared" ref="DN32" si="184">IFERROR(IF(CB32&lt;&gt;"OK","",CO32*BV32),IF(BX32="Dual",(CO32*BW32)+((BZ32-AP32)*(BV32-BW32)),""))</f>
        <v/>
      </c>
      <c r="DO32" s="925" t="str">
        <f ca="1">IFERROR(IF(CB32&lt;&gt;"OK","",CO32*BV32*AVERAGE('DATA TABLES_Project'!$C$250:OFFSET('DATA TABLES_Project'!$C$250,BV32,0))),IF(BX32="Dual",(CO32*BW32*AVERAGE('DATA TABLES_Project'!$C$251:$C$259))+((BZ32-AP32)*(BV32-BW32)*AVERAGE('DATA TABLES_Project'!$C$260:$C$279)),""))</f>
        <v/>
      </c>
      <c r="DP32" s="925" t="str">
        <f t="shared" ref="DP32" si="185">IFERROR(IF(CB32&lt;&gt;"OK","",IF(BX32="Dual",((CO32*BW32)+(BZ32-AP32)*(BV32-BW32))*DA32*0.92,CO32*BV32*DA32*0.92)),"")</f>
        <v/>
      </c>
      <c r="DQ32" s="925" t="str">
        <f ca="1">IFERROR(IF(CB32&lt;&gt;"OK","",IF(BX32="Dual",(0.92*DA32*CO32*BW32*AVERAGE('DATA TABLES_Project'!$C$251:$C$259))+(0.92*DA32*(BZ32-AP32)*(BV32-BW32)*AVERAGE('DATA TABLES_Project'!$C$260:$C$279)),0.92*DA32*CO32*BV32*AVERAGE('DATA TABLES_Project'!$C$250:OFFSET('DATA TABLES_Project'!$C$250,BV32,0)))),"")</f>
        <v/>
      </c>
      <c r="DR32" s="980" t="str">
        <f>IFERROR(IF($CB32&lt;&gt;"OK","",CM32*'DATA TABLES_Project'!$B$290+IF(CO32&lt;0,0,CO32*'DATA TABLES_Project'!$B$291)),"")</f>
        <v/>
      </c>
      <c r="DS32" s="980" t="str">
        <f>IFERROR(IF($CB32&lt;&gt;"OK","",DD32*'DATA TABLES_Project'!$B$290+IF(DK32&lt;0,0,DK32*'DATA TABLES_Project'!$B$291)),"")</f>
        <v/>
      </c>
      <c r="DT32" s="980" t="str">
        <f>IFERROR(IF($CB32&lt;&gt;"OK","",DE32*'DATA TABLES_Project'!$B$290+IF(DL32&lt;0,0,DL32*'DATA TABLES_Project'!$B$291)),"")</f>
        <v/>
      </c>
      <c r="DU32" s="980" t="str">
        <f>IFERROR(IF($CB32&lt;&gt;"OK","",DF32*'DATA TABLES_Project'!$B$290+IF(DM32&lt;0,0,DM32*'DATA TABLES_Project'!$B$291)),"")</f>
        <v/>
      </c>
      <c r="DV32" s="980" t="str">
        <f>IFERROR(IF($CB32&lt;&gt;"OK","",DG32*'DATA TABLES_Project'!$B$290+IF(DN32&lt;0,0,DN32*'DATA TABLES_Project'!$B$291)),"")</f>
        <v/>
      </c>
      <c r="DW32" s="980" t="str">
        <f>IFERROR(IF($CB32&lt;&gt;"OK","",DH32*'DATA TABLES_Project'!$B$290+IF(DO32&lt;0,0,DO32*'DATA TABLES_Project'!$B$291)),"")</f>
        <v/>
      </c>
      <c r="DX32" s="980" t="str">
        <f>IFERROR(IF($CB32&lt;&gt;"OK","",DI32*'DATA TABLES_Project'!$B$290+IF(DP32&lt;0,0,DP32*'DATA TABLES_Project'!$B$291)),"")</f>
        <v/>
      </c>
      <c r="DY32" s="925" t="str">
        <f>IFERROR(IF($CB32&lt;&gt;"OK","",DJ32*'DATA TABLES_Project'!$B$290+IF(DQ32&lt;0,0,DQ32*'DATA TABLES_Project'!$B$291)),"")</f>
        <v/>
      </c>
      <c r="DZ32" s="925" t="str">
        <f t="shared" ref="DZ32" si="186">IFERROR(IF($CB32&lt;&gt;"OK","",AS32),"")</f>
        <v/>
      </c>
      <c r="EA32" s="925" t="str">
        <f>IFERROR(IF(CB32&lt;&gt;"OK","",CN32*'DATA TABLES_Project'!$B$250*CZ32*1.03),"")</f>
        <v/>
      </c>
      <c r="EB32" s="925" t="str">
        <f t="shared" ref="EB32" si="187">IFERROR(IF(CB32&lt;&gt;"OK","",CN32*CZ32*1.03),"")</f>
        <v/>
      </c>
      <c r="EC32" s="925" t="str">
        <f>IFERROR(IF(CB32&lt;&gt;"OK","",CZ32*DZ32*'DATA TABLES_Project'!$C$250*0.92),"")</f>
        <v/>
      </c>
      <c r="ED32" s="925" t="str">
        <f>IFERROR(IF(CB32&lt;&gt;"OK","",CZ32*DZ32*'DATA TABLES_Project'!$C$250*0.92),"")</f>
        <v/>
      </c>
      <c r="EE32" s="925" t="str">
        <f t="shared" ref="EE32" si="188">IFERROR(IF(CB32&lt;&gt;"OK","",CZ32*DZ32*0.92),"")</f>
        <v/>
      </c>
      <c r="EF32" s="925" t="str">
        <f t="shared" ref="EF32" si="189">IFERROR(IF(CB32&lt;&gt;"OK","",CZ32*DZ32*0.92),"")</f>
        <v/>
      </c>
      <c r="EG32" s="925" t="str">
        <f>IFERROR(IF($CB32&lt;&gt;"OK","",CM32*'DATA TABLES_Project'!$B$290+CO32*'DATA TABLES_Project'!$B$291),"")</f>
        <v/>
      </c>
      <c r="EH32" s="925" t="str">
        <f>IFERROR(IF($CB32&lt;&gt;"OK","",DD32*'DATA TABLES_Project'!$B$290+DK32*'DATA TABLES_Project'!$B$291),"")</f>
        <v/>
      </c>
      <c r="EI32" s="925" t="str">
        <f>IFERROR(IF($CB32&lt;&gt;"OK","",DE32*'DATA TABLES_Project'!$B$290+DL32*'DATA TABLES_Project'!$B$291),"")</f>
        <v/>
      </c>
      <c r="EJ32" s="925" t="str">
        <f>IFERROR(IF($CB32&lt;&gt;"OK","",DF32*'DATA TABLES_Project'!$B$290+DM32*'DATA TABLES_Project'!$B$291),"")</f>
        <v/>
      </c>
      <c r="EK32" s="925" t="str">
        <f>IFERROR(IF($CB32&lt;&gt;"OK","",DG32*'DATA TABLES_Project'!$B$290+DN32*'DATA TABLES_Project'!$B$291),"")</f>
        <v/>
      </c>
      <c r="EL32" s="925" t="str">
        <f>IFERROR(IF($CB32&lt;&gt;"OK","",DH32*'DATA TABLES_Project'!$B$290+DO32*'DATA TABLES_Project'!$B$291),"")</f>
        <v/>
      </c>
      <c r="EM32" s="925" t="str">
        <f>IFERROR(IF($CB32&lt;&gt;"OK","",DI32*'DATA TABLES_Project'!$B$290+DP32*'DATA TABLES_Project'!$B$291),"")</f>
        <v/>
      </c>
      <c r="EN32" s="925" t="str">
        <f>IFERROR(IF($CB32&lt;&gt;"OK","",DJ32*'DATA TABLES_Project'!$B$290+DQ32*'DATA TABLES_Project'!$B$291),"")</f>
        <v/>
      </c>
    </row>
    <row r="33" spans="1:144" ht="16.350000000000001" customHeight="1">
      <c r="A33" s="462"/>
      <c r="B33" s="994"/>
      <c r="C33" s="998"/>
      <c r="D33" s="999"/>
      <c r="E33" s="1000"/>
      <c r="F33" s="964"/>
      <c r="G33" s="965"/>
      <c r="H33" s="965"/>
      <c r="I33" s="965"/>
      <c r="J33" s="965"/>
      <c r="K33" s="966"/>
      <c r="L33" s="964"/>
      <c r="M33" s="965"/>
      <c r="N33" s="965"/>
      <c r="O33" s="965"/>
      <c r="P33" s="965"/>
      <c r="Q33" s="966"/>
      <c r="R33" s="1044"/>
      <c r="S33" s="1044"/>
      <c r="T33" s="1044"/>
      <c r="U33" s="1044"/>
      <c r="V33" s="1044"/>
      <c r="W33" s="1044"/>
      <c r="X33" s="1045"/>
      <c r="Y33" s="1045"/>
      <c r="Z33" s="1045"/>
      <c r="AA33" s="1045"/>
      <c r="AB33" s="1045"/>
      <c r="AC33" s="1045"/>
      <c r="AD33" s="964"/>
      <c r="AE33" s="965"/>
      <c r="AF33" s="965"/>
      <c r="AG33" s="965"/>
      <c r="AH33" s="965"/>
      <c r="AI33" s="966"/>
      <c r="AJ33" s="952"/>
      <c r="AK33" s="953"/>
      <c r="AL33" s="954"/>
      <c r="AM33" s="952"/>
      <c r="AN33" s="953"/>
      <c r="AO33" s="954"/>
      <c r="AP33" s="958"/>
      <c r="AQ33" s="959"/>
      <c r="AR33" s="960"/>
      <c r="AS33" s="958"/>
      <c r="AT33" s="959"/>
      <c r="AU33" s="960"/>
      <c r="AV33" s="968"/>
      <c r="AW33" s="969"/>
      <c r="AX33" s="969"/>
      <c r="AY33" s="969"/>
      <c r="AZ33" s="969"/>
      <c r="BA33" s="970"/>
      <c r="BB33" s="947"/>
      <c r="BC33" s="948"/>
      <c r="BD33" s="947"/>
      <c r="BE33" s="948"/>
      <c r="BF33" s="931"/>
      <c r="BG33" s="932"/>
      <c r="BH33" s="974"/>
      <c r="BI33" s="975"/>
      <c r="BJ33" s="976"/>
      <c r="BK33" s="936"/>
      <c r="BL33" s="937"/>
      <c r="BM33" s="938"/>
      <c r="BN33" s="942"/>
      <c r="BO33" s="943"/>
      <c r="BP33" s="944"/>
      <c r="BQ33"/>
      <c r="BR33"/>
      <c r="BS33" s="967"/>
      <c r="BT33" s="967"/>
      <c r="BV33" s="926"/>
      <c r="BW33" s="926"/>
      <c r="BX33" s="926"/>
      <c r="BY33" s="927"/>
      <c r="BZ33" s="928"/>
      <c r="CB33" s="986"/>
      <c r="CC33" s="925"/>
      <c r="CD33" s="925"/>
      <c r="CE33" s="925"/>
      <c r="CF33" s="925"/>
      <c r="CG33" s="925"/>
      <c r="CH33" s="925"/>
      <c r="CI33" s="925"/>
      <c r="CJ33" s="977"/>
      <c r="CK33" s="977"/>
      <c r="CL33" s="977"/>
      <c r="CM33" s="977"/>
      <c r="CN33" s="977"/>
      <c r="CO33" s="977"/>
      <c r="CP33" s="977"/>
      <c r="CQ33" s="977"/>
      <c r="CR33" s="977"/>
      <c r="CS33" s="983"/>
      <c r="CT33" s="1056"/>
      <c r="CU33" s="979"/>
      <c r="CV33" s="925"/>
      <c r="CW33" s="925"/>
      <c r="CX33" s="925"/>
      <c r="CY33" s="925"/>
      <c r="CZ33" s="925"/>
      <c r="DA33" s="925"/>
      <c r="DD33" s="981"/>
      <c r="DE33" s="925"/>
      <c r="DF33" s="981"/>
      <c r="DG33" s="925"/>
      <c r="DH33" s="925"/>
      <c r="DI33" s="925"/>
      <c r="DJ33" s="925"/>
      <c r="DK33" s="925"/>
      <c r="DL33" s="925"/>
      <c r="DM33" s="925"/>
      <c r="DN33" s="925"/>
      <c r="DO33" s="925"/>
      <c r="DP33" s="925"/>
      <c r="DQ33" s="925"/>
      <c r="DR33" s="981"/>
      <c r="DS33" s="981"/>
      <c r="DT33" s="981"/>
      <c r="DU33" s="981"/>
      <c r="DV33" s="981"/>
      <c r="DW33" s="981"/>
      <c r="DX33" s="981"/>
      <c r="DY33" s="925"/>
      <c r="DZ33" s="925"/>
      <c r="EA33" s="925"/>
      <c r="EB33" s="925"/>
      <c r="EC33" s="925"/>
      <c r="ED33" s="925"/>
      <c r="EE33" s="925"/>
      <c r="EF33" s="925"/>
      <c r="EG33" s="925"/>
      <c r="EH33" s="925"/>
      <c r="EI33" s="925"/>
      <c r="EJ33" s="925"/>
      <c r="EK33" s="925"/>
      <c r="EL33" s="925"/>
      <c r="EM33" s="925"/>
      <c r="EN33" s="925"/>
    </row>
    <row r="34" spans="1:144" ht="16.350000000000001" customHeight="1">
      <c r="A34" s="462"/>
      <c r="B34" s="994">
        <v>9</v>
      </c>
      <c r="C34" s="995"/>
      <c r="D34" s="996"/>
      <c r="E34" s="997"/>
      <c r="F34" s="961"/>
      <c r="G34" s="962"/>
      <c r="H34" s="962"/>
      <c r="I34" s="962"/>
      <c r="J34" s="962"/>
      <c r="K34" s="963"/>
      <c r="L34" s="961"/>
      <c r="M34" s="962"/>
      <c r="N34" s="962"/>
      <c r="O34" s="962"/>
      <c r="P34" s="962"/>
      <c r="Q34" s="963"/>
      <c r="R34" s="1044"/>
      <c r="S34" s="1044"/>
      <c r="T34" s="1044"/>
      <c r="U34" s="1044"/>
      <c r="V34" s="1044"/>
      <c r="W34" s="1044"/>
      <c r="X34" s="1045"/>
      <c r="Y34" s="1045"/>
      <c r="Z34" s="1045"/>
      <c r="AA34" s="1045"/>
      <c r="AB34" s="1045"/>
      <c r="AC34" s="1045"/>
      <c r="AD34" s="961"/>
      <c r="AE34" s="962"/>
      <c r="AF34" s="962"/>
      <c r="AG34" s="962"/>
      <c r="AH34" s="962"/>
      <c r="AI34" s="963"/>
      <c r="AJ34" s="949"/>
      <c r="AK34" s="950"/>
      <c r="AL34" s="951"/>
      <c r="AM34" s="949"/>
      <c r="AN34" s="950"/>
      <c r="AO34" s="951"/>
      <c r="AP34" s="955"/>
      <c r="AQ34" s="956"/>
      <c r="AR34" s="957"/>
      <c r="AS34" s="955"/>
      <c r="AT34" s="956"/>
      <c r="AU34" s="957"/>
      <c r="AV34" s="968"/>
      <c r="AW34" s="969"/>
      <c r="AX34" s="970"/>
      <c r="AY34" s="968"/>
      <c r="AZ34" s="969"/>
      <c r="BA34" s="970"/>
      <c r="BB34" s="945"/>
      <c r="BC34" s="946"/>
      <c r="BD34" s="945"/>
      <c r="BE34" s="946"/>
      <c r="BF34" s="929" t="str">
        <f t="shared" ref="BF34" si="190">IF(CB34="OK",ROUND(BB34+BD34,2),"")</f>
        <v/>
      </c>
      <c r="BG34" s="930"/>
      <c r="BH34" s="971" t="str">
        <f t="shared" ref="BH34" si="191">IFERROR(IF(AND($CB34="OK",$CU34="OK"),$CI34,IF($CB34&lt;&gt;"OK",$CB34,$CU34)),"")</f>
        <v/>
      </c>
      <c r="BI34" s="972"/>
      <c r="BJ34" s="973"/>
      <c r="BK34" s="933" t="str">
        <f t="shared" ref="BK34" si="192">IF($CB34="OK",CM34,"")</f>
        <v/>
      </c>
      <c r="BL34" s="934"/>
      <c r="BM34" s="935"/>
      <c r="BN34" s="939" t="str">
        <f t="shared" ref="BN34" si="193">IF($CB34="OK",$CR34,"")</f>
        <v/>
      </c>
      <c r="BO34" s="940"/>
      <c r="BP34" s="941"/>
      <c r="BQ34"/>
      <c r="BR34"/>
      <c r="BS34" s="967"/>
      <c r="BT34" s="967"/>
      <c r="BV34" s="926" t="str">
        <f t="shared" ref="BV34" si="194">IFERROR(ROUND(IF(AND(CB34="OK",CU34="OK"),CT34,""),0),"")</f>
        <v/>
      </c>
      <c r="BW34" s="926" t="str">
        <f t="shared" ref="BW34" si="195">IFERROR(ROUND(IF(AND(CB34="OK",CU34="OK"),BV34/3,""),0),"")</f>
        <v/>
      </c>
      <c r="BX34" s="926"/>
      <c r="BY34" s="927"/>
      <c r="BZ34" s="928"/>
      <c r="CB34" s="986" t="str">
        <f>IF(AND(C34="",F34="",R34="",AD34="",U34="",X34="",L34="",AJ34="",AV34="",AM34="",AP34="",AY34="",AV35="",BB34="",BD34="",AA34="",AS34=""),"",
IF(OR(C34="",F34="",R34="",AD34="",U34="",X34="",L34="",AJ34="",AV34="",AM34="",AP34="",AY34="",AV35="",BB34="",BD34="",AA34="",AS34=""),"Missing Fields",
IF(AND(M02S04F04disp="Required",M02S04F04=""),"TA Info Incomplete",
"OK")))</f>
        <v/>
      </c>
      <c r="CC34" s="925" t="str">
        <f>IF(AND(CB34="OK",CU34="OK"),INDEX(Tbl_Cust_Refrig[Measure Number], MATCH(F34,Tbl_Cust_Refrig[Proj Desc 1],0)),"")</f>
        <v/>
      </c>
      <c r="CD34" s="925"/>
      <c r="CE34" s="925" t="str">
        <f t="shared" ref="CE34" si="196">IF(CB34="OK","Measure","")</f>
        <v/>
      </c>
      <c r="CF34" s="925" t="str">
        <f t="shared" ref="CF34" si="197">IF(CB34="OK",1,"")</f>
        <v/>
      </c>
      <c r="CG34" s="978" t="str">
        <f t="shared" ref="CG34" si="198">IFERROR(CI34/CF34,"")</f>
        <v/>
      </c>
      <c r="CH34" s="978" t="str">
        <f>IF(CB34="OK",IF(CM34&gt;0,CM34*Incent_Rate_kWh,0)+IF(CO34&gt;0,CO34*Incent_Rate_thm,0),"")</f>
        <v/>
      </c>
      <c r="CI34" s="978" t="str">
        <f>IFERROR(IF($CB34="OK",IF(INCENTTOCOST_CUST&gt;CostCap_Cust,
CH34*CostCap_Cust/INCENTTOCOST_CUST,CH34),""),"")</f>
        <v/>
      </c>
      <c r="CJ34" s="977">
        <f t="shared" ref="CJ34" si="199">CM34</f>
        <v>0</v>
      </c>
      <c r="CK34" s="977">
        <f t="shared" ref="CK34" si="200">CN34</f>
        <v>0</v>
      </c>
      <c r="CL34" s="977">
        <f t="shared" ref="CL34" si="201">CO34</f>
        <v>0</v>
      </c>
      <c r="CM34" s="977">
        <f>R34-AJ34</f>
        <v>0</v>
      </c>
      <c r="CN34" s="977">
        <f>U34-AM34</f>
        <v>0</v>
      </c>
      <c r="CO34" s="977">
        <f t="shared" ref="CO34" si="202">IF(CR34&gt;0,CR34,0)</f>
        <v>0</v>
      </c>
      <c r="CP34" s="977">
        <f t="shared" ref="CP34" si="203">CM34</f>
        <v>0</v>
      </c>
      <c r="CQ34" s="977">
        <f t="shared" ref="CQ34" si="204">CN34</f>
        <v>0</v>
      </c>
      <c r="CR34" s="977">
        <f>X34-AP34</f>
        <v>0</v>
      </c>
      <c r="CS34" s="983"/>
      <c r="CT34" s="1056" t="str">
        <f>IF(CB34="OK",INDEX(Tbl_Cust_Refrig[EUL], MATCH(F34,Tbl_Cust_Refrig[Proj Desc 1],0)),"")</f>
        <v/>
      </c>
      <c r="CU34" s="979" t="str">
        <f t="shared" ref="CU34" si="205">IFERROR(IF(AND($CM34&lt;=0,$CN34&lt;=0,$CO34&lt;=0),"No Savings","OK"),"")</f>
        <v>No Savings</v>
      </c>
      <c r="CV34" s="925" t="str">
        <f t="shared" ref="CV34" si="206">IF(AND(CB34="OK",CU34="OK"),"1","")</f>
        <v/>
      </c>
      <c r="CW34" s="925" t="str">
        <f>IFERROR(IF($CB34="OK",ROUND($AQ$14*SUM(BB34:BE35)/SUM($BF$18:$BG$37),2),""),"")</f>
        <v/>
      </c>
      <c r="CX34" s="925" t="str">
        <f>IFERROR(IF(M02S04F04="Customer/Self-Installed",CW34,IF($CB34="OK",CW34+BD34,"")),"")</f>
        <v/>
      </c>
      <c r="CY34" s="925" t="str">
        <f>IFERROR(IF($CB34="OK",CX34+BB34,""),"")</f>
        <v/>
      </c>
      <c r="CZ34" s="925" t="str">
        <f>IF(CB34="OK",INDEX(MEASURES3_M!$O$32,MATCH(F34,MEASURES3_M!$C$32,0)),"")</f>
        <v/>
      </c>
      <c r="DA34" s="925" t="str">
        <f>IF(CB34="OK",INDEX(MEASURES3_M!$P$32,MATCH(F34,MEASURES3_M!$C$32,0)),"")</f>
        <v/>
      </c>
      <c r="DD34" s="980" t="str">
        <f>IFERROR(IF(CB34&lt;&gt;"OK","",CM34*VLOOKUP('DATA TABLES_Project'!$C$247,'DATA TABLES_Project'!$A$250:$B$285,2,FALSE)),"")</f>
        <v/>
      </c>
      <c r="DE34" s="925" t="str">
        <f t="shared" ref="DE34" si="207">IFERROR(IF(CB34&lt;&gt;"OK","",CM34*CZ34*0.92),"")</f>
        <v/>
      </c>
      <c r="DF34" s="980" t="str">
        <f>IFERROR(IF(CB34&lt;&gt;"OK","",CM34*CZ34*0.92*VLOOKUP('DATA TABLES_Project'!$C$247,'DATA TABLES_Project'!$A$250:$B$285,2,FALSE)),"")</f>
        <v/>
      </c>
      <c r="DG34" s="925" t="str">
        <f t="shared" ref="DG34" si="208">IFERROR(IF(CB34&lt;&gt;"OK","",CM34*BV34),IF(BX34="Dual",(CM34*BW34)+((BY34-AJ34)*(BV34-BW34)),""))</f>
        <v/>
      </c>
      <c r="DH34" s="925" t="str">
        <f ca="1">IFERROR(IF(CB34&lt;&gt;"OK","",IF(OR(BX34="Single",BX34=""), CM34*BV34*AVERAGE(INDEX('DATA TABLES_Project'!$B$250:$B$285, MATCH('DATA TABLES_Project'!$C$247,'DATA TABLES_Project'!$A$250:$A$285, 0)):OFFSET(INDEX('DATA TABLES_Project'!$B$250:$B$285, MATCH('DATA TABLES_Project'!$C$247,'DATA TABLES_Project'!$A$250:$A$285, 0)),BV34-1,0)),CM34*BW34*AVERAGE(INDEX('DATA TABLES_Project'!$B$250:$B$285, MATCH('DATA TABLES_Project'!$C$247,'DATA TABLES_Project'!$A$250:$A$285, 0)):OFFSET(INDEX('DATA TABLES_Project'!$B$250:$B$285, MATCH('DATA TABLES_Project'!$C$247,'DATA TABLES_Project'!$A$250:$A$285, 0)),BW34-1,0)) + ((BY34-AJ34)*(BV34-BW34)*AVERAGE(OFFSET(INDEX('DATA TABLES_Project'!$B$250:$B$285, MATCH('DATA TABLES_Project'!$C$247,'DATA TABLES_Project'!$A$250:$A$285, 0)),BW34,0):OFFSET(INDEX('DATA TABLES_Project'!$B$250:$B$285, MATCH('DATA TABLES_Project'!$C$247,'DATA TABLES_Project'!$A$250:$A$285, 0)),BV34-1,0))))), "")</f>
        <v/>
      </c>
      <c r="DI34" s="925" t="str">
        <f t="shared" ref="DI34" si="209">IFERROR(IF(CB34&lt;&gt;"OK","",IF(BX34="Dual",(CM34*BW34)+((BY34-AJ34)*(BV34-BW34))*CZ34*0.92,CM34*CZ34*BV34*0.92)),"")</f>
        <v/>
      </c>
      <c r="DJ34" s="925" t="str">
        <f ca="1">IFERROR(IF(CB34&lt;&gt;"OK","",IF(OR(BX34="Single",BX34=""),0.92*CZ34*CM34*BV34*AVERAGE(INDEX('DATA TABLES_Project'!$B$250:$B$285, MATCH('DATA TABLES_Project'!$C$247,'DATA TABLES_Project'!$A$250:$A$285, 0)):OFFSET(INDEX('DATA TABLES_Project'!$B$250:$B$285, MATCH('DATA TABLES_Project'!$C$247,'DATA TABLES_Project'!$A$250:$A$285, 0)),BV34-1,0)),0.92*CZ34*CM34*BW34*AVERAGE(INDEX('DATA TABLES_Project'!$B$250:$B$285, MATCH('DATA TABLES_Project'!$C$247,'DATA TABLES_Project'!$A$250:$A$285, 0)):OFFSET(INDEX('DATA TABLES_Project'!$B$250:$B$285, MATCH('DATA TABLES_Project'!$C$247,'DATA TABLES_Project'!$A$250:$A$285, 0)),BW34-1,0)) + (0.92*CZ34*(BY34-AJ34)*(BV34-BW34)*AVERAGE(OFFSET(INDEX('DATA TABLES_Project'!$B$250:$B$285, MATCH('DATA TABLES_Project'!$C$247,'DATA TABLES_Project'!$A$250:$A$285, 0)),BW34,0):OFFSET(INDEX('DATA TABLES_Project'!$B$250:$B$285, MATCH('DATA TABLES_Project'!$C$247,'DATA TABLES_Project'!$A$250:$A$285, 0)),BV34-1,0))))), "")</f>
        <v/>
      </c>
      <c r="DK34" s="925" t="str">
        <f>IFERROR(IF(CB34&lt;&gt;"OK","",CO34*'DATA TABLES_Project'!$C$250),"")</f>
        <v/>
      </c>
      <c r="DL34" s="925" t="str">
        <f t="shared" ref="DL34" si="210">IFERROR(IF(CB34&lt;&gt;"OK","",CO34*DA34*0.92),"")</f>
        <v/>
      </c>
      <c r="DM34" s="925" t="str">
        <f>IFERROR(IF(CB34&lt;&gt;"OK","",CO34*'DATA TABLES_Project'!$C$250*DA34*0.92),"")</f>
        <v/>
      </c>
      <c r="DN34" s="925" t="str">
        <f t="shared" ref="DN34" si="211">IFERROR(IF(CB34&lt;&gt;"OK","",CO34*BV34),IF(BX34="Dual",(CO34*BW34)+((BZ34-AP34)*(BV34-BW34)),""))</f>
        <v/>
      </c>
      <c r="DO34" s="925" t="str">
        <f ca="1">IFERROR(IF(CB34&lt;&gt;"OK","",CO34*BV34*AVERAGE('DATA TABLES_Project'!$C$250:OFFSET('DATA TABLES_Project'!$C$250,BV34,0))),IF(BX34="Dual",(CO34*BW34*AVERAGE('DATA TABLES_Project'!$C$251:$C$259))+((BZ34-AP34)*(BV34-BW34)*AVERAGE('DATA TABLES_Project'!$C$260:$C$279)),""))</f>
        <v/>
      </c>
      <c r="DP34" s="925" t="str">
        <f t="shared" ref="DP34" si="212">IFERROR(IF(CB34&lt;&gt;"OK","",IF(BX34="Dual",((CO34*BW34)+(BZ34-AP34)*(BV34-BW34))*DA34*0.92,CO34*BV34*DA34*0.92)),"")</f>
        <v/>
      </c>
      <c r="DQ34" s="925" t="str">
        <f ca="1">IFERROR(IF(CB34&lt;&gt;"OK","",IF(BX34="Dual",(0.92*DA34*CO34*BW34*AVERAGE('DATA TABLES_Project'!$C$251:$C$259))+(0.92*DA34*(BZ34-AP34)*(BV34-BW34)*AVERAGE('DATA TABLES_Project'!$C$260:$C$279)),0.92*DA34*CO34*BV34*AVERAGE('DATA TABLES_Project'!$C$250:OFFSET('DATA TABLES_Project'!$C$250,BV34,0)))),"")</f>
        <v/>
      </c>
      <c r="DR34" s="980" t="str">
        <f>IFERROR(IF($CB34&lt;&gt;"OK","",CM34*'DATA TABLES_Project'!$B$290+IF(CO34&lt;0,0,CO34*'DATA TABLES_Project'!$B$291)),"")</f>
        <v/>
      </c>
      <c r="DS34" s="980" t="str">
        <f>IFERROR(IF($CB34&lt;&gt;"OK","",DD34*'DATA TABLES_Project'!$B$290+IF(DK34&lt;0,0,DK34*'DATA TABLES_Project'!$B$291)),"")</f>
        <v/>
      </c>
      <c r="DT34" s="980" t="str">
        <f>IFERROR(IF($CB34&lt;&gt;"OK","",DE34*'DATA TABLES_Project'!$B$290+IF(DL34&lt;0,0,DL34*'DATA TABLES_Project'!$B$291)),"")</f>
        <v/>
      </c>
      <c r="DU34" s="980" t="str">
        <f>IFERROR(IF($CB34&lt;&gt;"OK","",DF34*'DATA TABLES_Project'!$B$290+IF(DM34&lt;0,0,DM34*'DATA TABLES_Project'!$B$291)),"")</f>
        <v/>
      </c>
      <c r="DV34" s="980" t="str">
        <f>IFERROR(IF($CB34&lt;&gt;"OK","",DG34*'DATA TABLES_Project'!$B$290+IF(DN34&lt;0,0,DN34*'DATA TABLES_Project'!$B$291)),"")</f>
        <v/>
      </c>
      <c r="DW34" s="980" t="str">
        <f>IFERROR(IF($CB34&lt;&gt;"OK","",DH34*'DATA TABLES_Project'!$B$290+IF(DO34&lt;0,0,DO34*'DATA TABLES_Project'!$B$291)),"")</f>
        <v/>
      </c>
      <c r="DX34" s="980" t="str">
        <f>IFERROR(IF($CB34&lt;&gt;"OK","",DI34*'DATA TABLES_Project'!$B$290+IF(DP34&lt;0,0,DP34*'DATA TABLES_Project'!$B$291)),"")</f>
        <v/>
      </c>
      <c r="DY34" s="925" t="str">
        <f>IFERROR(IF($CB34&lt;&gt;"OK","",DJ34*'DATA TABLES_Project'!$B$290+IF(DQ34&lt;0,0,DQ34*'DATA TABLES_Project'!$B$291)),"")</f>
        <v/>
      </c>
      <c r="DZ34" s="925" t="str">
        <f t="shared" ref="DZ34" si="213">IFERROR(IF($CB34&lt;&gt;"OK","",AS34),"")</f>
        <v/>
      </c>
      <c r="EA34" s="925" t="str">
        <f>IFERROR(IF(CB34&lt;&gt;"OK","",CN34*'DATA TABLES_Project'!$B$250*CZ34*1.03),"")</f>
        <v/>
      </c>
      <c r="EB34" s="925" t="str">
        <f t="shared" ref="EB34" si="214">IFERROR(IF(CB34&lt;&gt;"OK","",CN34*CZ34*1.03),"")</f>
        <v/>
      </c>
      <c r="EC34" s="925" t="str">
        <f>IFERROR(IF(CB34&lt;&gt;"OK","",CZ34*DZ34*'DATA TABLES_Project'!$C$250*0.92),"")</f>
        <v/>
      </c>
      <c r="ED34" s="925" t="str">
        <f>IFERROR(IF(CB34&lt;&gt;"OK","",CZ34*DZ34*'DATA TABLES_Project'!$C$250*0.92),"")</f>
        <v/>
      </c>
      <c r="EE34" s="925" t="str">
        <f t="shared" ref="EE34" si="215">IFERROR(IF(CB34&lt;&gt;"OK","",CZ34*DZ34*0.92),"")</f>
        <v/>
      </c>
      <c r="EF34" s="925" t="str">
        <f t="shared" ref="EF34" si="216">IFERROR(IF(CB34&lt;&gt;"OK","",CZ34*DZ34*0.92),"")</f>
        <v/>
      </c>
      <c r="EG34" s="925" t="str">
        <f>IFERROR(IF($CB34&lt;&gt;"OK","",CM34*'DATA TABLES_Project'!$B$290+CO34*'DATA TABLES_Project'!$B$291),"")</f>
        <v/>
      </c>
      <c r="EH34" s="925" t="str">
        <f>IFERROR(IF($CB34&lt;&gt;"OK","",DD34*'DATA TABLES_Project'!$B$290+DK34*'DATA TABLES_Project'!$B$291),"")</f>
        <v/>
      </c>
      <c r="EI34" s="925" t="str">
        <f>IFERROR(IF($CB34&lt;&gt;"OK","",DE34*'DATA TABLES_Project'!$B$290+DL34*'DATA TABLES_Project'!$B$291),"")</f>
        <v/>
      </c>
      <c r="EJ34" s="925" t="str">
        <f>IFERROR(IF($CB34&lt;&gt;"OK","",DF34*'DATA TABLES_Project'!$B$290+DM34*'DATA TABLES_Project'!$B$291),"")</f>
        <v/>
      </c>
      <c r="EK34" s="925" t="str">
        <f>IFERROR(IF($CB34&lt;&gt;"OK","",DG34*'DATA TABLES_Project'!$B$290+DN34*'DATA TABLES_Project'!$B$291),"")</f>
        <v/>
      </c>
      <c r="EL34" s="925" t="str">
        <f>IFERROR(IF($CB34&lt;&gt;"OK","",DH34*'DATA TABLES_Project'!$B$290+DO34*'DATA TABLES_Project'!$B$291),"")</f>
        <v/>
      </c>
      <c r="EM34" s="925" t="str">
        <f>IFERROR(IF($CB34&lt;&gt;"OK","",DI34*'DATA TABLES_Project'!$B$290+DP34*'DATA TABLES_Project'!$B$291),"")</f>
        <v/>
      </c>
      <c r="EN34" s="925" t="str">
        <f>IFERROR(IF($CB34&lt;&gt;"OK","",DJ34*'DATA TABLES_Project'!$B$290+DQ34*'DATA TABLES_Project'!$B$291),"")</f>
        <v/>
      </c>
    </row>
    <row r="35" spans="1:144" ht="16.350000000000001" customHeight="1">
      <c r="A35" s="462"/>
      <c r="B35" s="994"/>
      <c r="C35" s="998"/>
      <c r="D35" s="999"/>
      <c r="E35" s="1000"/>
      <c r="F35" s="964"/>
      <c r="G35" s="965"/>
      <c r="H35" s="965"/>
      <c r="I35" s="965"/>
      <c r="J35" s="965"/>
      <c r="K35" s="966"/>
      <c r="L35" s="964"/>
      <c r="M35" s="965"/>
      <c r="N35" s="965"/>
      <c r="O35" s="965"/>
      <c r="P35" s="965"/>
      <c r="Q35" s="966"/>
      <c r="R35" s="1044"/>
      <c r="S35" s="1044"/>
      <c r="T35" s="1044"/>
      <c r="U35" s="1044"/>
      <c r="V35" s="1044"/>
      <c r="W35" s="1044"/>
      <c r="X35" s="1045"/>
      <c r="Y35" s="1045"/>
      <c r="Z35" s="1045"/>
      <c r="AA35" s="1045"/>
      <c r="AB35" s="1045"/>
      <c r="AC35" s="1045"/>
      <c r="AD35" s="964"/>
      <c r="AE35" s="965"/>
      <c r="AF35" s="965"/>
      <c r="AG35" s="965"/>
      <c r="AH35" s="965"/>
      <c r="AI35" s="966"/>
      <c r="AJ35" s="952"/>
      <c r="AK35" s="953"/>
      <c r="AL35" s="954"/>
      <c r="AM35" s="952"/>
      <c r="AN35" s="953"/>
      <c r="AO35" s="954"/>
      <c r="AP35" s="958"/>
      <c r="AQ35" s="959"/>
      <c r="AR35" s="960"/>
      <c r="AS35" s="958"/>
      <c r="AT35" s="959"/>
      <c r="AU35" s="960"/>
      <c r="AV35" s="968"/>
      <c r="AW35" s="969"/>
      <c r="AX35" s="969"/>
      <c r="AY35" s="969"/>
      <c r="AZ35" s="969"/>
      <c r="BA35" s="970"/>
      <c r="BB35" s="947"/>
      <c r="BC35" s="948"/>
      <c r="BD35" s="947"/>
      <c r="BE35" s="948"/>
      <c r="BF35" s="931"/>
      <c r="BG35" s="932"/>
      <c r="BH35" s="974"/>
      <c r="BI35" s="975"/>
      <c r="BJ35" s="976"/>
      <c r="BK35" s="936"/>
      <c r="BL35" s="937"/>
      <c r="BM35" s="938"/>
      <c r="BN35" s="942"/>
      <c r="BO35" s="943"/>
      <c r="BP35" s="944"/>
      <c r="BQ35"/>
      <c r="BR35"/>
      <c r="BS35" s="967"/>
      <c r="BT35" s="967"/>
      <c r="BV35" s="926"/>
      <c r="BW35" s="926"/>
      <c r="BX35" s="926"/>
      <c r="BY35" s="927"/>
      <c r="BZ35" s="928"/>
      <c r="CB35" s="986"/>
      <c r="CC35" s="925"/>
      <c r="CD35" s="925"/>
      <c r="CE35" s="925"/>
      <c r="CF35" s="925"/>
      <c r="CG35" s="925"/>
      <c r="CH35" s="925"/>
      <c r="CI35" s="925"/>
      <c r="CJ35" s="977"/>
      <c r="CK35" s="977"/>
      <c r="CL35" s="977"/>
      <c r="CM35" s="977"/>
      <c r="CN35" s="977"/>
      <c r="CO35" s="977"/>
      <c r="CP35" s="977"/>
      <c r="CQ35" s="977"/>
      <c r="CR35" s="977"/>
      <c r="CS35" s="983"/>
      <c r="CT35" s="1056"/>
      <c r="CU35" s="979"/>
      <c r="CV35" s="925"/>
      <c r="CW35" s="925"/>
      <c r="CX35" s="925"/>
      <c r="CY35" s="925"/>
      <c r="CZ35" s="925"/>
      <c r="DA35" s="925"/>
      <c r="DD35" s="981"/>
      <c r="DE35" s="925"/>
      <c r="DF35" s="981"/>
      <c r="DG35" s="925"/>
      <c r="DH35" s="925"/>
      <c r="DI35" s="925"/>
      <c r="DJ35" s="925"/>
      <c r="DK35" s="925"/>
      <c r="DL35" s="925"/>
      <c r="DM35" s="925"/>
      <c r="DN35" s="925"/>
      <c r="DO35" s="925"/>
      <c r="DP35" s="925"/>
      <c r="DQ35" s="925"/>
      <c r="DR35" s="981"/>
      <c r="DS35" s="981"/>
      <c r="DT35" s="981"/>
      <c r="DU35" s="981"/>
      <c r="DV35" s="981"/>
      <c r="DW35" s="981"/>
      <c r="DX35" s="981"/>
      <c r="DY35" s="925"/>
      <c r="DZ35" s="925"/>
      <c r="EA35" s="925"/>
      <c r="EB35" s="925"/>
      <c r="EC35" s="925"/>
      <c r="ED35" s="925"/>
      <c r="EE35" s="925"/>
      <c r="EF35" s="925"/>
      <c r="EG35" s="925"/>
      <c r="EH35" s="925"/>
      <c r="EI35" s="925"/>
      <c r="EJ35" s="925"/>
      <c r="EK35" s="925"/>
      <c r="EL35" s="925"/>
      <c r="EM35" s="925"/>
      <c r="EN35" s="925"/>
    </row>
    <row r="36" spans="1:144" ht="16.350000000000001" customHeight="1">
      <c r="A36" s="462"/>
      <c r="B36" s="994">
        <v>10</v>
      </c>
      <c r="C36" s="995"/>
      <c r="D36" s="996"/>
      <c r="E36" s="997"/>
      <c r="F36" s="961"/>
      <c r="G36" s="962"/>
      <c r="H36" s="962"/>
      <c r="I36" s="962"/>
      <c r="J36" s="962"/>
      <c r="K36" s="963"/>
      <c r="L36" s="961"/>
      <c r="M36" s="962"/>
      <c r="N36" s="962"/>
      <c r="O36" s="962"/>
      <c r="P36" s="962"/>
      <c r="Q36" s="963"/>
      <c r="R36" s="1044"/>
      <c r="S36" s="1044"/>
      <c r="T36" s="1044"/>
      <c r="U36" s="1044"/>
      <c r="V36" s="1044"/>
      <c r="W36" s="1044"/>
      <c r="X36" s="1045"/>
      <c r="Y36" s="1045"/>
      <c r="Z36" s="1045"/>
      <c r="AA36" s="1045"/>
      <c r="AB36" s="1045"/>
      <c r="AC36" s="1045"/>
      <c r="AD36" s="961"/>
      <c r="AE36" s="962"/>
      <c r="AF36" s="962"/>
      <c r="AG36" s="962"/>
      <c r="AH36" s="962"/>
      <c r="AI36" s="963"/>
      <c r="AJ36" s="949"/>
      <c r="AK36" s="950"/>
      <c r="AL36" s="951"/>
      <c r="AM36" s="949"/>
      <c r="AN36" s="950"/>
      <c r="AO36" s="951"/>
      <c r="AP36" s="955"/>
      <c r="AQ36" s="956"/>
      <c r="AR36" s="957"/>
      <c r="AS36" s="955"/>
      <c r="AT36" s="956"/>
      <c r="AU36" s="957"/>
      <c r="AV36" s="968"/>
      <c r="AW36" s="969"/>
      <c r="AX36" s="970"/>
      <c r="AY36" s="968"/>
      <c r="AZ36" s="969"/>
      <c r="BA36" s="970"/>
      <c r="BB36" s="945"/>
      <c r="BC36" s="946"/>
      <c r="BD36" s="945"/>
      <c r="BE36" s="946"/>
      <c r="BF36" s="929" t="str">
        <f t="shared" ref="BF36" si="217">IF(CB36="OK",ROUND(BB36+BD36,2),"")</f>
        <v/>
      </c>
      <c r="BG36" s="930"/>
      <c r="BH36" s="971" t="str">
        <f t="shared" ref="BH36" si="218">IFERROR(IF(AND($CB36="OK",$CU36="OK"),$CI36,IF($CB36&lt;&gt;"OK",$CB36,$CU36)),"")</f>
        <v/>
      </c>
      <c r="BI36" s="972"/>
      <c r="BJ36" s="973"/>
      <c r="BK36" s="933" t="str">
        <f t="shared" ref="BK36" si="219">IF($CB36="OK",CM36,"")</f>
        <v/>
      </c>
      <c r="BL36" s="934"/>
      <c r="BM36" s="935"/>
      <c r="BN36" s="939" t="str">
        <f t="shared" ref="BN36" si="220">IF($CB36="OK",$CR36,"")</f>
        <v/>
      </c>
      <c r="BO36" s="940"/>
      <c r="BP36" s="941"/>
      <c r="BQ36"/>
      <c r="BR36"/>
      <c r="BS36" s="967"/>
      <c r="BT36" s="967"/>
      <c r="BV36" s="926" t="str">
        <f t="shared" ref="BV36" si="221">IFERROR(ROUND(IF(AND(CB36="OK",CU36="OK"),CT36,""),0),"")</f>
        <v/>
      </c>
      <c r="BW36" s="926" t="str">
        <f t="shared" ref="BW36" si="222">IFERROR(ROUND(IF(AND(CB36="OK",CU36="OK"),BV36/3,""),0),"")</f>
        <v/>
      </c>
      <c r="BX36" s="926"/>
      <c r="BY36" s="927"/>
      <c r="BZ36" s="928"/>
      <c r="CB36" s="986" t="str">
        <f>IF(AND(C36="",F36="",R36="",AD36="",U36="",X36="",L36="",AJ36="",AV36="",AM36="",AP36="",AY36="",AV37="",BB36="",BD36="",AA36="",AS36=""),"",
IF(OR(C36="",F36="",R36="",AD36="",U36="",X36="",L36="",AJ36="",AV36="",AM36="",AP36="",AY36="",AV37="",BB36="",BD36="",AA36="",AS36=""),"Missing Fields",
IF(AND(M02S04F04disp="Required",M02S04F04=""),"TA Info Incomplete",
"OK")))</f>
        <v/>
      </c>
      <c r="CC36" s="925" t="str">
        <f>IF(AND(CB36="OK",CU36="OK"),INDEX(Tbl_Cust_Refrig[Measure Number], MATCH(F36,Tbl_Cust_Refrig[Proj Desc 1],0)),"")</f>
        <v/>
      </c>
      <c r="CD36" s="925"/>
      <c r="CE36" s="925" t="str">
        <f t="shared" ref="CE36" si="223">IF(CB36="OK","Measure","")</f>
        <v/>
      </c>
      <c r="CF36" s="925" t="str">
        <f t="shared" ref="CF36" si="224">IF(CB36="OK",1,"")</f>
        <v/>
      </c>
      <c r="CG36" s="978" t="str">
        <f t="shared" ref="CG36" si="225">IFERROR(CI36/CF36,"")</f>
        <v/>
      </c>
      <c r="CH36" s="978" t="str">
        <f>IF(CB36="OK",IF(CM36&gt;0,CM36*Incent_Rate_kWh,0)+IF(CO36&gt;0,CO36*Incent_Rate_thm,0),"")</f>
        <v/>
      </c>
      <c r="CI36" s="978" t="str">
        <f>IFERROR(IF($CB36="OK",IF(INCENTTOCOST_CUST&gt;CostCap_Cust,
CH36*CostCap_Cust/INCENTTOCOST_CUST,CH36),""),"")</f>
        <v/>
      </c>
      <c r="CJ36" s="977">
        <f t="shared" ref="CJ36" si="226">CM36</f>
        <v>0</v>
      </c>
      <c r="CK36" s="977">
        <f t="shared" ref="CK36" si="227">CN36</f>
        <v>0</v>
      </c>
      <c r="CL36" s="977">
        <f t="shared" ref="CL36" si="228">CO36</f>
        <v>0</v>
      </c>
      <c r="CM36" s="977">
        <f>R36-AJ36</f>
        <v>0</v>
      </c>
      <c r="CN36" s="977">
        <f>U36-AM36</f>
        <v>0</v>
      </c>
      <c r="CO36" s="977">
        <f t="shared" ref="CO36" si="229">IF(CR36&gt;0,CR36,0)</f>
        <v>0</v>
      </c>
      <c r="CP36" s="977">
        <f t="shared" ref="CP36" si="230">CM36</f>
        <v>0</v>
      </c>
      <c r="CQ36" s="977">
        <f t="shared" ref="CQ36" si="231">CN36</f>
        <v>0</v>
      </c>
      <c r="CR36" s="977">
        <f>X36-AP36</f>
        <v>0</v>
      </c>
      <c r="CS36" s="983"/>
      <c r="CT36" s="1056" t="str">
        <f>IF(CB36="OK",INDEX(Tbl_Cust_Refrig[EUL], MATCH(F36,Tbl_Cust_Refrig[Proj Desc 1],0)),"")</f>
        <v/>
      </c>
      <c r="CU36" s="979" t="str">
        <f t="shared" ref="CU36" si="232">IFERROR(IF(AND($CM36&lt;=0,$CN36&lt;=0,$CO36&lt;=0),"No Savings","OK"),"")</f>
        <v>No Savings</v>
      </c>
      <c r="CV36" s="925" t="str">
        <f t="shared" ref="CV36" si="233">IF(AND(CB36="OK",CU36="OK"),"1","")</f>
        <v/>
      </c>
      <c r="CW36" s="925" t="str">
        <f>IFERROR(IF($CB36="OK",ROUND($AQ$14*SUM(BB36:BE37)/SUM($BF$18:$BG$37),2),""),"")</f>
        <v/>
      </c>
      <c r="CX36" s="925" t="str">
        <f>IFERROR(IF(M02S04F04="Customer/Self-Installed",CW36,IF($CB36="OK",CW36+BD36,"")),"")</f>
        <v/>
      </c>
      <c r="CY36" s="925" t="str">
        <f>IFERROR(IF($CB36="OK",CX36+BB36,""),"")</f>
        <v/>
      </c>
      <c r="CZ36" s="925" t="str">
        <f>IF(CB36="OK",INDEX(MEASURES3_M!$O$32,MATCH(F36,MEASURES3_M!$C$32,0)),"")</f>
        <v/>
      </c>
      <c r="DA36" s="925" t="str">
        <f>IF(CB36="OK",INDEX(MEASURES3_M!$P$32,MATCH(F36,MEASURES3_M!$C$32,0)),"")</f>
        <v/>
      </c>
      <c r="DD36" s="980" t="str">
        <f>IFERROR(IF(CB36&lt;&gt;"OK","",CM36*VLOOKUP('DATA TABLES_Project'!$C$247,'DATA TABLES_Project'!$A$250:$B$285,2,FALSE)),"")</f>
        <v/>
      </c>
      <c r="DE36" s="925" t="str">
        <f t="shared" ref="DE36" si="234">IFERROR(IF(CB36&lt;&gt;"OK","",CM36*CZ36*0.92),"")</f>
        <v/>
      </c>
      <c r="DF36" s="980" t="str">
        <f>IFERROR(IF(CB36&lt;&gt;"OK","",CM36*CZ36*0.92*VLOOKUP('DATA TABLES_Project'!$C$247,'DATA TABLES_Project'!$A$250:$B$285,2,FALSE)),"")</f>
        <v/>
      </c>
      <c r="DG36" s="925" t="str">
        <f t="shared" ref="DG36" si="235">IFERROR(IF(CB36&lt;&gt;"OK","",CM36*BV36),IF(BX36="Dual",(CM36*BW36)+((BY36-AJ36)*(BV36-BW36)),""))</f>
        <v/>
      </c>
      <c r="DH36" s="925" t="str">
        <f ca="1">IFERROR(IF(CB36&lt;&gt;"OK","",IF(OR(BX36="Single",BX36=""), CM36*BV36*AVERAGE(INDEX('DATA TABLES_Project'!$B$250:$B$285, MATCH('DATA TABLES_Project'!$C$247,'DATA TABLES_Project'!$A$250:$A$285, 0)):OFFSET(INDEX('DATA TABLES_Project'!$B$250:$B$285, MATCH('DATA TABLES_Project'!$C$247,'DATA TABLES_Project'!$A$250:$A$285, 0)),BV36-1,0)),CM36*BW36*AVERAGE(INDEX('DATA TABLES_Project'!$B$250:$B$285, MATCH('DATA TABLES_Project'!$C$247,'DATA TABLES_Project'!$A$250:$A$285, 0)):OFFSET(INDEX('DATA TABLES_Project'!$B$250:$B$285, MATCH('DATA TABLES_Project'!$C$247,'DATA TABLES_Project'!$A$250:$A$285, 0)),BW36-1,0)) + ((BY36-AJ36)*(BV36-BW36)*AVERAGE(OFFSET(INDEX('DATA TABLES_Project'!$B$250:$B$285, MATCH('DATA TABLES_Project'!$C$247,'DATA TABLES_Project'!$A$250:$A$285, 0)),BW36,0):OFFSET(INDEX('DATA TABLES_Project'!$B$250:$B$285, MATCH('DATA TABLES_Project'!$C$247,'DATA TABLES_Project'!$A$250:$A$285, 0)),BV36-1,0))))), "")</f>
        <v/>
      </c>
      <c r="DI36" s="925" t="str">
        <f t="shared" ref="DI36" si="236">IFERROR(IF(CB36&lt;&gt;"OK","",IF(BX36="Dual",(CM36*BW36)+((BY36-AJ36)*(BV36-BW36))*CZ36*0.92,CM36*CZ36*BV36*0.92)),"")</f>
        <v/>
      </c>
      <c r="DJ36" s="925" t="str">
        <f ca="1">IFERROR(IF(CB36&lt;&gt;"OK","",IF(OR(BX36="Single",BX36=""),0.92*CZ36*CM36*BV36*AVERAGE(INDEX('DATA TABLES_Project'!$B$250:$B$285, MATCH('DATA TABLES_Project'!$C$247,'DATA TABLES_Project'!$A$250:$A$285, 0)):OFFSET(INDEX('DATA TABLES_Project'!$B$250:$B$285, MATCH('DATA TABLES_Project'!$C$247,'DATA TABLES_Project'!$A$250:$A$285, 0)),BV36-1,0)),0.92*CZ36*CM36*BW36*AVERAGE(INDEX('DATA TABLES_Project'!$B$250:$B$285, MATCH('DATA TABLES_Project'!$C$247,'DATA TABLES_Project'!$A$250:$A$285, 0)):OFFSET(INDEX('DATA TABLES_Project'!$B$250:$B$285, MATCH('DATA TABLES_Project'!$C$247,'DATA TABLES_Project'!$A$250:$A$285, 0)),BW36-1,0)) + (0.92*CZ36*(BY36-AJ36)*(BV36-BW36)*AVERAGE(OFFSET(INDEX('DATA TABLES_Project'!$B$250:$B$285, MATCH('DATA TABLES_Project'!$C$247,'DATA TABLES_Project'!$A$250:$A$285, 0)),BW36,0):OFFSET(INDEX('DATA TABLES_Project'!$B$250:$B$285, MATCH('DATA TABLES_Project'!$C$247,'DATA TABLES_Project'!$A$250:$A$285, 0)),BV36-1,0))))), "")</f>
        <v/>
      </c>
      <c r="DK36" s="925" t="str">
        <f>IFERROR(IF(CB36&lt;&gt;"OK","",CO36*'DATA TABLES_Project'!$C$250),"")</f>
        <v/>
      </c>
      <c r="DL36" s="925" t="str">
        <f t="shared" ref="DL36" si="237">IFERROR(IF(CB36&lt;&gt;"OK","",CO36*DA36*0.92),"")</f>
        <v/>
      </c>
      <c r="DM36" s="925" t="str">
        <f>IFERROR(IF(CB36&lt;&gt;"OK","",CO36*'DATA TABLES_Project'!$C$250*DA36*0.92),"")</f>
        <v/>
      </c>
      <c r="DN36" s="925" t="str">
        <f t="shared" ref="DN36" si="238">IFERROR(IF(CB36&lt;&gt;"OK","",CO36*BV36),IF(BX36="Dual",(CO36*BW36)+((BZ36-AP36)*(BV36-BW36)),""))</f>
        <v/>
      </c>
      <c r="DO36" s="925" t="str">
        <f ca="1">IFERROR(IF(CB36&lt;&gt;"OK","",CO36*BV36*AVERAGE('DATA TABLES_Project'!$C$250:OFFSET('DATA TABLES_Project'!$C$250,BV36,0))),IF(BX36="Dual",(CO36*BW36*AVERAGE('DATA TABLES_Project'!$C$251:$C$259))+((BZ36-AP36)*(BV36-BW36)*AVERAGE('DATA TABLES_Project'!$C$260:$C$279)),""))</f>
        <v/>
      </c>
      <c r="DP36" s="925" t="str">
        <f t="shared" ref="DP36" si="239">IFERROR(IF(CB36&lt;&gt;"OK","",IF(BX36="Dual",((CO36*BW36)+(BZ36-AP36)*(BV36-BW36))*DA36*0.92,CO36*BV36*DA36*0.92)),"")</f>
        <v/>
      </c>
      <c r="DQ36" s="925" t="str">
        <f ca="1">IFERROR(IF(CB36&lt;&gt;"OK","",IF(BX36="Dual",(0.92*DA36*CO36*BW36*AVERAGE('DATA TABLES_Project'!$C$251:$C$259))+(0.92*DA36*(BZ36-AP36)*(BV36-BW36)*AVERAGE('DATA TABLES_Project'!$C$260:$C$279)),0.92*DA36*CO36*BV36*AVERAGE('DATA TABLES_Project'!$C$250:OFFSET('DATA TABLES_Project'!$C$250,BV36,0)))),"")</f>
        <v/>
      </c>
      <c r="DR36" s="980" t="str">
        <f>IFERROR(IF($CB36&lt;&gt;"OK","",CM36*'DATA TABLES_Project'!$B$290+IF(CO36&lt;0,0,CO36*'DATA TABLES_Project'!$B$291)),"")</f>
        <v/>
      </c>
      <c r="DS36" s="980" t="str">
        <f>IFERROR(IF($CB36&lt;&gt;"OK","",DD36*'DATA TABLES_Project'!$B$290+IF(DK36&lt;0,0,DK36*'DATA TABLES_Project'!$B$291)),"")</f>
        <v/>
      </c>
      <c r="DT36" s="980" t="str">
        <f>IFERROR(IF($CB36&lt;&gt;"OK","",DE36*'DATA TABLES_Project'!$B$290+IF(DL36&lt;0,0,DL36*'DATA TABLES_Project'!$B$291)),"")</f>
        <v/>
      </c>
      <c r="DU36" s="980" t="str">
        <f>IFERROR(IF($CB36&lt;&gt;"OK","",DF36*'DATA TABLES_Project'!$B$290+IF(DM36&lt;0,0,DM36*'DATA TABLES_Project'!$B$291)),"")</f>
        <v/>
      </c>
      <c r="DV36" s="980" t="str">
        <f>IFERROR(IF($CB36&lt;&gt;"OK","",DG36*'DATA TABLES_Project'!$B$290+IF(DN36&lt;0,0,DN36*'DATA TABLES_Project'!$B$291)),"")</f>
        <v/>
      </c>
      <c r="DW36" s="980" t="str">
        <f>IFERROR(IF($CB36&lt;&gt;"OK","",DH36*'DATA TABLES_Project'!$B$290+IF(DO36&lt;0,0,DO36*'DATA TABLES_Project'!$B$291)),"")</f>
        <v/>
      </c>
      <c r="DX36" s="980" t="str">
        <f>IFERROR(IF($CB36&lt;&gt;"OK","",DI36*'DATA TABLES_Project'!$B$290+IF(DP36&lt;0,0,DP36*'DATA TABLES_Project'!$B$291)),"")</f>
        <v/>
      </c>
      <c r="DY36" s="925" t="str">
        <f>IFERROR(IF($CB36&lt;&gt;"OK","",DJ36*'DATA TABLES_Project'!$B$290+IF(DQ36&lt;0,0,DQ36*'DATA TABLES_Project'!$B$291)),"")</f>
        <v/>
      </c>
      <c r="DZ36" s="925" t="str">
        <f t="shared" ref="DZ36" si="240">IFERROR(IF($CB36&lt;&gt;"OK","",AS36),"")</f>
        <v/>
      </c>
      <c r="EA36" s="925" t="str">
        <f>IFERROR(IF(CB36&lt;&gt;"OK","",CN36*'DATA TABLES_Project'!$B$250*CZ36*1.03),"")</f>
        <v/>
      </c>
      <c r="EB36" s="925" t="str">
        <f t="shared" ref="EB36" si="241">IFERROR(IF(CB36&lt;&gt;"OK","",CN36*CZ36*1.03),"")</f>
        <v/>
      </c>
      <c r="EC36" s="925" t="str">
        <f>IFERROR(IF(CB36&lt;&gt;"OK","",CZ36*DZ36*'DATA TABLES_Project'!$C$250*0.92),"")</f>
        <v/>
      </c>
      <c r="ED36" s="925" t="str">
        <f>IFERROR(IF(CB36&lt;&gt;"OK","",CZ36*DZ36*'DATA TABLES_Project'!$C$250*0.92),"")</f>
        <v/>
      </c>
      <c r="EE36" s="925" t="str">
        <f t="shared" ref="EE36" si="242">IFERROR(IF(CB36&lt;&gt;"OK","",CZ36*DZ36*0.92),"")</f>
        <v/>
      </c>
      <c r="EF36" s="925" t="str">
        <f t="shared" ref="EF36" si="243">IFERROR(IF(CB36&lt;&gt;"OK","",CZ36*DZ36*0.92),"")</f>
        <v/>
      </c>
      <c r="EG36" s="925" t="str">
        <f>IFERROR(IF($CB36&lt;&gt;"OK","",CM36*'DATA TABLES_Project'!$B$290+CO36*'DATA TABLES_Project'!$B$291),"")</f>
        <v/>
      </c>
      <c r="EH36" s="925" t="str">
        <f>IFERROR(IF($CB36&lt;&gt;"OK","",DD36*'DATA TABLES_Project'!$B$290+DK36*'DATA TABLES_Project'!$B$291),"")</f>
        <v/>
      </c>
      <c r="EI36" s="925" t="str">
        <f>IFERROR(IF($CB36&lt;&gt;"OK","",DE36*'DATA TABLES_Project'!$B$290+DL36*'DATA TABLES_Project'!$B$291),"")</f>
        <v/>
      </c>
      <c r="EJ36" s="925" t="str">
        <f>IFERROR(IF($CB36&lt;&gt;"OK","",DF36*'DATA TABLES_Project'!$B$290+DM36*'DATA TABLES_Project'!$B$291),"")</f>
        <v/>
      </c>
      <c r="EK36" s="925" t="str">
        <f>IFERROR(IF($CB36&lt;&gt;"OK","",DG36*'DATA TABLES_Project'!$B$290+DN36*'DATA TABLES_Project'!$B$291),"")</f>
        <v/>
      </c>
      <c r="EL36" s="925" t="str">
        <f>IFERROR(IF($CB36&lt;&gt;"OK","",DH36*'DATA TABLES_Project'!$B$290+DO36*'DATA TABLES_Project'!$B$291),"")</f>
        <v/>
      </c>
      <c r="EM36" s="925" t="str">
        <f>IFERROR(IF($CB36&lt;&gt;"OK","",DI36*'DATA TABLES_Project'!$B$290+DP36*'DATA TABLES_Project'!$B$291),"")</f>
        <v/>
      </c>
      <c r="EN36" s="925" t="str">
        <f>IFERROR(IF($CB36&lt;&gt;"OK","",DJ36*'DATA TABLES_Project'!$B$290+DQ36*'DATA TABLES_Project'!$B$291),"")</f>
        <v/>
      </c>
    </row>
    <row r="37" spans="1:144" ht="16.350000000000001" customHeight="1">
      <c r="A37" s="462"/>
      <c r="B37" s="994"/>
      <c r="C37" s="998"/>
      <c r="D37" s="999"/>
      <c r="E37" s="1000"/>
      <c r="F37" s="964"/>
      <c r="G37" s="965"/>
      <c r="H37" s="965"/>
      <c r="I37" s="965"/>
      <c r="J37" s="965"/>
      <c r="K37" s="966"/>
      <c r="L37" s="964"/>
      <c r="M37" s="965"/>
      <c r="N37" s="965"/>
      <c r="O37" s="965"/>
      <c r="P37" s="965"/>
      <c r="Q37" s="966"/>
      <c r="R37" s="1044"/>
      <c r="S37" s="1044"/>
      <c r="T37" s="1044"/>
      <c r="U37" s="1044"/>
      <c r="V37" s="1044"/>
      <c r="W37" s="1044"/>
      <c r="X37" s="1045"/>
      <c r="Y37" s="1045"/>
      <c r="Z37" s="1045"/>
      <c r="AA37" s="1045"/>
      <c r="AB37" s="1045"/>
      <c r="AC37" s="1045"/>
      <c r="AD37" s="964"/>
      <c r="AE37" s="965"/>
      <c r="AF37" s="965"/>
      <c r="AG37" s="965"/>
      <c r="AH37" s="965"/>
      <c r="AI37" s="966"/>
      <c r="AJ37" s="952"/>
      <c r="AK37" s="953"/>
      <c r="AL37" s="954"/>
      <c r="AM37" s="952"/>
      <c r="AN37" s="953"/>
      <c r="AO37" s="954"/>
      <c r="AP37" s="958"/>
      <c r="AQ37" s="959"/>
      <c r="AR37" s="960"/>
      <c r="AS37" s="958"/>
      <c r="AT37" s="959"/>
      <c r="AU37" s="960"/>
      <c r="AV37" s="968"/>
      <c r="AW37" s="969"/>
      <c r="AX37" s="969"/>
      <c r="AY37" s="969"/>
      <c r="AZ37" s="969"/>
      <c r="BA37" s="970"/>
      <c r="BB37" s="947"/>
      <c r="BC37" s="948"/>
      <c r="BD37" s="947"/>
      <c r="BE37" s="948"/>
      <c r="BF37" s="931"/>
      <c r="BG37" s="932"/>
      <c r="BH37" s="974"/>
      <c r="BI37" s="975"/>
      <c r="BJ37" s="976"/>
      <c r="BK37" s="936"/>
      <c r="BL37" s="937"/>
      <c r="BM37" s="938"/>
      <c r="BN37" s="942"/>
      <c r="BO37" s="943"/>
      <c r="BP37" s="944"/>
      <c r="BQ37"/>
      <c r="BR37"/>
      <c r="BS37" s="967"/>
      <c r="BT37" s="967"/>
      <c r="BV37" s="926"/>
      <c r="BW37" s="926"/>
      <c r="BX37" s="926"/>
      <c r="BY37" s="927"/>
      <c r="BZ37" s="928"/>
      <c r="CB37" s="986"/>
      <c r="CC37" s="925"/>
      <c r="CD37" s="925"/>
      <c r="CE37" s="925"/>
      <c r="CF37" s="925"/>
      <c r="CG37" s="925"/>
      <c r="CH37" s="925"/>
      <c r="CI37" s="925"/>
      <c r="CJ37" s="977"/>
      <c r="CK37" s="977"/>
      <c r="CL37" s="977"/>
      <c r="CM37" s="977"/>
      <c r="CN37" s="977"/>
      <c r="CO37" s="977"/>
      <c r="CP37" s="977"/>
      <c r="CQ37" s="977"/>
      <c r="CR37" s="977"/>
      <c r="CS37" s="983"/>
      <c r="CT37" s="1056"/>
      <c r="CU37" s="979"/>
      <c r="CV37" s="925"/>
      <c r="CW37" s="925"/>
      <c r="CX37" s="925"/>
      <c r="CY37" s="925"/>
      <c r="CZ37" s="925"/>
      <c r="DA37" s="925"/>
      <c r="DD37" s="981"/>
      <c r="DE37" s="925"/>
      <c r="DF37" s="981"/>
      <c r="DG37" s="925"/>
      <c r="DH37" s="925"/>
      <c r="DI37" s="925"/>
      <c r="DJ37" s="925"/>
      <c r="DK37" s="925"/>
      <c r="DL37" s="925"/>
      <c r="DM37" s="925"/>
      <c r="DN37" s="925"/>
      <c r="DO37" s="925"/>
      <c r="DP37" s="925"/>
      <c r="DQ37" s="925"/>
      <c r="DR37" s="981"/>
      <c r="DS37" s="981"/>
      <c r="DT37" s="981"/>
      <c r="DU37" s="981"/>
      <c r="DV37" s="981"/>
      <c r="DW37" s="981"/>
      <c r="DX37" s="981"/>
      <c r="DY37" s="925"/>
      <c r="DZ37" s="925"/>
      <c r="EA37" s="925"/>
      <c r="EB37" s="925"/>
      <c r="EC37" s="925"/>
      <c r="ED37" s="925"/>
      <c r="EE37" s="925"/>
      <c r="EF37" s="925"/>
      <c r="EG37" s="925"/>
      <c r="EH37" s="925"/>
      <c r="EI37" s="925"/>
      <c r="EJ37" s="925"/>
      <c r="EK37" s="925"/>
      <c r="EL37" s="925"/>
      <c r="EM37" s="925"/>
      <c r="EN37" s="925"/>
    </row>
    <row r="38" spans="1:144" ht="16.350000000000001" customHeight="1">
      <c r="A38" s="462"/>
      <c r="B38" s="994"/>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row>
    <row r="39" spans="1:144" ht="16.350000000000001" hidden="1" customHeight="1">
      <c r="A39" s="462"/>
      <c r="B39" s="994"/>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462"/>
      <c r="BD39" s="462"/>
      <c r="BE39" s="462"/>
      <c r="BF39" s="462"/>
      <c r="BG39" s="462"/>
      <c r="BH39" s="462"/>
      <c r="BI39" s="462"/>
      <c r="BJ39" s="462"/>
      <c r="BK39"/>
      <c r="BL39"/>
      <c r="BM39"/>
      <c r="BN39"/>
      <c r="BO39"/>
      <c r="BP39"/>
      <c r="BQ39"/>
      <c r="BR39"/>
    </row>
    <row r="40" spans="1:144" ht="16.350000000000001" hidden="1" customHeight="1">
      <c r="A40"/>
      <c r="B40" s="1046"/>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row>
    <row r="41" spans="1:144" ht="16.350000000000001" hidden="1" customHeight="1">
      <c r="A41"/>
      <c r="B41" s="1046"/>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row>
    <row r="42" spans="1:144" ht="16.350000000000001" hidden="1" customHeight="1">
      <c r="A42"/>
      <c r="B42" s="1046"/>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row>
    <row r="43" spans="1:144" ht="16.350000000000001" hidden="1" customHeight="1">
      <c r="A43"/>
      <c r="B43" s="1046"/>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row>
    <row r="44" spans="1:144" ht="16.350000000000001" hidden="1" customHeight="1">
      <c r="A44"/>
      <c r="B44" s="1046"/>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row>
    <row r="45" spans="1:144" ht="16.350000000000001" hidden="1" customHeight="1">
      <c r="A45"/>
      <c r="B45" s="1046"/>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row>
    <row r="46" spans="1:144" ht="16.350000000000001" hidden="1" customHeight="1">
      <c r="A46"/>
      <c r="B46" s="10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row>
    <row r="47" spans="1:144" ht="16.350000000000001" hidden="1" customHeight="1">
      <c r="A47"/>
      <c r="B47" s="1046"/>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row>
    <row r="48" spans="1:144" ht="16.350000000000001"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s="16"/>
      <c r="AZ48" s="20"/>
      <c r="BA48"/>
      <c r="BB48"/>
      <c r="BC48" s="20"/>
      <c r="BD48" s="20"/>
      <c r="BE48"/>
      <c r="BF48"/>
      <c r="BG48"/>
      <c r="BH48"/>
      <c r="BI48"/>
      <c r="BJ48"/>
      <c r="BK48"/>
      <c r="BL48"/>
      <c r="BM48"/>
      <c r="BN48"/>
      <c r="BO48"/>
      <c r="BP48"/>
      <c r="BQ48"/>
      <c r="BR48"/>
    </row>
    <row r="49" spans="51:56" customFormat="1" ht="16.350000000000001" hidden="1" customHeight="1">
      <c r="AY49" s="16"/>
      <c r="AZ49" s="20"/>
      <c r="BC49" s="20"/>
      <c r="BD49" s="20"/>
    </row>
    <row r="50" spans="51:56" customFormat="1" ht="16.350000000000001" hidden="1" customHeight="1">
      <c r="AY50" s="16"/>
      <c r="AZ50" s="20"/>
      <c r="BC50" s="20"/>
      <c r="BD50" s="20"/>
    </row>
    <row r="51" spans="51:56" customFormat="1" ht="16.350000000000001" hidden="1" customHeight="1">
      <c r="AY51" s="16"/>
      <c r="AZ51" s="20"/>
      <c r="BC51" s="20"/>
      <c r="BD51" s="20"/>
    </row>
    <row r="52" spans="51:56" customFormat="1" ht="16.350000000000001" hidden="1" customHeight="1">
      <c r="AY52" s="16"/>
      <c r="AZ52" s="20"/>
      <c r="BC52" s="20"/>
      <c r="BD52" s="20"/>
    </row>
    <row r="53" spans="51:56" customFormat="1" ht="16.350000000000001" hidden="1" customHeight="1">
      <c r="AY53" s="16"/>
      <c r="AZ53" s="20"/>
      <c r="BC53" s="20"/>
      <c r="BD53" s="20"/>
    </row>
    <row r="54" spans="51:56" customFormat="1" ht="16.350000000000001" hidden="1" customHeight="1">
      <c r="AY54" s="16"/>
      <c r="AZ54" s="20"/>
      <c r="BC54" s="20"/>
      <c r="BD54" s="20"/>
    </row>
    <row r="55" spans="51:56" customFormat="1" ht="16.350000000000001" hidden="1" customHeight="1">
      <c r="AY55" s="16"/>
      <c r="AZ55" s="20"/>
      <c r="BC55" s="20"/>
      <c r="BD55" s="20"/>
    </row>
    <row r="56" spans="51:56" customFormat="1" ht="16.350000000000001" hidden="1" customHeight="1">
      <c r="AY56" s="16"/>
      <c r="AZ56" s="20"/>
      <c r="BC56" s="20"/>
      <c r="BD56" s="20"/>
    </row>
    <row r="57" spans="51:56" customFormat="1" ht="16.350000000000001" hidden="1" customHeight="1">
      <c r="AY57" s="16"/>
      <c r="AZ57" s="20"/>
      <c r="BC57" s="20"/>
      <c r="BD57" s="20"/>
    </row>
    <row r="58" spans="51:56" customFormat="1" ht="16.350000000000001" hidden="1" customHeight="1">
      <c r="AY58" s="16"/>
      <c r="AZ58" s="20"/>
      <c r="BC58" s="20"/>
      <c r="BD58" s="20"/>
    </row>
    <row r="59" spans="51:56" customFormat="1" ht="16.350000000000001" hidden="1" customHeight="1">
      <c r="AY59" s="16"/>
      <c r="AZ59" s="20"/>
      <c r="BC59" s="20"/>
      <c r="BD59" s="20"/>
    </row>
    <row r="60" spans="51:56" customFormat="1" ht="16.350000000000001" hidden="1" customHeight="1">
      <c r="AY60" s="16"/>
      <c r="AZ60" s="20"/>
      <c r="BC60" s="20"/>
      <c r="BD60" s="20"/>
    </row>
    <row r="61" spans="51:56" customFormat="1" ht="16.350000000000001" hidden="1" customHeight="1">
      <c r="AY61" s="16"/>
      <c r="AZ61" s="20"/>
      <c r="BC61" s="20"/>
      <c r="BD61" s="20"/>
    </row>
    <row r="62" spans="51:56" customFormat="1" ht="16.350000000000001" hidden="1" customHeight="1">
      <c r="AY62" s="16"/>
      <c r="AZ62" s="20"/>
      <c r="BC62" s="20"/>
      <c r="BD62" s="20"/>
    </row>
    <row r="63" spans="51:56" customFormat="1" ht="16.350000000000001" hidden="1" customHeight="1">
      <c r="AY63" s="16"/>
      <c r="AZ63" s="20"/>
      <c r="BC63" s="20"/>
      <c r="BD63" s="20"/>
    </row>
    <row r="64" spans="51:56" customFormat="1" ht="16.350000000000001" hidden="1" customHeight="1">
      <c r="AY64" s="16"/>
      <c r="AZ64" s="20"/>
      <c r="BC64" s="20"/>
      <c r="BD64" s="20"/>
    </row>
    <row r="65" spans="51:56" customFormat="1" ht="16.350000000000001" hidden="1" customHeight="1">
      <c r="AY65" s="16"/>
      <c r="AZ65" s="20"/>
      <c r="BC65" s="20"/>
      <c r="BD65" s="20"/>
    </row>
    <row r="66" spans="51:56" customFormat="1" ht="16.350000000000001" hidden="1" customHeight="1">
      <c r="AY66" s="16"/>
      <c r="AZ66" s="20"/>
      <c r="BC66" s="20"/>
      <c r="BD66" s="20"/>
    </row>
    <row r="67" spans="51:56" customFormat="1" ht="16.350000000000001" hidden="1" customHeight="1">
      <c r="AY67" s="16"/>
      <c r="AZ67" s="20"/>
      <c r="BC67" s="20"/>
      <c r="BD67" s="20"/>
    </row>
    <row r="68" spans="51:56" customFormat="1" ht="16.350000000000001" hidden="1" customHeight="1">
      <c r="AY68" s="16"/>
      <c r="AZ68" s="20"/>
      <c r="BC68" s="20"/>
      <c r="BD68" s="20"/>
    </row>
    <row r="69" spans="51:56" customFormat="1" ht="16.350000000000001" hidden="1" customHeight="1">
      <c r="AY69" s="16"/>
      <c r="AZ69" s="20"/>
      <c r="BC69" s="20"/>
      <c r="BD69" s="20"/>
    </row>
    <row r="70" spans="51:56" customFormat="1" ht="16.350000000000001" hidden="1" customHeight="1">
      <c r="AY70" s="16"/>
      <c r="AZ70" s="20"/>
      <c r="BC70" s="20"/>
      <c r="BD70" s="20"/>
    </row>
    <row r="71" spans="51:56" customFormat="1" ht="16.350000000000001" hidden="1" customHeight="1">
      <c r="AY71" s="16"/>
      <c r="AZ71" s="20"/>
      <c r="BC71" s="20"/>
      <c r="BD71" s="20"/>
    </row>
    <row r="72" spans="51:56" customFormat="1" ht="16.350000000000001" hidden="1" customHeight="1">
      <c r="AY72" s="16"/>
      <c r="AZ72" s="20"/>
      <c r="BC72" s="20"/>
      <c r="BD72" s="20"/>
    </row>
    <row r="73" spans="51:56" customFormat="1" ht="16.350000000000001" hidden="1" customHeight="1">
      <c r="AY73" s="16"/>
      <c r="AZ73" s="20"/>
      <c r="BC73" s="20"/>
      <c r="BD73" s="20"/>
    </row>
    <row r="74" spans="51:56" customFormat="1" ht="16.350000000000001" hidden="1" customHeight="1">
      <c r="AY74" s="16"/>
      <c r="AZ74" s="20"/>
      <c r="BC74" s="20"/>
      <c r="BD74" s="20"/>
    </row>
    <row r="75" spans="51:56" customFormat="1" ht="16.350000000000001" hidden="1" customHeight="1">
      <c r="AY75" s="16"/>
      <c r="AZ75" s="20"/>
      <c r="BC75" s="20"/>
      <c r="BD75" s="20"/>
    </row>
    <row r="76" spans="51:56" customFormat="1" ht="16.350000000000001" hidden="1" customHeight="1">
      <c r="AY76" s="16"/>
      <c r="AZ76" s="20"/>
      <c r="BC76" s="20"/>
      <c r="BD76" s="20"/>
    </row>
    <row r="77" spans="51:56" customFormat="1" ht="16.350000000000001" hidden="1" customHeight="1">
      <c r="AY77" s="16"/>
      <c r="AZ77" s="20"/>
      <c r="BC77" s="20"/>
      <c r="BD77" s="20"/>
    </row>
    <row r="78" spans="51:56" customFormat="1" ht="16.350000000000001" hidden="1" customHeight="1">
      <c r="AY78" s="16"/>
      <c r="AZ78" s="20"/>
      <c r="BC78" s="20"/>
      <c r="BD78" s="20"/>
    </row>
    <row r="79" spans="51:56" customFormat="1" ht="16.350000000000001" hidden="1" customHeight="1">
      <c r="AY79" s="16"/>
      <c r="AZ79" s="20"/>
      <c r="BC79" s="20"/>
      <c r="BD79" s="20"/>
    </row>
    <row r="80" spans="51:56" customFormat="1" ht="16.350000000000001" hidden="1" customHeight="1">
      <c r="AY80" s="16"/>
      <c r="AZ80" s="20"/>
      <c r="BC80" s="20"/>
      <c r="BD80" s="20"/>
    </row>
    <row r="81" spans="51:56" customFormat="1" ht="16.350000000000001" hidden="1" customHeight="1">
      <c r="AY81" s="16"/>
      <c r="AZ81" s="20"/>
      <c r="BC81" s="20"/>
      <c r="BD81" s="20"/>
    </row>
    <row r="82" spans="51:56" customFormat="1" ht="16.350000000000001" hidden="1" customHeight="1">
      <c r="AY82" s="16"/>
      <c r="AZ82" s="20"/>
      <c r="BC82" s="20"/>
      <c r="BD82" s="20"/>
    </row>
    <row r="83" spans="51:56" customFormat="1" ht="16.350000000000001" hidden="1" customHeight="1">
      <c r="AY83" s="16"/>
      <c r="AZ83" s="20"/>
      <c r="BC83" s="20"/>
      <c r="BD83" s="20"/>
    </row>
    <row r="84" spans="51:56" customFormat="1" ht="16.350000000000001" hidden="1" customHeight="1">
      <c r="AY84" s="16"/>
      <c r="AZ84" s="20"/>
      <c r="BC84" s="20"/>
      <c r="BD84" s="20"/>
    </row>
    <row r="85" spans="51:56" customFormat="1" ht="16.350000000000001" hidden="1" customHeight="1">
      <c r="AY85" s="16"/>
      <c r="AZ85" s="20"/>
      <c r="BC85" s="20"/>
      <c r="BD85" s="20"/>
    </row>
    <row r="86" spans="51:56" customFormat="1" ht="16.350000000000001" hidden="1" customHeight="1">
      <c r="AY86" s="16"/>
      <c r="AZ86" s="20"/>
      <c r="BC86" s="20"/>
      <c r="BD86" s="20"/>
    </row>
    <row r="87" spans="51:56" customFormat="1" ht="16.350000000000001" hidden="1" customHeight="1">
      <c r="AY87" s="16"/>
      <c r="AZ87" s="20"/>
      <c r="BC87" s="20"/>
      <c r="BD87" s="20"/>
    </row>
    <row r="88" spans="51:56" customFormat="1" ht="16.350000000000001" hidden="1" customHeight="1">
      <c r="AY88" s="16"/>
      <c r="AZ88" s="20"/>
      <c r="BC88" s="20"/>
      <c r="BD88" s="20"/>
    </row>
    <row r="89" spans="51:56" customFormat="1" ht="16.350000000000001" hidden="1" customHeight="1">
      <c r="AY89" s="16"/>
      <c r="AZ89" s="20"/>
      <c r="BC89" s="20"/>
      <c r="BD89" s="20"/>
    </row>
    <row r="90" spans="51:56" customFormat="1" ht="16.350000000000001" hidden="1" customHeight="1">
      <c r="AY90" s="16"/>
      <c r="AZ90" s="20"/>
      <c r="BC90" s="20"/>
      <c r="BD90" s="20"/>
    </row>
    <row r="91" spans="51:56" customFormat="1" ht="16.350000000000001" hidden="1" customHeight="1">
      <c r="AY91" s="16"/>
      <c r="AZ91" s="20"/>
      <c r="BC91" s="20"/>
      <c r="BD91" s="20"/>
    </row>
    <row r="92" spans="51:56" customFormat="1" ht="16.350000000000001" hidden="1" customHeight="1">
      <c r="AY92" s="16"/>
      <c r="AZ92" s="20"/>
      <c r="BC92" s="20"/>
      <c r="BD92" s="20"/>
    </row>
    <row r="93" spans="51:56" customFormat="1" ht="16.350000000000001" hidden="1" customHeight="1">
      <c r="AY93" s="16"/>
      <c r="AZ93" s="20"/>
      <c r="BC93" s="20"/>
      <c r="BD93" s="20"/>
    </row>
    <row r="94" spans="51:56" customFormat="1" ht="16.350000000000001" hidden="1" customHeight="1">
      <c r="AY94" s="16"/>
      <c r="AZ94" s="20"/>
      <c r="BC94" s="20"/>
      <c r="BD94" s="20"/>
    </row>
    <row r="95" spans="51:56" customFormat="1" ht="16.350000000000001" hidden="1" customHeight="1">
      <c r="AY95" s="16"/>
      <c r="AZ95" s="20"/>
      <c r="BC95" s="20"/>
      <c r="BD95" s="20"/>
    </row>
    <row r="96" spans="51:56" customFormat="1" ht="16.350000000000001" hidden="1" customHeight="1">
      <c r="AY96" s="16"/>
      <c r="AZ96" s="20"/>
      <c r="BC96" s="20"/>
      <c r="BD96" s="20"/>
    </row>
    <row r="97" spans="51:56" customFormat="1" ht="16.350000000000001" hidden="1" customHeight="1">
      <c r="AY97" s="16"/>
      <c r="AZ97" s="20"/>
      <c r="BC97" s="20"/>
      <c r="BD97" s="20"/>
    </row>
    <row r="98" spans="51:56" customFormat="1" ht="16.350000000000001" hidden="1" customHeight="1">
      <c r="AY98" s="16"/>
      <c r="AZ98" s="20"/>
      <c r="BC98" s="20"/>
      <c r="BD98" s="20"/>
    </row>
    <row r="99" spans="51:56" customFormat="1" ht="16.350000000000001" hidden="1" customHeight="1">
      <c r="AY99" s="16"/>
      <c r="AZ99" s="20"/>
      <c r="BC99" s="20"/>
      <c r="BD99" s="20"/>
    </row>
    <row r="100" spans="51:56" customFormat="1" ht="16.350000000000001" hidden="1" customHeight="1">
      <c r="AY100" s="16"/>
      <c r="AZ100" s="20"/>
      <c r="BC100" s="20"/>
      <c r="BD100" s="20"/>
    </row>
    <row r="101" spans="51:56" customFormat="1" ht="16.350000000000001" hidden="1" customHeight="1">
      <c r="AY101" s="16"/>
      <c r="AZ101" s="20"/>
      <c r="BC101" s="20"/>
      <c r="BD101" s="20"/>
    </row>
    <row r="102" spans="51:56" customFormat="1" ht="16.350000000000001" hidden="1" customHeight="1">
      <c r="AY102" s="16"/>
      <c r="AZ102" s="20"/>
      <c r="BC102" s="20"/>
      <c r="BD102" s="20"/>
    </row>
    <row r="103" spans="51:56" customFormat="1" ht="16.350000000000001" hidden="1" customHeight="1">
      <c r="AY103" s="16"/>
      <c r="AZ103" s="20"/>
      <c r="BC103" s="20"/>
      <c r="BD103" s="20"/>
    </row>
    <row r="104" spans="51:56" customFormat="1" ht="16.350000000000001" hidden="1" customHeight="1">
      <c r="AY104" s="16"/>
      <c r="AZ104" s="20"/>
      <c r="BC104" s="20"/>
      <c r="BD104" s="20"/>
    </row>
    <row r="105" spans="51:56" customFormat="1" ht="16.350000000000001" hidden="1" customHeight="1">
      <c r="AY105" s="16"/>
      <c r="AZ105" s="20"/>
      <c r="BC105" s="20"/>
      <c r="BD105" s="20"/>
    </row>
    <row r="106" spans="51:56" customFormat="1" ht="16.350000000000001" hidden="1" customHeight="1">
      <c r="AY106" s="16"/>
      <c r="AZ106" s="20"/>
      <c r="BC106" s="20"/>
      <c r="BD106" s="20"/>
    </row>
    <row r="107" spans="51:56" customFormat="1" ht="16.350000000000001" hidden="1" customHeight="1">
      <c r="AY107" s="16"/>
      <c r="AZ107" s="20"/>
      <c r="BC107" s="20"/>
      <c r="BD107" s="20"/>
    </row>
    <row r="108" spans="51:56" customFormat="1" ht="16.350000000000001" hidden="1" customHeight="1">
      <c r="AY108" s="16"/>
      <c r="AZ108" s="20"/>
      <c r="BC108" s="20"/>
      <c r="BD108" s="20"/>
    </row>
    <row r="109" spans="51:56" customFormat="1" ht="16.350000000000001" hidden="1" customHeight="1">
      <c r="AY109" s="16"/>
      <c r="AZ109" s="20"/>
      <c r="BC109" s="20"/>
      <c r="BD109" s="20"/>
    </row>
    <row r="110" spans="51:56" customFormat="1" ht="16.350000000000001" hidden="1" customHeight="1">
      <c r="AY110" s="16"/>
      <c r="AZ110" s="20"/>
      <c r="BC110" s="20"/>
      <c r="BD110" s="20"/>
    </row>
    <row r="111" spans="51:56" customFormat="1" ht="16.350000000000001" hidden="1" customHeight="1">
      <c r="AY111" s="16"/>
      <c r="AZ111" s="20"/>
      <c r="BC111" s="20"/>
      <c r="BD111" s="20"/>
    </row>
    <row r="112" spans="51:56" customFormat="1" ht="16.350000000000001" hidden="1" customHeight="1">
      <c r="AY112" s="16"/>
      <c r="AZ112" s="20"/>
      <c r="BC112" s="20"/>
      <c r="BD112" s="20"/>
    </row>
    <row r="113" spans="51:56" customFormat="1" ht="16.350000000000001" hidden="1" customHeight="1">
      <c r="AY113" s="16"/>
      <c r="AZ113" s="20"/>
      <c r="BC113" s="20"/>
      <c r="BD113" s="20"/>
    </row>
    <row r="114" spans="51:56" customFormat="1" ht="16.350000000000001" hidden="1" customHeight="1">
      <c r="AY114" s="16"/>
      <c r="AZ114" s="20"/>
      <c r="BC114" s="20"/>
      <c r="BD114" s="20"/>
    </row>
    <row r="115" spans="51:56" customFormat="1" ht="16.350000000000001" hidden="1" customHeight="1">
      <c r="AY115" s="16"/>
      <c r="AZ115" s="20"/>
      <c r="BC115" s="20"/>
      <c r="BD115" s="20"/>
    </row>
    <row r="116" spans="51:56" customFormat="1" ht="16.350000000000001" hidden="1" customHeight="1">
      <c r="AY116" s="16"/>
      <c r="AZ116" s="20"/>
      <c r="BC116" s="20"/>
      <c r="BD116" s="20"/>
    </row>
    <row r="117" spans="51:56" customFormat="1" ht="16.350000000000001" hidden="1" customHeight="1">
      <c r="AY117" s="16"/>
      <c r="AZ117" s="20"/>
      <c r="BC117" s="20"/>
      <c r="BD117" s="20"/>
    </row>
    <row r="118" spans="51:56" customFormat="1" ht="16.350000000000001" hidden="1" customHeight="1">
      <c r="AY118" s="16"/>
      <c r="AZ118" s="20"/>
      <c r="BC118" s="20"/>
      <c r="BD118" s="20"/>
    </row>
    <row r="119" spans="51:56" customFormat="1" ht="16.350000000000001" hidden="1" customHeight="1">
      <c r="AY119" s="16"/>
      <c r="AZ119" s="20"/>
      <c r="BC119" s="20"/>
      <c r="BD119" s="20"/>
    </row>
    <row r="120" spans="51:56" customFormat="1" ht="16.350000000000001" hidden="1" customHeight="1">
      <c r="AY120" s="16"/>
      <c r="AZ120" s="20"/>
      <c r="BC120" s="20"/>
      <c r="BD120" s="20"/>
    </row>
    <row r="121" spans="51:56" customFormat="1" ht="16.350000000000001" hidden="1" customHeight="1">
      <c r="AY121" s="16"/>
      <c r="AZ121" s="20"/>
      <c r="BC121" s="20"/>
      <c r="BD121" s="20"/>
    </row>
    <row r="122" spans="51:56" customFormat="1" ht="16.350000000000001" hidden="1" customHeight="1">
      <c r="AY122" s="16"/>
      <c r="AZ122" s="20"/>
      <c r="BC122" s="20"/>
      <c r="BD122" s="20"/>
    </row>
    <row r="123" spans="51:56" customFormat="1" ht="16.350000000000001" hidden="1" customHeight="1">
      <c r="AY123" s="16"/>
      <c r="AZ123" s="20"/>
      <c r="BC123" s="20"/>
      <c r="BD123" s="20"/>
    </row>
    <row r="124" spans="51:56" customFormat="1" ht="16.350000000000001" hidden="1" customHeight="1">
      <c r="AY124" s="16"/>
      <c r="AZ124" s="20"/>
      <c r="BC124" s="20"/>
      <c r="BD124" s="20"/>
    </row>
    <row r="125" spans="51:56" customFormat="1" ht="16.350000000000001" hidden="1" customHeight="1">
      <c r="AY125" s="16"/>
      <c r="AZ125" s="20"/>
      <c r="BC125" s="20"/>
      <c r="BD125" s="20"/>
    </row>
    <row r="126" spans="51:56" customFormat="1" ht="16.350000000000001" hidden="1" customHeight="1">
      <c r="AY126" s="16"/>
      <c r="AZ126" s="20"/>
      <c r="BC126" s="20"/>
      <c r="BD126" s="20"/>
    </row>
    <row r="127" spans="51:56" customFormat="1" ht="16.350000000000001" hidden="1" customHeight="1">
      <c r="AY127" s="16"/>
      <c r="AZ127" s="20"/>
      <c r="BC127" s="20"/>
      <c r="BD127" s="20"/>
    </row>
    <row r="128" spans="51:56" customFormat="1" ht="16.350000000000001" hidden="1" customHeight="1">
      <c r="AY128" s="16"/>
      <c r="AZ128" s="20"/>
      <c r="BC128" s="20"/>
      <c r="BD128" s="20"/>
    </row>
    <row r="129" spans="51:56" customFormat="1" ht="16.350000000000001" hidden="1" customHeight="1">
      <c r="AY129" s="16"/>
      <c r="AZ129" s="20"/>
      <c r="BC129" s="20"/>
      <c r="BD129" s="20"/>
    </row>
    <row r="130" spans="51:56" customFormat="1" ht="16.350000000000001" hidden="1" customHeight="1">
      <c r="AY130" s="16"/>
      <c r="AZ130" s="20"/>
      <c r="BC130" s="20"/>
      <c r="BD130" s="20"/>
    </row>
    <row r="131" spans="51:56" customFormat="1" ht="16.350000000000001" hidden="1" customHeight="1">
      <c r="AY131" s="16"/>
      <c r="AZ131" s="20"/>
      <c r="BC131" s="20"/>
      <c r="BD131" s="20"/>
    </row>
    <row r="132" spans="51:56" customFormat="1" ht="16.350000000000001" hidden="1" customHeight="1">
      <c r="AY132" s="16"/>
      <c r="AZ132" s="20"/>
      <c r="BC132" s="20"/>
      <c r="BD132" s="20"/>
    </row>
    <row r="133" spans="51:56" customFormat="1" ht="16.350000000000001" hidden="1" customHeight="1">
      <c r="AY133" s="16"/>
      <c r="AZ133" s="20"/>
      <c r="BC133" s="20"/>
      <c r="BD133" s="20"/>
    </row>
    <row r="134" spans="51:56" customFormat="1" ht="16.350000000000001" hidden="1" customHeight="1">
      <c r="AY134" s="16"/>
      <c r="AZ134" s="20"/>
      <c r="BC134" s="20"/>
      <c r="BD134" s="20"/>
    </row>
    <row r="135" spans="51:56" customFormat="1" ht="16.350000000000001" hidden="1" customHeight="1">
      <c r="AY135" s="16"/>
      <c r="AZ135" s="20"/>
      <c r="BC135" s="20"/>
      <c r="BD135" s="20"/>
    </row>
    <row r="136" spans="51:56" customFormat="1" ht="16.350000000000001" hidden="1" customHeight="1">
      <c r="AY136" s="16"/>
      <c r="AZ136" s="20"/>
      <c r="BC136" s="20"/>
      <c r="BD136" s="20"/>
    </row>
    <row r="137" spans="51:56" customFormat="1" ht="16.350000000000001" hidden="1" customHeight="1">
      <c r="AY137" s="16"/>
      <c r="AZ137" s="20"/>
      <c r="BC137" s="20"/>
      <c r="BD137" s="20"/>
    </row>
    <row r="138" spans="51:56" customFormat="1" ht="16.350000000000001" hidden="1" customHeight="1">
      <c r="AY138" s="16"/>
      <c r="AZ138" s="20"/>
      <c r="BC138" s="20"/>
      <c r="BD138" s="20"/>
    </row>
    <row r="139" spans="51:56" customFormat="1" ht="16.350000000000001" hidden="1" customHeight="1">
      <c r="AY139" s="16"/>
      <c r="AZ139" s="20"/>
      <c r="BC139" s="20"/>
      <c r="BD139" s="20"/>
    </row>
    <row r="140" spans="51:56" customFormat="1" ht="16.350000000000001" hidden="1" customHeight="1">
      <c r="AY140" s="16"/>
      <c r="AZ140" s="20"/>
      <c r="BC140" s="20"/>
      <c r="BD140" s="20"/>
    </row>
    <row r="141" spans="51:56" customFormat="1" ht="16.350000000000001" hidden="1" customHeight="1">
      <c r="AY141" s="16"/>
      <c r="AZ141" s="20"/>
      <c r="BC141" s="20"/>
      <c r="BD141" s="20"/>
    </row>
    <row r="142" spans="51:56" customFormat="1" ht="16.350000000000001" hidden="1" customHeight="1">
      <c r="AY142" s="16"/>
      <c r="AZ142" s="20"/>
      <c r="BC142" s="20"/>
      <c r="BD142" s="20"/>
    </row>
    <row r="143" spans="51:56" customFormat="1" ht="16.350000000000001" hidden="1" customHeight="1">
      <c r="AY143" s="16"/>
      <c r="AZ143" s="20"/>
      <c r="BC143" s="20"/>
      <c r="BD143" s="20"/>
    </row>
    <row r="144" spans="51:56" customFormat="1" ht="16.350000000000001" hidden="1" customHeight="1">
      <c r="AY144" s="16"/>
      <c r="AZ144" s="20"/>
      <c r="BC144" s="20"/>
      <c r="BD144" s="20"/>
    </row>
    <row r="145" spans="51:56" customFormat="1" ht="16.350000000000001" hidden="1" customHeight="1">
      <c r="AY145" s="16"/>
      <c r="AZ145" s="20"/>
      <c r="BC145" s="20"/>
      <c r="BD145" s="20"/>
    </row>
    <row r="146" spans="51:56" customFormat="1" ht="16.350000000000001" hidden="1" customHeight="1">
      <c r="AY146" s="16"/>
      <c r="AZ146" s="20"/>
      <c r="BC146" s="20"/>
      <c r="BD146" s="20"/>
    </row>
    <row r="147" spans="51:56" customFormat="1" ht="16.350000000000001" hidden="1" customHeight="1">
      <c r="AY147" s="16"/>
      <c r="AZ147" s="20"/>
      <c r="BC147" s="20"/>
      <c r="BD147" s="20"/>
    </row>
    <row r="148" spans="51:56" customFormat="1" ht="16.350000000000001" hidden="1" customHeight="1">
      <c r="AY148" s="16"/>
      <c r="AZ148" s="20"/>
      <c r="BC148" s="20"/>
      <c r="BD148" s="20"/>
    </row>
    <row r="149" spans="51:56" customFormat="1" ht="16.350000000000001" hidden="1" customHeight="1">
      <c r="AY149" s="16"/>
      <c r="AZ149" s="20"/>
      <c r="BC149" s="20"/>
      <c r="BD149" s="20"/>
    </row>
    <row r="150" spans="51:56" customFormat="1" ht="16.350000000000001" hidden="1" customHeight="1">
      <c r="AY150" s="16"/>
      <c r="AZ150" s="20"/>
      <c r="BC150" s="20"/>
      <c r="BD150" s="20"/>
    </row>
    <row r="151" spans="51:56" customFormat="1" ht="16.350000000000001" hidden="1" customHeight="1">
      <c r="AY151" s="16"/>
      <c r="AZ151" s="20"/>
      <c r="BC151" s="20"/>
      <c r="BD151" s="20"/>
    </row>
    <row r="152" spans="51:56" customFormat="1" ht="16.350000000000001" hidden="1" customHeight="1">
      <c r="AY152" s="16"/>
      <c r="AZ152" s="20"/>
      <c r="BC152" s="20"/>
      <c r="BD152" s="20"/>
    </row>
    <row r="153" spans="51:56" customFormat="1" ht="16.350000000000001" hidden="1" customHeight="1">
      <c r="AY153" s="16"/>
      <c r="AZ153" s="20"/>
      <c r="BC153" s="20"/>
      <c r="BD153" s="20"/>
    </row>
    <row r="154" spans="51:56" customFormat="1" ht="16.350000000000001" hidden="1" customHeight="1">
      <c r="AY154" s="16"/>
      <c r="AZ154" s="20"/>
      <c r="BC154" s="20"/>
      <c r="BD154" s="20"/>
    </row>
    <row r="155" spans="51:56" customFormat="1" ht="16.350000000000001" hidden="1" customHeight="1">
      <c r="AY155" s="16"/>
      <c r="AZ155" s="20"/>
      <c r="BC155" s="20"/>
      <c r="BD155" s="20"/>
    </row>
    <row r="156" spans="51:56" customFormat="1" ht="16.350000000000001" hidden="1" customHeight="1">
      <c r="AY156" s="16"/>
      <c r="AZ156" s="20"/>
      <c r="BC156" s="20"/>
      <c r="BD156" s="20"/>
    </row>
    <row r="157" spans="51:56" customFormat="1" ht="16.350000000000001" hidden="1" customHeight="1">
      <c r="AY157" s="16"/>
      <c r="AZ157" s="20"/>
      <c r="BC157" s="20"/>
      <c r="BD157" s="20"/>
    </row>
    <row r="158" spans="51:56" customFormat="1" ht="16.350000000000001" hidden="1" customHeight="1">
      <c r="AY158" s="16"/>
      <c r="AZ158" s="20"/>
      <c r="BC158" s="20"/>
      <c r="BD158" s="20"/>
    </row>
    <row r="159" spans="51:56" customFormat="1" ht="16.350000000000001" hidden="1" customHeight="1">
      <c r="AY159" s="16"/>
      <c r="AZ159" s="20"/>
      <c r="BC159" s="20"/>
      <c r="BD159" s="20"/>
    </row>
    <row r="160" spans="51:56" customFormat="1" ht="16.350000000000001" hidden="1" customHeight="1">
      <c r="AY160" s="16"/>
      <c r="AZ160" s="20"/>
      <c r="BC160" s="20"/>
      <c r="BD160" s="20"/>
    </row>
    <row r="161" spans="51:56" customFormat="1" ht="16.350000000000001" hidden="1" customHeight="1">
      <c r="AY161" s="16"/>
      <c r="AZ161" s="20"/>
      <c r="BC161" s="20"/>
      <c r="BD161" s="20"/>
    </row>
    <row r="162" spans="51:56" customFormat="1" ht="16.350000000000001" hidden="1" customHeight="1">
      <c r="AY162" s="16"/>
      <c r="AZ162" s="20"/>
      <c r="BC162" s="20"/>
      <c r="BD162" s="20"/>
    </row>
    <row r="163" spans="51:56" customFormat="1" ht="16.350000000000001" hidden="1" customHeight="1">
      <c r="AY163" s="16"/>
      <c r="AZ163" s="20"/>
      <c r="BC163" s="20"/>
      <c r="BD163" s="20"/>
    </row>
    <row r="164" spans="51:56" customFormat="1" ht="16.350000000000001" hidden="1" customHeight="1">
      <c r="AY164" s="16"/>
      <c r="AZ164" s="20"/>
      <c r="BC164" s="20"/>
      <c r="BD164" s="20"/>
    </row>
    <row r="165" spans="51:56" customFormat="1" ht="16.350000000000001" hidden="1" customHeight="1">
      <c r="AY165" s="16"/>
      <c r="AZ165" s="20"/>
      <c r="BC165" s="20"/>
      <c r="BD165" s="20"/>
    </row>
    <row r="166" spans="51:56" customFormat="1" ht="16.350000000000001" hidden="1" customHeight="1">
      <c r="AY166" s="16"/>
      <c r="AZ166" s="20"/>
      <c r="BC166" s="20"/>
      <c r="BD166" s="20"/>
    </row>
    <row r="167" spans="51:56" customFormat="1" ht="16.350000000000001" hidden="1" customHeight="1">
      <c r="AY167" s="16"/>
      <c r="AZ167" s="20"/>
      <c r="BC167" s="20"/>
      <c r="BD167" s="20"/>
    </row>
    <row r="168" spans="51:56" customFormat="1" ht="16.350000000000001" hidden="1" customHeight="1">
      <c r="AY168" s="16"/>
      <c r="AZ168" s="20"/>
      <c r="BC168" s="20"/>
      <c r="BD168" s="20"/>
    </row>
    <row r="169" spans="51:56" customFormat="1" ht="16.350000000000001" hidden="1" customHeight="1">
      <c r="AY169" s="16"/>
      <c r="AZ169" s="20"/>
      <c r="BC169" s="20"/>
      <c r="BD169" s="20"/>
    </row>
    <row r="170" spans="51:56" customFormat="1" ht="16.350000000000001" hidden="1" customHeight="1">
      <c r="AY170" s="16"/>
      <c r="AZ170" s="20"/>
      <c r="BC170" s="20"/>
      <c r="BD170" s="20"/>
    </row>
    <row r="171" spans="51:56" customFormat="1" ht="16.350000000000001" hidden="1" customHeight="1">
      <c r="AY171" s="16"/>
      <c r="AZ171" s="20"/>
      <c r="BC171" s="20"/>
      <c r="BD171" s="20"/>
    </row>
    <row r="172" spans="51:56" customFormat="1" ht="16.350000000000001" hidden="1" customHeight="1">
      <c r="AY172" s="16"/>
      <c r="AZ172" s="20"/>
      <c r="BC172" s="20"/>
      <c r="BD172" s="20"/>
    </row>
    <row r="173" spans="51:56" customFormat="1" ht="16.350000000000001" hidden="1" customHeight="1">
      <c r="AY173" s="16"/>
      <c r="AZ173" s="20"/>
      <c r="BC173" s="20"/>
      <c r="BD173" s="20"/>
    </row>
    <row r="174" spans="51:56" customFormat="1" ht="16.350000000000001" hidden="1" customHeight="1">
      <c r="AY174" s="16"/>
      <c r="AZ174" s="20"/>
      <c r="BC174" s="20"/>
      <c r="BD174" s="20"/>
    </row>
    <row r="175" spans="51:56" customFormat="1" ht="16.350000000000001" hidden="1" customHeight="1">
      <c r="AY175" s="16"/>
      <c r="AZ175" s="20"/>
      <c r="BC175" s="20"/>
      <c r="BD175" s="20"/>
    </row>
    <row r="176" spans="51:56" customFormat="1" ht="16.350000000000001" hidden="1" customHeight="1">
      <c r="AY176" s="16"/>
      <c r="AZ176" s="20"/>
      <c r="BC176" s="20"/>
      <c r="BD176" s="20"/>
    </row>
    <row r="177" spans="51:56" customFormat="1" ht="16.350000000000001" hidden="1" customHeight="1">
      <c r="AY177" s="16"/>
      <c r="AZ177" s="20"/>
      <c r="BC177" s="20"/>
      <c r="BD177" s="20"/>
    </row>
    <row r="178" spans="51:56" customFormat="1" ht="16.350000000000001" hidden="1" customHeight="1">
      <c r="AY178" s="16"/>
      <c r="AZ178" s="20"/>
      <c r="BC178" s="20"/>
      <c r="BD178" s="20"/>
    </row>
    <row r="179" spans="51:56" customFormat="1" ht="16.350000000000001" hidden="1" customHeight="1">
      <c r="AY179" s="16"/>
      <c r="AZ179" s="20"/>
      <c r="BC179" s="20"/>
      <c r="BD179" s="20"/>
    </row>
    <row r="180" spans="51:56" customFormat="1" ht="16.350000000000001" hidden="1" customHeight="1">
      <c r="AY180" s="16"/>
      <c r="AZ180" s="20"/>
      <c r="BC180" s="20"/>
      <c r="BD180" s="20"/>
    </row>
    <row r="181" spans="51:56" customFormat="1" ht="16.350000000000001" hidden="1" customHeight="1">
      <c r="AY181" s="16"/>
      <c r="AZ181" s="20"/>
      <c r="BC181" s="20"/>
      <c r="BD181" s="20"/>
    </row>
    <row r="182" spans="51:56" customFormat="1" ht="16.350000000000001" hidden="1" customHeight="1">
      <c r="AY182" s="16"/>
      <c r="AZ182" s="20"/>
      <c r="BC182" s="20"/>
      <c r="BD182" s="20"/>
    </row>
    <row r="183" spans="51:56" customFormat="1" ht="16.350000000000001" hidden="1" customHeight="1">
      <c r="AY183" s="16"/>
      <c r="AZ183" s="20"/>
      <c r="BC183" s="20"/>
      <c r="BD183" s="20"/>
    </row>
    <row r="184" spans="51:56" customFormat="1" ht="16.350000000000001" hidden="1" customHeight="1">
      <c r="AY184" s="16"/>
      <c r="AZ184" s="20"/>
      <c r="BC184" s="20"/>
      <c r="BD184" s="20"/>
    </row>
    <row r="185" spans="51:56" customFormat="1" ht="16.350000000000001" hidden="1" customHeight="1">
      <c r="AY185" s="16"/>
      <c r="AZ185" s="20"/>
      <c r="BC185" s="20"/>
      <c r="BD185" s="20"/>
    </row>
    <row r="186" spans="51:56" customFormat="1" ht="16.350000000000001" hidden="1" customHeight="1">
      <c r="AY186" s="16"/>
      <c r="AZ186" s="20"/>
      <c r="BC186" s="20"/>
      <c r="BD186" s="20"/>
    </row>
    <row r="187" spans="51:56" customFormat="1" ht="16.350000000000001" hidden="1" customHeight="1">
      <c r="AY187" s="16"/>
      <c r="AZ187" s="20"/>
      <c r="BC187" s="20"/>
      <c r="BD187" s="20"/>
    </row>
    <row r="188" spans="51:56" customFormat="1" ht="16.350000000000001" hidden="1" customHeight="1">
      <c r="AY188" s="16"/>
      <c r="AZ188" s="20"/>
      <c r="BC188" s="20"/>
      <c r="BD188" s="20"/>
    </row>
    <row r="189" spans="51:56" customFormat="1" ht="16.350000000000001" hidden="1" customHeight="1">
      <c r="AY189" s="16"/>
      <c r="AZ189" s="20"/>
      <c r="BC189" s="20"/>
      <c r="BD189" s="20"/>
    </row>
    <row r="190" spans="51:56" customFormat="1" ht="16.350000000000001" hidden="1" customHeight="1">
      <c r="AY190" s="16"/>
      <c r="AZ190" s="20"/>
      <c r="BC190" s="20"/>
      <c r="BD190" s="20"/>
    </row>
    <row r="191" spans="51:56" customFormat="1" ht="16.350000000000001" hidden="1" customHeight="1">
      <c r="AY191" s="16"/>
      <c r="AZ191" s="20"/>
      <c r="BC191" s="20"/>
      <c r="BD191" s="20"/>
    </row>
    <row r="192" spans="51:56" customFormat="1" ht="16.350000000000001" hidden="1" customHeight="1">
      <c r="AY192" s="16"/>
      <c r="AZ192" s="20"/>
      <c r="BC192" s="20"/>
      <c r="BD192" s="20"/>
    </row>
    <row r="193" spans="1:70" ht="16.350000000000001" hidden="1" customHeigh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s="16"/>
      <c r="AZ193" s="20"/>
      <c r="BA193"/>
      <c r="BB193"/>
      <c r="BC193" s="20"/>
      <c r="BD193" s="20"/>
      <c r="BE193"/>
      <c r="BF193"/>
      <c r="BG193"/>
      <c r="BH193"/>
      <c r="BI193"/>
      <c r="BJ193"/>
      <c r="BK193"/>
      <c r="BL193"/>
      <c r="BM193"/>
      <c r="BN193"/>
      <c r="BO193"/>
      <c r="BP193"/>
      <c r="BQ193"/>
      <c r="BR193"/>
    </row>
    <row r="194" spans="1:70" ht="16.350000000000001" hidden="1" customHeigh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s="16"/>
      <c r="AZ194" s="20"/>
      <c r="BA194"/>
      <c r="BB194"/>
      <c r="BC194" s="20"/>
      <c r="BD194" s="20"/>
      <c r="BE194"/>
      <c r="BF194"/>
      <c r="BG194"/>
      <c r="BH194"/>
      <c r="BI194"/>
      <c r="BJ194"/>
      <c r="BK194"/>
      <c r="BL194"/>
      <c r="BM194"/>
      <c r="BN194"/>
      <c r="BO194"/>
      <c r="BP194"/>
      <c r="BQ194"/>
      <c r="BR194"/>
    </row>
    <row r="195" spans="1:70" ht="16.350000000000001" hidden="1"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s="16"/>
      <c r="AZ195" s="20"/>
      <c r="BA195"/>
      <c r="BB195"/>
      <c r="BC195" s="20"/>
      <c r="BD195" s="20"/>
      <c r="BE195"/>
      <c r="BF195"/>
      <c r="BG195"/>
      <c r="BH195"/>
      <c r="BI195"/>
      <c r="BJ195"/>
      <c r="BK195"/>
      <c r="BL195"/>
      <c r="BM195"/>
      <c r="BN195"/>
      <c r="BO195"/>
      <c r="BP195"/>
      <c r="BQ195"/>
      <c r="BR195"/>
    </row>
    <row r="196" spans="1:70" ht="16.350000000000001" hidden="1" customHeight="1">
      <c r="A196"/>
      <c r="B196"/>
      <c r="C196"/>
      <c r="D196"/>
      <c r="E196"/>
      <c r="F196"/>
      <c r="G196"/>
      <c r="H196"/>
      <c r="I196"/>
      <c r="J196"/>
      <c r="K196"/>
      <c r="L196"/>
      <c r="M196"/>
      <c r="N196"/>
      <c r="O196" s="919"/>
      <c r="P196" s="919"/>
      <c r="Q196" s="919"/>
      <c r="R196" s="919"/>
      <c r="S196" s="919"/>
      <c r="T196" s="919"/>
      <c r="U196" s="919"/>
      <c r="V196" s="919"/>
      <c r="W196" s="919"/>
      <c r="X196" s="919"/>
      <c r="Y196" s="919"/>
      <c r="Z196" s="919"/>
      <c r="AA196" s="919"/>
      <c r="AB196" s="919"/>
      <c r="AC196" s="919"/>
      <c r="AD196" s="919"/>
      <c r="AE196" s="919"/>
      <c r="AF196" s="919"/>
      <c r="AG196" s="919"/>
      <c r="AH196" s="919"/>
      <c r="AI196" s="919"/>
      <c r="AJ196" s="919"/>
      <c r="AK196" s="919"/>
      <c r="AL196" s="919"/>
      <c r="AM196" s="919"/>
      <c r="AN196" s="919"/>
      <c r="AO196" s="919"/>
      <c r="AP196" s="919"/>
      <c r="AQ196" s="919"/>
      <c r="AR196" s="919"/>
      <c r="AS196" s="919"/>
      <c r="AT196" s="919"/>
      <c r="AU196" s="919"/>
      <c r="AV196" s="919"/>
      <c r="AW196" s="919"/>
      <c r="AX196" s="919"/>
      <c r="AY196" s="919"/>
      <c r="AZ196"/>
      <c r="BA196"/>
      <c r="BB196"/>
      <c r="BC196"/>
      <c r="BD196"/>
      <c r="BE196"/>
      <c r="BF196"/>
      <c r="BG196"/>
      <c r="BH196"/>
      <c r="BI196"/>
      <c r="BJ196"/>
      <c r="BK196"/>
      <c r="BL196"/>
      <c r="BM196"/>
      <c r="BN196"/>
      <c r="BO196"/>
      <c r="BP196"/>
      <c r="BQ196"/>
      <c r="BR196"/>
    </row>
    <row r="197" spans="1:70" ht="16.350000000000001" hidden="1" customHeight="1">
      <c r="A197"/>
      <c r="B197"/>
      <c r="C197"/>
      <c r="D197"/>
      <c r="E197"/>
      <c r="F197"/>
      <c r="G197"/>
      <c r="H197"/>
      <c r="I197"/>
      <c r="J197"/>
      <c r="K197"/>
      <c r="L197"/>
      <c r="M197"/>
      <c r="N197"/>
      <c r="O197" s="919"/>
      <c r="P197" s="919"/>
      <c r="Q197" s="919"/>
      <c r="R197" s="919"/>
      <c r="S197" s="919"/>
      <c r="T197" s="919"/>
      <c r="U197" s="919"/>
      <c r="V197" s="919"/>
      <c r="W197" s="919"/>
      <c r="X197" s="919"/>
      <c r="Y197" s="919"/>
      <c r="Z197" s="919"/>
      <c r="AA197" s="919"/>
      <c r="AB197" s="919"/>
      <c r="AC197" s="919"/>
      <c r="AD197" s="919"/>
      <c r="AE197" s="919"/>
      <c r="AF197" s="919"/>
      <c r="AG197" s="919"/>
      <c r="AH197" s="919"/>
      <c r="AI197" s="919"/>
      <c r="AJ197" s="919"/>
      <c r="AK197" s="919"/>
      <c r="AL197" s="919"/>
      <c r="AM197" s="919"/>
      <c r="AN197" s="919"/>
      <c r="AO197" s="919"/>
      <c r="AP197" s="919"/>
      <c r="AQ197" s="919"/>
      <c r="AR197" s="919"/>
      <c r="AS197" s="919"/>
      <c r="AT197" s="919"/>
      <c r="AU197" s="919"/>
      <c r="AV197" s="919"/>
      <c r="AW197" s="919"/>
      <c r="AX197" s="919"/>
      <c r="AY197" s="919"/>
      <c r="AZ197"/>
      <c r="BA197"/>
      <c r="BB197"/>
      <c r="BC197"/>
      <c r="BD197"/>
      <c r="BE197"/>
      <c r="BF197"/>
      <c r="BG197"/>
      <c r="BH197"/>
      <c r="BI197"/>
      <c r="BJ197"/>
      <c r="BK197"/>
      <c r="BL197"/>
      <c r="BM197"/>
      <c r="BN197"/>
      <c r="BO197"/>
      <c r="BP197"/>
      <c r="BQ197"/>
      <c r="BR197"/>
    </row>
    <row r="198" spans="1:70" ht="16.350000000000001" hidden="1" customHeight="1">
      <c r="A198"/>
      <c r="B198"/>
      <c r="C198"/>
      <c r="D198"/>
      <c r="E198"/>
      <c r="F198"/>
      <c r="G198"/>
      <c r="H198"/>
      <c r="I198"/>
      <c r="J198"/>
      <c r="K198"/>
      <c r="L198"/>
      <c r="M198"/>
      <c r="N198"/>
      <c r="O198" s="919"/>
      <c r="P198" s="919"/>
      <c r="Q198" s="919"/>
      <c r="R198" s="919"/>
      <c r="S198" s="919"/>
      <c r="T198" s="919"/>
      <c r="U198" s="919"/>
      <c r="V198" s="919"/>
      <c r="W198" s="919"/>
      <c r="X198" s="919"/>
      <c r="Y198" s="919"/>
      <c r="Z198" s="919"/>
      <c r="AA198" s="919"/>
      <c r="AB198" s="919"/>
      <c r="AC198" s="919"/>
      <c r="AD198" s="919"/>
      <c r="AE198" s="919"/>
      <c r="AF198" s="919"/>
      <c r="AG198" s="919"/>
      <c r="AH198" s="919"/>
      <c r="AI198" s="919"/>
      <c r="AJ198" s="919"/>
      <c r="AK198" s="919"/>
      <c r="AL198" s="919"/>
      <c r="AM198" s="919"/>
      <c r="AN198" s="919"/>
      <c r="AO198" s="919"/>
      <c r="AP198" s="919"/>
      <c r="AQ198" s="919"/>
      <c r="AR198" s="919"/>
      <c r="AS198" s="919"/>
      <c r="AT198" s="919"/>
      <c r="AU198" s="919"/>
      <c r="AV198" s="919"/>
      <c r="AW198" s="919"/>
      <c r="AX198" s="919"/>
      <c r="AY198" s="919"/>
      <c r="AZ198" s="919"/>
      <c r="BA198"/>
      <c r="BB198"/>
      <c r="BC198"/>
      <c r="BD198"/>
      <c r="BE198"/>
      <c r="BF198"/>
      <c r="BG198"/>
      <c r="BH198"/>
      <c r="BI198"/>
      <c r="BJ198"/>
      <c r="BK198"/>
      <c r="BL198"/>
      <c r="BM198"/>
      <c r="BN198"/>
      <c r="BO198"/>
      <c r="BP198"/>
      <c r="BQ198"/>
      <c r="BR198"/>
    </row>
    <row r="199" spans="1:70" ht="16.350000000000001" hidden="1" customHeigh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s="16"/>
      <c r="AZ199" s="20"/>
      <c r="BA199"/>
      <c r="BB199"/>
      <c r="BC199" s="20"/>
      <c r="BD199" s="20"/>
      <c r="BE199"/>
      <c r="BF199"/>
      <c r="BG199"/>
      <c r="BH199"/>
      <c r="BI199"/>
      <c r="BJ199"/>
      <c r="BK199"/>
      <c r="BL199"/>
      <c r="BM199"/>
      <c r="BN199"/>
      <c r="BO199"/>
      <c r="BP199"/>
      <c r="BQ199"/>
      <c r="BR199"/>
    </row>
    <row r="200" spans="1:70"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03"/>
      <c r="BH200" s="503"/>
      <c r="BI200" s="503"/>
      <c r="BJ200" s="515"/>
    </row>
    <row r="201" spans="1:70"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03"/>
      <c r="BH201" s="503"/>
      <c r="BI201" s="503"/>
      <c r="BJ201" s="515"/>
    </row>
    <row r="202" spans="1:70"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03"/>
      <c r="BH202" s="503"/>
      <c r="BI202" s="503"/>
      <c r="BJ202" s="515"/>
    </row>
    <row r="203" spans="1:70" ht="16.350000000000001" hidden="1" customHeight="1"/>
    <row r="204" spans="1:70" ht="16.350000000000001" hidden="1" customHeight="1"/>
  </sheetData>
  <sheetProtection algorithmName="SHA-512" hashValue="5F7XmMfgbosLai9WacUziPKkFV6cJYO01qEIJO22ynmgRF6mFd4CDjuqvbyJdqgDLNQD8wQ0VvB0l9ufxdMJUg==" saltValue="2NccThxOindEWwXxYYunjQ==" spinCount="100000" sheet="1" objects="1" scenarios="1" selectLockedCells="1"/>
  <mergeCells count="1019">
    <mergeCell ref="DX34:DX35"/>
    <mergeCell ref="DE36:DE37"/>
    <mergeCell ref="DF36:DF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V36:DV37"/>
    <mergeCell ref="DW36:DW37"/>
    <mergeCell ref="DX36:DX37"/>
    <mergeCell ref="DN34:DN35"/>
    <mergeCell ref="DO34:DO35"/>
    <mergeCell ref="DP34:DP35"/>
    <mergeCell ref="DQ34:DQ35"/>
    <mergeCell ref="DR34:DR35"/>
    <mergeCell ref="DS34:DS35"/>
    <mergeCell ref="DT34:DT35"/>
    <mergeCell ref="DU34:DU35"/>
    <mergeCell ref="DV34:DV35"/>
    <mergeCell ref="DE34:DE35"/>
    <mergeCell ref="DF34:DF35"/>
    <mergeCell ref="DG34:DG35"/>
    <mergeCell ref="DH34:DH35"/>
    <mergeCell ref="DI34:DI35"/>
    <mergeCell ref="DJ34:DJ35"/>
    <mergeCell ref="DK34:DK35"/>
    <mergeCell ref="DL34:DL35"/>
    <mergeCell ref="DM34:DM35"/>
    <mergeCell ref="DW34:DW35"/>
    <mergeCell ref="DX30:DX31"/>
    <mergeCell ref="DE32:DE33"/>
    <mergeCell ref="DF32:DF33"/>
    <mergeCell ref="DG32:DG33"/>
    <mergeCell ref="DH32:DH33"/>
    <mergeCell ref="DI32:DI33"/>
    <mergeCell ref="DJ32:DJ33"/>
    <mergeCell ref="DK32:DK33"/>
    <mergeCell ref="DL32:DL33"/>
    <mergeCell ref="DM32:DM33"/>
    <mergeCell ref="DN32:DN33"/>
    <mergeCell ref="DO32:DO33"/>
    <mergeCell ref="DP32:DP33"/>
    <mergeCell ref="DQ32:DQ33"/>
    <mergeCell ref="DR32:DR33"/>
    <mergeCell ref="DS32:DS33"/>
    <mergeCell ref="DT32:DT33"/>
    <mergeCell ref="DU32:DU33"/>
    <mergeCell ref="DV32:DV33"/>
    <mergeCell ref="DW32:DW33"/>
    <mergeCell ref="DX32:DX33"/>
    <mergeCell ref="DN30:DN31"/>
    <mergeCell ref="DO30:DO31"/>
    <mergeCell ref="DP30:DP31"/>
    <mergeCell ref="DQ30:DQ31"/>
    <mergeCell ref="DR30:DR31"/>
    <mergeCell ref="DS30:DS31"/>
    <mergeCell ref="DT30:DT31"/>
    <mergeCell ref="DU30:DU31"/>
    <mergeCell ref="DV30:DV31"/>
    <mergeCell ref="DE30:DE31"/>
    <mergeCell ref="DF30:DF31"/>
    <mergeCell ref="DG30:DG31"/>
    <mergeCell ref="DH30:DH31"/>
    <mergeCell ref="DI30:DI31"/>
    <mergeCell ref="DJ30:DJ31"/>
    <mergeCell ref="DK30:DK31"/>
    <mergeCell ref="DL30:DL31"/>
    <mergeCell ref="DM30:DM31"/>
    <mergeCell ref="DW30:DW31"/>
    <mergeCell ref="DR26:DR27"/>
    <mergeCell ref="DS26:DS27"/>
    <mergeCell ref="DT26:DT27"/>
    <mergeCell ref="DU26:DU27"/>
    <mergeCell ref="DV26:DV27"/>
    <mergeCell ref="DW26:DW27"/>
    <mergeCell ref="DX26:DX27"/>
    <mergeCell ref="DE28:DE29"/>
    <mergeCell ref="DF28:DF29"/>
    <mergeCell ref="DG28:DG29"/>
    <mergeCell ref="DH28:DH29"/>
    <mergeCell ref="DI28:DI29"/>
    <mergeCell ref="DJ28:DJ29"/>
    <mergeCell ref="DK28:DK29"/>
    <mergeCell ref="DL28:DL29"/>
    <mergeCell ref="DM28:DM29"/>
    <mergeCell ref="DN28:DN29"/>
    <mergeCell ref="DO28:DO29"/>
    <mergeCell ref="DP28:DP29"/>
    <mergeCell ref="DQ28:DQ29"/>
    <mergeCell ref="DR28:DR29"/>
    <mergeCell ref="DS28:DS29"/>
    <mergeCell ref="DT28:DT29"/>
    <mergeCell ref="DU28:DU29"/>
    <mergeCell ref="DV28:DV29"/>
    <mergeCell ref="DW28:DW29"/>
    <mergeCell ref="DX28:DX29"/>
    <mergeCell ref="DE26:DE27"/>
    <mergeCell ref="DF26:DF27"/>
    <mergeCell ref="DG26:DG27"/>
    <mergeCell ref="DH26:DH27"/>
    <mergeCell ref="DI26:DI27"/>
    <mergeCell ref="DJ26:DJ27"/>
    <mergeCell ref="DK26:DK27"/>
    <mergeCell ref="DX22:DX23"/>
    <mergeCell ref="DE24:DE25"/>
    <mergeCell ref="DF24:DF25"/>
    <mergeCell ref="DG24:DG25"/>
    <mergeCell ref="DH24:DH25"/>
    <mergeCell ref="DI24:DI25"/>
    <mergeCell ref="DJ24:DJ25"/>
    <mergeCell ref="DK24:DK25"/>
    <mergeCell ref="DL24:DL25"/>
    <mergeCell ref="DM24:DM25"/>
    <mergeCell ref="DN24:DN25"/>
    <mergeCell ref="DO24:DO25"/>
    <mergeCell ref="DP24:DP25"/>
    <mergeCell ref="DQ24:DQ25"/>
    <mergeCell ref="DR24:DR25"/>
    <mergeCell ref="DS24:DS25"/>
    <mergeCell ref="DT24:DT25"/>
    <mergeCell ref="DU24:DU25"/>
    <mergeCell ref="DV24:DV25"/>
    <mergeCell ref="DW24:DW25"/>
    <mergeCell ref="DX24:DX25"/>
    <mergeCell ref="DM22:DM23"/>
    <mergeCell ref="DN22:DN23"/>
    <mergeCell ref="DE22:DE23"/>
    <mergeCell ref="DF22:DF23"/>
    <mergeCell ref="DG22:DG23"/>
    <mergeCell ref="DH22:DH23"/>
    <mergeCell ref="DI22:DI23"/>
    <mergeCell ref="DJ22:DJ23"/>
    <mergeCell ref="DK22:DK23"/>
    <mergeCell ref="DL22:DL23"/>
    <mergeCell ref="DX18:DX19"/>
    <mergeCell ref="DE20:DE21"/>
    <mergeCell ref="DF20:DF21"/>
    <mergeCell ref="DG20:DG21"/>
    <mergeCell ref="DH20:DH21"/>
    <mergeCell ref="DI20:DI21"/>
    <mergeCell ref="DJ20:DJ21"/>
    <mergeCell ref="DK20:DK21"/>
    <mergeCell ref="DL20:DL21"/>
    <mergeCell ref="DM20:DM21"/>
    <mergeCell ref="DN20:DN21"/>
    <mergeCell ref="DO20:DO21"/>
    <mergeCell ref="DP20:DP21"/>
    <mergeCell ref="DQ20:DQ21"/>
    <mergeCell ref="DR20:DR21"/>
    <mergeCell ref="DS20:DS21"/>
    <mergeCell ref="DT20:DT21"/>
    <mergeCell ref="DU20:DU21"/>
    <mergeCell ref="DV20:DV21"/>
    <mergeCell ref="DW20:DW21"/>
    <mergeCell ref="DX20:DX21"/>
    <mergeCell ref="DM18:DM19"/>
    <mergeCell ref="DN18:DN19"/>
    <mergeCell ref="DV18:DV19"/>
    <mergeCell ref="DO18:DO19"/>
    <mergeCell ref="DP18:DP19"/>
    <mergeCell ref="DQ18:DQ19"/>
    <mergeCell ref="DR18:DR19"/>
    <mergeCell ref="DS18:DS19"/>
    <mergeCell ref="DT18:DT19"/>
    <mergeCell ref="DU18:DU19"/>
    <mergeCell ref="DL18:DL19"/>
    <mergeCell ref="DW18:DW19"/>
    <mergeCell ref="DO22:DO23"/>
    <mergeCell ref="DP22:DP23"/>
    <mergeCell ref="DQ22:DQ23"/>
    <mergeCell ref="DR22:DR23"/>
    <mergeCell ref="DS22:DS23"/>
    <mergeCell ref="DT22:DT23"/>
    <mergeCell ref="DU22:DU23"/>
    <mergeCell ref="DV22:DV23"/>
    <mergeCell ref="DW22:DW23"/>
    <mergeCell ref="DL26:DL27"/>
    <mergeCell ref="DM26:DM27"/>
    <mergeCell ref="DN26:DN27"/>
    <mergeCell ref="DO26:DO27"/>
    <mergeCell ref="DP26:DP27"/>
    <mergeCell ref="DQ26:DQ27"/>
    <mergeCell ref="DD18:DD19"/>
    <mergeCell ref="DD20:DD21"/>
    <mergeCell ref="DD22:DD23"/>
    <mergeCell ref="DD24:DD25"/>
    <mergeCell ref="DD26:DD27"/>
    <mergeCell ref="DD28:DD29"/>
    <mergeCell ref="DD30:DD31"/>
    <mergeCell ref="DD32:DD33"/>
    <mergeCell ref="DD34:DD35"/>
    <mergeCell ref="DD36:DD37"/>
    <mergeCell ref="DE18:DE19"/>
    <mergeCell ref="DF18:DF19"/>
    <mergeCell ref="DG18:DG19"/>
    <mergeCell ref="DH18:DH19"/>
    <mergeCell ref="DI18:DI19"/>
    <mergeCell ref="DJ18:DJ19"/>
    <mergeCell ref="DK18:DK19"/>
    <mergeCell ref="AA28:AC29"/>
    <mergeCell ref="AA30:AC31"/>
    <mergeCell ref="AA32:AC33"/>
    <mergeCell ref="AA34:AC35"/>
    <mergeCell ref="AA36:AC37"/>
    <mergeCell ref="AD28:AI29"/>
    <mergeCell ref="AD30:AI31"/>
    <mergeCell ref="AD32:AI33"/>
    <mergeCell ref="CY34:CY35"/>
    <mergeCell ref="CY36:CY37"/>
    <mergeCell ref="CP20:CP21"/>
    <mergeCell ref="CQ20:CQ21"/>
    <mergeCell ref="CR20:CR21"/>
    <mergeCell ref="CS20:CS21"/>
    <mergeCell ref="CT20:CT21"/>
    <mergeCell ref="CK20:CK21"/>
    <mergeCell ref="CL20:CL21"/>
    <mergeCell ref="CM20:CM21"/>
    <mergeCell ref="CN20:CN21"/>
    <mergeCell ref="CO20:CO21"/>
    <mergeCell ref="CW13:CY14"/>
    <mergeCell ref="CY16:CY17"/>
    <mergeCell ref="CY18:CY19"/>
    <mergeCell ref="CY20:CY21"/>
    <mergeCell ref="CY22:CY23"/>
    <mergeCell ref="CY24:CY25"/>
    <mergeCell ref="CY26:CY27"/>
    <mergeCell ref="CY28:CY29"/>
    <mergeCell ref="CY30:CY31"/>
    <mergeCell ref="AD18:AI19"/>
    <mergeCell ref="AK9:AO11"/>
    <mergeCell ref="AM18:AO19"/>
    <mergeCell ref="AJ24:AL25"/>
    <mergeCell ref="AJ26:AL27"/>
    <mergeCell ref="AM26:AO27"/>
    <mergeCell ref="W9:Z11"/>
    <mergeCell ref="AA9:AE11"/>
    <mergeCell ref="AD24:AI25"/>
    <mergeCell ref="AD26:AI27"/>
    <mergeCell ref="AA16:AC17"/>
    <mergeCell ref="AA18:AC19"/>
    <mergeCell ref="AA24:AC25"/>
    <mergeCell ref="CS16:CS17"/>
    <mergeCell ref="CT16:CT17"/>
    <mergeCell ref="CK16:CK17"/>
    <mergeCell ref="CL16:CL17"/>
    <mergeCell ref="CM16:CM17"/>
    <mergeCell ref="CN16:CN17"/>
    <mergeCell ref="CO16:CO17"/>
    <mergeCell ref="CF16:CF17"/>
    <mergeCell ref="CG16:CG17"/>
    <mergeCell ref="CH16:CH17"/>
    <mergeCell ref="U16:W17"/>
    <mergeCell ref="X16:Z17"/>
    <mergeCell ref="AJ16:AL17"/>
    <mergeCell ref="AM16:AO17"/>
    <mergeCell ref="AJ18:AL19"/>
    <mergeCell ref="U24:W25"/>
    <mergeCell ref="AA26:AC27"/>
    <mergeCell ref="K9:N11"/>
    <mergeCell ref="AX1:BA3"/>
    <mergeCell ref="BB1:BG3"/>
    <mergeCell ref="AX4:BA4"/>
    <mergeCell ref="BB4:BF4"/>
    <mergeCell ref="BG4:BJ4"/>
    <mergeCell ref="BH1:BK3"/>
    <mergeCell ref="AP1:AS3"/>
    <mergeCell ref="BG5:BI7"/>
    <mergeCell ref="AT9:AW11"/>
    <mergeCell ref="AX9:BA11"/>
    <mergeCell ref="BG8:BI8"/>
    <mergeCell ref="AP9:AS11"/>
    <mergeCell ref="O9:R11"/>
    <mergeCell ref="S9:V11"/>
    <mergeCell ref="AF9:AJ11"/>
    <mergeCell ref="AD16:AI17"/>
    <mergeCell ref="AS16:AU17"/>
    <mergeCell ref="AP16:AR17"/>
    <mergeCell ref="AV27:BA27"/>
    <mergeCell ref="F24:K25"/>
    <mergeCell ref="L24:Q25"/>
    <mergeCell ref="X24:Z25"/>
    <mergeCell ref="AL12:AO13"/>
    <mergeCell ref="Y14:AB14"/>
    <mergeCell ref="B28:B29"/>
    <mergeCell ref="R28:T29"/>
    <mergeCell ref="U28:W29"/>
    <mergeCell ref="X28:Z29"/>
    <mergeCell ref="U30:W31"/>
    <mergeCell ref="F1:I3"/>
    <mergeCell ref="J1:M3"/>
    <mergeCell ref="AT1:AW3"/>
    <mergeCell ref="C36:E37"/>
    <mergeCell ref="F36:K37"/>
    <mergeCell ref="L36:Q37"/>
    <mergeCell ref="C28:E29"/>
    <mergeCell ref="F28:K29"/>
    <mergeCell ref="L28:Q29"/>
    <mergeCell ref="C30:E31"/>
    <mergeCell ref="F30:K31"/>
    <mergeCell ref="L30:Q31"/>
    <mergeCell ref="C32:E33"/>
    <mergeCell ref="F32:K33"/>
    <mergeCell ref="L32:Q33"/>
    <mergeCell ref="C16:E17"/>
    <mergeCell ref="C20:E21"/>
    <mergeCell ref="F20:K21"/>
    <mergeCell ref="L16:Q17"/>
    <mergeCell ref="F16:K17"/>
    <mergeCell ref="C18:E19"/>
    <mergeCell ref="F18:K19"/>
    <mergeCell ref="L18:Q19"/>
    <mergeCell ref="R16:T17"/>
    <mergeCell ref="Y12:AB13"/>
    <mergeCell ref="AC12:AG13"/>
    <mergeCell ref="AH12:AK13"/>
    <mergeCell ref="AC14:AG14"/>
    <mergeCell ref="AH14:AK14"/>
    <mergeCell ref="AL14:AO14"/>
    <mergeCell ref="L15:Z15"/>
    <mergeCell ref="AA15:AU15"/>
    <mergeCell ref="B46:B47"/>
    <mergeCell ref="B44:B45"/>
    <mergeCell ref="B42:B43"/>
    <mergeCell ref="AQ12:BA13"/>
    <mergeCell ref="AQ14:BA14"/>
    <mergeCell ref="B40:B41"/>
    <mergeCell ref="B38:B39"/>
    <mergeCell ref="X18:Z19"/>
    <mergeCell ref="B24:B25"/>
    <mergeCell ref="R24:T25"/>
    <mergeCell ref="B30:B31"/>
    <mergeCell ref="R30:T31"/>
    <mergeCell ref="R18:T19"/>
    <mergeCell ref="U18:W19"/>
    <mergeCell ref="B26:B27"/>
    <mergeCell ref="R26:T27"/>
    <mergeCell ref="U26:W27"/>
    <mergeCell ref="X26:Z27"/>
    <mergeCell ref="C26:E27"/>
    <mergeCell ref="F26:K27"/>
    <mergeCell ref="L26:Q27"/>
    <mergeCell ref="C24:E25"/>
    <mergeCell ref="B22:B23"/>
    <mergeCell ref="R22:T23"/>
    <mergeCell ref="U22:W23"/>
    <mergeCell ref="X22:Z23"/>
    <mergeCell ref="AD22:AI23"/>
    <mergeCell ref="CI16:CI17"/>
    <mergeCell ref="CJ16:CJ17"/>
    <mergeCell ref="CB16:CB17"/>
    <mergeCell ref="CC16:CC17"/>
    <mergeCell ref="CD16:CD17"/>
    <mergeCell ref="CE16:CE17"/>
    <mergeCell ref="BS16:BS17"/>
    <mergeCell ref="BT16:BT17"/>
    <mergeCell ref="CR18:CR19"/>
    <mergeCell ref="CI18:CI19"/>
    <mergeCell ref="CJ18:CJ19"/>
    <mergeCell ref="CK18:CK19"/>
    <mergeCell ref="CL18:CL19"/>
    <mergeCell ref="CM18:CM19"/>
    <mergeCell ref="CD18:CD19"/>
    <mergeCell ref="CE18:CE19"/>
    <mergeCell ref="CF18:CF19"/>
    <mergeCell ref="CG18:CG19"/>
    <mergeCell ref="CH18:CH19"/>
    <mergeCell ref="CB18:CB19"/>
    <mergeCell ref="CC18:CC19"/>
    <mergeCell ref="BS18:BS19"/>
    <mergeCell ref="BT18:BT19"/>
    <mergeCell ref="CP16:CP17"/>
    <mergeCell ref="CQ16:CQ17"/>
    <mergeCell ref="CR16:CR17"/>
    <mergeCell ref="CS18:CS19"/>
    <mergeCell ref="CT18:CT19"/>
    <mergeCell ref="B20:B21"/>
    <mergeCell ref="R20:T21"/>
    <mergeCell ref="U20:W21"/>
    <mergeCell ref="X20:Z21"/>
    <mergeCell ref="AJ20:AL21"/>
    <mergeCell ref="AM20:AO21"/>
    <mergeCell ref="CN18:CN19"/>
    <mergeCell ref="CO18:CO19"/>
    <mergeCell ref="CP18:CP19"/>
    <mergeCell ref="CF20:CF21"/>
    <mergeCell ref="CG20:CG21"/>
    <mergeCell ref="CH20:CH21"/>
    <mergeCell ref="CI20:CI21"/>
    <mergeCell ref="CJ20:CJ21"/>
    <mergeCell ref="CB20:CB21"/>
    <mergeCell ref="CC20:CC21"/>
    <mergeCell ref="CD20:CD21"/>
    <mergeCell ref="CE20:CE21"/>
    <mergeCell ref="BS20:BS21"/>
    <mergeCell ref="CQ18:CQ19"/>
    <mergeCell ref="AS18:AU19"/>
    <mergeCell ref="AP18:AR19"/>
    <mergeCell ref="B18:B19"/>
    <mergeCell ref="BT20:BT21"/>
    <mergeCell ref="AD20:AI21"/>
    <mergeCell ref="AA20:AC21"/>
    <mergeCell ref="AA22:AC23"/>
    <mergeCell ref="BV20:BV21"/>
    <mergeCell ref="BW20:BW21"/>
    <mergeCell ref="BX20:BX21"/>
    <mergeCell ref="BY20:BY21"/>
    <mergeCell ref="BZ20:BZ21"/>
    <mergeCell ref="BV22:BV23"/>
    <mergeCell ref="BW22:BW23"/>
    <mergeCell ref="BX22:BX23"/>
    <mergeCell ref="BY22:BY23"/>
    <mergeCell ref="BZ22:BZ23"/>
    <mergeCell ref="L20:Q21"/>
    <mergeCell ref="C22:E23"/>
    <mergeCell ref="F22:K23"/>
    <mergeCell ref="L22:Q23"/>
    <mergeCell ref="AS20:AU21"/>
    <mergeCell ref="AP20:AR21"/>
    <mergeCell ref="BF20:BG21"/>
    <mergeCell ref="AV23:BA23"/>
    <mergeCell ref="AJ22:AL23"/>
    <mergeCell ref="AM22:AO23"/>
    <mergeCell ref="AP22:AR23"/>
    <mergeCell ref="AV24:AX24"/>
    <mergeCell ref="AY24:BA24"/>
    <mergeCell ref="AV25:BA25"/>
    <mergeCell ref="BS22:BS23"/>
    <mergeCell ref="BT22:BT23"/>
    <mergeCell ref="BF22:BG23"/>
    <mergeCell ref="BH24:BJ25"/>
    <mergeCell ref="BB22:BC23"/>
    <mergeCell ref="BD22:BE23"/>
    <mergeCell ref="CT22:CT23"/>
    <mergeCell ref="CK22:CK23"/>
    <mergeCell ref="CP22:CP23"/>
    <mergeCell ref="CQ22:CQ23"/>
    <mergeCell ref="CR22:CR23"/>
    <mergeCell ref="CS22:CS23"/>
    <mergeCell ref="CB22:CB23"/>
    <mergeCell ref="CC22:CC23"/>
    <mergeCell ref="CD22:CD23"/>
    <mergeCell ref="CE22:CE23"/>
    <mergeCell ref="CL22:CL23"/>
    <mergeCell ref="CM22:CM23"/>
    <mergeCell ref="CN22:CN23"/>
    <mergeCell ref="CO22:CO23"/>
    <mergeCell ref="CF22:CF23"/>
    <mergeCell ref="CG22:CG23"/>
    <mergeCell ref="CH22:CH23"/>
    <mergeCell ref="CI22:CI23"/>
    <mergeCell ref="CJ22:CJ23"/>
    <mergeCell ref="CK24:CK25"/>
    <mergeCell ref="CL24:CL25"/>
    <mergeCell ref="CT26:CT27"/>
    <mergeCell ref="CC24:CC25"/>
    <mergeCell ref="CD24:CD25"/>
    <mergeCell ref="CE24:CE25"/>
    <mergeCell ref="CF24:CF25"/>
    <mergeCell ref="CG24:CG25"/>
    <mergeCell ref="CB24:CB25"/>
    <mergeCell ref="BS24:BS25"/>
    <mergeCell ref="BT24:BT25"/>
    <mergeCell ref="BV24:BV25"/>
    <mergeCell ref="BW24:BW25"/>
    <mergeCell ref="BX24:BX25"/>
    <mergeCell ref="BY24:BY25"/>
    <mergeCell ref="BZ24:BZ25"/>
    <mergeCell ref="AM24:AO25"/>
    <mergeCell ref="CQ26:CQ27"/>
    <mergeCell ref="CR26:CR27"/>
    <mergeCell ref="CS26:CS27"/>
    <mergeCell ref="CJ26:CJ27"/>
    <mergeCell ref="CK26:CK27"/>
    <mergeCell ref="BS26:BS27"/>
    <mergeCell ref="BT26:BT27"/>
    <mergeCell ref="AP24:AR25"/>
    <mergeCell ref="AP26:AR27"/>
    <mergeCell ref="BB24:BC25"/>
    <mergeCell ref="BD24:BE25"/>
    <mergeCell ref="BF24:BG25"/>
    <mergeCell ref="BD26:BE27"/>
    <mergeCell ref="BF26:BG27"/>
    <mergeCell ref="BH26:BJ27"/>
    <mergeCell ref="BK26:BM27"/>
    <mergeCell ref="BN26:BP27"/>
    <mergeCell ref="CQ28:CQ29"/>
    <mergeCell ref="CR28:CR29"/>
    <mergeCell ref="CS28:CS29"/>
    <mergeCell ref="CB28:CB29"/>
    <mergeCell ref="CC28:CC29"/>
    <mergeCell ref="CD28:CD29"/>
    <mergeCell ref="CE28:CE29"/>
    <mergeCell ref="CF28:CF29"/>
    <mergeCell ref="CR24:CR25"/>
    <mergeCell ref="CS24:CS25"/>
    <mergeCell ref="CT24:CT25"/>
    <mergeCell ref="CL26:CL27"/>
    <mergeCell ref="CM26:CM27"/>
    <mergeCell ref="CN26:CN27"/>
    <mergeCell ref="CE26:CE27"/>
    <mergeCell ref="CF26:CF27"/>
    <mergeCell ref="CG26:CG27"/>
    <mergeCell ref="CH26:CH27"/>
    <mergeCell ref="CI26:CI27"/>
    <mergeCell ref="CM24:CM25"/>
    <mergeCell ref="CN24:CN25"/>
    <mergeCell ref="CO24:CO25"/>
    <mergeCell ref="CP24:CP25"/>
    <mergeCell ref="CQ24:CQ25"/>
    <mergeCell ref="CH24:CH25"/>
    <mergeCell ref="CI24:CI25"/>
    <mergeCell ref="CJ24:CJ25"/>
    <mergeCell ref="CB26:CB27"/>
    <mergeCell ref="CC26:CC27"/>
    <mergeCell ref="CD26:CD27"/>
    <mergeCell ref="CM28:CM29"/>
    <mergeCell ref="CN28:CN29"/>
    <mergeCell ref="CO28:CO29"/>
    <mergeCell ref="CP28:CP29"/>
    <mergeCell ref="CG28:CG29"/>
    <mergeCell ref="CH28:CH29"/>
    <mergeCell ref="CI28:CI29"/>
    <mergeCell ref="CJ28:CJ29"/>
    <mergeCell ref="CK28:CK29"/>
    <mergeCell ref="BZ26:BZ27"/>
    <mergeCell ref="CO26:CO27"/>
    <mergeCell ref="CP26:CP27"/>
    <mergeCell ref="BX28:BX29"/>
    <mergeCell ref="BY28:BY29"/>
    <mergeCell ref="BZ28:BZ29"/>
    <mergeCell ref="AM28:AO29"/>
    <mergeCell ref="CT30:CT31"/>
    <mergeCell ref="B32:B33"/>
    <mergeCell ref="R32:T33"/>
    <mergeCell ref="U32:W33"/>
    <mergeCell ref="X32:Z33"/>
    <mergeCell ref="AJ32:AL33"/>
    <mergeCell ref="AM32:AO33"/>
    <mergeCell ref="CM30:CM31"/>
    <mergeCell ref="CN30:CN31"/>
    <mergeCell ref="CO30:CO31"/>
    <mergeCell ref="CP30:CP31"/>
    <mergeCell ref="CQ30:CQ31"/>
    <mergeCell ref="CH30:CH31"/>
    <mergeCell ref="CI30:CI31"/>
    <mergeCell ref="CJ30:CJ31"/>
    <mergeCell ref="BH32:BJ33"/>
    <mergeCell ref="CB32:CB33"/>
    <mergeCell ref="CT28:CT29"/>
    <mergeCell ref="BS28:BS29"/>
    <mergeCell ref="X30:Z31"/>
    <mergeCell ref="AJ30:AL31"/>
    <mergeCell ref="CK30:CK31"/>
    <mergeCell ref="CL30:CL31"/>
    <mergeCell ref="CR30:CR31"/>
    <mergeCell ref="CS30:CS31"/>
    <mergeCell ref="CC30:CC31"/>
    <mergeCell ref="CD30:CD31"/>
    <mergeCell ref="CE30:CE31"/>
    <mergeCell ref="CF30:CF31"/>
    <mergeCell ref="CG30:CG31"/>
    <mergeCell ref="BH30:BJ31"/>
    <mergeCell ref="CB30:CB31"/>
    <mergeCell ref="BS30:BS31"/>
    <mergeCell ref="BT30:BT31"/>
    <mergeCell ref="BV30:BV31"/>
    <mergeCell ref="BW30:BW31"/>
    <mergeCell ref="BX30:BX31"/>
    <mergeCell ref="BY30:BY31"/>
    <mergeCell ref="BZ30:BZ31"/>
    <mergeCell ref="BK30:BM31"/>
    <mergeCell ref="BN30:BP31"/>
    <mergeCell ref="AS30:AU31"/>
    <mergeCell ref="AP30:AR31"/>
    <mergeCell ref="AM30:AO31"/>
    <mergeCell ref="BB30:BC31"/>
    <mergeCell ref="BD30:BE31"/>
    <mergeCell ref="BF30:BG31"/>
    <mergeCell ref="AP28:AR29"/>
    <mergeCell ref="BB28:BC29"/>
    <mergeCell ref="BD28:BE29"/>
    <mergeCell ref="B34:B35"/>
    <mergeCell ref="R34:T35"/>
    <mergeCell ref="U34:W35"/>
    <mergeCell ref="X34:Z35"/>
    <mergeCell ref="AJ34:AL35"/>
    <mergeCell ref="AM34:AO35"/>
    <mergeCell ref="B36:B37"/>
    <mergeCell ref="R36:T37"/>
    <mergeCell ref="U36:W37"/>
    <mergeCell ref="C34:E35"/>
    <mergeCell ref="F34:K35"/>
    <mergeCell ref="L34:Q35"/>
    <mergeCell ref="AD34:AI35"/>
    <mergeCell ref="AD36:AI37"/>
    <mergeCell ref="X36:Z37"/>
    <mergeCell ref="AJ36:AL37"/>
    <mergeCell ref="BS32:BS33"/>
    <mergeCell ref="AV36:AX36"/>
    <mergeCell ref="AY36:BA36"/>
    <mergeCell ref="AV37:BA37"/>
    <mergeCell ref="BB34:BC35"/>
    <mergeCell ref="BD34:BE35"/>
    <mergeCell ref="BF34:BG35"/>
    <mergeCell ref="AP34:AR35"/>
    <mergeCell ref="AM36:AO37"/>
    <mergeCell ref="AP36:AR37"/>
    <mergeCell ref="AS32:AU33"/>
    <mergeCell ref="AS34:AU35"/>
    <mergeCell ref="AS36:AU37"/>
    <mergeCell ref="BB32:BC33"/>
    <mergeCell ref="BD32:BE33"/>
    <mergeCell ref="BF32:BG33"/>
    <mergeCell ref="CP36:CP37"/>
    <mergeCell ref="CQ36:CQ37"/>
    <mergeCell ref="CH36:CH37"/>
    <mergeCell ref="CI36:CI37"/>
    <mergeCell ref="CJ36:CJ37"/>
    <mergeCell ref="CK36:CK37"/>
    <mergeCell ref="CL36:CL37"/>
    <mergeCell ref="BS34:BS35"/>
    <mergeCell ref="BT34:BT35"/>
    <mergeCell ref="BS36:BS37"/>
    <mergeCell ref="BT36:BT37"/>
    <mergeCell ref="CL34:CL35"/>
    <mergeCell ref="CM34:CM35"/>
    <mergeCell ref="CN34:CN35"/>
    <mergeCell ref="CO34:CO35"/>
    <mergeCell ref="CP34:CP35"/>
    <mergeCell ref="CG34:CG35"/>
    <mergeCell ref="CH34:CH35"/>
    <mergeCell ref="CI34:CI35"/>
    <mergeCell ref="CJ34:CJ35"/>
    <mergeCell ref="CK34:CK35"/>
    <mergeCell ref="CF34:CF35"/>
    <mergeCell ref="CC36:CC37"/>
    <mergeCell ref="CD36:CD37"/>
    <mergeCell ref="CE36:CE37"/>
    <mergeCell ref="CF36:CF37"/>
    <mergeCell ref="CG36:CG37"/>
    <mergeCell ref="CB36:CB37"/>
    <mergeCell ref="CB34:CB35"/>
    <mergeCell ref="CC34:CC35"/>
    <mergeCell ref="CQ34:CQ35"/>
    <mergeCell ref="CV16:CV17"/>
    <mergeCell ref="CW16:CW17"/>
    <mergeCell ref="CX16:CX17"/>
    <mergeCell ref="CV18:CV19"/>
    <mergeCell ref="CW18:CW19"/>
    <mergeCell ref="CX18:CX19"/>
    <mergeCell ref="CV20:CV21"/>
    <mergeCell ref="CW20:CW21"/>
    <mergeCell ref="CX20:CX21"/>
    <mergeCell ref="CU16:CU17"/>
    <mergeCell ref="CU18:CU19"/>
    <mergeCell ref="CU20:CU21"/>
    <mergeCell ref="CU22:CU23"/>
    <mergeCell ref="CU24:CU25"/>
    <mergeCell ref="CU26:CU27"/>
    <mergeCell ref="CU28:CU29"/>
    <mergeCell ref="CU30:CU31"/>
    <mergeCell ref="CV28:CV29"/>
    <mergeCell ref="CW28:CW29"/>
    <mergeCell ref="CX28:CX29"/>
    <mergeCell ref="CV30:CV31"/>
    <mergeCell ref="CW30:CW31"/>
    <mergeCell ref="CX30:CX31"/>
    <mergeCell ref="CX26:CX27"/>
    <mergeCell ref="CV26:CV27"/>
    <mergeCell ref="CW26:CW27"/>
    <mergeCell ref="BF28:BG29"/>
    <mergeCell ref="AV26:AX26"/>
    <mergeCell ref="AJ28:AL29"/>
    <mergeCell ref="AY26:BA26"/>
    <mergeCell ref="AP32:AR33"/>
    <mergeCell ref="AS22:AU23"/>
    <mergeCell ref="AS24:AU25"/>
    <mergeCell ref="AS26:AU27"/>
    <mergeCell ref="AS28:AU29"/>
    <mergeCell ref="CU32:CU33"/>
    <mergeCell ref="BT32:BT33"/>
    <mergeCell ref="CC32:CC33"/>
    <mergeCell ref="CD32:CD33"/>
    <mergeCell ref="BT28:BT29"/>
    <mergeCell ref="CL28:CL29"/>
    <mergeCell ref="BH28:BJ29"/>
    <mergeCell ref="BK28:BM29"/>
    <mergeCell ref="BN28:BP29"/>
    <mergeCell ref="BV28:BV29"/>
    <mergeCell ref="BW28:BW29"/>
    <mergeCell ref="AV28:AX28"/>
    <mergeCell ref="AY28:BA28"/>
    <mergeCell ref="AV29:BA29"/>
    <mergeCell ref="AV30:AX30"/>
    <mergeCell ref="AY30:BA30"/>
    <mergeCell ref="AV31:BA31"/>
    <mergeCell ref="AV33:BA33"/>
    <mergeCell ref="AV32:AX32"/>
    <mergeCell ref="AY32:BA32"/>
    <mergeCell ref="BK24:BM25"/>
    <mergeCell ref="BN24:BP25"/>
    <mergeCell ref="BB26:BC27"/>
    <mergeCell ref="BN16:BP17"/>
    <mergeCell ref="AV18:AX18"/>
    <mergeCell ref="AY18:BA18"/>
    <mergeCell ref="AV19:BA19"/>
    <mergeCell ref="AV20:AX20"/>
    <mergeCell ref="AY20:BA20"/>
    <mergeCell ref="AV21:BA21"/>
    <mergeCell ref="AV22:AX22"/>
    <mergeCell ref="AY22:BA22"/>
    <mergeCell ref="BH18:BJ19"/>
    <mergeCell ref="BK18:BM19"/>
    <mergeCell ref="BN18:BP19"/>
    <mergeCell ref="BH20:BJ21"/>
    <mergeCell ref="BK20:BM21"/>
    <mergeCell ref="BN20:BP21"/>
    <mergeCell ref="BH22:BJ23"/>
    <mergeCell ref="BK22:BM23"/>
    <mergeCell ref="BN22:BP23"/>
    <mergeCell ref="AV16:AX16"/>
    <mergeCell ref="AY16:BA16"/>
    <mergeCell ref="AV17:BA17"/>
    <mergeCell ref="BB16:BE16"/>
    <mergeCell ref="BB17:BC17"/>
    <mergeCell ref="BD17:BE17"/>
    <mergeCell ref="BF16:BG17"/>
    <mergeCell ref="BH16:BJ17"/>
    <mergeCell ref="BK16:BM17"/>
    <mergeCell ref="BB18:BC19"/>
    <mergeCell ref="BD18:BE19"/>
    <mergeCell ref="BF18:BG19"/>
    <mergeCell ref="BB20:BC21"/>
    <mergeCell ref="BD20:BE21"/>
    <mergeCell ref="BK32:BM33"/>
    <mergeCell ref="BN32:BP33"/>
    <mergeCell ref="DZ18:DZ19"/>
    <mergeCell ref="DY20:DY21"/>
    <mergeCell ref="DZ20:DZ21"/>
    <mergeCell ref="DY22:DY23"/>
    <mergeCell ref="DZ22:DZ23"/>
    <mergeCell ref="DY24:DY25"/>
    <mergeCell ref="DZ24:DZ25"/>
    <mergeCell ref="DY26:DY27"/>
    <mergeCell ref="DZ26:DZ27"/>
    <mergeCell ref="DY18:DY19"/>
    <mergeCell ref="DZ28:DZ29"/>
    <mergeCell ref="DY30:DY31"/>
    <mergeCell ref="DZ30:DZ31"/>
    <mergeCell ref="DY32:DY33"/>
    <mergeCell ref="DZ32:DZ33"/>
    <mergeCell ref="BV26:BV27"/>
    <mergeCell ref="BW26:BW27"/>
    <mergeCell ref="BX26:BX27"/>
    <mergeCell ref="BY26:BY27"/>
    <mergeCell ref="CO32:CO33"/>
    <mergeCell ref="CP32:CP33"/>
    <mergeCell ref="CV32:CV33"/>
    <mergeCell ref="CW32:CW33"/>
    <mergeCell ref="CX32:CX33"/>
    <mergeCell ref="CV22:CV23"/>
    <mergeCell ref="CW22:CW23"/>
    <mergeCell ref="CX22:CX23"/>
    <mergeCell ref="CV24:CV25"/>
    <mergeCell ref="CW24:CW25"/>
    <mergeCell ref="CX24:CX25"/>
    <mergeCell ref="DY34:DY35"/>
    <mergeCell ref="DZ34:DZ35"/>
    <mergeCell ref="DY36:DY37"/>
    <mergeCell ref="DZ36:DZ37"/>
    <mergeCell ref="DY28:DY29"/>
    <mergeCell ref="BV14:BZ15"/>
    <mergeCell ref="BV16:BV17"/>
    <mergeCell ref="BW16:BW17"/>
    <mergeCell ref="BX16:BX17"/>
    <mergeCell ref="BY16:BY17"/>
    <mergeCell ref="BZ16:BZ17"/>
    <mergeCell ref="BV18:BV19"/>
    <mergeCell ref="BW18:BW19"/>
    <mergeCell ref="BX18:BX19"/>
    <mergeCell ref="BY18:BY19"/>
    <mergeCell ref="BZ18:BZ19"/>
    <mergeCell ref="CT32:CT33"/>
    <mergeCell ref="CR34:CR35"/>
    <mergeCell ref="CS34:CS35"/>
    <mergeCell ref="CT34:CT35"/>
    <mergeCell ref="CS32:CS33"/>
    <mergeCell ref="CR32:CR33"/>
    <mergeCell ref="BV32:BV33"/>
    <mergeCell ref="CY32:CY33"/>
    <mergeCell ref="CT36:CT37"/>
    <mergeCell ref="CE34:CE35"/>
    <mergeCell ref="CM36:CM37"/>
    <mergeCell ref="CN36:CN37"/>
    <mergeCell ref="CO36:CO37"/>
    <mergeCell ref="CV36:CV37"/>
    <mergeCell ref="CW36:CW37"/>
    <mergeCell ref="CX36:CX37"/>
    <mergeCell ref="CJ32:CJ33"/>
    <mergeCell ref="CK32:CK33"/>
    <mergeCell ref="CL32:CL33"/>
    <mergeCell ref="BW32:BW33"/>
    <mergeCell ref="BX32:BX33"/>
    <mergeCell ref="BY32:BY33"/>
    <mergeCell ref="BZ32:BZ33"/>
    <mergeCell ref="BW34:BW35"/>
    <mergeCell ref="BX34:BX35"/>
    <mergeCell ref="BY34:BY35"/>
    <mergeCell ref="BZ34:BZ35"/>
    <mergeCell ref="CH32:CH33"/>
    <mergeCell ref="CI32:CI33"/>
    <mergeCell ref="CQ32:CQ33"/>
    <mergeCell ref="CD34:CD35"/>
    <mergeCell ref="CM32:CM33"/>
    <mergeCell ref="CN32:CN33"/>
    <mergeCell ref="CE32:CE33"/>
    <mergeCell ref="CF32:CF33"/>
    <mergeCell ref="CG32:CG33"/>
    <mergeCell ref="CZ16:CZ17"/>
    <mergeCell ref="DA16:DA17"/>
    <mergeCell ref="CZ18:CZ19"/>
    <mergeCell ref="DA18:DA19"/>
    <mergeCell ref="CZ20:CZ21"/>
    <mergeCell ref="DA20:DA21"/>
    <mergeCell ref="CZ22:CZ23"/>
    <mergeCell ref="DA22:DA23"/>
    <mergeCell ref="CZ24:CZ25"/>
    <mergeCell ref="DA24:DA25"/>
    <mergeCell ref="CZ26:CZ27"/>
    <mergeCell ref="DA26:DA27"/>
    <mergeCell ref="CZ28:CZ29"/>
    <mergeCell ref="DA28:DA29"/>
    <mergeCell ref="CZ30:CZ31"/>
    <mergeCell ref="DA30:DA31"/>
    <mergeCell ref="CZ32:CZ33"/>
    <mergeCell ref="DA32:DA33"/>
    <mergeCell ref="R200:AR201"/>
    <mergeCell ref="DA34:DA35"/>
    <mergeCell ref="CZ36:CZ37"/>
    <mergeCell ref="DA36:DA37"/>
    <mergeCell ref="BV36:BV37"/>
    <mergeCell ref="BW36:BW37"/>
    <mergeCell ref="BX36:BX37"/>
    <mergeCell ref="BY36:BY37"/>
    <mergeCell ref="BZ36:BZ37"/>
    <mergeCell ref="CU34:CU35"/>
    <mergeCell ref="CV34:CV35"/>
    <mergeCell ref="CW34:CW35"/>
    <mergeCell ref="CX34:CX35"/>
    <mergeCell ref="BK34:BM35"/>
    <mergeCell ref="BN34:BP35"/>
    <mergeCell ref="BB36:BC37"/>
    <mergeCell ref="BD36:BE37"/>
    <mergeCell ref="BF36:BG37"/>
    <mergeCell ref="BH36:BJ37"/>
    <mergeCell ref="BK36:BM37"/>
    <mergeCell ref="BN36:BP37"/>
    <mergeCell ref="CU36:CU37"/>
    <mergeCell ref="CR36:CR37"/>
    <mergeCell ref="CS36:CS37"/>
    <mergeCell ref="CZ34:CZ35"/>
    <mergeCell ref="AV34:AX34"/>
    <mergeCell ref="AY34:BA34"/>
    <mergeCell ref="BH34:BJ35"/>
    <mergeCell ref="AV35:BA35"/>
    <mergeCell ref="BV34:BV35"/>
    <mergeCell ref="O196:AY197"/>
    <mergeCell ref="O198:AZ198"/>
    <mergeCell ref="EJ18:EJ19"/>
    <mergeCell ref="EK18:EK19"/>
    <mergeCell ref="EL18:EL19"/>
    <mergeCell ref="EM18:EM19"/>
    <mergeCell ref="EN18:EN19"/>
    <mergeCell ref="EA20:EA21"/>
    <mergeCell ref="EB20:EB21"/>
    <mergeCell ref="EC20:EC21"/>
    <mergeCell ref="ED20:ED21"/>
    <mergeCell ref="EE20:EE21"/>
    <mergeCell ref="EF20:EF21"/>
    <mergeCell ref="EG20:EG21"/>
    <mergeCell ref="EH20:EH21"/>
    <mergeCell ref="EI20:EI21"/>
    <mergeCell ref="EJ20:EJ21"/>
    <mergeCell ref="EK20:EK21"/>
    <mergeCell ref="EL20:EL21"/>
    <mergeCell ref="EM20:EM21"/>
    <mergeCell ref="EN20:EN21"/>
    <mergeCell ref="EA18:EA19"/>
    <mergeCell ref="EB18:EB19"/>
    <mergeCell ref="EC18:EC19"/>
    <mergeCell ref="ED18:ED19"/>
    <mergeCell ref="EE18:EE19"/>
    <mergeCell ref="EF18:EF19"/>
    <mergeCell ref="EG18:EG19"/>
    <mergeCell ref="EH18:EH19"/>
    <mergeCell ref="EI18:EI19"/>
    <mergeCell ref="EJ22:EJ23"/>
    <mergeCell ref="EK22:EK23"/>
    <mergeCell ref="EL22:EL23"/>
    <mergeCell ref="EM22:EM23"/>
    <mergeCell ref="EN22:EN23"/>
    <mergeCell ref="EA24:EA25"/>
    <mergeCell ref="EB24:EB25"/>
    <mergeCell ref="EC24:EC25"/>
    <mergeCell ref="ED24:ED25"/>
    <mergeCell ref="EE24:EE25"/>
    <mergeCell ref="EF24:EF25"/>
    <mergeCell ref="EG24:EG25"/>
    <mergeCell ref="EH24:EH25"/>
    <mergeCell ref="EI24:EI25"/>
    <mergeCell ref="EJ24:EJ25"/>
    <mergeCell ref="EK24:EK25"/>
    <mergeCell ref="EL24:EL25"/>
    <mergeCell ref="EM24:EM25"/>
    <mergeCell ref="EN24:EN25"/>
    <mergeCell ref="EA22:EA23"/>
    <mergeCell ref="EB22:EB23"/>
    <mergeCell ref="EC22:EC23"/>
    <mergeCell ref="ED22:ED23"/>
    <mergeCell ref="EE22:EE23"/>
    <mergeCell ref="EF22:EF23"/>
    <mergeCell ref="EG22:EG23"/>
    <mergeCell ref="EH22:EH23"/>
    <mergeCell ref="EI22:EI23"/>
    <mergeCell ref="EJ26:EJ27"/>
    <mergeCell ref="EK26:EK27"/>
    <mergeCell ref="EL26:EL27"/>
    <mergeCell ref="EM26:EM27"/>
    <mergeCell ref="EN26:EN27"/>
    <mergeCell ref="EA28:EA29"/>
    <mergeCell ref="EB28:EB29"/>
    <mergeCell ref="EC28:EC29"/>
    <mergeCell ref="ED28:ED29"/>
    <mergeCell ref="EE28:EE29"/>
    <mergeCell ref="EF28:EF29"/>
    <mergeCell ref="EG28:EG29"/>
    <mergeCell ref="EH28:EH29"/>
    <mergeCell ref="EI28:EI29"/>
    <mergeCell ref="EJ28:EJ29"/>
    <mergeCell ref="EK28:EK29"/>
    <mergeCell ref="EL28:EL29"/>
    <mergeCell ref="EM28:EM29"/>
    <mergeCell ref="EN28:EN29"/>
    <mergeCell ref="EA26:EA27"/>
    <mergeCell ref="EB26:EB27"/>
    <mergeCell ref="EC26:EC27"/>
    <mergeCell ref="ED26:ED27"/>
    <mergeCell ref="EE26:EE27"/>
    <mergeCell ref="EF26:EF27"/>
    <mergeCell ref="EG26:EG27"/>
    <mergeCell ref="EH26:EH27"/>
    <mergeCell ref="EI26:EI27"/>
    <mergeCell ref="EJ30:EJ31"/>
    <mergeCell ref="EK30:EK31"/>
    <mergeCell ref="EL30:EL31"/>
    <mergeCell ref="EM30:EM31"/>
    <mergeCell ref="EN30:EN31"/>
    <mergeCell ref="EA32:EA33"/>
    <mergeCell ref="EB32:EB33"/>
    <mergeCell ref="EC32:EC33"/>
    <mergeCell ref="ED32:ED33"/>
    <mergeCell ref="EE32:EE33"/>
    <mergeCell ref="EF32:EF33"/>
    <mergeCell ref="EG32:EG33"/>
    <mergeCell ref="EH32:EH33"/>
    <mergeCell ref="EI32:EI33"/>
    <mergeCell ref="EJ32:EJ33"/>
    <mergeCell ref="EK32:EK33"/>
    <mergeCell ref="EL32:EL33"/>
    <mergeCell ref="EM32:EM33"/>
    <mergeCell ref="EN32:EN33"/>
    <mergeCell ref="EA30:EA31"/>
    <mergeCell ref="EB30:EB31"/>
    <mergeCell ref="EC30:EC31"/>
    <mergeCell ref="ED30:ED31"/>
    <mergeCell ref="EE30:EE31"/>
    <mergeCell ref="EF30:EF31"/>
    <mergeCell ref="EG30:EG31"/>
    <mergeCell ref="EH30:EH31"/>
    <mergeCell ref="EI30:EI31"/>
    <mergeCell ref="EJ34:EJ35"/>
    <mergeCell ref="EK34:EK35"/>
    <mergeCell ref="EL34:EL35"/>
    <mergeCell ref="EM34:EM35"/>
    <mergeCell ref="EN34:EN35"/>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A34:EA35"/>
    <mergeCell ref="EB34:EB35"/>
    <mergeCell ref="EC34:EC35"/>
    <mergeCell ref="ED34:ED35"/>
    <mergeCell ref="EE34:EE35"/>
    <mergeCell ref="EF34:EF35"/>
    <mergeCell ref="EG34:EG35"/>
    <mergeCell ref="EH34:EH35"/>
    <mergeCell ref="EI34:EI35"/>
  </mergeCells>
  <conditionalFormatting sqref="C18 L18 AJ18 AM18 AP18 AY18 BB18 BD18 AV18:AV37 C20 L20 AJ20 AM20 AP20 AY20 BB20 BD20 C22 L22 AJ22 AM22 AP22 AY22 BB22 BD22 C24 L24 AJ24 AM24 AP24 AY24 BB24 BD24 C26 L26 AJ26 AM26 AP26 AY26 BB26 BD26 C28 L28 AJ28 AM28 AP28 AY28 BB28 BD28 C30 L30 AJ30 AM30 AP30 AY30 BB30 BD30 C32 L32 AJ32 AM32 AP32 AY32 BB32 BD32 C34 L34 AJ34 AM34 AP34 AY34 BB34 BD34 C36 L36 AJ36 AM36 AP36 AY36 BB36 BD36">
    <cfRule type="expression" dxfId="324" priority="11">
      <formula>AND(ISBLANK($F18)=FALSE,OR(ISBLANK(C18)=TRUE,C18=""))</formula>
    </cfRule>
  </conditionalFormatting>
  <conditionalFormatting sqref="R18:AC37">
    <cfRule type="expression" dxfId="323" priority="3">
      <formula>AND(ISBLANK($F18)=FALSE,OR(ISBLANK(R18)=TRUE,R18=""))</formula>
    </cfRule>
  </conditionalFormatting>
  <conditionalFormatting sqref="AD18 AD20 AD22 AD24 AD26 AD28 AD30 AD32 AD34 AD36">
    <cfRule type="expression" dxfId="322" priority="2152">
      <formula>AND(ISBLANK($F18)=FALSE,OR(ISBLANK(AD18)=TRUE,AD18=""))</formula>
    </cfRule>
  </conditionalFormatting>
  <conditionalFormatting sqref="AS18 AS20 AS22 AS24 AS26 AS28 AS30 AS32 AS34 AS36">
    <cfRule type="expression" dxfId="321" priority="2">
      <formula>AND(ISBLANK($F18)=FALSE,OR(ISBLANK(AS18)=TRUE,AS18=""))</formula>
    </cfRule>
  </conditionalFormatting>
  <conditionalFormatting sqref="AV18 AY18 AV20 AY20 AV22 AY22 AV24 AY24 AV26 AY26 AV28 AY28 AV30 AY30 AV32 AY32 AV34 AY34 AV36 AY36">
    <cfRule type="expression" dxfId="320" priority="2092">
      <formula>AND($F18&lt;&gt;"",$P18&lt;&gt;"",AV18="")</formula>
    </cfRule>
  </conditionalFormatting>
  <conditionalFormatting sqref="AV19 AV21 AV23 AV25 AV27 AV29 AV31 AV33 AV35 AV37">
    <cfRule type="expression" dxfId="319" priority="7">
      <formula>AND($F18&lt;&gt;"",AV19="")</formula>
    </cfRule>
  </conditionalFormatting>
  <conditionalFormatting sqref="BA8:BF8">
    <cfRule type="expression" dxfId="318" priority="4">
      <formula>IF($AO$8=PROJSTATMEASURE,FALSE,TRUE)</formula>
    </cfRule>
  </conditionalFormatting>
  <conditionalFormatting sqref="BH18 BH20 BH22 BH24 BH26 BH28 BH30 BH32 BH34 BH36">
    <cfRule type="expression" dxfId="317" priority="2206" stopIfTrue="1">
      <formula>ISNUMBER($BH18)=FALSE</formula>
    </cfRule>
    <cfRule type="expression" dxfId="316" priority="2207">
      <formula>$BH18 &lt;&gt; #REF!</formula>
    </cfRule>
  </conditionalFormatting>
  <conditionalFormatting sqref="BY18:BZ37">
    <cfRule type="expression" dxfId="315" priority="1">
      <formula>$BX18&lt;&gt;"Dual"</formula>
    </cfRule>
  </conditionalFormatting>
  <dataValidations count="20">
    <dataValidation allowBlank="1" showInputMessage="1" showErrorMessage="1" prompt="Enter the Serial number as it appears in technical documents and invoices." sqref="AV19 AV21 AV23 AV25 AV27 AV29 AV31 AV33 AV35 AV37" xr:uid="{F6C56441-FD6A-4AD8-8E3C-8D4560BBEC1F}"/>
    <dataValidation allowBlank="1" showInputMessage="1" showErrorMessage="1" prompt="Provide a brief description of the Existing Equipment." sqref="L18 L20 L22 L24 L26 L28 L30 L32 L34 L36" xr:uid="{2E55F400-19DA-426B-99D5-DF101121D438}"/>
    <dataValidation allowBlank="1" showInputMessage="1" showErrorMessage="1" prompt="Enter the Model number as it appears in technical documents and invoices." sqref="AY18 AY20 AY22 AY24 AY26 AY28 AY30 AY32 AY34 AY36" xr:uid="{22DFF24E-83EA-4A59-87AA-9BD2115F465F}"/>
    <dataValidation allowBlank="1" showInputMessage="1" showErrorMessage="1" prompt="Enter the Manufacturer name as it appears in technical documents and invoices." sqref="AV18 AV20 AV22 AV24 AV26 AV28 AV30 AV32 AV34 AV36" xr:uid="{89CE4AE0-D869-4B0D-8F3C-1AFD7765DE1F}"/>
    <dataValidation allowBlank="1" showInputMessage="1" showErrorMessage="1" prompt="Install Location should describe the area where the equipment is installed. (e.g. Room 201, Garage, Mechanical Room)." sqref="C18 C20 C22 C24 C26 C28 C30 C32 C34 C36" xr:uid="{87F0F78A-A61C-4874-BBA1-639D30044FE5}"/>
    <dataValidation type="decimal" allowBlank="1" showInputMessage="1" showErrorMessage="1" prompt="This is the TOTAL Material Cost of the measure, NOT a per unit basis." sqref="BB18 BB20 BB22 BB24 BB26 BB28 BB30 BB32 BB34 BB36" xr:uid="{8ED94F98-7ACA-49A9-89DD-BA8D30759E25}">
      <formula1>0</formula1>
      <formula2>999999999</formula2>
    </dataValidation>
    <dataValidation type="decimal" allowBlank="1" showInputMessage="1" showErrorMessage="1" prompt="This is the TOTAL Labor Cost of the measure, NOT a per unit basis." sqref="BD18 BD20 BD22 BD24 BD26 BD28 BD30 BD32 BD34 BD36" xr:uid="{9FB9FA7E-0600-4828-8D15-55BF841D107D}">
      <formula1>0</formula1>
      <formula2>999999999</formula2>
    </dataValidation>
    <dataValidation type="list" allowBlank="1" showInputMessage="1" showErrorMessage="1" prompt="Select Custom Measure Category." sqref="F18 F20 F22 F24 F26 F28 F30 F32 F34 F36" xr:uid="{8E995103-B671-47B7-93F2-91421EB03F3F}">
      <formula1>List_Cust_Refrig</formula1>
    </dataValidation>
    <dataValidation type="custom" operator="greaterThanOrEqual" allowBlank="1" showInputMessage="1" showErrorMessage="1" errorTitle="Invalid Entry" error="Please enter no more than 4 decimals." prompt="Enter the Total Annual kWh Usage for the Existing measure, NOT per unit." sqref="R18:T37" xr:uid="{1FAF352A-5D79-47EF-A6D2-9D20FE3B0381}">
      <formula1>AND(R18&gt;=0,R18=ROUND(R18,4))</formula1>
    </dataValidation>
    <dataValidation type="custom" operator="greaterThanOrEqual" allowBlank="1" showInputMessage="1" showErrorMessage="1" errorTitle="Invalid Entry" error="Please enter no more than 6 decimals." prompt="Enter the Total Annual kW Demand for the Existing measure, NOT per unit." sqref="U18:W37" xr:uid="{B70C969F-E4CD-4A91-85B0-49314C965AA4}">
      <formula1>AND(U18&gt;=0,U18=ROUND(U18,6))</formula1>
    </dataValidation>
    <dataValidation type="custom" operator="greaterThanOrEqual" allowBlank="1" showInputMessage="1" showErrorMessage="1" errorTitle="Invalid Entry" error="Please enter no more than 4 decimals." prompt="Enter the Total Annual kWh Usage for the Proposed measure, NOT per unit." sqref="AJ18 AJ20 AJ22 AJ24 AJ26 AJ28 AJ30 AJ32 AJ34 AJ36" xr:uid="{9B2F46AE-E2AB-4C6C-8E5F-7CF6635875B1}">
      <formula1>AND(AJ18&gt;=0,AJ18=ROUND(AJ18,4))</formula1>
    </dataValidation>
    <dataValidation type="custom" operator="greaterThanOrEqual" allowBlank="1" showInputMessage="1" showErrorMessage="1" errorTitle="Invalid Entry" error="Please enter no more than 6 decimals." prompt="Enter the Total Annual kW Demand for the Proposed measure, NOT per unit." sqref="AM18 AM20 AM22 AM24 AM26 AM28 AM30 AM32 AM34 AM36" xr:uid="{2B508FB5-6948-4DEE-94E7-995674F00F59}">
      <formula1>AND(AM18&gt;=0,AM18=ROUND(AM18,6))</formula1>
    </dataValidation>
    <dataValidation type="textLength" errorStyle="warning" operator="lessThan" allowBlank="1" showInputMessage="1" showErrorMessage="1" errorTitle="*Important*" error="Text length must be less than 255 characters." prompt="Provide a brief description of the Proposed Equipment." sqref="AD18 AD20 AD22 AD24 AD26 AD28 AD30 AD32 AD34 AD36" xr:uid="{E5E479EA-9EC6-4DAA-9545-8CD1AD6E8F7B}">
      <formula1>255</formula1>
    </dataValidation>
    <dataValidation type="custom" operator="greaterThanOrEqual" allowBlank="1" showInputMessage="1" showErrorMessage="1" errorTitle="Invalid Entry" error="Please enter no more than 6_x000a_ decimals." prompt="Enter the Total Annual therm Usage for the Existing measure, NOT per unit." sqref="X18:Z37" xr:uid="{B557BE4C-B2DD-4872-B41F-04AAE3E68F9E}">
      <formula1>AND(X18&gt;=0,X18=ROUND(X18,6))</formula1>
    </dataValidation>
    <dataValidation type="custom" operator="greaterThanOrEqual" allowBlank="1" showInputMessage="1" showErrorMessage="1" errorTitle="Invalid Entry" error="Please enter no more than 6_x000a_ decimals." prompt="Enter the Peak Day therm Usage for the Existing measure, NOT per unit." sqref="AA18:AC37" xr:uid="{83BBFA41-1064-44DF-8B4E-60148AC9C1BD}">
      <formula1>AND(AA18&gt;=0,AA18=ROUND(AA18,6))</formula1>
    </dataValidation>
    <dataValidation type="custom" operator="greaterThanOrEqual" allowBlank="1" showInputMessage="1" showErrorMessage="1" errorTitle="Invalid Entry" error="Please enter no more than 6 decimals." prompt="Enter the Total Annual therm Usage for the Proposed measure, NOT per unit." sqref="AP18:AR37" xr:uid="{CA92D57A-0C93-445E-9468-FFEA517F9C30}">
      <formula1>AND(AP18&gt;=0,AP18=ROUND(AP18,6))</formula1>
    </dataValidation>
    <dataValidation type="custom" operator="greaterThanOrEqual" allowBlank="1" showInputMessage="1" showErrorMessage="1" errorTitle="Invalid Entry" error="Please enter no more than 6 decimals." prompt="Enter the Peak Day therm Usage for the Proposed measure, NOT per unit." sqref="AS18:AU37" xr:uid="{9EB8555E-E4BC-47A3-A606-E413AF60A6D6}">
      <formula1>AND(AS18&gt;=0,AS18=ROUND(AS18,6))</formula1>
    </dataValidation>
    <dataValidation type="custom" allowBlank="1" showInputMessage="1" showErrorMessage="1" sqref="BY18:BY37" xr:uid="{B9FE6BD6-0282-4CC9-A1FD-1817282A8F15}">
      <formula1>AND(BY18&gt;=0,BY18=ROUND(BY18,4))</formula1>
    </dataValidation>
    <dataValidation type="custom" allowBlank="1" showInputMessage="1" showErrorMessage="1" sqref="BZ18:BZ37" xr:uid="{BCE8655A-2C85-4DAD-B26B-6A8AF9D3849A}">
      <formula1>AND(BZ18&gt;=0,BZ18=ROUND(BZ18,6))</formula1>
    </dataValidation>
    <dataValidation type="whole" operator="greaterThan" allowBlank="1" showInputMessage="1" showErrorMessage="1" sqref="BV18:BW37" xr:uid="{A9661DD2-9361-48DA-AA51-0CD84C5CC5AE}">
      <formula1>0</formula1>
    </dataValidation>
  </dataValidations>
  <hyperlinks>
    <hyperlink ref="J1:M3" location="'M01-S02'!J1" tooltip="Instructions" display="'M01-S02'!J1" xr:uid="{1C49517D-7482-49A5-9FE9-01743FFDC353}"/>
    <hyperlink ref="AX1:BA3" location="'M05-S05'!AL1" tooltip=" " display="'M05-S05'!AL1" xr:uid="{B3702B59-00F8-4C1C-985F-C2E1E59B1196}"/>
    <hyperlink ref="BH1:BK3" location="'M01-S03'!AP1" tooltip="Contact" display="'M01-S03'!AP1" xr:uid="{ACBC7C43-70AE-4943-891D-42A39784C696}"/>
    <hyperlink ref="AT1:AW3" location="'M05-S04'!AH1" tooltip=" " display="'M05-S04'!AH1" xr:uid="{12C0328D-319D-4372-9D20-04E9D9957834}"/>
    <hyperlink ref="AP1:AS3" location="'M05-S05'!AL1" tooltip=" " display="'M05-S05'!AL1" xr:uid="{E6C4CD49-2C2F-42C9-81B0-DDB457B0B263}"/>
    <hyperlink ref="W9:Z11" location="Custom_WH_Tax" tooltip="Refrigeration" display="Custom_WH_Tax" xr:uid="{7CB417AF-1583-4B7C-AF3A-DA60761F2D01}"/>
    <hyperlink ref="AP9:AS11" location="Custom_PL_Tax" tooltip="Motors and Drives" display="Custom_PL_Tax" xr:uid="{7BE3A153-891F-4159-BFD3-D1569307AA5E}"/>
    <hyperlink ref="K9:N11" location="Custom_Lighting_Tax" display="Custom_Lighting_Tax" xr:uid="{919A75DE-B7DD-4CA9-9284-27791475F4E2}"/>
    <hyperlink ref="O9:R11" location="Custom_HVAC_Tax" display="Custom_HVAC_Tax" xr:uid="{C80626BD-8158-490E-93C5-A457A7F0D4DD}"/>
    <hyperlink ref="S9:V11" location="Custom_Heating_Tax" display="Custom_Heating_Tax" xr:uid="{93C7D5D8-09CD-43B2-B51F-0D7FA42C9013}"/>
    <hyperlink ref="AF9:AJ11" location="Custom_FS_Tax" display="Custom_FS_Tax" xr:uid="{FCAFD345-F34D-4114-A75F-620C552B17F6}"/>
    <hyperlink ref="AK9:AO11" location="Custom_AG_Tax" display="Custom_AG_Tax" xr:uid="{A6392A4E-7C21-442D-B7E5-02C2F27CEC7A}"/>
    <hyperlink ref="AT9:AW11" location="Custom_RA_Tax" display="Custom_RA_Tax" xr:uid="{6E614371-B1EE-46A1-A51E-51651E84E613}"/>
    <hyperlink ref="AX9:BA11" location="Custom_Misc_Tax" display="Custom_Misc_Tax" xr:uid="{0933D557-89F8-4C57-A793-E762381EFCAA}"/>
    <hyperlink ref="AA9:AE11" location="Custom_Refrig_Tax" display="Custom_Refrig_Tax" xr:uid="{3F1AF3C9-37AC-4885-A16D-9227C8EAA3FB}"/>
  </hyperlinks>
  <printOptions horizontalCentered="1"/>
  <pageMargins left="0" right="0" top="0.25" bottom="0.25" header="0.25" footer="0.25"/>
  <pageSetup scale="4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2BE8702-3FC9-4F4F-98A6-2B76F9A65A64}">
          <x14:formula1>
            <xm:f>'DATA TABLES_Project'!$A$112:$A$113</xm:f>
          </x14:formula1>
          <xm:sqref>BX18:BX37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142C41"/>
    <pageSetUpPr fitToPage="1"/>
  </sheetPr>
  <dimension ref="A1:EN204"/>
  <sheetViews>
    <sheetView showGridLines="0" showRowColHeaders="0" zoomScale="90" zoomScaleNormal="90" workbookViewId="0">
      <selection activeCell="AQ14" sqref="AQ14:BA14"/>
    </sheetView>
  </sheetViews>
  <sheetFormatPr defaultColWidth="0" defaultRowHeight="0" customHeight="1" zeroHeight="1"/>
  <cols>
    <col min="1" max="70" width="4.5703125" customWidth="1"/>
    <col min="71" max="71" width="11.5703125" hidden="1" customWidth="1"/>
    <col min="72" max="72" width="80.5703125" hidden="1" customWidth="1"/>
    <col min="73" max="73" width="4.5703125" hidden="1" customWidth="1"/>
    <col min="74" max="76" width="12" hidden="1" customWidth="1"/>
    <col min="77" max="77" width="14.42578125" hidden="1" customWidth="1"/>
    <col min="78" max="78" width="16.5703125" hidden="1" customWidth="1"/>
    <col min="79" max="79" width="4.5703125" hidden="1" customWidth="1"/>
    <col min="80" max="98" width="12" hidden="1" customWidth="1"/>
    <col min="99" max="99" width="12.42578125" hidden="1" customWidth="1"/>
    <col min="100" max="102" width="12" hidden="1" customWidth="1"/>
    <col min="103" max="105" width="12.42578125" hidden="1" customWidth="1"/>
    <col min="106" max="107" width="12" hidden="1" customWidth="1"/>
    <col min="108" max="128" width="28.5703125" hidden="1" customWidth="1"/>
    <col min="129" max="129" width="26.7109375" hidden="1" customWidth="1"/>
    <col min="130" max="130" width="15.85546875" hidden="1" customWidth="1"/>
    <col min="131" max="144" width="32.5703125" hidden="1" customWidth="1"/>
    <col min="145" max="16384" width="12.42578125" hidden="1"/>
  </cols>
  <sheetData>
    <row r="1" spans="1:113" ht="16.350000000000001" customHeight="1">
      <c r="A1" s="12"/>
      <c r="B1" s="36"/>
      <c r="C1" s="36"/>
      <c r="D1" s="36"/>
      <c r="E1" s="36"/>
      <c r="F1" s="750" t="str">
        <f>M1S1</f>
        <v>WELCOME</v>
      </c>
      <c r="G1" s="750"/>
      <c r="H1" s="750"/>
      <c r="I1" s="750"/>
      <c r="J1" s="727" t="str">
        <f>M1S2</f>
        <v>INSTRUCTIONS</v>
      </c>
      <c r="K1" s="727"/>
      <c r="L1" s="727"/>
      <c r="M1" s="727"/>
      <c r="N1" s="166"/>
      <c r="O1" s="166"/>
      <c r="P1" s="166"/>
      <c r="Q1" s="166"/>
      <c r="R1" s="166"/>
      <c r="S1" s="166"/>
      <c r="T1" s="166"/>
      <c r="U1" s="189"/>
      <c r="V1" s="190" t="s">
        <v>118</v>
      </c>
      <c r="W1" s="190"/>
      <c r="X1" s="190"/>
      <c r="Y1" s="190"/>
      <c r="Z1" s="166"/>
      <c r="AA1" s="166"/>
      <c r="AB1" s="166"/>
      <c r="AC1" s="166"/>
      <c r="AD1" s="166"/>
      <c r="AE1" s="166"/>
      <c r="AF1" s="166"/>
      <c r="AG1" s="166"/>
      <c r="AH1" s="166"/>
      <c r="AI1" s="166"/>
      <c r="AJ1" s="166"/>
      <c r="AP1" s="734" t="str">
        <f>IF(ACTIVEINSPECT="Yes","Complete "&amp;M5S4,"")</f>
        <v/>
      </c>
      <c r="AQ1" s="734"/>
      <c r="AR1" s="734"/>
      <c r="AS1" s="734"/>
      <c r="AT1" s="730" t="str">
        <f>IF(ACTIVEOFFER="Yes","Sign "&amp;M5S6,"")</f>
        <v>Sign OBR: Repayment Agreement</v>
      </c>
      <c r="AU1" s="730"/>
      <c r="AV1" s="730"/>
      <c r="AW1" s="730"/>
      <c r="AX1" s="730" t="str">
        <f>IF(ACTIVECOMPL="Yes","Sign "&amp;M5S5,"")</f>
        <v xml:space="preserve">Sign Project Completion Certification </v>
      </c>
      <c r="AY1" s="730"/>
      <c r="AZ1" s="730"/>
      <c r="BA1" s="730"/>
      <c r="BB1" s="732" t="str">
        <f>M1S4</f>
        <v>INCENTIVE RATES &amp; REQUIREMENTS</v>
      </c>
      <c r="BC1" s="732"/>
      <c r="BD1" s="732"/>
      <c r="BE1" s="732"/>
      <c r="BF1" s="732"/>
      <c r="BG1" s="732"/>
      <c r="BH1" s="722" t="s">
        <v>119</v>
      </c>
      <c r="BI1" s="723"/>
      <c r="BJ1" s="723"/>
      <c r="BK1" s="723"/>
      <c r="BL1" s="676"/>
      <c r="BM1" s="676"/>
      <c r="BN1" s="676"/>
      <c r="BO1" s="676"/>
      <c r="BP1" s="676"/>
      <c r="BQ1" s="676"/>
      <c r="BR1" s="676"/>
    </row>
    <row r="2" spans="1:113" ht="16.350000000000001" customHeight="1">
      <c r="B2" s="36"/>
      <c r="C2" s="36"/>
      <c r="D2" s="36"/>
      <c r="E2" s="36"/>
      <c r="F2" s="750"/>
      <c r="G2" s="750"/>
      <c r="H2" s="750"/>
      <c r="I2" s="750"/>
      <c r="J2" s="728"/>
      <c r="K2" s="728"/>
      <c r="L2" s="728"/>
      <c r="M2" s="728"/>
      <c r="N2" s="166"/>
      <c r="O2" s="166"/>
      <c r="P2" s="166"/>
      <c r="Q2" s="166"/>
      <c r="R2" s="166"/>
      <c r="S2" s="166"/>
      <c r="T2" s="166"/>
      <c r="U2" s="189"/>
      <c r="V2" s="190"/>
      <c r="W2" s="190"/>
      <c r="X2" s="190"/>
      <c r="Y2" s="190"/>
      <c r="Z2" s="166"/>
      <c r="AA2" s="166"/>
      <c r="AB2" s="166"/>
      <c r="AC2" s="166"/>
      <c r="AD2" s="166"/>
      <c r="AE2" s="166"/>
      <c r="AF2" s="166"/>
      <c r="AG2" s="166"/>
      <c r="AH2" s="166"/>
      <c r="AI2" s="166"/>
      <c r="AJ2" s="166"/>
      <c r="AP2" s="734"/>
      <c r="AQ2" s="734"/>
      <c r="AR2" s="734"/>
      <c r="AS2" s="734"/>
      <c r="AT2" s="730"/>
      <c r="AU2" s="730"/>
      <c r="AV2" s="730"/>
      <c r="AW2" s="730"/>
      <c r="AX2" s="730"/>
      <c r="AY2" s="730"/>
      <c r="AZ2" s="730"/>
      <c r="BA2" s="730"/>
      <c r="BB2" s="732"/>
      <c r="BC2" s="732"/>
      <c r="BD2" s="732"/>
      <c r="BE2" s="732"/>
      <c r="BF2" s="732"/>
      <c r="BG2" s="732"/>
      <c r="BH2" s="723"/>
      <c r="BI2" s="723"/>
      <c r="BJ2" s="723"/>
      <c r="BK2" s="723"/>
      <c r="BL2" s="676"/>
      <c r="BM2" s="676"/>
      <c r="BN2" s="676"/>
      <c r="BO2" s="676"/>
      <c r="BP2" s="676"/>
      <c r="BQ2" s="676"/>
      <c r="BR2" s="676"/>
    </row>
    <row r="3" spans="1:113" ht="16.350000000000001" customHeight="1" thickBot="1">
      <c r="A3" s="614"/>
      <c r="B3" s="627"/>
      <c r="C3" s="627"/>
      <c r="D3" s="627"/>
      <c r="E3" s="627"/>
      <c r="F3" s="875"/>
      <c r="G3" s="875"/>
      <c r="H3" s="875"/>
      <c r="I3" s="875"/>
      <c r="J3" s="876"/>
      <c r="K3" s="876"/>
      <c r="L3" s="876"/>
      <c r="M3" s="876"/>
      <c r="N3" s="608"/>
      <c r="O3" s="608"/>
      <c r="P3" s="608"/>
      <c r="Q3" s="608"/>
      <c r="R3" s="608"/>
      <c r="S3" s="608"/>
      <c r="T3" s="608"/>
      <c r="U3" s="608"/>
      <c r="V3" s="609"/>
      <c r="W3" s="609"/>
      <c r="X3" s="609"/>
      <c r="Y3" s="609"/>
      <c r="Z3" s="614"/>
      <c r="AA3" s="614"/>
      <c r="AB3" s="614"/>
      <c r="AC3" s="614"/>
      <c r="AD3" s="614"/>
      <c r="AE3" s="614"/>
      <c r="AF3" s="614"/>
      <c r="AG3" s="614"/>
      <c r="AH3" s="614"/>
      <c r="AI3" s="614"/>
      <c r="AJ3" s="614"/>
      <c r="AK3" s="614"/>
      <c r="AL3" s="614"/>
      <c r="AM3" s="614"/>
      <c r="AN3" s="614"/>
      <c r="AO3" s="614"/>
      <c r="AP3" s="868"/>
      <c r="AQ3" s="868"/>
      <c r="AR3" s="868"/>
      <c r="AS3" s="868"/>
      <c r="AT3" s="869"/>
      <c r="AU3" s="869"/>
      <c r="AV3" s="869"/>
      <c r="AW3" s="869"/>
      <c r="AX3" s="869"/>
      <c r="AY3" s="869"/>
      <c r="AZ3" s="869"/>
      <c r="BA3" s="869"/>
      <c r="BB3" s="1009"/>
      <c r="BC3" s="1009"/>
      <c r="BD3" s="1009"/>
      <c r="BE3" s="1009"/>
      <c r="BF3" s="1009"/>
      <c r="BG3" s="1009"/>
      <c r="BH3" s="871"/>
      <c r="BI3" s="871"/>
      <c r="BJ3" s="871"/>
      <c r="BK3" s="871"/>
      <c r="BL3" s="676"/>
      <c r="BM3" s="676"/>
      <c r="BN3" s="676"/>
      <c r="BO3" s="676"/>
      <c r="BP3" s="676"/>
      <c r="BQ3" s="676"/>
      <c r="BR3" s="676"/>
    </row>
    <row r="4" spans="1:113" s="496" customFormat="1" ht="16.350000000000001" customHeight="1">
      <c r="A4" s="615"/>
      <c r="B4" s="615"/>
      <c r="C4" s="615"/>
      <c r="D4" s="615"/>
      <c r="E4" s="615"/>
      <c r="F4" s="615"/>
      <c r="G4" s="615"/>
      <c r="H4" s="615"/>
      <c r="I4" s="615"/>
      <c r="J4" s="615"/>
      <c r="K4" s="615"/>
      <c r="L4" s="615"/>
      <c r="M4" s="615"/>
      <c r="N4" s="616"/>
      <c r="O4" s="617"/>
      <c r="P4" s="615"/>
      <c r="Q4" s="615"/>
      <c r="R4" s="615"/>
      <c r="S4" s="615"/>
      <c r="T4" s="613" t="s">
        <v>707</v>
      </c>
      <c r="U4" s="618" t="str">
        <f>M05S07F07</f>
        <v>Custom</v>
      </c>
      <c r="X4" s="619"/>
      <c r="Y4" s="619"/>
      <c r="Z4" s="619"/>
      <c r="AA4" s="615"/>
      <c r="AB4" s="615"/>
      <c r="AC4" s="613" t="s">
        <v>708</v>
      </c>
      <c r="AD4" s="618" t="str">
        <f>IF(M02S02F02="","[Project Name]",LEFT(M02S02F02,25))</f>
        <v>[Project Name]</v>
      </c>
      <c r="AF4" s="620"/>
      <c r="AG4" s="620"/>
      <c r="AH4" s="620"/>
      <c r="AI4" s="620"/>
      <c r="AJ4" s="620"/>
      <c r="AK4" s="620"/>
      <c r="AL4" s="613" t="s">
        <v>709</v>
      </c>
      <c r="AM4" s="621" t="str">
        <f>IF(M02S02F27="Yes",Status_Final,Status_Pre)</f>
        <v>Draft Pre-Application</v>
      </c>
      <c r="AO4" s="617"/>
      <c r="AP4" s="615"/>
      <c r="AQ4" s="615"/>
      <c r="AR4" s="617"/>
      <c r="AS4" s="617"/>
      <c r="AT4" s="615"/>
      <c r="AU4" s="615"/>
      <c r="AV4" s="615"/>
      <c r="AW4" s="613" t="s">
        <v>710</v>
      </c>
      <c r="AX4" s="1047">
        <f>Incent_Total_Cap_All</f>
        <v>0</v>
      </c>
      <c r="AY4" s="1047"/>
      <c r="AZ4" s="1047"/>
      <c r="BA4" s="1047"/>
      <c r="BB4" s="1048" t="s">
        <v>711</v>
      </c>
      <c r="BC4" s="1048"/>
      <c r="BD4" s="1048"/>
      <c r="BE4" s="1048"/>
      <c r="BF4" s="1048"/>
      <c r="BG4" s="1047" t="str">
        <f>OBR_Amount_Requested</f>
        <v/>
      </c>
      <c r="BH4" s="1047"/>
      <c r="BI4" s="1047"/>
      <c r="BJ4" s="1047"/>
      <c r="BK4" s="617"/>
      <c r="BL4" s="617"/>
      <c r="BM4" s="617"/>
      <c r="BN4" s="617"/>
      <c r="BO4" s="617"/>
      <c r="BP4" s="617"/>
      <c r="BQ4" s="617"/>
      <c r="BR4" s="617"/>
    </row>
    <row r="5" spans="1:113"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142"/>
      <c r="BK5" s="142"/>
    </row>
    <row r="6" spans="1:113"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113"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113"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14"/>
      <c r="BK8" s="614"/>
    </row>
    <row r="9" spans="1:113" s="43" customFormat="1" ht="16.350000000000001" customHeight="1">
      <c r="A9"/>
      <c r="B9"/>
      <c r="C9"/>
      <c r="D9"/>
      <c r="E9"/>
      <c r="F9"/>
      <c r="K9" s="1051" t="str">
        <f>M4S2</f>
        <v>Lighting &amp; Lighting Controls</v>
      </c>
      <c r="L9" s="1014"/>
      <c r="M9" s="1014"/>
      <c r="N9" s="1014"/>
      <c r="O9" s="1005" t="str">
        <f>M4S3</f>
        <v>HVAC</v>
      </c>
      <c r="P9" s="1005"/>
      <c r="Q9" s="1005"/>
      <c r="R9" s="1005"/>
      <c r="S9" s="1005" t="str">
        <f>M4S4</f>
        <v>Heating</v>
      </c>
      <c r="T9" s="1005"/>
      <c r="U9" s="1005"/>
      <c r="V9" s="1005"/>
      <c r="W9" s="1005" t="str">
        <f>M4S5</f>
        <v>Water Heating &amp; Boilers</v>
      </c>
      <c r="X9" s="1005"/>
      <c r="Y9" s="1005"/>
      <c r="Z9" s="1005"/>
      <c r="AA9" s="1029" t="str">
        <f>M4S6</f>
        <v>Refrigeration</v>
      </c>
      <c r="AB9" s="1030"/>
      <c r="AC9" s="1030"/>
      <c r="AD9" s="1030"/>
      <c r="AE9" s="1031"/>
      <c r="AF9" s="1067" t="str">
        <f>M4S7</f>
        <v>Food Service</v>
      </c>
      <c r="AG9" s="1068"/>
      <c r="AH9" s="1068"/>
      <c r="AI9" s="1068"/>
      <c r="AJ9" s="1069"/>
      <c r="AK9" s="1010" t="str">
        <f>M4S8</f>
        <v>Agriculture</v>
      </c>
      <c r="AL9" s="1011"/>
      <c r="AM9" s="1011"/>
      <c r="AN9" s="1011"/>
      <c r="AO9" s="1012"/>
      <c r="AP9" s="1005" t="str">
        <f>M4S9</f>
        <v>Plug Load</v>
      </c>
      <c r="AQ9" s="1005"/>
      <c r="AR9" s="1005"/>
      <c r="AS9" s="1005"/>
      <c r="AT9" s="1005" t="str">
        <f>M4S10</f>
        <v>Residential Appliances</v>
      </c>
      <c r="AU9" s="1005"/>
      <c r="AV9" s="1005"/>
      <c r="AW9" s="1005"/>
      <c r="AX9" s="1005" t="str">
        <f>M4S11</f>
        <v>Miscellaneous</v>
      </c>
      <c r="AY9" s="1005"/>
      <c r="AZ9" s="1005"/>
      <c r="BA9" s="1005"/>
      <c r="BS9"/>
      <c r="BT9"/>
      <c r="BU9"/>
      <c r="BV9"/>
      <c r="BW9"/>
      <c r="BX9"/>
      <c r="BY9"/>
      <c r="BZ9"/>
      <c r="CA9"/>
      <c r="CB9"/>
      <c r="CC9"/>
      <c r="CD9"/>
      <c r="CE9"/>
      <c r="CF9"/>
      <c r="CG9"/>
      <c r="CH9"/>
      <c r="CI9"/>
      <c r="DC9"/>
      <c r="DD9"/>
      <c r="DE9"/>
      <c r="DF9"/>
      <c r="DG9"/>
      <c r="DH9"/>
      <c r="DI9"/>
    </row>
    <row r="10" spans="1:113" s="43" customFormat="1" ht="16.350000000000001" customHeight="1">
      <c r="B10" s="44"/>
      <c r="C10" s="44"/>
      <c r="D10" s="44"/>
      <c r="E10" s="44"/>
      <c r="F10"/>
      <c r="K10" s="1051"/>
      <c r="L10" s="1014"/>
      <c r="M10" s="1014"/>
      <c r="N10" s="1014"/>
      <c r="O10" s="1005"/>
      <c r="P10" s="1005"/>
      <c r="Q10" s="1005"/>
      <c r="R10" s="1005"/>
      <c r="S10" s="1005"/>
      <c r="T10" s="1005"/>
      <c r="U10" s="1005"/>
      <c r="V10" s="1005"/>
      <c r="W10" s="1005"/>
      <c r="X10" s="1005"/>
      <c r="Y10" s="1005"/>
      <c r="Z10" s="1005"/>
      <c r="AA10" s="1032"/>
      <c r="AB10" s="1033"/>
      <c r="AC10" s="1033"/>
      <c r="AD10" s="1033"/>
      <c r="AE10" s="1034"/>
      <c r="AF10" s="1070"/>
      <c r="AG10" s="1026"/>
      <c r="AH10" s="1026"/>
      <c r="AI10" s="1026"/>
      <c r="AJ10" s="1071"/>
      <c r="AK10" s="1013"/>
      <c r="AL10" s="1014"/>
      <c r="AM10" s="1014"/>
      <c r="AN10" s="1014"/>
      <c r="AO10" s="1015"/>
      <c r="AP10" s="1005"/>
      <c r="AQ10" s="1005"/>
      <c r="AR10" s="1005"/>
      <c r="AS10" s="1005"/>
      <c r="AT10" s="1005"/>
      <c r="AU10" s="1005"/>
      <c r="AV10" s="1005"/>
      <c r="AW10" s="1005"/>
      <c r="AX10" s="1005"/>
      <c r="AY10" s="1005"/>
      <c r="AZ10" s="1005"/>
      <c r="BA10" s="1005"/>
      <c r="BS10"/>
      <c r="BT10"/>
      <c r="BU10"/>
      <c r="BV10"/>
      <c r="BW10"/>
      <c r="BX10"/>
      <c r="BY10"/>
      <c r="BZ10"/>
      <c r="CA10"/>
      <c r="CB10"/>
      <c r="CC10"/>
      <c r="CD10"/>
      <c r="CE10"/>
      <c r="CF10"/>
      <c r="CG10"/>
      <c r="CH10"/>
      <c r="CI10"/>
      <c r="DC10"/>
      <c r="DD10"/>
      <c r="DE10"/>
      <c r="DF10"/>
      <c r="DG10"/>
      <c r="DH10"/>
      <c r="DI10"/>
    </row>
    <row r="11" spans="1:113" ht="16.350000000000001" customHeight="1">
      <c r="B11" s="49"/>
      <c r="C11" s="49"/>
      <c r="D11" s="49"/>
      <c r="E11" s="49"/>
      <c r="K11" s="1052"/>
      <c r="L11" s="1053"/>
      <c r="M11" s="1053"/>
      <c r="N11" s="1053"/>
      <c r="O11" s="1006"/>
      <c r="P11" s="1006"/>
      <c r="Q11" s="1006"/>
      <c r="R11" s="1006"/>
      <c r="S11" s="1006"/>
      <c r="T11" s="1006"/>
      <c r="U11" s="1006"/>
      <c r="V11" s="1006"/>
      <c r="W11" s="1006"/>
      <c r="X11" s="1006"/>
      <c r="Y11" s="1006"/>
      <c r="Z11" s="1006"/>
      <c r="AA11" s="1035"/>
      <c r="AB11" s="1036"/>
      <c r="AC11" s="1036"/>
      <c r="AD11" s="1036"/>
      <c r="AE11" s="1037"/>
      <c r="AF11" s="1072"/>
      <c r="AG11" s="1073"/>
      <c r="AH11" s="1073"/>
      <c r="AI11" s="1073"/>
      <c r="AJ11" s="1074"/>
      <c r="AK11" s="1016"/>
      <c r="AL11" s="1017"/>
      <c r="AM11" s="1017"/>
      <c r="AN11" s="1017"/>
      <c r="AO11" s="1018"/>
      <c r="AP11" s="1006"/>
      <c r="AQ11" s="1006"/>
      <c r="AR11" s="1006"/>
      <c r="AS11" s="1006"/>
      <c r="AT11" s="1006"/>
      <c r="AU11" s="1006"/>
      <c r="AV11" s="1006"/>
      <c r="AW11" s="1006"/>
      <c r="AX11" s="1006"/>
      <c r="AY11" s="1006"/>
      <c r="AZ11" s="1006"/>
      <c r="BA11" s="1006"/>
    </row>
    <row r="12" spans="1:113" ht="16.350000000000001" customHeight="1">
      <c r="A12" s="41"/>
      <c r="B12" s="41"/>
      <c r="C12" s="41"/>
      <c r="D12" s="41"/>
      <c r="E12" s="41"/>
      <c r="F12" s="41"/>
      <c r="Y12" s="1004">
        <f>IFERROR(SUM(BF18:BG225,AQ14),0)</f>
        <v>0</v>
      </c>
      <c r="Z12" s="1004"/>
      <c r="AA12" s="1004"/>
      <c r="AB12" s="1004"/>
      <c r="AC12" s="1004">
        <f>IFERROR(SUM(BH18:BJ225),0)</f>
        <v>0</v>
      </c>
      <c r="AD12" s="1004"/>
      <c r="AE12" s="1004"/>
      <c r="AF12" s="1004"/>
      <c r="AG12" s="1004"/>
      <c r="AH12" s="1007">
        <f>IFERROR(SUMIF(BH18:BJ225,"&gt;0",BK18:BM225),0)</f>
        <v>0</v>
      </c>
      <c r="AI12" s="1007"/>
      <c r="AJ12" s="1007"/>
      <c r="AK12" s="1007"/>
      <c r="AL12" s="1008">
        <f>IFERROR(SUMIF(BH18:BJ225,"&gt;0",BN18:BP225),0)</f>
        <v>0</v>
      </c>
      <c r="AM12" s="1008"/>
      <c r="AN12" s="1008"/>
      <c r="AO12" s="1008"/>
      <c r="AQ12" s="1019" t="s">
        <v>1399</v>
      </c>
      <c r="AR12" s="1019"/>
      <c r="AS12" s="1019"/>
      <c r="AT12" s="1019"/>
      <c r="AU12" s="1019"/>
      <c r="AV12" s="1019"/>
      <c r="AW12" s="1019"/>
      <c r="AX12" s="1019"/>
      <c r="AY12" s="1019"/>
      <c r="AZ12" s="1019"/>
      <c r="BA12" s="1019"/>
    </row>
    <row r="13" spans="1:113" ht="16.350000000000001" customHeight="1">
      <c r="A13" s="41"/>
      <c r="B13" s="41"/>
      <c r="Y13" s="1004"/>
      <c r="Z13" s="1004"/>
      <c r="AA13" s="1004"/>
      <c r="AB13" s="1004"/>
      <c r="AC13" s="1004"/>
      <c r="AD13" s="1004"/>
      <c r="AE13" s="1004"/>
      <c r="AF13" s="1004"/>
      <c r="AG13" s="1004"/>
      <c r="AH13" s="1007"/>
      <c r="AI13" s="1007"/>
      <c r="AJ13" s="1007"/>
      <c r="AK13" s="1007"/>
      <c r="AL13" s="1008"/>
      <c r="AM13" s="1008"/>
      <c r="AN13" s="1008"/>
      <c r="AO13" s="1008"/>
      <c r="AQ13" s="1020"/>
      <c r="AR13" s="1020"/>
      <c r="AS13" s="1020"/>
      <c r="AT13" s="1020"/>
      <c r="AU13" s="1020"/>
      <c r="AV13" s="1020"/>
      <c r="AW13" s="1020"/>
      <c r="AX13" s="1020"/>
      <c r="AY13" s="1020"/>
      <c r="AZ13" s="1020"/>
      <c r="BA13" s="1020"/>
      <c r="CW13" s="1041" t="s">
        <v>1400</v>
      </c>
      <c r="CX13" s="1041"/>
      <c r="CY13" s="1041"/>
    </row>
    <row r="14" spans="1:113" ht="16.350000000000001" customHeight="1">
      <c r="Y14" s="1003" t="s">
        <v>1401</v>
      </c>
      <c r="Z14" s="1003"/>
      <c r="AA14" s="1003"/>
      <c r="AB14" s="1003"/>
      <c r="AC14" s="1003" t="s">
        <v>1402</v>
      </c>
      <c r="AD14" s="1003"/>
      <c r="AE14" s="1003"/>
      <c r="AF14" s="1003"/>
      <c r="AG14" s="1003"/>
      <c r="AH14" s="1003" t="s">
        <v>1403</v>
      </c>
      <c r="AI14" s="1003"/>
      <c r="AJ14" s="1003"/>
      <c r="AK14" s="1003"/>
      <c r="AL14" s="1003" t="s">
        <v>1403</v>
      </c>
      <c r="AM14" s="1003"/>
      <c r="AN14" s="1003"/>
      <c r="AO14" s="1003"/>
      <c r="AQ14" s="1021"/>
      <c r="AR14" s="1021"/>
      <c r="AS14" s="1021"/>
      <c r="AT14" s="1021"/>
      <c r="AU14" s="1021"/>
      <c r="AV14" s="1021"/>
      <c r="AW14" s="1021"/>
      <c r="AX14" s="1021"/>
      <c r="AY14" s="1021"/>
      <c r="AZ14" s="1021"/>
      <c r="BA14" s="1021"/>
      <c r="BV14" s="1040" t="s">
        <v>1404</v>
      </c>
      <c r="BW14" s="1040"/>
      <c r="BX14" s="1040"/>
      <c r="BY14" s="1040"/>
      <c r="BZ14" s="1040"/>
      <c r="CW14" s="1041"/>
      <c r="CX14" s="1041"/>
      <c r="CY14" s="1041"/>
    </row>
    <row r="15" spans="1:113" ht="16.350000000000001" customHeight="1">
      <c r="D15" s="47"/>
      <c r="E15" s="47"/>
      <c r="F15" s="47"/>
      <c r="G15" s="47"/>
      <c r="H15" s="47"/>
      <c r="I15" s="47"/>
      <c r="J15" s="47"/>
      <c r="K15" s="47"/>
      <c r="L15" s="1038" t="s">
        <v>1405</v>
      </c>
      <c r="M15" s="1038"/>
      <c r="N15" s="1038"/>
      <c r="O15" s="1038"/>
      <c r="P15" s="1038"/>
      <c r="Q15" s="1038"/>
      <c r="R15" s="1038"/>
      <c r="S15" s="1038"/>
      <c r="T15" s="1038"/>
      <c r="U15" s="1038"/>
      <c r="V15" s="1038"/>
      <c r="W15" s="1038"/>
      <c r="X15" s="1038"/>
      <c r="Y15" s="1038"/>
      <c r="Z15" s="1038"/>
      <c r="AA15" s="1038" t="s">
        <v>1406</v>
      </c>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679"/>
      <c r="AW15" s="679"/>
      <c r="AX15" s="679"/>
      <c r="AY15" s="679"/>
      <c r="AZ15" s="679"/>
      <c r="BA15" s="679"/>
      <c r="BV15" s="1040"/>
      <c r="BW15" s="1040"/>
      <c r="BX15" s="1040"/>
      <c r="BY15" s="1040"/>
      <c r="BZ15" s="1040"/>
      <c r="CW15" s="595"/>
      <c r="CX15" s="595"/>
      <c r="CY15" s="595"/>
    </row>
    <row r="16" spans="1:113" ht="16.350000000000001" customHeight="1">
      <c r="C16" s="992" t="s">
        <v>1407</v>
      </c>
      <c r="D16" s="992"/>
      <c r="E16" s="992"/>
      <c r="F16" s="991" t="s">
        <v>1408</v>
      </c>
      <c r="G16" s="991"/>
      <c r="H16" s="991"/>
      <c r="I16" s="991"/>
      <c r="J16" s="991"/>
      <c r="K16" s="991"/>
      <c r="L16" s="991" t="s">
        <v>1409</v>
      </c>
      <c r="M16" s="991"/>
      <c r="N16" s="991"/>
      <c r="O16" s="991"/>
      <c r="P16" s="991"/>
      <c r="Q16" s="991"/>
      <c r="R16" s="991" t="s">
        <v>1410</v>
      </c>
      <c r="S16" s="991"/>
      <c r="T16" s="991"/>
      <c r="U16" s="991" t="s">
        <v>1411</v>
      </c>
      <c r="V16" s="991"/>
      <c r="W16" s="991"/>
      <c r="X16" s="991" t="s">
        <v>1412</v>
      </c>
      <c r="Y16" s="991"/>
      <c r="Z16" s="991"/>
      <c r="AA16" s="991" t="s">
        <v>1413</v>
      </c>
      <c r="AB16" s="991"/>
      <c r="AC16" s="991"/>
      <c r="AD16" s="1022" t="s">
        <v>1409</v>
      </c>
      <c r="AE16" s="991"/>
      <c r="AF16" s="991"/>
      <c r="AG16" s="991"/>
      <c r="AH16" s="991"/>
      <c r="AI16" s="991"/>
      <c r="AJ16" s="991" t="s">
        <v>1410</v>
      </c>
      <c r="AK16" s="991"/>
      <c r="AL16" s="991"/>
      <c r="AM16" s="991" t="s">
        <v>1411</v>
      </c>
      <c r="AN16" s="991"/>
      <c r="AO16" s="991"/>
      <c r="AP16" s="991" t="s">
        <v>1412</v>
      </c>
      <c r="AQ16" s="991"/>
      <c r="AR16" s="991"/>
      <c r="AS16" s="991" t="s">
        <v>1413</v>
      </c>
      <c r="AT16" s="991"/>
      <c r="AU16" s="991"/>
      <c r="AV16" s="1057" t="s">
        <v>1414</v>
      </c>
      <c r="AW16" s="1057"/>
      <c r="AX16" s="1057"/>
      <c r="AY16" s="1057" t="s">
        <v>1415</v>
      </c>
      <c r="AZ16" s="1057"/>
      <c r="BA16" s="1057"/>
      <c r="BB16" s="989" t="s">
        <v>1416</v>
      </c>
      <c r="BC16" s="989"/>
      <c r="BD16" s="989"/>
      <c r="BE16" s="989"/>
      <c r="BF16" s="991" t="s">
        <v>224</v>
      </c>
      <c r="BG16" s="991"/>
      <c r="BH16" s="984" t="s">
        <v>1417</v>
      </c>
      <c r="BI16" s="984"/>
      <c r="BJ16" s="984"/>
      <c r="BK16" s="992" t="s">
        <v>1418</v>
      </c>
      <c r="BL16" s="992"/>
      <c r="BM16" s="992"/>
      <c r="BN16" s="992" t="s">
        <v>1419</v>
      </c>
      <c r="BO16" s="992"/>
      <c r="BP16" s="992"/>
      <c r="BS16" s="987" t="s">
        <v>1420</v>
      </c>
      <c r="BT16" s="987" t="s">
        <v>1421</v>
      </c>
      <c r="BV16" s="987" t="s">
        <v>1422</v>
      </c>
      <c r="BW16" s="987" t="s">
        <v>1423</v>
      </c>
      <c r="BX16" s="987" t="s">
        <v>1424</v>
      </c>
      <c r="BY16" s="987" t="s">
        <v>1425</v>
      </c>
      <c r="BZ16" s="987" t="s">
        <v>1426</v>
      </c>
      <c r="CB16" s="987" t="s">
        <v>1427</v>
      </c>
      <c r="CC16" s="987" t="s">
        <v>779</v>
      </c>
      <c r="CD16" s="987" t="s">
        <v>1428</v>
      </c>
      <c r="CE16" s="987" t="s">
        <v>1429</v>
      </c>
      <c r="CF16" s="987" t="s">
        <v>1430</v>
      </c>
      <c r="CG16" s="987" t="s">
        <v>1431</v>
      </c>
      <c r="CH16" s="987" t="s">
        <v>1432</v>
      </c>
      <c r="CI16" s="987" t="s">
        <v>1433</v>
      </c>
      <c r="CJ16" s="987" t="s">
        <v>1434</v>
      </c>
      <c r="CK16" s="987" t="s">
        <v>1435</v>
      </c>
      <c r="CL16" s="987" t="s">
        <v>1436</v>
      </c>
      <c r="CM16" s="987" t="s">
        <v>1437</v>
      </c>
      <c r="CN16" s="987" t="s">
        <v>1438</v>
      </c>
      <c r="CO16" s="987" t="s">
        <v>1439</v>
      </c>
      <c r="CP16" s="987" t="s">
        <v>1440</v>
      </c>
      <c r="CQ16" s="987" t="s">
        <v>1441</v>
      </c>
      <c r="CR16" s="987" t="s">
        <v>1442</v>
      </c>
      <c r="CS16" s="987" t="s">
        <v>1443</v>
      </c>
      <c r="CT16" s="987" t="s">
        <v>1444</v>
      </c>
      <c r="CU16" s="987" t="s">
        <v>1445</v>
      </c>
      <c r="CV16" s="919" t="s">
        <v>1446</v>
      </c>
      <c r="CW16" s="919" t="s">
        <v>1447</v>
      </c>
      <c r="CX16" s="919" t="s">
        <v>1448</v>
      </c>
      <c r="CY16" s="1042" t="s">
        <v>1449</v>
      </c>
      <c r="CZ16" s="1042" t="s">
        <v>1450</v>
      </c>
      <c r="DA16" s="1042" t="s">
        <v>1491</v>
      </c>
    </row>
    <row r="17" spans="1:144" ht="16.350000000000001" customHeight="1">
      <c r="B17" s="12"/>
      <c r="C17" s="993"/>
      <c r="D17" s="993"/>
      <c r="E17" s="993"/>
      <c r="F17" s="990"/>
      <c r="G17" s="990"/>
      <c r="H17" s="990"/>
      <c r="I17" s="990"/>
      <c r="J17" s="990"/>
      <c r="K17" s="990"/>
      <c r="L17" s="990"/>
      <c r="M17" s="990"/>
      <c r="N17" s="990"/>
      <c r="O17" s="990"/>
      <c r="P17" s="990"/>
      <c r="Q17" s="990"/>
      <c r="R17" s="991"/>
      <c r="S17" s="991"/>
      <c r="T17" s="991"/>
      <c r="U17" s="991"/>
      <c r="V17" s="991"/>
      <c r="W17" s="991"/>
      <c r="X17" s="991"/>
      <c r="Y17" s="991"/>
      <c r="Z17" s="991"/>
      <c r="AA17" s="991"/>
      <c r="AB17" s="991"/>
      <c r="AC17" s="991"/>
      <c r="AD17" s="1023"/>
      <c r="AE17" s="990"/>
      <c r="AF17" s="990"/>
      <c r="AG17" s="990"/>
      <c r="AH17" s="990"/>
      <c r="AI17" s="990"/>
      <c r="AJ17" s="990"/>
      <c r="AK17" s="990"/>
      <c r="AL17" s="990"/>
      <c r="AM17" s="990"/>
      <c r="AN17" s="990"/>
      <c r="AO17" s="990"/>
      <c r="AP17" s="990"/>
      <c r="AQ17" s="990"/>
      <c r="AR17" s="990"/>
      <c r="AS17" s="990"/>
      <c r="AT17" s="990"/>
      <c r="AU17" s="990"/>
      <c r="AV17" s="1039" t="s">
        <v>1451</v>
      </c>
      <c r="AW17" s="1039"/>
      <c r="AX17" s="1039"/>
      <c r="AY17" s="1039"/>
      <c r="AZ17" s="1039"/>
      <c r="BA17" s="1039"/>
      <c r="BB17" s="990" t="s">
        <v>1452</v>
      </c>
      <c r="BC17" s="990"/>
      <c r="BD17" s="990" t="s">
        <v>1453</v>
      </c>
      <c r="BE17" s="990"/>
      <c r="BF17" s="990"/>
      <c r="BG17" s="990"/>
      <c r="BH17" s="985"/>
      <c r="BI17" s="985"/>
      <c r="BJ17" s="985"/>
      <c r="BK17" s="993"/>
      <c r="BL17" s="993"/>
      <c r="BM17" s="993"/>
      <c r="BN17" s="993"/>
      <c r="BO17" s="993"/>
      <c r="BP17" s="993"/>
      <c r="BS17" s="987"/>
      <c r="BT17" s="987"/>
      <c r="BV17" s="988"/>
      <c r="BW17" s="988"/>
      <c r="BX17" s="988"/>
      <c r="BY17" s="988"/>
      <c r="BZ17" s="988"/>
      <c r="CB17" s="988"/>
      <c r="CC17" s="988"/>
      <c r="CD17" s="988"/>
      <c r="CE17" s="988"/>
      <c r="CF17" s="988"/>
      <c r="CG17" s="988"/>
      <c r="CH17" s="988"/>
      <c r="CI17" s="988"/>
      <c r="CJ17" s="988"/>
      <c r="CK17" s="988"/>
      <c r="CL17" s="988"/>
      <c r="CM17" s="988"/>
      <c r="CN17" s="988"/>
      <c r="CO17" s="988"/>
      <c r="CP17" s="988"/>
      <c r="CQ17" s="988"/>
      <c r="CR17" s="988"/>
      <c r="CS17" s="988"/>
      <c r="CT17" s="988"/>
      <c r="CU17" s="987"/>
      <c r="CV17" s="919"/>
      <c r="CW17" s="919"/>
      <c r="CX17" s="919"/>
      <c r="CY17" s="1042"/>
      <c r="CZ17" s="1042"/>
      <c r="DA17" s="1042"/>
      <c r="DD17" s="670" t="s">
        <v>1454</v>
      </c>
      <c r="DE17" s="670" t="s">
        <v>1455</v>
      </c>
      <c r="DF17" s="670" t="s">
        <v>1456</v>
      </c>
      <c r="DG17" s="670" t="s">
        <v>1457</v>
      </c>
      <c r="DH17" s="670" t="s">
        <v>1458</v>
      </c>
      <c r="DI17" s="670" t="s">
        <v>1459</v>
      </c>
      <c r="DJ17" s="670" t="s">
        <v>1460</v>
      </c>
      <c r="DK17" s="670" t="s">
        <v>1461</v>
      </c>
      <c r="DL17" s="670" t="s">
        <v>1462</v>
      </c>
      <c r="DM17" s="670" t="s">
        <v>1463</v>
      </c>
      <c r="DN17" s="670" t="s">
        <v>1464</v>
      </c>
      <c r="DO17" s="670" t="s">
        <v>1465</v>
      </c>
      <c r="DP17" s="670" t="s">
        <v>1466</v>
      </c>
      <c r="DQ17" s="670" t="s">
        <v>1467</v>
      </c>
      <c r="DR17" s="670" t="s">
        <v>1468</v>
      </c>
      <c r="DS17" s="670" t="s">
        <v>1469</v>
      </c>
      <c r="DT17" s="670" t="s">
        <v>1470</v>
      </c>
      <c r="DU17" s="670" t="s">
        <v>1471</v>
      </c>
      <c r="DV17" s="670" t="s">
        <v>1472</v>
      </c>
      <c r="DW17" s="670" t="s">
        <v>1473</v>
      </c>
      <c r="DX17" s="670" t="s">
        <v>1474</v>
      </c>
      <c r="DY17" s="670" t="s">
        <v>1475</v>
      </c>
      <c r="DZ17" s="670" t="s">
        <v>1476</v>
      </c>
      <c r="EA17" s="703" t="s">
        <v>1477</v>
      </c>
      <c r="EB17" s="703" t="s">
        <v>1478</v>
      </c>
      <c r="EC17" s="703" t="s">
        <v>1479</v>
      </c>
      <c r="ED17" s="703" t="s">
        <v>1480</v>
      </c>
      <c r="EE17" s="703" t="s">
        <v>1481</v>
      </c>
      <c r="EF17" s="703" t="s">
        <v>1482</v>
      </c>
      <c r="EG17" s="703" t="s">
        <v>1483</v>
      </c>
      <c r="EH17" s="703" t="s">
        <v>1484</v>
      </c>
      <c r="EI17" s="703" t="s">
        <v>1485</v>
      </c>
      <c r="EJ17" s="703" t="s">
        <v>1486</v>
      </c>
      <c r="EK17" s="703" t="s">
        <v>1487</v>
      </c>
      <c r="EL17" s="703" t="s">
        <v>1488</v>
      </c>
      <c r="EM17" s="703" t="s">
        <v>1489</v>
      </c>
      <c r="EN17" s="703" t="s">
        <v>1490</v>
      </c>
    </row>
    <row r="18" spans="1:144" ht="16.350000000000001" customHeight="1">
      <c r="A18" s="462"/>
      <c r="B18" s="994">
        <v>1</v>
      </c>
      <c r="C18" s="995"/>
      <c r="D18" s="996"/>
      <c r="E18" s="997"/>
      <c r="F18" s="961"/>
      <c r="G18" s="962"/>
      <c r="H18" s="962"/>
      <c r="I18" s="962"/>
      <c r="J18" s="962"/>
      <c r="K18" s="963"/>
      <c r="L18" s="961"/>
      <c r="M18" s="962"/>
      <c r="N18" s="962"/>
      <c r="O18" s="962"/>
      <c r="P18" s="962"/>
      <c r="Q18" s="963"/>
      <c r="R18" s="1044"/>
      <c r="S18" s="1044"/>
      <c r="T18" s="1044"/>
      <c r="U18" s="1044"/>
      <c r="V18" s="1044"/>
      <c r="W18" s="1044"/>
      <c r="X18" s="1045"/>
      <c r="Y18" s="1045"/>
      <c r="Z18" s="1045"/>
      <c r="AA18" s="1045"/>
      <c r="AB18" s="1045"/>
      <c r="AC18" s="1045"/>
      <c r="AD18" s="961"/>
      <c r="AE18" s="962"/>
      <c r="AF18" s="962"/>
      <c r="AG18" s="962"/>
      <c r="AH18" s="962"/>
      <c r="AI18" s="963"/>
      <c r="AJ18" s="949"/>
      <c r="AK18" s="950"/>
      <c r="AL18" s="951"/>
      <c r="AM18" s="949"/>
      <c r="AN18" s="950"/>
      <c r="AO18" s="951"/>
      <c r="AP18" s="955"/>
      <c r="AQ18" s="956"/>
      <c r="AR18" s="957"/>
      <c r="AS18" s="955"/>
      <c r="AT18" s="956"/>
      <c r="AU18" s="957"/>
      <c r="AV18" s="968"/>
      <c r="AW18" s="969"/>
      <c r="AX18" s="970"/>
      <c r="AY18" s="968"/>
      <c r="AZ18" s="969"/>
      <c r="BA18" s="970"/>
      <c r="BB18" s="945"/>
      <c r="BC18" s="946"/>
      <c r="BD18" s="945"/>
      <c r="BE18" s="946"/>
      <c r="BF18" s="929" t="str">
        <f>IF(CB18="OK",ROUND(BB18+BD18,2),"")</f>
        <v/>
      </c>
      <c r="BG18" s="930"/>
      <c r="BH18" s="971" t="str">
        <f>IFERROR(IF(AND($CB18="OK",$CU18="OK"),$CI18,IF($CB18&lt;&gt;"OK",$CB18,$CU18)),"")</f>
        <v/>
      </c>
      <c r="BI18" s="972"/>
      <c r="BJ18" s="973"/>
      <c r="BK18" s="933" t="str">
        <f>IF($CB18="OK",CM18,"")</f>
        <v/>
      </c>
      <c r="BL18" s="934"/>
      <c r="BM18" s="935"/>
      <c r="BN18" s="939" t="str">
        <f>IF($CB18="OK",$CR18,"")</f>
        <v/>
      </c>
      <c r="BO18" s="940"/>
      <c r="BP18" s="941"/>
      <c r="BS18" s="967"/>
      <c r="BT18" s="967"/>
      <c r="BV18" s="926" t="str">
        <f>IFERROR(ROUND(IF(AND(CB18="OK",CU18="OK"),CT18,""),0),"")</f>
        <v/>
      </c>
      <c r="BW18" s="926" t="str">
        <f>IFERROR(ROUND(IF(AND(CB18="OK",CU18="OK"),BV18/3,""),0),"")</f>
        <v/>
      </c>
      <c r="BX18" s="926"/>
      <c r="BY18" s="927"/>
      <c r="BZ18" s="928"/>
      <c r="CB18" s="986" t="str">
        <f>IF(AND(C18="",F18="",R18="",AD18="",U18="",X18="",L18="",AJ18="",AV18="",AM18="",AP18="",AY18="",AV19="",BB18="",BD18="",AA18="",AS18=""),"",
IF(OR(C18="",F18="",R18="",AD18="",U18="",X18="",L18="",AJ18="",AV18="",AM18="",AP18="",AY18="",AV19="",BB18="",BD18="",AA18="",AS18=""),"Missing Fields",
IF(AND(M02S04F04disp="Required",M02S04F04=""),"TA Info Incomplete",
"OK")))</f>
        <v/>
      </c>
      <c r="CC18" s="925" t="str">
        <f>IF(AND(CB18="OK",CU18="OK"),INDEX(Tbl_Cust_Food[Measure Number], MATCH(F18,Tbl_Cust_Food[Proj Desc 1],0)),"")</f>
        <v/>
      </c>
      <c r="CD18" s="925"/>
      <c r="CE18" s="925" t="str">
        <f>IF(CB18="OK","Measure","")</f>
        <v/>
      </c>
      <c r="CF18" s="925" t="str">
        <f>IF(CB18="OK",1,"")</f>
        <v/>
      </c>
      <c r="CG18" s="978" t="str">
        <f>IFERROR(CI18/CF18,"")</f>
        <v/>
      </c>
      <c r="CH18" s="978" t="str">
        <f>IF(CB18="OK",IF(CM18&gt;0,CM18*Incent_Rate_kWh,0)+IF(CO18&gt;0,CO18*Incent_Rate_thm,0),"")</f>
        <v/>
      </c>
      <c r="CI18" s="978" t="str">
        <f>IFERROR(IF($CB18="OK",IF(INCENTTOCOST_CUST&gt;CostCap_Cust,
CH18*CostCap_Cust/INCENTTOCOST_CUST,CH18),""),"")</f>
        <v/>
      </c>
      <c r="CJ18" s="977">
        <f t="shared" ref="CJ18" si="0">CM18</f>
        <v>0</v>
      </c>
      <c r="CK18" s="977">
        <f>CN18</f>
        <v>0</v>
      </c>
      <c r="CL18" s="977">
        <f>CO18</f>
        <v>0</v>
      </c>
      <c r="CM18" s="977">
        <f>R18-AJ18</f>
        <v>0</v>
      </c>
      <c r="CN18" s="977">
        <f>U18-AM18</f>
        <v>0</v>
      </c>
      <c r="CO18" s="977">
        <f>IF(CR18&gt;0,CR18,0)</f>
        <v>0</v>
      </c>
      <c r="CP18" s="977">
        <f>CM18</f>
        <v>0</v>
      </c>
      <c r="CQ18" s="977">
        <f>CN18</f>
        <v>0</v>
      </c>
      <c r="CR18" s="977">
        <f>X18-AP18</f>
        <v>0</v>
      </c>
      <c r="CS18" s="983"/>
      <c r="CT18" s="1056" t="str">
        <f>IF(CB18="OK",INDEX(Tbl_Cust_Food[EUL], MATCH(F18,Tbl_Cust_Food[Proj Desc 1],0)),"")</f>
        <v/>
      </c>
      <c r="CU18" s="979" t="str">
        <f>IFERROR(IF(AND($CM18&lt;=0,$CN18&lt;=0,$CO18&lt;=0),"No Savings","OK"),"")</f>
        <v>No Savings</v>
      </c>
      <c r="CV18" s="925" t="str">
        <f>IF(AND(CB18="OK",CU18="OK"),"1","")</f>
        <v/>
      </c>
      <c r="CW18" s="1043" t="str">
        <f>IFERROR(IF($CB18="OK",ROUND($AQ$14-SUM($CW$20:$CW$37),2),""),"")</f>
        <v/>
      </c>
      <c r="CX18" s="925" t="str">
        <f>IFERROR(IF(M02S04F04="Customer/Self-Installed",CW18,IF($CB18="OK",CW18+BD18,"")),"")</f>
        <v/>
      </c>
      <c r="CY18" s="925" t="str">
        <f>IFERROR(IF($CB18="OK",CX18+BB18,""),"")</f>
        <v/>
      </c>
      <c r="CZ18" s="925" t="str">
        <f>IF(CB18="OK",INDEX(MEASURES3_M!$O$36, MATCH(F18,MEASURES3_M!$C$36,0)),"")</f>
        <v/>
      </c>
      <c r="DA18" s="925" t="str">
        <f>IF(CB18="OK",INDEX(MEASURES3_M!$P$36, MATCH(F18,MEASURES3_M!$C$36,0)),"")</f>
        <v/>
      </c>
      <c r="DD18" s="980" t="str">
        <f>IFERROR(IF(CB18&lt;&gt;"OK","",CM18*VLOOKUP('DATA TABLES_Project'!$C$247,'DATA TABLES_Project'!$A$250:$B$285,2,FALSE)),"")</f>
        <v/>
      </c>
      <c r="DE18" s="925" t="str">
        <f>IFERROR(IF(CB18&lt;&gt;"OK","",CM18*CZ18*0.92),"")</f>
        <v/>
      </c>
      <c r="DF18" s="925" t="str">
        <f>IFERROR(IF(CB18&lt;&gt;"OK","",CM18*CZ18*0.92*VLOOKUP('DATA TABLES_Project'!$C$247,'DATA TABLES_Project'!$A$250:$B$285,2,FALSE)),"")</f>
        <v/>
      </c>
      <c r="DG18" s="925" t="str">
        <f>IFERROR(IF(CB18&lt;&gt;"OK","",CM18*BV18),IF(BX18="Dual",(CM18*BW18)+((BY18-AJ18)*(BV18-BW18)),""))</f>
        <v/>
      </c>
      <c r="DH18" s="925" t="str">
        <f ca="1">IFERROR(IF(CB18&lt;&gt;"OK","",IF(OR(BX18="Single",BX18=""), CM18*BV18*AVERAGE(INDEX('DATA TABLES_Project'!$B$250:$B$285, MATCH('DATA TABLES_Project'!$C$247,'DATA TABLES_Project'!$A$250:$A$285, 0)):OFFSET(INDEX('DATA TABLES_Project'!$B$250:$B$285, MATCH('DATA TABLES_Project'!$C$247,'DATA TABLES_Project'!$A$250:$A$285, 0)),BV18-1,0)),CM18*BW18*AVERAGE(INDEX('DATA TABLES_Project'!$B$250:$B$285, MATCH('DATA TABLES_Project'!$C$247,'DATA TABLES_Project'!$A$250:$A$285, 0)):OFFSET(INDEX('DATA TABLES_Project'!$B$250:$B$285, MATCH('DATA TABLES_Project'!$C$247,'DATA TABLES_Project'!$A$250:$A$285, 0)),BW18-1,0)) + ((BY18-AJ18)*(BV18-BW18)*AVERAGE(OFFSET(INDEX('DATA TABLES_Project'!$B$250:$B$285, MATCH('DATA TABLES_Project'!$C$247,'DATA TABLES_Project'!$A$250:$A$285, 0)),BW18,0):OFFSET(INDEX('DATA TABLES_Project'!$B$250:$B$285, MATCH('DATA TABLES_Project'!$C$247,'DATA TABLES_Project'!$A$250:$A$285, 0)),BV18-1,0))))), "")</f>
        <v/>
      </c>
      <c r="DI18" s="925" t="str">
        <f>IFERROR(IF(CB18&lt;&gt;"OK","",IF(BX18="Dual",(CM18*BW18)+((BY18-AJ18)*(BV18-BW18))*CZ18*0.92,CM18*CZ18*BV18*0.92)),"")</f>
        <v/>
      </c>
      <c r="DJ18" s="925" t="str">
        <f ca="1">IFERROR(IF(CB18&lt;&gt;"OK","",IF(OR(BX18="Single",BX18=""),0.92*CZ18*CM18*BV18*AVERAGE(INDEX('DATA TABLES_Project'!$B$250:$B$285, MATCH('DATA TABLES_Project'!$C$247,'DATA TABLES_Project'!$A$250:$A$285, 0)):OFFSET(INDEX('DATA TABLES_Project'!$B$250:$B$285, MATCH('DATA TABLES_Project'!$C$247,'DATA TABLES_Project'!$A$250:$A$285, 0)),BV18-1,0)),0.92*CZ18*CM18*BW18*AVERAGE(INDEX('DATA TABLES_Project'!$B$250:$B$285, MATCH('DATA TABLES_Project'!$C$247,'DATA TABLES_Project'!$A$250:$A$285, 0)):OFFSET(INDEX('DATA TABLES_Project'!$B$250:$B$285, MATCH('DATA TABLES_Project'!$C$247,'DATA TABLES_Project'!$A$250:$A$285, 0)),BW18-1,0)) + (0.92*CZ18*(BY18-AJ18)*(BV18-BW18)*AVERAGE(OFFSET(INDEX('DATA TABLES_Project'!$B$250:$B$285, MATCH('DATA TABLES_Project'!$C$247,'DATA TABLES_Project'!$A$250:$A$285, 0)),BW18,0):OFFSET(INDEX('DATA TABLES_Project'!$B$250:$B$285, MATCH('DATA TABLES_Project'!$C$247,'DATA TABLES_Project'!$A$250:$A$285, 0)),BV18-1,0))))), "")</f>
        <v/>
      </c>
      <c r="DK18" s="925" t="str">
        <f>IFERROR(IF(CB18&lt;&gt;"OK","",CO18*'DATA TABLES_Project'!$C$250),"")</f>
        <v/>
      </c>
      <c r="DL18" s="925" t="str">
        <f>IFERROR(IF(CB18&lt;&gt;"OK","",CO18*DA18*0.92),"")</f>
        <v/>
      </c>
      <c r="DM18" s="925" t="str">
        <f>IFERROR(IF(CB18&lt;&gt;"OK","",CO18*'DATA TABLES_Project'!$C$250*DA18*0.92),"")</f>
        <v/>
      </c>
      <c r="DN18" s="925" t="str">
        <f>IFERROR(IF(CB18&lt;&gt;"OK","",CO18*BV18),IF(BX18="Dual",(CO18*BW18)+((BZ18-AP18)*(BV18-BW18)),""))</f>
        <v/>
      </c>
      <c r="DO18" s="925" t="str">
        <f ca="1">IFERROR(IF(CB18&lt;&gt;"OK","",CO18*BV18*AVERAGE('DATA TABLES_Project'!$C$250:OFFSET('DATA TABLES_Project'!$C$250,BV18,0))),IF(BX18="Dual",(CO18*BW18*AVERAGE('DATA TABLES_Project'!$C$251:$C$259))+((BZ18-AP18)*(BV18-BW18)*AVERAGE('DATA TABLES_Project'!$C$260:$C$279)),""))</f>
        <v/>
      </c>
      <c r="DP18" s="925" t="str">
        <f>IFERROR(IF(CB18&lt;&gt;"OK","",IF(BX18="Dual",((CO18*BW18)+(BZ18-AP18)*(BV18-BW18))*DA18*0.92,CO18*BV18*DA18*0.92)),"")</f>
        <v/>
      </c>
      <c r="DQ18" s="925" t="str">
        <f ca="1">IFERROR(IF(CB18&lt;&gt;"OK","",IF(BX18="Dual",(0.92*DA18*CO18*BW18*AVERAGE('DATA TABLES_Project'!$C$251:$C$259))+(0.92*DA18*(BZ18-AP18)*(BV18-BW18)*AVERAGE('DATA TABLES_Project'!$C$260:$C$279)),0.92*DA18*CO18*BV18*AVERAGE('DATA TABLES_Project'!$C$250:OFFSET('DATA TABLES_Project'!$C$250,BV18,0)))),"")</f>
        <v/>
      </c>
      <c r="DR18" s="925" t="str">
        <f>IFERROR(IF($CB18&lt;&gt;"OK","",CM18*'DATA TABLES_Project'!$B$290+IF(CO18&lt;0,0,CO18*'DATA TABLES_Project'!$B$291)),"")</f>
        <v/>
      </c>
      <c r="DS18" s="925" t="str">
        <f>IFERROR(IF($CB18&lt;&gt;"OK","",DD18*'DATA TABLES_Project'!$B$290+IF(DK18&lt;0,0,DK18*'DATA TABLES_Project'!$B$291)),"")</f>
        <v/>
      </c>
      <c r="DT18" s="925" t="str">
        <f>IFERROR(IF($CB18&lt;&gt;"OK","",DE18*'DATA TABLES_Project'!$B$290+IF(DL18&lt;0,0,DL18*'DATA TABLES_Project'!$B$291)),"")</f>
        <v/>
      </c>
      <c r="DU18" s="925" t="str">
        <f>IFERROR(IF($CB18&lt;&gt;"OK","",DF18*'DATA TABLES_Project'!$B$290+IF(DM18&lt;0,0,DM18*'DATA TABLES_Project'!$B$291)),"")</f>
        <v/>
      </c>
      <c r="DV18" s="925" t="str">
        <f>IFERROR(IF($CB18&lt;&gt;"OK","",DG18*'DATA TABLES_Project'!$B$290+IF(DN18&lt;0,0,DN18*'DATA TABLES_Project'!$B$291)),"")</f>
        <v/>
      </c>
      <c r="DW18" s="925" t="str">
        <f>IFERROR(IF($CB18&lt;&gt;"OK","",DH18*'DATA TABLES_Project'!$B$290+IF(DO18&lt;0,0,DO18*'DATA TABLES_Project'!$B$291)),"")</f>
        <v/>
      </c>
      <c r="DX18" s="925" t="str">
        <f>IFERROR(IF($CB18&lt;&gt;"OK","",DI18*'DATA TABLES_Project'!$B$290+IF(DP18&lt;0,0,DP18*'DATA TABLES_Project'!$B$291)),"")</f>
        <v/>
      </c>
      <c r="DY18" s="925" t="str">
        <f>IFERROR(IF($CB18&lt;&gt;"OK","",DJ18*'DATA TABLES_Project'!$B$290+IF(DQ18&lt;0,0,DQ18*'DATA TABLES_Project'!$B$291)),"")</f>
        <v/>
      </c>
      <c r="DZ18" s="925" t="str">
        <f>IFERROR(IF($CB18&lt;&gt;"OK","",AS18),"")</f>
        <v/>
      </c>
      <c r="EA18" s="925" t="str">
        <f>IFERROR(IF(CB18&lt;&gt;"OK","",CN18*'DATA TABLES_Project'!$B$250*CZ18*1.03),"")</f>
        <v/>
      </c>
      <c r="EB18" s="925" t="str">
        <f>IFERROR(IF(CB18&lt;&gt;"OK","",CN18*CZ18*1.03),"")</f>
        <v/>
      </c>
      <c r="EC18" s="925" t="str">
        <f>IFERROR(IF(CB18&lt;&gt;"OK","",CZ18*DZ18*'DATA TABLES_Project'!$C$250*0.92),"")</f>
        <v/>
      </c>
      <c r="ED18" s="925" t="str">
        <f>IFERROR(IF(CB18&lt;&gt;"OK","",CZ18*DZ18*'DATA TABLES_Project'!$C$250*0.92),"")</f>
        <v/>
      </c>
      <c r="EE18" s="925" t="str">
        <f>IFERROR(IF(CB18&lt;&gt;"OK","",CZ18*DZ18*0.92),"")</f>
        <v/>
      </c>
      <c r="EF18" s="925" t="str">
        <f>IFERROR(IF(CB18&lt;&gt;"OK","",CZ18*DZ18*0.92),"")</f>
        <v/>
      </c>
      <c r="EG18" s="925" t="str">
        <f>IFERROR(IF($CB18&lt;&gt;"OK","",CM18*'DATA TABLES_Project'!$B$290+CO18*'DATA TABLES_Project'!$B$291),"")</f>
        <v/>
      </c>
      <c r="EH18" s="925" t="str">
        <f>IFERROR(IF($CB18&lt;&gt;"OK","",DD18*'DATA TABLES_Project'!$B$290+DK18*'DATA TABLES_Project'!$B$291),"")</f>
        <v/>
      </c>
      <c r="EI18" s="925" t="str">
        <f>IFERROR(IF($CB18&lt;&gt;"OK","",DE18*'DATA TABLES_Project'!$B$290+DL18*'DATA TABLES_Project'!$B$291),"")</f>
        <v/>
      </c>
      <c r="EJ18" s="925" t="str">
        <f>IFERROR(IF($CB18&lt;&gt;"OK","",DF18*'DATA TABLES_Project'!$B$290+DM18*'DATA TABLES_Project'!$B$291),"")</f>
        <v/>
      </c>
      <c r="EK18" s="925" t="str">
        <f>IFERROR(IF($CB18&lt;&gt;"OK","",DG18*'DATA TABLES_Project'!$B$290+DN18*'DATA TABLES_Project'!$B$291),"")</f>
        <v/>
      </c>
      <c r="EL18" s="925" t="str">
        <f>IFERROR(IF($CB18&lt;&gt;"OK","",DH18*'DATA TABLES_Project'!$B$290+DO18*'DATA TABLES_Project'!$B$291),"")</f>
        <v/>
      </c>
      <c r="EM18" s="925" t="str">
        <f>IFERROR(IF($CB18&lt;&gt;"OK","",DI18*'DATA TABLES_Project'!$B$290+DP18*'DATA TABLES_Project'!$B$291),"")</f>
        <v/>
      </c>
      <c r="EN18" s="925" t="str">
        <f>IFERROR(IF($CB18&lt;&gt;"OK","",DJ18*'DATA TABLES_Project'!$B$290+DQ18*'DATA TABLES_Project'!$B$291),"")</f>
        <v/>
      </c>
    </row>
    <row r="19" spans="1:144" ht="16.350000000000001" customHeight="1">
      <c r="A19" s="462"/>
      <c r="B19" s="994"/>
      <c r="C19" s="998"/>
      <c r="D19" s="999"/>
      <c r="E19" s="1000"/>
      <c r="F19" s="964"/>
      <c r="G19" s="965"/>
      <c r="H19" s="965"/>
      <c r="I19" s="965"/>
      <c r="J19" s="965"/>
      <c r="K19" s="966"/>
      <c r="L19" s="964"/>
      <c r="M19" s="965"/>
      <c r="N19" s="965"/>
      <c r="O19" s="965"/>
      <c r="P19" s="965"/>
      <c r="Q19" s="966"/>
      <c r="R19" s="1044"/>
      <c r="S19" s="1044"/>
      <c r="T19" s="1044"/>
      <c r="U19" s="1044"/>
      <c r="V19" s="1044"/>
      <c r="W19" s="1044"/>
      <c r="X19" s="1045"/>
      <c r="Y19" s="1045"/>
      <c r="Z19" s="1045"/>
      <c r="AA19" s="1045"/>
      <c r="AB19" s="1045"/>
      <c r="AC19" s="1045"/>
      <c r="AD19" s="964"/>
      <c r="AE19" s="965"/>
      <c r="AF19" s="965"/>
      <c r="AG19" s="965"/>
      <c r="AH19" s="965"/>
      <c r="AI19" s="966"/>
      <c r="AJ19" s="952"/>
      <c r="AK19" s="953"/>
      <c r="AL19" s="954"/>
      <c r="AM19" s="952"/>
      <c r="AN19" s="953"/>
      <c r="AO19" s="954"/>
      <c r="AP19" s="958"/>
      <c r="AQ19" s="959"/>
      <c r="AR19" s="960"/>
      <c r="AS19" s="958"/>
      <c r="AT19" s="959"/>
      <c r="AU19" s="960"/>
      <c r="AV19" s="968"/>
      <c r="AW19" s="969"/>
      <c r="AX19" s="969"/>
      <c r="AY19" s="969"/>
      <c r="AZ19" s="969"/>
      <c r="BA19" s="970"/>
      <c r="BB19" s="947"/>
      <c r="BC19" s="948"/>
      <c r="BD19" s="947"/>
      <c r="BE19" s="948"/>
      <c r="BF19" s="931"/>
      <c r="BG19" s="932"/>
      <c r="BH19" s="974"/>
      <c r="BI19" s="975"/>
      <c r="BJ19" s="976"/>
      <c r="BK19" s="936"/>
      <c r="BL19" s="937"/>
      <c r="BM19" s="938"/>
      <c r="BN19" s="942"/>
      <c r="BO19" s="943"/>
      <c r="BP19" s="944"/>
      <c r="BS19" s="967"/>
      <c r="BT19" s="967"/>
      <c r="BV19" s="926"/>
      <c r="BW19" s="926"/>
      <c r="BX19" s="926"/>
      <c r="BY19" s="927"/>
      <c r="BZ19" s="928"/>
      <c r="CB19" s="986"/>
      <c r="CC19" s="925"/>
      <c r="CD19" s="925"/>
      <c r="CE19" s="925"/>
      <c r="CF19" s="925"/>
      <c r="CG19" s="925"/>
      <c r="CH19" s="925"/>
      <c r="CI19" s="925"/>
      <c r="CJ19" s="977"/>
      <c r="CK19" s="977"/>
      <c r="CL19" s="977"/>
      <c r="CM19" s="977"/>
      <c r="CN19" s="977"/>
      <c r="CO19" s="977"/>
      <c r="CP19" s="977"/>
      <c r="CQ19" s="977"/>
      <c r="CR19" s="977"/>
      <c r="CS19" s="983"/>
      <c r="CT19" s="1056"/>
      <c r="CU19" s="979"/>
      <c r="CV19" s="925"/>
      <c r="CW19" s="1043"/>
      <c r="CX19" s="925"/>
      <c r="CY19" s="925"/>
      <c r="CZ19" s="925"/>
      <c r="DA19" s="925"/>
      <c r="DD19" s="981"/>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row>
    <row r="20" spans="1:144" ht="16.350000000000001" customHeight="1">
      <c r="A20" s="462"/>
      <c r="B20" s="994">
        <v>2</v>
      </c>
      <c r="C20" s="995"/>
      <c r="D20" s="996"/>
      <c r="E20" s="997"/>
      <c r="F20" s="961"/>
      <c r="G20" s="962"/>
      <c r="H20" s="962"/>
      <c r="I20" s="962"/>
      <c r="J20" s="962"/>
      <c r="K20" s="963"/>
      <c r="L20" s="961"/>
      <c r="M20" s="962"/>
      <c r="N20" s="962"/>
      <c r="O20" s="962"/>
      <c r="P20" s="962"/>
      <c r="Q20" s="963"/>
      <c r="R20" s="1044"/>
      <c r="S20" s="1044"/>
      <c r="T20" s="1044"/>
      <c r="U20" s="1044"/>
      <c r="V20" s="1044"/>
      <c r="W20" s="1044"/>
      <c r="X20" s="1045"/>
      <c r="Y20" s="1045"/>
      <c r="Z20" s="1045"/>
      <c r="AA20" s="1045"/>
      <c r="AB20" s="1045"/>
      <c r="AC20" s="1045"/>
      <c r="AD20" s="961"/>
      <c r="AE20" s="962"/>
      <c r="AF20" s="962"/>
      <c r="AG20" s="962"/>
      <c r="AH20" s="962"/>
      <c r="AI20" s="963"/>
      <c r="AJ20" s="949"/>
      <c r="AK20" s="950"/>
      <c r="AL20" s="951"/>
      <c r="AM20" s="949"/>
      <c r="AN20" s="950"/>
      <c r="AO20" s="951"/>
      <c r="AP20" s="955"/>
      <c r="AQ20" s="956"/>
      <c r="AR20" s="957"/>
      <c r="AS20" s="955"/>
      <c r="AT20" s="956"/>
      <c r="AU20" s="957"/>
      <c r="AV20" s="968"/>
      <c r="AW20" s="969"/>
      <c r="AX20" s="970"/>
      <c r="AY20" s="968"/>
      <c r="AZ20" s="969"/>
      <c r="BA20" s="970"/>
      <c r="BB20" s="945"/>
      <c r="BC20" s="946"/>
      <c r="BD20" s="945"/>
      <c r="BE20" s="946"/>
      <c r="BF20" s="929" t="str">
        <f t="shared" ref="BF20" si="1">IF(CB20="OK",ROUND(BB20+BD20,2),"")</f>
        <v/>
      </c>
      <c r="BG20" s="930"/>
      <c r="BH20" s="971" t="str">
        <f t="shared" ref="BH20" si="2">IFERROR(IF(AND($CB20="OK",$CU20="OK"),$CI20,IF($CB20&lt;&gt;"OK",$CB20,$CU20)),"")</f>
        <v/>
      </c>
      <c r="BI20" s="972"/>
      <c r="BJ20" s="973"/>
      <c r="BK20" s="933" t="str">
        <f t="shared" ref="BK20" si="3">IF($CB20="OK",CM20,"")</f>
        <v/>
      </c>
      <c r="BL20" s="934"/>
      <c r="BM20" s="935"/>
      <c r="BN20" s="939" t="str">
        <f t="shared" ref="BN20" si="4">IF($CB20="OK",$CR20,"")</f>
        <v/>
      </c>
      <c r="BO20" s="940"/>
      <c r="BP20" s="941"/>
      <c r="BS20" s="967"/>
      <c r="BT20" s="967"/>
      <c r="BV20" s="926" t="str">
        <f t="shared" ref="BV20" si="5">IFERROR(ROUND(IF(AND(CB20="OK",CU20="OK"),CT20,""),0),"")</f>
        <v/>
      </c>
      <c r="BW20" s="926" t="str">
        <f t="shared" ref="BW20" si="6">IFERROR(ROUND(IF(AND(CB20="OK",CU20="OK"),BV20/3,""),0),"")</f>
        <v/>
      </c>
      <c r="BX20" s="926"/>
      <c r="BY20" s="927"/>
      <c r="BZ20" s="928"/>
      <c r="CB20" s="986" t="str">
        <f>IF(AND(C20="",F20="",R20="",AD20="",U20="",X20="",L20="",AJ20="",AV20="",AM20="",AP20="",AY20="",AV21="",BB20="",BD20="",AA20="",AS20=""),"",
IF(OR(C20="",F20="",R20="",AD20="",U20="",X20="",L20="",AJ20="",AV20="",AM20="",AP20="",AY20="",AV21="",BB20="",BD20="",AA20="",AS20=""),"Missing Fields",
IF(AND(M02S04F04disp="Required",M02S04F04=""),"TA Info Incomplete",
"OK")))</f>
        <v/>
      </c>
      <c r="CC20" s="925" t="str">
        <f>IF(AND(CB20="OK",CU20="OK"),INDEX(Tbl_Cust_Food[Measure Number], MATCH(F20,Tbl_Cust_Food[Proj Desc 1],0)),"")</f>
        <v/>
      </c>
      <c r="CD20" s="925"/>
      <c r="CE20" s="925" t="str">
        <f t="shared" ref="CE20" si="7">IF(CB20="OK","Measure","")</f>
        <v/>
      </c>
      <c r="CF20" s="925" t="str">
        <f t="shared" ref="CF20" si="8">IF(CB20="OK",1,"")</f>
        <v/>
      </c>
      <c r="CG20" s="978" t="str">
        <f t="shared" ref="CG20" si="9">IFERROR(CI20/CF20,"")</f>
        <v/>
      </c>
      <c r="CH20" s="978" t="str">
        <f>IF(CB20="OK",IF(CM20&gt;0,CM20*Incent_Rate_kWh,0)+IF(CO20&gt;0,CO20*Incent_Rate_thm,0),"")</f>
        <v/>
      </c>
      <c r="CI20" s="978" t="str">
        <f>IFERROR(IF($CB20="OK",IF(INCENTTOCOST_CUST&gt;CostCap_Cust,
CH20*CostCap_Cust/INCENTTOCOST_CUST,CH20),""),"")</f>
        <v/>
      </c>
      <c r="CJ20" s="977">
        <f t="shared" ref="CJ20" si="10">CM20</f>
        <v>0</v>
      </c>
      <c r="CK20" s="977">
        <f t="shared" ref="CK20" si="11">CN20</f>
        <v>0</v>
      </c>
      <c r="CL20" s="977">
        <f t="shared" ref="CL20" si="12">CO20</f>
        <v>0</v>
      </c>
      <c r="CM20" s="977">
        <f>R20-AJ20</f>
        <v>0</v>
      </c>
      <c r="CN20" s="977">
        <f>U20-AM20</f>
        <v>0</v>
      </c>
      <c r="CO20" s="977">
        <f t="shared" ref="CO20" si="13">IF(CR20&gt;0,CR20,0)</f>
        <v>0</v>
      </c>
      <c r="CP20" s="977">
        <f t="shared" ref="CP20" si="14">CM20</f>
        <v>0</v>
      </c>
      <c r="CQ20" s="977">
        <f t="shared" ref="CQ20" si="15">CN20</f>
        <v>0</v>
      </c>
      <c r="CR20" s="977">
        <f>X20-AP20</f>
        <v>0</v>
      </c>
      <c r="CS20" s="983"/>
      <c r="CT20" s="1056" t="str">
        <f>IF(CB20="OK",INDEX(Tbl_Cust_Food[EUL], MATCH(F20,Tbl_Cust_Food[Proj Desc 1],0)),"")</f>
        <v/>
      </c>
      <c r="CU20" s="979" t="str">
        <f t="shared" ref="CU20" si="16">IFERROR(IF(AND($CM20&lt;=0,$CN20&lt;=0,$CO20&lt;=0),"No Savings","OK"),"")</f>
        <v>No Savings</v>
      </c>
      <c r="CV20" s="925" t="str">
        <f t="shared" ref="CV20" si="17">IF(AND(CB20="OK",CU20="OK"),"1","")</f>
        <v/>
      </c>
      <c r="CW20" s="925" t="str">
        <f>IFERROR(IF($CB20="OK",ROUND($AQ$14*SUM(BB20:BE21)/SUM($BF$18:$BG$37),2),""),"")</f>
        <v/>
      </c>
      <c r="CX20" s="925" t="str">
        <f>IFERROR(IF(M02S04F04="Customer/Self-Installed",CW20,IF($CB20="OK",CW20+BD20,"")),"")</f>
        <v/>
      </c>
      <c r="CY20" s="925" t="str">
        <f>IFERROR(IF($CB20="OK",CX20+BB20,""),"")</f>
        <v/>
      </c>
      <c r="CZ20" s="925" t="str">
        <f>IF(CB20="OK",INDEX(MEASURES3_M!$O$36, MATCH(F20,MEASURES3_M!$C$36,0)),"")</f>
        <v/>
      </c>
      <c r="DA20" s="925" t="str">
        <f>IF(CB20="OK",INDEX(MEASURES3_M!$P$36, MATCH(F20,MEASURES3_M!$C$36,0)),"")</f>
        <v/>
      </c>
      <c r="DD20" s="980" t="str">
        <f>IFERROR(IF(CB20&lt;&gt;"OK","",CM20*VLOOKUP('DATA TABLES_Project'!$C$247,'DATA TABLES_Project'!$A$250:$B$285,2,FALSE)),"")</f>
        <v/>
      </c>
      <c r="DE20" s="925" t="str">
        <f t="shared" ref="DE20" si="18">IFERROR(IF(CB20&lt;&gt;"OK","",CM20*CZ20*0.92),"")</f>
        <v/>
      </c>
      <c r="DF20" s="980" t="str">
        <f>IFERROR(IF(CB20&lt;&gt;"OK","",CM20*CZ20*0.92*VLOOKUP('DATA TABLES_Project'!$C$247,'DATA TABLES_Project'!$A$250:$B$285,2,FALSE)),"")</f>
        <v/>
      </c>
      <c r="DG20" s="925" t="str">
        <f t="shared" ref="DG20" si="19">IFERROR(IF(CB20&lt;&gt;"OK","",CM20*BV20),IF(BX20="Dual",(CM20*BW20)+((BY20-AJ20)*(BV20-BW20)),""))</f>
        <v/>
      </c>
      <c r="DH20" s="925" t="str">
        <f ca="1">IFERROR(IF(CB20&lt;&gt;"OK","",IF(OR(BX20="Single",BX20=""), CM20*BV20*AVERAGE(INDEX('DATA TABLES_Project'!$B$250:$B$285, MATCH('DATA TABLES_Project'!$C$247,'DATA TABLES_Project'!$A$250:$A$285, 0)):OFFSET(INDEX('DATA TABLES_Project'!$B$250:$B$285, MATCH('DATA TABLES_Project'!$C$247,'DATA TABLES_Project'!$A$250:$A$285, 0)),BV20-1,0)),CM20*BW20*AVERAGE(INDEX('DATA TABLES_Project'!$B$250:$B$285, MATCH('DATA TABLES_Project'!$C$247,'DATA TABLES_Project'!$A$250:$A$285, 0)):OFFSET(INDEX('DATA TABLES_Project'!$B$250:$B$285, MATCH('DATA TABLES_Project'!$C$247,'DATA TABLES_Project'!$A$250:$A$285, 0)),BW20-1,0)) + ((BY20-AJ20)*(BV20-BW20)*AVERAGE(OFFSET(INDEX('DATA TABLES_Project'!$B$250:$B$285, MATCH('DATA TABLES_Project'!$C$247,'DATA TABLES_Project'!$A$250:$A$285, 0)),BW20,0):OFFSET(INDEX('DATA TABLES_Project'!$B$250:$B$285, MATCH('DATA TABLES_Project'!$C$247,'DATA TABLES_Project'!$A$250:$A$285, 0)),BV20-1,0))))), "")</f>
        <v/>
      </c>
      <c r="DI20" s="925" t="str">
        <f t="shared" ref="DI20" si="20">IFERROR(IF(CB20&lt;&gt;"OK","",IF(BX20="Dual",(CM20*BW20)+((BY20-AJ20)*(BV20-BW20))*CZ20*0.92,CM20*CZ20*BV20*0.92)),"")</f>
        <v/>
      </c>
      <c r="DJ20" s="925" t="str">
        <f ca="1">IFERROR(IF(CB20&lt;&gt;"OK","",IF(OR(BX20="Single",BX20=""),0.92*CZ20*CM20*BV20*AVERAGE(INDEX('DATA TABLES_Project'!$B$250:$B$285, MATCH('DATA TABLES_Project'!$C$247,'DATA TABLES_Project'!$A$250:$A$285, 0)):OFFSET(INDEX('DATA TABLES_Project'!$B$250:$B$285, MATCH('DATA TABLES_Project'!$C$247,'DATA TABLES_Project'!$A$250:$A$285, 0)),BV20-1,0)),0.92*CZ20*CM20*BW20*AVERAGE(INDEX('DATA TABLES_Project'!$B$250:$B$285, MATCH('DATA TABLES_Project'!$C$247,'DATA TABLES_Project'!$A$250:$A$285, 0)):OFFSET(INDEX('DATA TABLES_Project'!$B$250:$B$285, MATCH('DATA TABLES_Project'!$C$247,'DATA TABLES_Project'!$A$250:$A$285, 0)),BW20-1,0)) + (0.92*CZ20*(BY20-AJ20)*(BV20-BW20)*AVERAGE(OFFSET(INDEX('DATA TABLES_Project'!$B$250:$B$285, MATCH('DATA TABLES_Project'!$C$247,'DATA TABLES_Project'!$A$250:$A$285, 0)),BW20,0):OFFSET(INDEX('DATA TABLES_Project'!$B$250:$B$285, MATCH('DATA TABLES_Project'!$C$247,'DATA TABLES_Project'!$A$250:$A$285, 0)),BV20-1,0))))), "")</f>
        <v/>
      </c>
      <c r="DK20" s="925" t="str">
        <f>IFERROR(IF(CB20&lt;&gt;"OK","",CO20*'DATA TABLES_Project'!$C$250),"")</f>
        <v/>
      </c>
      <c r="DL20" s="925" t="str">
        <f t="shared" ref="DL20" si="21">IFERROR(IF(CB20&lt;&gt;"OK","",CO20*DA20*0.92),"")</f>
        <v/>
      </c>
      <c r="DM20" s="925" t="str">
        <f>IFERROR(IF(CB20&lt;&gt;"OK","",CO20*'DATA TABLES_Project'!$C$250*DA20*0.92),"")</f>
        <v/>
      </c>
      <c r="DN20" s="925" t="str">
        <f t="shared" ref="DN20" si="22">IFERROR(IF(CB20&lt;&gt;"OK","",CO20*BV20),IF(BX20="Dual",(CO20*BW20)+((BZ20-AP20)*(BV20-BW20)),""))</f>
        <v/>
      </c>
      <c r="DO20" s="925" t="str">
        <f ca="1">IFERROR(IF(CB20&lt;&gt;"OK","",CO20*BV20*AVERAGE('DATA TABLES_Project'!$C$250:OFFSET('DATA TABLES_Project'!$C$250,BV20,0))),IF(BX20="Dual",(CO20*BW20*AVERAGE('DATA TABLES_Project'!$C$251:$C$259))+((BZ20-AP20)*(BV20-BW20)*AVERAGE('DATA TABLES_Project'!$C$260:$C$279)),""))</f>
        <v/>
      </c>
      <c r="DP20" s="925" t="str">
        <f t="shared" ref="DP20" si="23">IFERROR(IF(CB20&lt;&gt;"OK","",IF(BX20="Dual",((CO20*BW20)+(BZ20-AP20)*(BV20-BW20))*DA20*0.92,CO20*BV20*DA20*0.92)),"")</f>
        <v/>
      </c>
      <c r="DQ20" s="925" t="str">
        <f ca="1">IFERROR(IF(CB20&lt;&gt;"OK","",IF(BX20="Dual",(0.92*DA20*CO20*BW20*AVERAGE('DATA TABLES_Project'!$C$251:$C$259))+(0.92*DA20*(BZ20-AP20)*(BV20-BW20)*AVERAGE('DATA TABLES_Project'!$C$260:$C$279)),0.92*DA20*CO20*BV20*AVERAGE('DATA TABLES_Project'!$C$250:OFFSET('DATA TABLES_Project'!$C$250,BV20,0)))),"")</f>
        <v/>
      </c>
      <c r="DR20" s="980" t="str">
        <f>IFERROR(IF($CB20&lt;&gt;"OK","",CM20*'DATA TABLES_Project'!$B$290+IF(CO20&lt;0,0,CO20*'DATA TABLES_Project'!$B$291)),"")</f>
        <v/>
      </c>
      <c r="DS20" s="980" t="str">
        <f>IFERROR(IF($CB20&lt;&gt;"OK","",DD20*'DATA TABLES_Project'!$B$290+IF(DK20&lt;0,0,DK20*'DATA TABLES_Project'!$B$291)),"")</f>
        <v/>
      </c>
      <c r="DT20" s="980" t="str">
        <f>IFERROR(IF($CB20&lt;&gt;"OK","",DE20*'DATA TABLES_Project'!$B$290+IF(DL20&lt;0,0,DL20*'DATA TABLES_Project'!$B$291)),"")</f>
        <v/>
      </c>
      <c r="DU20" s="980" t="str">
        <f>IFERROR(IF($CB20&lt;&gt;"OK","",DF20*'DATA TABLES_Project'!$B$290+IF(DM20&lt;0,0,DM20*'DATA TABLES_Project'!$B$291)),"")</f>
        <v/>
      </c>
      <c r="DV20" s="980" t="str">
        <f>IFERROR(IF($CB20&lt;&gt;"OK","",DG20*'DATA TABLES_Project'!$B$290+IF(DN20&lt;0,0,DN20*'DATA TABLES_Project'!$B$291)),"")</f>
        <v/>
      </c>
      <c r="DW20" s="980" t="str">
        <f>IFERROR(IF($CB20&lt;&gt;"OK","",DH20*'DATA TABLES_Project'!$B$290+IF(DO20&lt;0,0,DO20*'DATA TABLES_Project'!$B$291)),"")</f>
        <v/>
      </c>
      <c r="DX20" s="980" t="str">
        <f>IFERROR(IF($CB20&lt;&gt;"OK","",DI20*'DATA TABLES_Project'!$B$290+IF(DP20&lt;0,0,DP20*'DATA TABLES_Project'!$B$291)),"")</f>
        <v/>
      </c>
      <c r="DY20" s="925" t="str">
        <f>IFERROR(IF($CB20&lt;&gt;"OK","",DJ20*'DATA TABLES_Project'!$B$290+IF(DQ20&lt;0,0,DQ20*'DATA TABLES_Project'!$B$291)),"")</f>
        <v/>
      </c>
      <c r="DZ20" s="925" t="str">
        <f t="shared" ref="DZ20" si="24">IFERROR(IF($CB20&lt;&gt;"OK","",AS20),"")</f>
        <v/>
      </c>
      <c r="EA20" s="925" t="str">
        <f>IFERROR(IF(CB20&lt;&gt;"OK","",CN20*'DATA TABLES_Project'!$B$250*CZ20*1.03),"")</f>
        <v/>
      </c>
      <c r="EB20" s="925" t="str">
        <f t="shared" ref="EB20" si="25">IFERROR(IF(CB20&lt;&gt;"OK","",CN20*CZ20*1.03),"")</f>
        <v/>
      </c>
      <c r="EC20" s="925" t="str">
        <f>IFERROR(IF(CB20&lt;&gt;"OK","",CZ20*DZ20*'DATA TABLES_Project'!$C$250*0.92),"")</f>
        <v/>
      </c>
      <c r="ED20" s="925" t="str">
        <f>IFERROR(IF(CB20&lt;&gt;"OK","",CZ20*DZ20*'DATA TABLES_Project'!$C$250*0.92),"")</f>
        <v/>
      </c>
      <c r="EE20" s="925" t="str">
        <f t="shared" ref="EE20" si="26">IFERROR(IF(CB20&lt;&gt;"OK","",CZ20*DZ20*0.92),"")</f>
        <v/>
      </c>
      <c r="EF20" s="925" t="str">
        <f t="shared" ref="EF20" si="27">IFERROR(IF(CB20&lt;&gt;"OK","",CZ20*DZ20*0.92),"")</f>
        <v/>
      </c>
      <c r="EG20" s="925" t="str">
        <f>IFERROR(IF($CB20&lt;&gt;"OK","",CM20*'DATA TABLES_Project'!$B$290+CO20*'DATA TABLES_Project'!$B$291),"")</f>
        <v/>
      </c>
      <c r="EH20" s="925" t="str">
        <f>IFERROR(IF($CB20&lt;&gt;"OK","",DD20*'DATA TABLES_Project'!$B$290+DK20*'DATA TABLES_Project'!$B$291),"")</f>
        <v/>
      </c>
      <c r="EI20" s="925" t="str">
        <f>IFERROR(IF($CB20&lt;&gt;"OK","",DE20*'DATA TABLES_Project'!$B$290+DL20*'DATA TABLES_Project'!$B$291),"")</f>
        <v/>
      </c>
      <c r="EJ20" s="925" t="str">
        <f>IFERROR(IF($CB20&lt;&gt;"OK","",DF20*'DATA TABLES_Project'!$B$290+DM20*'DATA TABLES_Project'!$B$291),"")</f>
        <v/>
      </c>
      <c r="EK20" s="925" t="str">
        <f>IFERROR(IF($CB20&lt;&gt;"OK","",DG20*'DATA TABLES_Project'!$B$290+DN20*'DATA TABLES_Project'!$B$291),"")</f>
        <v/>
      </c>
      <c r="EL20" s="925" t="str">
        <f>IFERROR(IF($CB20&lt;&gt;"OK","",DH20*'DATA TABLES_Project'!$B$290+DO20*'DATA TABLES_Project'!$B$291),"")</f>
        <v/>
      </c>
      <c r="EM20" s="925" t="str">
        <f>IFERROR(IF($CB20&lt;&gt;"OK","",DI20*'DATA TABLES_Project'!$B$290+DP20*'DATA TABLES_Project'!$B$291),"")</f>
        <v/>
      </c>
      <c r="EN20" s="925" t="str">
        <f>IFERROR(IF($CB20&lt;&gt;"OK","",DJ20*'DATA TABLES_Project'!$B$290+DQ20*'DATA TABLES_Project'!$B$291),"")</f>
        <v/>
      </c>
    </row>
    <row r="21" spans="1:144" ht="16.350000000000001" customHeight="1">
      <c r="A21" s="462"/>
      <c r="B21" s="994"/>
      <c r="C21" s="998"/>
      <c r="D21" s="999"/>
      <c r="E21" s="1000"/>
      <c r="F21" s="964"/>
      <c r="G21" s="965"/>
      <c r="H21" s="965"/>
      <c r="I21" s="965"/>
      <c r="J21" s="965"/>
      <c r="K21" s="966"/>
      <c r="L21" s="964"/>
      <c r="M21" s="965"/>
      <c r="N21" s="965"/>
      <c r="O21" s="965"/>
      <c r="P21" s="965"/>
      <c r="Q21" s="966"/>
      <c r="R21" s="1044"/>
      <c r="S21" s="1044"/>
      <c r="T21" s="1044"/>
      <c r="U21" s="1044"/>
      <c r="V21" s="1044"/>
      <c r="W21" s="1044"/>
      <c r="X21" s="1045"/>
      <c r="Y21" s="1045"/>
      <c r="Z21" s="1045"/>
      <c r="AA21" s="1045"/>
      <c r="AB21" s="1045"/>
      <c r="AC21" s="1045"/>
      <c r="AD21" s="964"/>
      <c r="AE21" s="965"/>
      <c r="AF21" s="965"/>
      <c r="AG21" s="965"/>
      <c r="AH21" s="965"/>
      <c r="AI21" s="966"/>
      <c r="AJ21" s="952"/>
      <c r="AK21" s="953"/>
      <c r="AL21" s="954"/>
      <c r="AM21" s="952"/>
      <c r="AN21" s="953"/>
      <c r="AO21" s="954"/>
      <c r="AP21" s="958"/>
      <c r="AQ21" s="959"/>
      <c r="AR21" s="960"/>
      <c r="AS21" s="958"/>
      <c r="AT21" s="959"/>
      <c r="AU21" s="960"/>
      <c r="AV21" s="968"/>
      <c r="AW21" s="969"/>
      <c r="AX21" s="969"/>
      <c r="AY21" s="969"/>
      <c r="AZ21" s="969"/>
      <c r="BA21" s="970"/>
      <c r="BB21" s="947"/>
      <c r="BC21" s="948"/>
      <c r="BD21" s="947"/>
      <c r="BE21" s="948"/>
      <c r="BF21" s="931"/>
      <c r="BG21" s="932"/>
      <c r="BH21" s="974"/>
      <c r="BI21" s="975"/>
      <c r="BJ21" s="976"/>
      <c r="BK21" s="936"/>
      <c r="BL21" s="937"/>
      <c r="BM21" s="938"/>
      <c r="BN21" s="942"/>
      <c r="BO21" s="943"/>
      <c r="BP21" s="944"/>
      <c r="BS21" s="967"/>
      <c r="BT21" s="967"/>
      <c r="BV21" s="926"/>
      <c r="BW21" s="926"/>
      <c r="BX21" s="926"/>
      <c r="BY21" s="927"/>
      <c r="BZ21" s="928"/>
      <c r="CB21" s="986"/>
      <c r="CC21" s="925"/>
      <c r="CD21" s="925"/>
      <c r="CE21" s="925"/>
      <c r="CF21" s="925"/>
      <c r="CG21" s="925"/>
      <c r="CH21" s="925"/>
      <c r="CI21" s="925"/>
      <c r="CJ21" s="977"/>
      <c r="CK21" s="977"/>
      <c r="CL21" s="977"/>
      <c r="CM21" s="977"/>
      <c r="CN21" s="977"/>
      <c r="CO21" s="977"/>
      <c r="CP21" s="977"/>
      <c r="CQ21" s="977"/>
      <c r="CR21" s="977"/>
      <c r="CS21" s="983"/>
      <c r="CT21" s="1056"/>
      <c r="CU21" s="979"/>
      <c r="CV21" s="925"/>
      <c r="CW21" s="925"/>
      <c r="CX21" s="925"/>
      <c r="CY21" s="925"/>
      <c r="CZ21" s="925"/>
      <c r="DA21" s="925"/>
      <c r="DD21" s="981"/>
      <c r="DE21" s="925"/>
      <c r="DF21" s="981"/>
      <c r="DG21" s="925"/>
      <c r="DH21" s="925"/>
      <c r="DI21" s="925"/>
      <c r="DJ21" s="925"/>
      <c r="DK21" s="925"/>
      <c r="DL21" s="925"/>
      <c r="DM21" s="925"/>
      <c r="DN21" s="925"/>
      <c r="DO21" s="925"/>
      <c r="DP21" s="925"/>
      <c r="DQ21" s="925"/>
      <c r="DR21" s="981"/>
      <c r="DS21" s="981"/>
      <c r="DT21" s="981"/>
      <c r="DU21" s="981"/>
      <c r="DV21" s="981"/>
      <c r="DW21" s="981"/>
      <c r="DX21" s="981"/>
      <c r="DY21" s="925"/>
      <c r="DZ21" s="925"/>
      <c r="EA21" s="925"/>
      <c r="EB21" s="925"/>
      <c r="EC21" s="925"/>
      <c r="ED21" s="925"/>
      <c r="EE21" s="925"/>
      <c r="EF21" s="925"/>
      <c r="EG21" s="925"/>
      <c r="EH21" s="925"/>
      <c r="EI21" s="925"/>
      <c r="EJ21" s="925"/>
      <c r="EK21" s="925"/>
      <c r="EL21" s="925"/>
      <c r="EM21" s="925"/>
      <c r="EN21" s="925"/>
    </row>
    <row r="22" spans="1:144" ht="16.350000000000001" customHeight="1">
      <c r="A22" s="462"/>
      <c r="B22" s="994">
        <v>3</v>
      </c>
      <c r="C22" s="995"/>
      <c r="D22" s="996"/>
      <c r="E22" s="997"/>
      <c r="F22" s="961"/>
      <c r="G22" s="962"/>
      <c r="H22" s="962"/>
      <c r="I22" s="962"/>
      <c r="J22" s="962"/>
      <c r="K22" s="963"/>
      <c r="L22" s="961"/>
      <c r="M22" s="962"/>
      <c r="N22" s="962"/>
      <c r="O22" s="962"/>
      <c r="P22" s="962"/>
      <c r="Q22" s="963"/>
      <c r="R22" s="1044"/>
      <c r="S22" s="1044"/>
      <c r="T22" s="1044"/>
      <c r="U22" s="1044"/>
      <c r="V22" s="1044"/>
      <c r="W22" s="1044"/>
      <c r="X22" s="1045"/>
      <c r="Y22" s="1045"/>
      <c r="Z22" s="1045"/>
      <c r="AA22" s="1045"/>
      <c r="AB22" s="1045"/>
      <c r="AC22" s="1045"/>
      <c r="AD22" s="961"/>
      <c r="AE22" s="962"/>
      <c r="AF22" s="962"/>
      <c r="AG22" s="962"/>
      <c r="AH22" s="962"/>
      <c r="AI22" s="963"/>
      <c r="AJ22" s="949"/>
      <c r="AK22" s="950"/>
      <c r="AL22" s="951"/>
      <c r="AM22" s="949"/>
      <c r="AN22" s="950"/>
      <c r="AO22" s="951"/>
      <c r="AP22" s="955"/>
      <c r="AQ22" s="956"/>
      <c r="AR22" s="957"/>
      <c r="AS22" s="955"/>
      <c r="AT22" s="956"/>
      <c r="AU22" s="957"/>
      <c r="AV22" s="968"/>
      <c r="AW22" s="969"/>
      <c r="AX22" s="970"/>
      <c r="AY22" s="968"/>
      <c r="AZ22" s="969"/>
      <c r="BA22" s="970"/>
      <c r="BB22" s="945"/>
      <c r="BC22" s="946"/>
      <c r="BD22" s="945"/>
      <c r="BE22" s="946"/>
      <c r="BF22" s="929" t="str">
        <f t="shared" ref="BF22" si="28">IF(CB22="OK",ROUND(BB22+BD22,2),"")</f>
        <v/>
      </c>
      <c r="BG22" s="930"/>
      <c r="BH22" s="971" t="str">
        <f t="shared" ref="BH22" si="29">IFERROR(IF(AND($CB22="OK",$CU22="OK"),$CI22,IF($CB22&lt;&gt;"OK",$CB22,$CU22)),"")</f>
        <v/>
      </c>
      <c r="BI22" s="972"/>
      <c r="BJ22" s="973"/>
      <c r="BK22" s="933" t="str">
        <f t="shared" ref="BK22" si="30">IF($CB22="OK",CM22,"")</f>
        <v/>
      </c>
      <c r="BL22" s="934"/>
      <c r="BM22" s="935"/>
      <c r="BN22" s="939" t="str">
        <f t="shared" ref="BN22" si="31">IF($CB22="OK",$CR22,"")</f>
        <v/>
      </c>
      <c r="BO22" s="940"/>
      <c r="BP22" s="941"/>
      <c r="BS22" s="967"/>
      <c r="BT22" s="967"/>
      <c r="BV22" s="926" t="str">
        <f t="shared" ref="BV22" si="32">IFERROR(ROUND(IF(AND(CB22="OK",CU22="OK"),CT22,""),0),"")</f>
        <v/>
      </c>
      <c r="BW22" s="926" t="str">
        <f t="shared" ref="BW22" si="33">IFERROR(ROUND(IF(AND(CB22="OK",CU22="OK"),BV22/3,""),0),"")</f>
        <v/>
      </c>
      <c r="BX22" s="926"/>
      <c r="BY22" s="927"/>
      <c r="BZ22" s="928"/>
      <c r="CB22" s="986" t="str">
        <f>IF(AND(C22="",F22="",R22="",AD22="",U22="",X22="",L22="",AJ22="",AV22="",AM22="",AP22="",AY22="",AV23="",BB22="",BD22="",AA22="",AS22=""),"",
IF(OR(C22="",F22="",R22="",AD22="",U22="",X22="",L22="",AJ22="",AV22="",AM22="",AP22="",AY22="",AV23="",BB22="",BD22="",AA22="",AS22=""),"Missing Fields",
IF(AND(M02S04F04disp="Required",M02S04F04=""),"TA Info Incomplete",
"OK")))</f>
        <v/>
      </c>
      <c r="CC22" s="925" t="str">
        <f>IF(AND(CB22="OK",CU22="OK"),INDEX(Tbl_Cust_Food[Measure Number], MATCH(F22,Tbl_Cust_Food[Proj Desc 1],0)),"")</f>
        <v/>
      </c>
      <c r="CD22" s="925"/>
      <c r="CE22" s="925" t="str">
        <f t="shared" ref="CE22" si="34">IF(CB22="OK","Measure","")</f>
        <v/>
      </c>
      <c r="CF22" s="925" t="str">
        <f t="shared" ref="CF22" si="35">IF(CB22="OK",1,"")</f>
        <v/>
      </c>
      <c r="CG22" s="978" t="str">
        <f t="shared" ref="CG22" si="36">IFERROR(CI22/CF22,"")</f>
        <v/>
      </c>
      <c r="CH22" s="978" t="str">
        <f>IF(CB22="OK",IF(CM22&gt;0,CM22*Incent_Rate_kWh,0)+IF(CO22&gt;0,CO22*Incent_Rate_thm,0),"")</f>
        <v/>
      </c>
      <c r="CI22" s="978" t="str">
        <f>IFERROR(IF($CB22="OK",IF(INCENTTOCOST_CUST&gt;CostCap_Cust,
CH22*CostCap_Cust/INCENTTOCOST_CUST,CH22),""),"")</f>
        <v/>
      </c>
      <c r="CJ22" s="977">
        <f t="shared" ref="CJ22" si="37">CM22</f>
        <v>0</v>
      </c>
      <c r="CK22" s="977">
        <f t="shared" ref="CK22" si="38">CN22</f>
        <v>0</v>
      </c>
      <c r="CL22" s="977">
        <f t="shared" ref="CL22" si="39">CO22</f>
        <v>0</v>
      </c>
      <c r="CM22" s="977">
        <f>R22-AJ22</f>
        <v>0</v>
      </c>
      <c r="CN22" s="977">
        <f>U22-AM22</f>
        <v>0</v>
      </c>
      <c r="CO22" s="977">
        <f t="shared" ref="CO22" si="40">IF(CR22&gt;0,CR22,0)</f>
        <v>0</v>
      </c>
      <c r="CP22" s="977">
        <f t="shared" ref="CP22" si="41">CM22</f>
        <v>0</v>
      </c>
      <c r="CQ22" s="977">
        <f t="shared" ref="CQ22" si="42">CN22</f>
        <v>0</v>
      </c>
      <c r="CR22" s="977">
        <f>X22-AP22</f>
        <v>0</v>
      </c>
      <c r="CS22" s="983"/>
      <c r="CT22" s="1056" t="str">
        <f>IF(CB22="OK",INDEX(Tbl_Cust_Food[EUL], MATCH(F22,Tbl_Cust_Food[Proj Desc 1],0)),"")</f>
        <v/>
      </c>
      <c r="CU22" s="979" t="str">
        <f t="shared" ref="CU22" si="43">IFERROR(IF(AND($CM22&lt;=0,$CN22&lt;=0,$CO22&lt;=0),"No Savings","OK"),"")</f>
        <v>No Savings</v>
      </c>
      <c r="CV22" s="925" t="str">
        <f t="shared" ref="CV22" si="44">IF(AND(CB22="OK",CU22="OK"),"1","")</f>
        <v/>
      </c>
      <c r="CW22" s="925" t="str">
        <f>IFERROR(IF($CB22="OK",ROUND($AQ$14*SUM(BB22:BE23)/SUM($BF$18:$BG$37),2),""),"")</f>
        <v/>
      </c>
      <c r="CX22" s="925" t="str">
        <f>IFERROR(IF(M02S04F04="Customer/Self-Installed",CW22,IF($CB22="OK",CW22+BD22,"")),"")</f>
        <v/>
      </c>
      <c r="CY22" s="925" t="str">
        <f>IFERROR(IF($CB22="OK",CX22+BB22,""),"")</f>
        <v/>
      </c>
      <c r="CZ22" s="925" t="str">
        <f>IF(CB22="OK",INDEX(MEASURES3_M!$O$36, MATCH(F22,MEASURES3_M!$C$36,0)),"")</f>
        <v/>
      </c>
      <c r="DA22" s="925" t="str">
        <f>IF(CB22="OK",INDEX(MEASURES3_M!$P$36, MATCH(F22,MEASURES3_M!$C$36,0)),"")</f>
        <v/>
      </c>
      <c r="DD22" s="980" t="str">
        <f>IFERROR(IF(CB22&lt;&gt;"OK","",CM22*VLOOKUP('DATA TABLES_Project'!$C$247,'DATA TABLES_Project'!$A$250:$B$285,2,FALSE)),"")</f>
        <v/>
      </c>
      <c r="DE22" s="925" t="str">
        <f t="shared" ref="DE22" si="45">IFERROR(IF(CB22&lt;&gt;"OK","",CM22*CZ22*0.92),"")</f>
        <v/>
      </c>
      <c r="DF22" s="980" t="str">
        <f>IFERROR(IF(CB22&lt;&gt;"OK","",CM22*CZ22*0.92*VLOOKUP('DATA TABLES_Project'!$C$247,'DATA TABLES_Project'!$A$250:$B$285,2,FALSE)),"")</f>
        <v/>
      </c>
      <c r="DG22" s="925" t="str">
        <f t="shared" ref="DG22" si="46">IFERROR(IF(CB22&lt;&gt;"OK","",CM22*BV22),IF(BX22="Dual",(CM22*BW22)+((BY22-AJ22)*(BV22-BW22)),""))</f>
        <v/>
      </c>
      <c r="DH22" s="925" t="str">
        <f ca="1">IFERROR(IF(CB22&lt;&gt;"OK","",IF(OR(BX22="Single",BX22=""), CM22*BV22*AVERAGE(INDEX('DATA TABLES_Project'!$B$250:$B$285, MATCH('DATA TABLES_Project'!$C$247,'DATA TABLES_Project'!$A$250:$A$285, 0)):OFFSET(INDEX('DATA TABLES_Project'!$B$250:$B$285, MATCH('DATA TABLES_Project'!$C$247,'DATA TABLES_Project'!$A$250:$A$285, 0)),BV22-1,0)),CM22*BW22*AVERAGE(INDEX('DATA TABLES_Project'!$B$250:$B$285, MATCH('DATA TABLES_Project'!$C$247,'DATA TABLES_Project'!$A$250:$A$285, 0)):OFFSET(INDEX('DATA TABLES_Project'!$B$250:$B$285, MATCH('DATA TABLES_Project'!$C$247,'DATA TABLES_Project'!$A$250:$A$285, 0)),BW22-1,0)) + ((BY22-AJ22)*(BV22-BW22)*AVERAGE(OFFSET(INDEX('DATA TABLES_Project'!$B$250:$B$285, MATCH('DATA TABLES_Project'!$C$247,'DATA TABLES_Project'!$A$250:$A$285, 0)),BW22,0):OFFSET(INDEX('DATA TABLES_Project'!$B$250:$B$285, MATCH('DATA TABLES_Project'!$C$247,'DATA TABLES_Project'!$A$250:$A$285, 0)),BV22-1,0))))), "")</f>
        <v/>
      </c>
      <c r="DI22" s="925" t="str">
        <f t="shared" ref="DI22" si="47">IFERROR(IF(CB22&lt;&gt;"OK","",IF(BX22="Dual",(CM22*BW22)+((BY22-AJ22)*(BV22-BW22))*CZ22*0.92,CM22*CZ22*BV22*0.92)),"")</f>
        <v/>
      </c>
      <c r="DJ22" s="925" t="str">
        <f ca="1">IFERROR(IF(CB22&lt;&gt;"OK","",IF(OR(BX22="Single",BX22=""),0.92*CZ22*CM22*BV22*AVERAGE(INDEX('DATA TABLES_Project'!$B$250:$B$285, MATCH('DATA TABLES_Project'!$C$247,'DATA TABLES_Project'!$A$250:$A$285, 0)):OFFSET(INDEX('DATA TABLES_Project'!$B$250:$B$285, MATCH('DATA TABLES_Project'!$C$247,'DATA TABLES_Project'!$A$250:$A$285, 0)),BV22-1,0)),0.92*CZ22*CM22*BW22*AVERAGE(INDEX('DATA TABLES_Project'!$B$250:$B$285, MATCH('DATA TABLES_Project'!$C$247,'DATA TABLES_Project'!$A$250:$A$285, 0)):OFFSET(INDEX('DATA TABLES_Project'!$B$250:$B$285, MATCH('DATA TABLES_Project'!$C$247,'DATA TABLES_Project'!$A$250:$A$285, 0)),BW22-1,0)) + (0.92*CZ22*(BY22-AJ22)*(BV22-BW22)*AVERAGE(OFFSET(INDEX('DATA TABLES_Project'!$B$250:$B$285, MATCH('DATA TABLES_Project'!$C$247,'DATA TABLES_Project'!$A$250:$A$285, 0)),BW22,0):OFFSET(INDEX('DATA TABLES_Project'!$B$250:$B$285, MATCH('DATA TABLES_Project'!$C$247,'DATA TABLES_Project'!$A$250:$A$285, 0)),BV22-1,0))))), "")</f>
        <v/>
      </c>
      <c r="DK22" s="925" t="str">
        <f>IFERROR(IF(CB22&lt;&gt;"OK","",CO22*'DATA TABLES_Project'!$C$250),"")</f>
        <v/>
      </c>
      <c r="DL22" s="925" t="str">
        <f t="shared" ref="DL22" si="48">IFERROR(IF(CB22&lt;&gt;"OK","",CO22*DA22*0.92),"")</f>
        <v/>
      </c>
      <c r="DM22" s="925" t="str">
        <f>IFERROR(IF(CB22&lt;&gt;"OK","",CO22*'DATA TABLES_Project'!$C$250*DA22*0.92),"")</f>
        <v/>
      </c>
      <c r="DN22" s="925" t="str">
        <f t="shared" ref="DN22" si="49">IFERROR(IF(CB22&lt;&gt;"OK","",CO22*BV22),IF(BX22="Dual",(CO22*BW22)+((BZ22-AP22)*(BV22-BW22)),""))</f>
        <v/>
      </c>
      <c r="DO22" s="925" t="str">
        <f ca="1">IFERROR(IF(CB22&lt;&gt;"OK","",CO22*BV22*AVERAGE('DATA TABLES_Project'!$C$250:OFFSET('DATA TABLES_Project'!$C$250,BV22,0))),IF(BX22="Dual",(CO22*BW22*AVERAGE('DATA TABLES_Project'!$C$251:$C$259))+((BZ22-AP22)*(BV22-BW22)*AVERAGE('DATA TABLES_Project'!$C$260:$C$279)),""))</f>
        <v/>
      </c>
      <c r="DP22" s="925" t="str">
        <f t="shared" ref="DP22" si="50">IFERROR(IF(CB22&lt;&gt;"OK","",IF(BX22="Dual",((CO22*BW22)+(BZ22-AP22)*(BV22-BW22))*DA22*0.92,CO22*BV22*DA22*0.92)),"")</f>
        <v/>
      </c>
      <c r="DQ22" s="925" t="str">
        <f ca="1">IFERROR(IF(CB22&lt;&gt;"OK","",IF(BX22="Dual",(0.92*DA22*CO22*BW22*AVERAGE('DATA TABLES_Project'!$C$251:$C$259))+(0.92*DA22*(BZ22-AP22)*(BV22-BW22)*AVERAGE('DATA TABLES_Project'!$C$260:$C$279)),0.92*DA22*CO22*BV22*AVERAGE('DATA TABLES_Project'!$C$250:OFFSET('DATA TABLES_Project'!$C$250,BV22,0)))),"")</f>
        <v/>
      </c>
      <c r="DR22" s="980" t="str">
        <f>IFERROR(IF($CB22&lt;&gt;"OK","",CM22*'DATA TABLES_Project'!$B$290+IF(CO22&lt;0,0,CO22*'DATA TABLES_Project'!$B$291)),"")</f>
        <v/>
      </c>
      <c r="DS22" s="980" t="str">
        <f>IFERROR(IF($CB22&lt;&gt;"OK","",DD22*'DATA TABLES_Project'!$B$290+IF(DK22&lt;0,0,DK22*'DATA TABLES_Project'!$B$291)),"")</f>
        <v/>
      </c>
      <c r="DT22" s="980" t="str">
        <f>IFERROR(IF($CB22&lt;&gt;"OK","",DE22*'DATA TABLES_Project'!$B$290+IF(DL22&lt;0,0,DL22*'DATA TABLES_Project'!$B$291)),"")</f>
        <v/>
      </c>
      <c r="DU22" s="980" t="str">
        <f>IFERROR(IF($CB22&lt;&gt;"OK","",DF22*'DATA TABLES_Project'!$B$290+IF(DM22&lt;0,0,DM22*'DATA TABLES_Project'!$B$291)),"")</f>
        <v/>
      </c>
      <c r="DV22" s="980" t="str">
        <f>IFERROR(IF($CB22&lt;&gt;"OK","",DG22*'DATA TABLES_Project'!$B$290+IF(DN22&lt;0,0,DN22*'DATA TABLES_Project'!$B$291)),"")</f>
        <v/>
      </c>
      <c r="DW22" s="980" t="str">
        <f>IFERROR(IF($CB22&lt;&gt;"OK","",DH22*'DATA TABLES_Project'!$B$290+IF(DO22&lt;0,0,DO22*'DATA TABLES_Project'!$B$291)),"")</f>
        <v/>
      </c>
      <c r="DX22" s="980" t="str">
        <f>IFERROR(IF($CB22&lt;&gt;"OK","",DI22*'DATA TABLES_Project'!$B$290+IF(DP22&lt;0,0,DP22*'DATA TABLES_Project'!$B$291)),"")</f>
        <v/>
      </c>
      <c r="DY22" s="925" t="str">
        <f>IFERROR(IF($CB22&lt;&gt;"OK","",DJ22*'DATA TABLES_Project'!$B$290+IF(DQ22&lt;0,0,DQ22*'DATA TABLES_Project'!$B$291)),"")</f>
        <v/>
      </c>
      <c r="DZ22" s="925" t="str">
        <f t="shared" ref="DZ22" si="51">IFERROR(IF($CB22&lt;&gt;"OK","",AS22),"")</f>
        <v/>
      </c>
      <c r="EA22" s="925" t="str">
        <f>IFERROR(IF(CB22&lt;&gt;"OK","",CN22*'DATA TABLES_Project'!$B$250*CZ22*1.03),"")</f>
        <v/>
      </c>
      <c r="EB22" s="925" t="str">
        <f t="shared" ref="EB22" si="52">IFERROR(IF(CB22&lt;&gt;"OK","",CN22*CZ22*1.03),"")</f>
        <v/>
      </c>
      <c r="EC22" s="925" t="str">
        <f>IFERROR(IF(CB22&lt;&gt;"OK","",CZ22*DZ22*'DATA TABLES_Project'!$C$250*0.92),"")</f>
        <v/>
      </c>
      <c r="ED22" s="925" t="str">
        <f>IFERROR(IF(CB22&lt;&gt;"OK","",CZ22*DZ22*'DATA TABLES_Project'!$C$250*0.92),"")</f>
        <v/>
      </c>
      <c r="EE22" s="925" t="str">
        <f t="shared" ref="EE22" si="53">IFERROR(IF(CB22&lt;&gt;"OK","",CZ22*DZ22*0.92),"")</f>
        <v/>
      </c>
      <c r="EF22" s="925" t="str">
        <f t="shared" ref="EF22" si="54">IFERROR(IF(CB22&lt;&gt;"OK","",CZ22*DZ22*0.92),"")</f>
        <v/>
      </c>
      <c r="EG22" s="925" t="str">
        <f>IFERROR(IF($CB22&lt;&gt;"OK","",CM22*'DATA TABLES_Project'!$B$290+CO22*'DATA TABLES_Project'!$B$291),"")</f>
        <v/>
      </c>
      <c r="EH22" s="925" t="str">
        <f>IFERROR(IF($CB22&lt;&gt;"OK","",DD22*'DATA TABLES_Project'!$B$290+DK22*'DATA TABLES_Project'!$B$291),"")</f>
        <v/>
      </c>
      <c r="EI22" s="925" t="str">
        <f>IFERROR(IF($CB22&lt;&gt;"OK","",DE22*'DATA TABLES_Project'!$B$290+DL22*'DATA TABLES_Project'!$B$291),"")</f>
        <v/>
      </c>
      <c r="EJ22" s="925" t="str">
        <f>IFERROR(IF($CB22&lt;&gt;"OK","",DF22*'DATA TABLES_Project'!$B$290+DM22*'DATA TABLES_Project'!$B$291),"")</f>
        <v/>
      </c>
      <c r="EK22" s="925" t="str">
        <f>IFERROR(IF($CB22&lt;&gt;"OK","",DG22*'DATA TABLES_Project'!$B$290+DN22*'DATA TABLES_Project'!$B$291),"")</f>
        <v/>
      </c>
      <c r="EL22" s="925" t="str">
        <f>IFERROR(IF($CB22&lt;&gt;"OK","",DH22*'DATA TABLES_Project'!$B$290+DO22*'DATA TABLES_Project'!$B$291),"")</f>
        <v/>
      </c>
      <c r="EM22" s="925" t="str">
        <f>IFERROR(IF($CB22&lt;&gt;"OK","",DI22*'DATA TABLES_Project'!$B$290+DP22*'DATA TABLES_Project'!$B$291),"")</f>
        <v/>
      </c>
      <c r="EN22" s="925" t="str">
        <f>IFERROR(IF($CB22&lt;&gt;"OK","",DJ22*'DATA TABLES_Project'!$B$290+DQ22*'DATA TABLES_Project'!$B$291),"")</f>
        <v/>
      </c>
    </row>
    <row r="23" spans="1:144" ht="16.350000000000001" customHeight="1">
      <c r="A23" s="462"/>
      <c r="B23" s="994"/>
      <c r="C23" s="998"/>
      <c r="D23" s="999"/>
      <c r="E23" s="1000"/>
      <c r="F23" s="964"/>
      <c r="G23" s="965"/>
      <c r="H23" s="965"/>
      <c r="I23" s="965"/>
      <c r="J23" s="965"/>
      <c r="K23" s="966"/>
      <c r="L23" s="964"/>
      <c r="M23" s="965"/>
      <c r="N23" s="965"/>
      <c r="O23" s="965"/>
      <c r="P23" s="965"/>
      <c r="Q23" s="966"/>
      <c r="R23" s="1044"/>
      <c r="S23" s="1044"/>
      <c r="T23" s="1044"/>
      <c r="U23" s="1044"/>
      <c r="V23" s="1044"/>
      <c r="W23" s="1044"/>
      <c r="X23" s="1045"/>
      <c r="Y23" s="1045"/>
      <c r="Z23" s="1045"/>
      <c r="AA23" s="1045"/>
      <c r="AB23" s="1045"/>
      <c r="AC23" s="1045"/>
      <c r="AD23" s="964"/>
      <c r="AE23" s="965"/>
      <c r="AF23" s="965"/>
      <c r="AG23" s="965"/>
      <c r="AH23" s="965"/>
      <c r="AI23" s="966"/>
      <c r="AJ23" s="952"/>
      <c r="AK23" s="953"/>
      <c r="AL23" s="954"/>
      <c r="AM23" s="952"/>
      <c r="AN23" s="953"/>
      <c r="AO23" s="954"/>
      <c r="AP23" s="958"/>
      <c r="AQ23" s="959"/>
      <c r="AR23" s="960"/>
      <c r="AS23" s="958"/>
      <c r="AT23" s="959"/>
      <c r="AU23" s="960"/>
      <c r="AV23" s="968"/>
      <c r="AW23" s="969"/>
      <c r="AX23" s="969"/>
      <c r="AY23" s="969"/>
      <c r="AZ23" s="969"/>
      <c r="BA23" s="970"/>
      <c r="BB23" s="947"/>
      <c r="BC23" s="948"/>
      <c r="BD23" s="947"/>
      <c r="BE23" s="948"/>
      <c r="BF23" s="931"/>
      <c r="BG23" s="932"/>
      <c r="BH23" s="974"/>
      <c r="BI23" s="975"/>
      <c r="BJ23" s="976"/>
      <c r="BK23" s="936"/>
      <c r="BL23" s="937"/>
      <c r="BM23" s="938"/>
      <c r="BN23" s="942"/>
      <c r="BO23" s="943"/>
      <c r="BP23" s="944"/>
      <c r="BS23" s="967"/>
      <c r="BT23" s="967"/>
      <c r="BV23" s="926"/>
      <c r="BW23" s="926"/>
      <c r="BX23" s="926"/>
      <c r="BY23" s="927"/>
      <c r="BZ23" s="928"/>
      <c r="CB23" s="986"/>
      <c r="CC23" s="925"/>
      <c r="CD23" s="925"/>
      <c r="CE23" s="925"/>
      <c r="CF23" s="925"/>
      <c r="CG23" s="925"/>
      <c r="CH23" s="925"/>
      <c r="CI23" s="925"/>
      <c r="CJ23" s="977"/>
      <c r="CK23" s="977"/>
      <c r="CL23" s="977"/>
      <c r="CM23" s="977"/>
      <c r="CN23" s="977"/>
      <c r="CO23" s="977"/>
      <c r="CP23" s="977"/>
      <c r="CQ23" s="977"/>
      <c r="CR23" s="977"/>
      <c r="CS23" s="983"/>
      <c r="CT23" s="1056"/>
      <c r="CU23" s="979"/>
      <c r="CV23" s="925"/>
      <c r="CW23" s="925"/>
      <c r="CX23" s="925"/>
      <c r="CY23" s="925"/>
      <c r="CZ23" s="925"/>
      <c r="DA23" s="925"/>
      <c r="DD23" s="981"/>
      <c r="DE23" s="925"/>
      <c r="DF23" s="981"/>
      <c r="DG23" s="925"/>
      <c r="DH23" s="925"/>
      <c r="DI23" s="925"/>
      <c r="DJ23" s="925"/>
      <c r="DK23" s="925"/>
      <c r="DL23" s="925"/>
      <c r="DM23" s="925"/>
      <c r="DN23" s="925"/>
      <c r="DO23" s="925"/>
      <c r="DP23" s="925"/>
      <c r="DQ23" s="925"/>
      <c r="DR23" s="981"/>
      <c r="DS23" s="981"/>
      <c r="DT23" s="981"/>
      <c r="DU23" s="981"/>
      <c r="DV23" s="981"/>
      <c r="DW23" s="981"/>
      <c r="DX23" s="981"/>
      <c r="DY23" s="925"/>
      <c r="DZ23" s="925"/>
      <c r="EA23" s="925"/>
      <c r="EB23" s="925"/>
      <c r="EC23" s="925"/>
      <c r="ED23" s="925"/>
      <c r="EE23" s="925"/>
      <c r="EF23" s="925"/>
      <c r="EG23" s="925"/>
      <c r="EH23" s="925"/>
      <c r="EI23" s="925"/>
      <c r="EJ23" s="925"/>
      <c r="EK23" s="925"/>
      <c r="EL23" s="925"/>
      <c r="EM23" s="925"/>
      <c r="EN23" s="925"/>
    </row>
    <row r="24" spans="1:144" ht="16.350000000000001" customHeight="1">
      <c r="A24" s="462"/>
      <c r="B24" s="994">
        <v>4</v>
      </c>
      <c r="C24" s="995"/>
      <c r="D24" s="996"/>
      <c r="E24" s="997"/>
      <c r="F24" s="961"/>
      <c r="G24" s="962"/>
      <c r="H24" s="962"/>
      <c r="I24" s="962"/>
      <c r="J24" s="962"/>
      <c r="K24" s="963"/>
      <c r="L24" s="961"/>
      <c r="M24" s="962"/>
      <c r="N24" s="962"/>
      <c r="O24" s="962"/>
      <c r="P24" s="962"/>
      <c r="Q24" s="963"/>
      <c r="R24" s="1044"/>
      <c r="S24" s="1044"/>
      <c r="T24" s="1044"/>
      <c r="U24" s="1044"/>
      <c r="V24" s="1044"/>
      <c r="W24" s="1044"/>
      <c r="X24" s="1045"/>
      <c r="Y24" s="1045"/>
      <c r="Z24" s="1045"/>
      <c r="AA24" s="1045"/>
      <c r="AB24" s="1045"/>
      <c r="AC24" s="1045"/>
      <c r="AD24" s="961"/>
      <c r="AE24" s="962"/>
      <c r="AF24" s="962"/>
      <c r="AG24" s="962"/>
      <c r="AH24" s="962"/>
      <c r="AI24" s="963"/>
      <c r="AJ24" s="949"/>
      <c r="AK24" s="950"/>
      <c r="AL24" s="951"/>
      <c r="AM24" s="949"/>
      <c r="AN24" s="950"/>
      <c r="AO24" s="951"/>
      <c r="AP24" s="955"/>
      <c r="AQ24" s="956"/>
      <c r="AR24" s="957"/>
      <c r="AS24" s="955"/>
      <c r="AT24" s="956"/>
      <c r="AU24" s="957"/>
      <c r="AV24" s="968"/>
      <c r="AW24" s="969"/>
      <c r="AX24" s="970"/>
      <c r="AY24" s="968"/>
      <c r="AZ24" s="969"/>
      <c r="BA24" s="970"/>
      <c r="BB24" s="945"/>
      <c r="BC24" s="946"/>
      <c r="BD24" s="945"/>
      <c r="BE24" s="946"/>
      <c r="BF24" s="929" t="str">
        <f t="shared" ref="BF24" si="55">IF(CB24="OK",ROUND(BB24+BD24,2),"")</f>
        <v/>
      </c>
      <c r="BG24" s="930"/>
      <c r="BH24" s="971" t="str">
        <f t="shared" ref="BH24" si="56">IFERROR(IF(AND($CB24="OK",$CU24="OK"),$CI24,IF($CB24&lt;&gt;"OK",$CB24,$CU24)),"")</f>
        <v/>
      </c>
      <c r="BI24" s="972"/>
      <c r="BJ24" s="973"/>
      <c r="BK24" s="933" t="str">
        <f t="shared" ref="BK24" si="57">IF($CB24="OK",CM24,"")</f>
        <v/>
      </c>
      <c r="BL24" s="934"/>
      <c r="BM24" s="935"/>
      <c r="BN24" s="939" t="str">
        <f t="shared" ref="BN24" si="58">IF($CB24="OK",$CR24,"")</f>
        <v/>
      </c>
      <c r="BO24" s="940"/>
      <c r="BP24" s="941"/>
      <c r="BS24" s="967"/>
      <c r="BT24" s="967"/>
      <c r="BV24" s="926" t="str">
        <f t="shared" ref="BV24" si="59">IFERROR(ROUND(IF(AND(CB24="OK",CU24="OK"),CT24,""),0),"")</f>
        <v/>
      </c>
      <c r="BW24" s="926" t="str">
        <f t="shared" ref="BW24" si="60">IFERROR(ROUND(IF(AND(CB24="OK",CU24="OK"),BV24/3,""),0),"")</f>
        <v/>
      </c>
      <c r="BX24" s="926"/>
      <c r="BY24" s="927"/>
      <c r="BZ24" s="928"/>
      <c r="CB24" s="986" t="str">
        <f>IF(AND(C24="",F24="",R24="",AD24="",U24="",X24="",L24="",AJ24="",AV24="",AM24="",AP24="",AY24="",AV25="",BB24="",BD24="",AA24="",AS24=""),"",
IF(OR(C24="",F24="",R24="",AD24="",U24="",X24="",L24="",AJ24="",AV24="",AM24="",AP24="",AY24="",AV25="",BB24="",BD24="",AA24="",AS24=""),"Missing Fields",
IF(AND(M02S04F04disp="Required",M02S04F04=""),"TA Info Incomplete",
"OK")))</f>
        <v/>
      </c>
      <c r="CC24" s="925" t="str">
        <f>IF(AND(CB24="OK",CU24="OK"),INDEX(Tbl_Cust_Food[Measure Number], MATCH(F24,Tbl_Cust_Food[Proj Desc 1],0)),"")</f>
        <v/>
      </c>
      <c r="CD24" s="925"/>
      <c r="CE24" s="925" t="str">
        <f t="shared" ref="CE24" si="61">IF(CB24="OK","Measure","")</f>
        <v/>
      </c>
      <c r="CF24" s="925" t="str">
        <f t="shared" ref="CF24" si="62">IF(CB24="OK",1,"")</f>
        <v/>
      </c>
      <c r="CG24" s="978" t="str">
        <f t="shared" ref="CG24" si="63">IFERROR(CI24/CF24,"")</f>
        <v/>
      </c>
      <c r="CH24" s="978" t="str">
        <f>IF(CB24="OK",IF(CM24&gt;0,CM24*Incent_Rate_kWh,0)+IF(CO24&gt;0,CO24*Incent_Rate_thm,0),"")</f>
        <v/>
      </c>
      <c r="CI24" s="978" t="str">
        <f>IFERROR(IF($CB24="OK",IF(INCENTTOCOST_CUST&gt;CostCap_Cust,
CH24*CostCap_Cust/INCENTTOCOST_CUST,CH24),""),"")</f>
        <v/>
      </c>
      <c r="CJ24" s="977">
        <f t="shared" ref="CJ24" si="64">CM24</f>
        <v>0</v>
      </c>
      <c r="CK24" s="977">
        <f t="shared" ref="CK24" si="65">CN24</f>
        <v>0</v>
      </c>
      <c r="CL24" s="977">
        <f t="shared" ref="CL24" si="66">CO24</f>
        <v>0</v>
      </c>
      <c r="CM24" s="977">
        <f>R24-AJ24</f>
        <v>0</v>
      </c>
      <c r="CN24" s="977">
        <f>U24-AM24</f>
        <v>0</v>
      </c>
      <c r="CO24" s="977">
        <f t="shared" ref="CO24" si="67">IF(CR24&gt;0,CR24,0)</f>
        <v>0</v>
      </c>
      <c r="CP24" s="977">
        <f t="shared" ref="CP24" si="68">CM24</f>
        <v>0</v>
      </c>
      <c r="CQ24" s="977">
        <f t="shared" ref="CQ24" si="69">CN24</f>
        <v>0</v>
      </c>
      <c r="CR24" s="977">
        <f>X24-AP24</f>
        <v>0</v>
      </c>
      <c r="CS24" s="983"/>
      <c r="CT24" s="1056" t="str">
        <f>IF(CB24="OK",INDEX(Tbl_Cust_Food[EUL], MATCH(F24,Tbl_Cust_Food[Proj Desc 1],0)),"")</f>
        <v/>
      </c>
      <c r="CU24" s="979" t="str">
        <f t="shared" ref="CU24" si="70">IFERROR(IF(AND($CM24&lt;=0,$CN24&lt;=0,$CO24&lt;=0),"No Savings","OK"),"")</f>
        <v>No Savings</v>
      </c>
      <c r="CV24" s="925" t="str">
        <f t="shared" ref="CV24" si="71">IF(AND(CB24="OK",CU24="OK"),"1","")</f>
        <v/>
      </c>
      <c r="CW24" s="925" t="str">
        <f>IFERROR(IF($CB24="OK",ROUND($AQ$14*SUM(BB24:BE25)/SUM($BF$18:$BG$37),2),""),"")</f>
        <v/>
      </c>
      <c r="CX24" s="925" t="str">
        <f>IFERROR(IF(M02S04F04="Customer/Self-Installed",CW24,IF($CB24="OK",CW24+BD24,"")),"")</f>
        <v/>
      </c>
      <c r="CY24" s="925" t="str">
        <f>IFERROR(IF($CB24="OK",CX24+BB24,""),"")</f>
        <v/>
      </c>
      <c r="CZ24" s="925" t="str">
        <f>IF(CB24="OK",INDEX(MEASURES3_M!$O$36, MATCH(F24,MEASURES3_M!$C$36,0)),"")</f>
        <v/>
      </c>
      <c r="DA24" s="925" t="str">
        <f>IF(CB24="OK",INDEX(MEASURES3_M!$P$36, MATCH(F24,MEASURES3_M!$C$36,0)),"")</f>
        <v/>
      </c>
      <c r="DD24" s="980" t="str">
        <f>IFERROR(IF(CB24&lt;&gt;"OK","",CM24*VLOOKUP('DATA TABLES_Project'!$C$247,'DATA TABLES_Project'!$A$250:$B$285,2,FALSE)),"")</f>
        <v/>
      </c>
      <c r="DE24" s="925" t="str">
        <f t="shared" ref="DE24" si="72">IFERROR(IF(CB24&lt;&gt;"OK","",CM24*CZ24*0.92),"")</f>
        <v/>
      </c>
      <c r="DF24" s="980" t="str">
        <f>IFERROR(IF(CB24&lt;&gt;"OK","",CM24*CZ24*0.92*VLOOKUP('DATA TABLES_Project'!$C$247,'DATA TABLES_Project'!$A$250:$B$285,2,FALSE)),"")</f>
        <v/>
      </c>
      <c r="DG24" s="925" t="str">
        <f t="shared" ref="DG24" si="73">IFERROR(IF(CB24&lt;&gt;"OK","",CM24*BV24),IF(BX24="Dual",(CM24*BW24)+((BY24-AJ24)*(BV24-BW24)),""))</f>
        <v/>
      </c>
      <c r="DH24" s="925" t="str">
        <f ca="1">IFERROR(IF(CB24&lt;&gt;"OK","",IF(OR(BX24="Single",BX24=""), CM24*BV24*AVERAGE(INDEX('DATA TABLES_Project'!$B$250:$B$285, MATCH('DATA TABLES_Project'!$C$247,'DATA TABLES_Project'!$A$250:$A$285, 0)):OFFSET(INDEX('DATA TABLES_Project'!$B$250:$B$285, MATCH('DATA TABLES_Project'!$C$247,'DATA TABLES_Project'!$A$250:$A$285, 0)),BV24-1,0)),CM24*BW24*AVERAGE(INDEX('DATA TABLES_Project'!$B$250:$B$285, MATCH('DATA TABLES_Project'!$C$247,'DATA TABLES_Project'!$A$250:$A$285, 0)):OFFSET(INDEX('DATA TABLES_Project'!$B$250:$B$285, MATCH('DATA TABLES_Project'!$C$247,'DATA TABLES_Project'!$A$250:$A$285, 0)),BW24-1,0)) + ((BY24-AJ24)*(BV24-BW24)*AVERAGE(OFFSET(INDEX('DATA TABLES_Project'!$B$250:$B$285, MATCH('DATA TABLES_Project'!$C$247,'DATA TABLES_Project'!$A$250:$A$285, 0)),BW24,0):OFFSET(INDEX('DATA TABLES_Project'!$B$250:$B$285, MATCH('DATA TABLES_Project'!$C$247,'DATA TABLES_Project'!$A$250:$A$285, 0)),BV24-1,0))))), "")</f>
        <v/>
      </c>
      <c r="DI24" s="925" t="str">
        <f t="shared" ref="DI24" si="74">IFERROR(IF(CB24&lt;&gt;"OK","",IF(BX24="Dual",(CM24*BW24)+((BY24-AJ24)*(BV24-BW24))*CZ24*0.92,CM24*CZ24*BV24*0.92)),"")</f>
        <v/>
      </c>
      <c r="DJ24" s="925" t="str">
        <f ca="1">IFERROR(IF(CB24&lt;&gt;"OK","",IF(OR(BX24="Single",BX24=""),0.92*CZ24*CM24*BV24*AVERAGE(INDEX('DATA TABLES_Project'!$B$250:$B$285, MATCH('DATA TABLES_Project'!$C$247,'DATA TABLES_Project'!$A$250:$A$285, 0)):OFFSET(INDEX('DATA TABLES_Project'!$B$250:$B$285, MATCH('DATA TABLES_Project'!$C$247,'DATA TABLES_Project'!$A$250:$A$285, 0)),BV24-1,0)),0.92*CZ24*CM24*BW24*AVERAGE(INDEX('DATA TABLES_Project'!$B$250:$B$285, MATCH('DATA TABLES_Project'!$C$247,'DATA TABLES_Project'!$A$250:$A$285, 0)):OFFSET(INDEX('DATA TABLES_Project'!$B$250:$B$285, MATCH('DATA TABLES_Project'!$C$247,'DATA TABLES_Project'!$A$250:$A$285, 0)),BW24-1,0)) + (0.92*CZ24*(BY24-AJ24)*(BV24-BW24)*AVERAGE(OFFSET(INDEX('DATA TABLES_Project'!$B$250:$B$285, MATCH('DATA TABLES_Project'!$C$247,'DATA TABLES_Project'!$A$250:$A$285, 0)),BW24,0):OFFSET(INDEX('DATA TABLES_Project'!$B$250:$B$285, MATCH('DATA TABLES_Project'!$C$247,'DATA TABLES_Project'!$A$250:$A$285, 0)),BV24-1,0))))), "")</f>
        <v/>
      </c>
      <c r="DK24" s="925" t="str">
        <f>IFERROR(IF(CB24&lt;&gt;"OK","",CO24*'DATA TABLES_Project'!$C$250),"")</f>
        <v/>
      </c>
      <c r="DL24" s="925" t="str">
        <f t="shared" ref="DL24" si="75">IFERROR(IF(CB24&lt;&gt;"OK","",CO24*DA24*0.92),"")</f>
        <v/>
      </c>
      <c r="DM24" s="925" t="str">
        <f>IFERROR(IF(CB24&lt;&gt;"OK","",CO24*'DATA TABLES_Project'!$C$250*DA24*0.92),"")</f>
        <v/>
      </c>
      <c r="DN24" s="925" t="str">
        <f t="shared" ref="DN24" si="76">IFERROR(IF(CB24&lt;&gt;"OK","",CO24*BV24),IF(BX24="Dual",(CO24*BW24)+((BZ24-AP24)*(BV24-BW24)),""))</f>
        <v/>
      </c>
      <c r="DO24" s="925" t="str">
        <f ca="1">IFERROR(IF(CB24&lt;&gt;"OK","",CO24*BV24*AVERAGE('DATA TABLES_Project'!$C$250:OFFSET('DATA TABLES_Project'!$C$250,BV24,0))),IF(BX24="Dual",(CO24*BW24*AVERAGE('DATA TABLES_Project'!$C$251:$C$259))+((BZ24-AP24)*(BV24-BW24)*AVERAGE('DATA TABLES_Project'!$C$260:$C$279)),""))</f>
        <v/>
      </c>
      <c r="DP24" s="925" t="str">
        <f t="shared" ref="DP24" si="77">IFERROR(IF(CB24&lt;&gt;"OK","",IF(BX24="Dual",((CO24*BW24)+(BZ24-AP24)*(BV24-BW24))*DA24*0.92,CO24*BV24*DA24*0.92)),"")</f>
        <v/>
      </c>
      <c r="DQ24" s="925" t="str">
        <f ca="1">IFERROR(IF(CB24&lt;&gt;"OK","",IF(BX24="Dual",(0.92*DA24*CO24*BW24*AVERAGE('DATA TABLES_Project'!$C$251:$C$259))+(0.92*DA24*(BZ24-AP24)*(BV24-BW24)*AVERAGE('DATA TABLES_Project'!$C$260:$C$279)),0.92*DA24*CO24*BV24*AVERAGE('DATA TABLES_Project'!$C$250:OFFSET('DATA TABLES_Project'!$C$250,BV24,0)))),"")</f>
        <v/>
      </c>
      <c r="DR24" s="980" t="str">
        <f>IFERROR(IF($CB24&lt;&gt;"OK","",CM24*'DATA TABLES_Project'!$B$290+IF(CO24&lt;0,0,CO24*'DATA TABLES_Project'!$B$291)),"")</f>
        <v/>
      </c>
      <c r="DS24" s="980" t="str">
        <f>IFERROR(IF($CB24&lt;&gt;"OK","",DD24*'DATA TABLES_Project'!$B$290+IF(DK24&lt;0,0,DK24*'DATA TABLES_Project'!$B$291)),"")</f>
        <v/>
      </c>
      <c r="DT24" s="980" t="str">
        <f>IFERROR(IF($CB24&lt;&gt;"OK","",DE24*'DATA TABLES_Project'!$B$290+IF(DL24&lt;0,0,DL24*'DATA TABLES_Project'!$B$291)),"")</f>
        <v/>
      </c>
      <c r="DU24" s="980" t="str">
        <f>IFERROR(IF($CB24&lt;&gt;"OK","",DF24*'DATA TABLES_Project'!$B$290+IF(DM24&lt;0,0,DM24*'DATA TABLES_Project'!$B$291)),"")</f>
        <v/>
      </c>
      <c r="DV24" s="980" t="str">
        <f>IFERROR(IF($CB24&lt;&gt;"OK","",DG24*'DATA TABLES_Project'!$B$290+IF(DN24&lt;0,0,DN24*'DATA TABLES_Project'!$B$291)),"")</f>
        <v/>
      </c>
      <c r="DW24" s="980" t="str">
        <f>IFERROR(IF($CB24&lt;&gt;"OK","",DH24*'DATA TABLES_Project'!$B$290+IF(DO24&lt;0,0,DO24*'DATA TABLES_Project'!$B$291)),"")</f>
        <v/>
      </c>
      <c r="DX24" s="980" t="str">
        <f>IFERROR(IF($CB24&lt;&gt;"OK","",DI24*'DATA TABLES_Project'!$B$290+IF(DP24&lt;0,0,DP24*'DATA TABLES_Project'!$B$291)),"")</f>
        <v/>
      </c>
      <c r="DY24" s="925" t="str">
        <f>IFERROR(IF($CB24&lt;&gt;"OK","",DJ24*'DATA TABLES_Project'!$B$290+IF(DQ24&lt;0,0,DQ24*'DATA TABLES_Project'!$B$291)),"")</f>
        <v/>
      </c>
      <c r="DZ24" s="925" t="str">
        <f t="shared" ref="DZ24" si="78">IFERROR(IF($CB24&lt;&gt;"OK","",AS24),"")</f>
        <v/>
      </c>
      <c r="EA24" s="925" t="str">
        <f>IFERROR(IF(CB24&lt;&gt;"OK","",CN24*'DATA TABLES_Project'!$B$250*CZ24*1.03),"")</f>
        <v/>
      </c>
      <c r="EB24" s="925" t="str">
        <f t="shared" ref="EB24" si="79">IFERROR(IF(CB24&lt;&gt;"OK","",CN24*CZ24*1.03),"")</f>
        <v/>
      </c>
      <c r="EC24" s="925" t="str">
        <f>IFERROR(IF(CB24&lt;&gt;"OK","",CZ24*DZ24*'DATA TABLES_Project'!$C$250*0.92),"")</f>
        <v/>
      </c>
      <c r="ED24" s="925" t="str">
        <f>IFERROR(IF(CB24&lt;&gt;"OK","",CZ24*DZ24*'DATA TABLES_Project'!$C$250*0.92),"")</f>
        <v/>
      </c>
      <c r="EE24" s="925" t="str">
        <f t="shared" ref="EE24" si="80">IFERROR(IF(CB24&lt;&gt;"OK","",CZ24*DZ24*0.92),"")</f>
        <v/>
      </c>
      <c r="EF24" s="925" t="str">
        <f t="shared" ref="EF24" si="81">IFERROR(IF(CB24&lt;&gt;"OK","",CZ24*DZ24*0.92),"")</f>
        <v/>
      </c>
      <c r="EG24" s="925" t="str">
        <f>IFERROR(IF($CB24&lt;&gt;"OK","",CM24*'DATA TABLES_Project'!$B$290+CO24*'DATA TABLES_Project'!$B$291),"")</f>
        <v/>
      </c>
      <c r="EH24" s="925" t="str">
        <f>IFERROR(IF($CB24&lt;&gt;"OK","",DD24*'DATA TABLES_Project'!$B$290+DK24*'DATA TABLES_Project'!$B$291),"")</f>
        <v/>
      </c>
      <c r="EI24" s="925" t="str">
        <f>IFERROR(IF($CB24&lt;&gt;"OK","",DE24*'DATA TABLES_Project'!$B$290+DL24*'DATA TABLES_Project'!$B$291),"")</f>
        <v/>
      </c>
      <c r="EJ24" s="925" t="str">
        <f>IFERROR(IF($CB24&lt;&gt;"OK","",DF24*'DATA TABLES_Project'!$B$290+DM24*'DATA TABLES_Project'!$B$291),"")</f>
        <v/>
      </c>
      <c r="EK24" s="925" t="str">
        <f>IFERROR(IF($CB24&lt;&gt;"OK","",DG24*'DATA TABLES_Project'!$B$290+DN24*'DATA TABLES_Project'!$B$291),"")</f>
        <v/>
      </c>
      <c r="EL24" s="925" t="str">
        <f>IFERROR(IF($CB24&lt;&gt;"OK","",DH24*'DATA TABLES_Project'!$B$290+DO24*'DATA TABLES_Project'!$B$291),"")</f>
        <v/>
      </c>
      <c r="EM24" s="925" t="str">
        <f>IFERROR(IF($CB24&lt;&gt;"OK","",DI24*'DATA TABLES_Project'!$B$290+DP24*'DATA TABLES_Project'!$B$291),"")</f>
        <v/>
      </c>
      <c r="EN24" s="925" t="str">
        <f>IFERROR(IF($CB24&lt;&gt;"OK","",DJ24*'DATA TABLES_Project'!$B$290+DQ24*'DATA TABLES_Project'!$B$291),"")</f>
        <v/>
      </c>
    </row>
    <row r="25" spans="1:144" ht="16.350000000000001" customHeight="1">
      <c r="A25" s="462"/>
      <c r="B25" s="994"/>
      <c r="C25" s="998"/>
      <c r="D25" s="999"/>
      <c r="E25" s="1000"/>
      <c r="F25" s="964"/>
      <c r="G25" s="965"/>
      <c r="H25" s="965"/>
      <c r="I25" s="965"/>
      <c r="J25" s="965"/>
      <c r="K25" s="966"/>
      <c r="L25" s="964"/>
      <c r="M25" s="965"/>
      <c r="N25" s="965"/>
      <c r="O25" s="965"/>
      <c r="P25" s="965"/>
      <c r="Q25" s="966"/>
      <c r="R25" s="1044"/>
      <c r="S25" s="1044"/>
      <c r="T25" s="1044"/>
      <c r="U25" s="1044"/>
      <c r="V25" s="1044"/>
      <c r="W25" s="1044"/>
      <c r="X25" s="1045"/>
      <c r="Y25" s="1045"/>
      <c r="Z25" s="1045"/>
      <c r="AA25" s="1045"/>
      <c r="AB25" s="1045"/>
      <c r="AC25" s="1045"/>
      <c r="AD25" s="964"/>
      <c r="AE25" s="965"/>
      <c r="AF25" s="965"/>
      <c r="AG25" s="965"/>
      <c r="AH25" s="965"/>
      <c r="AI25" s="966"/>
      <c r="AJ25" s="952"/>
      <c r="AK25" s="953"/>
      <c r="AL25" s="954"/>
      <c r="AM25" s="952"/>
      <c r="AN25" s="953"/>
      <c r="AO25" s="954"/>
      <c r="AP25" s="958"/>
      <c r="AQ25" s="959"/>
      <c r="AR25" s="960"/>
      <c r="AS25" s="958"/>
      <c r="AT25" s="959"/>
      <c r="AU25" s="960"/>
      <c r="AV25" s="968"/>
      <c r="AW25" s="969"/>
      <c r="AX25" s="969"/>
      <c r="AY25" s="969"/>
      <c r="AZ25" s="969"/>
      <c r="BA25" s="970"/>
      <c r="BB25" s="947"/>
      <c r="BC25" s="948"/>
      <c r="BD25" s="947"/>
      <c r="BE25" s="948"/>
      <c r="BF25" s="931"/>
      <c r="BG25" s="932"/>
      <c r="BH25" s="974"/>
      <c r="BI25" s="975"/>
      <c r="BJ25" s="976"/>
      <c r="BK25" s="936"/>
      <c r="BL25" s="937"/>
      <c r="BM25" s="938"/>
      <c r="BN25" s="942"/>
      <c r="BO25" s="943"/>
      <c r="BP25" s="944"/>
      <c r="BS25" s="967"/>
      <c r="BT25" s="967"/>
      <c r="BV25" s="926"/>
      <c r="BW25" s="926"/>
      <c r="BX25" s="926"/>
      <c r="BY25" s="927"/>
      <c r="BZ25" s="928"/>
      <c r="CB25" s="986"/>
      <c r="CC25" s="925"/>
      <c r="CD25" s="925"/>
      <c r="CE25" s="925"/>
      <c r="CF25" s="925"/>
      <c r="CG25" s="925"/>
      <c r="CH25" s="925"/>
      <c r="CI25" s="925"/>
      <c r="CJ25" s="977"/>
      <c r="CK25" s="977"/>
      <c r="CL25" s="977"/>
      <c r="CM25" s="977"/>
      <c r="CN25" s="977"/>
      <c r="CO25" s="977"/>
      <c r="CP25" s="977"/>
      <c r="CQ25" s="977"/>
      <c r="CR25" s="977"/>
      <c r="CS25" s="983"/>
      <c r="CT25" s="1056"/>
      <c r="CU25" s="979"/>
      <c r="CV25" s="925"/>
      <c r="CW25" s="925"/>
      <c r="CX25" s="925"/>
      <c r="CY25" s="925"/>
      <c r="CZ25" s="925"/>
      <c r="DA25" s="925"/>
      <c r="DD25" s="981"/>
      <c r="DE25" s="925"/>
      <c r="DF25" s="981"/>
      <c r="DG25" s="925"/>
      <c r="DH25" s="925"/>
      <c r="DI25" s="925"/>
      <c r="DJ25" s="925"/>
      <c r="DK25" s="925"/>
      <c r="DL25" s="925"/>
      <c r="DM25" s="925"/>
      <c r="DN25" s="925"/>
      <c r="DO25" s="925"/>
      <c r="DP25" s="925"/>
      <c r="DQ25" s="925"/>
      <c r="DR25" s="981"/>
      <c r="DS25" s="981"/>
      <c r="DT25" s="981"/>
      <c r="DU25" s="981"/>
      <c r="DV25" s="981"/>
      <c r="DW25" s="981"/>
      <c r="DX25" s="981"/>
      <c r="DY25" s="925"/>
      <c r="DZ25" s="925"/>
      <c r="EA25" s="925"/>
      <c r="EB25" s="925"/>
      <c r="EC25" s="925"/>
      <c r="ED25" s="925"/>
      <c r="EE25" s="925"/>
      <c r="EF25" s="925"/>
      <c r="EG25" s="925"/>
      <c r="EH25" s="925"/>
      <c r="EI25" s="925"/>
      <c r="EJ25" s="925"/>
      <c r="EK25" s="925"/>
      <c r="EL25" s="925"/>
      <c r="EM25" s="925"/>
      <c r="EN25" s="925"/>
    </row>
    <row r="26" spans="1:144" ht="16.350000000000001" customHeight="1">
      <c r="A26" s="462"/>
      <c r="B26" s="994">
        <v>5</v>
      </c>
      <c r="C26" s="995"/>
      <c r="D26" s="996"/>
      <c r="E26" s="997"/>
      <c r="F26" s="961"/>
      <c r="G26" s="962"/>
      <c r="H26" s="962"/>
      <c r="I26" s="962"/>
      <c r="J26" s="962"/>
      <c r="K26" s="963"/>
      <c r="L26" s="961"/>
      <c r="M26" s="962"/>
      <c r="N26" s="962"/>
      <c r="O26" s="962"/>
      <c r="P26" s="962"/>
      <c r="Q26" s="963"/>
      <c r="R26" s="1044"/>
      <c r="S26" s="1044"/>
      <c r="T26" s="1044"/>
      <c r="U26" s="1044"/>
      <c r="V26" s="1044"/>
      <c r="W26" s="1044"/>
      <c r="X26" s="1045"/>
      <c r="Y26" s="1045"/>
      <c r="Z26" s="1045"/>
      <c r="AA26" s="1045"/>
      <c r="AB26" s="1045"/>
      <c r="AC26" s="1045"/>
      <c r="AD26" s="961"/>
      <c r="AE26" s="962"/>
      <c r="AF26" s="962"/>
      <c r="AG26" s="962"/>
      <c r="AH26" s="962"/>
      <c r="AI26" s="963"/>
      <c r="AJ26" s="949"/>
      <c r="AK26" s="950"/>
      <c r="AL26" s="951"/>
      <c r="AM26" s="949"/>
      <c r="AN26" s="950"/>
      <c r="AO26" s="951"/>
      <c r="AP26" s="955"/>
      <c r="AQ26" s="956"/>
      <c r="AR26" s="957"/>
      <c r="AS26" s="955"/>
      <c r="AT26" s="956"/>
      <c r="AU26" s="957"/>
      <c r="AV26" s="968"/>
      <c r="AW26" s="969"/>
      <c r="AX26" s="970"/>
      <c r="AY26" s="968"/>
      <c r="AZ26" s="969"/>
      <c r="BA26" s="970"/>
      <c r="BB26" s="945"/>
      <c r="BC26" s="946"/>
      <c r="BD26" s="945"/>
      <c r="BE26" s="946"/>
      <c r="BF26" s="929" t="str">
        <f t="shared" ref="BF26" si="82">IF(CB26="OK",ROUND(BB26+BD26,2),"")</f>
        <v/>
      </c>
      <c r="BG26" s="930"/>
      <c r="BH26" s="971" t="str">
        <f t="shared" ref="BH26" si="83">IFERROR(IF(AND($CB26="OK",$CU26="OK"),$CI26,IF($CB26&lt;&gt;"OK",$CB26,$CU26)),"")</f>
        <v/>
      </c>
      <c r="BI26" s="972"/>
      <c r="BJ26" s="973"/>
      <c r="BK26" s="933" t="str">
        <f t="shared" ref="BK26" si="84">IF($CB26="OK",CM26,"")</f>
        <v/>
      </c>
      <c r="BL26" s="934"/>
      <c r="BM26" s="935"/>
      <c r="BN26" s="939" t="str">
        <f t="shared" ref="BN26" si="85">IF($CB26="OK",$CR26,"")</f>
        <v/>
      </c>
      <c r="BO26" s="940"/>
      <c r="BP26" s="941"/>
      <c r="BS26" s="967"/>
      <c r="BT26" s="967"/>
      <c r="BV26" s="926" t="str">
        <f t="shared" ref="BV26" si="86">IFERROR(ROUND(IF(AND(CB26="OK",CU26="OK"),CT26,""),0),"")</f>
        <v/>
      </c>
      <c r="BW26" s="926" t="str">
        <f t="shared" ref="BW26" si="87">IFERROR(ROUND(IF(AND(CB26="OK",CU26="OK"),BV26/3,""),0),"")</f>
        <v/>
      </c>
      <c r="BX26" s="926"/>
      <c r="BY26" s="927"/>
      <c r="BZ26" s="928"/>
      <c r="CB26" s="986" t="str">
        <f>IF(AND(C26="",F26="",R26="",AD26="",U26="",X26="",L26="",AJ26="",AV26="",AM26="",AP26="",AY26="",AV27="",BB26="",BD26="",AA26="",AS26=""),"",
IF(OR(C26="",F26="",R26="",AD26="",U26="",X26="",L26="",AJ26="",AV26="",AM26="",AP26="",AY26="",AV27="",BB26="",BD26="",AA26="",AS26=""),"Missing Fields",
IF(AND(M02S04F04disp="Required",M02S04F04=""),"TA Info Incomplete",
"OK")))</f>
        <v/>
      </c>
      <c r="CC26" s="925" t="str">
        <f>IF(AND(CB26="OK",CU26="OK"),INDEX(Tbl_Cust_Food[Measure Number], MATCH(F26,Tbl_Cust_Food[Proj Desc 1],0)),"")</f>
        <v/>
      </c>
      <c r="CD26" s="925"/>
      <c r="CE26" s="925" t="str">
        <f t="shared" ref="CE26" si="88">IF(CB26="OK","Measure","")</f>
        <v/>
      </c>
      <c r="CF26" s="925" t="str">
        <f t="shared" ref="CF26" si="89">IF(CB26="OK",1,"")</f>
        <v/>
      </c>
      <c r="CG26" s="978" t="str">
        <f t="shared" ref="CG26" si="90">IFERROR(CI26/CF26,"")</f>
        <v/>
      </c>
      <c r="CH26" s="978" t="str">
        <f>IF(CB26="OK",IF(CM26&gt;0,CM26*Incent_Rate_kWh,0)+IF(CO26&gt;0,CO26*Incent_Rate_thm,0),"")</f>
        <v/>
      </c>
      <c r="CI26" s="978" t="str">
        <f>IFERROR(IF($CB26="OK",IF(INCENTTOCOST_CUST&gt;CostCap_Cust,
CH26*CostCap_Cust/INCENTTOCOST_CUST,CH26),""),"")</f>
        <v/>
      </c>
      <c r="CJ26" s="977">
        <f t="shared" ref="CJ26" si="91">CM26</f>
        <v>0</v>
      </c>
      <c r="CK26" s="977">
        <f t="shared" ref="CK26" si="92">CN26</f>
        <v>0</v>
      </c>
      <c r="CL26" s="977">
        <f t="shared" ref="CL26" si="93">CO26</f>
        <v>0</v>
      </c>
      <c r="CM26" s="977">
        <f>R26-AJ26</f>
        <v>0</v>
      </c>
      <c r="CN26" s="977">
        <f>U26-AM26</f>
        <v>0</v>
      </c>
      <c r="CO26" s="977">
        <f t="shared" ref="CO26" si="94">IF(CR26&gt;0,CR26,0)</f>
        <v>0</v>
      </c>
      <c r="CP26" s="977">
        <f t="shared" ref="CP26" si="95">CM26</f>
        <v>0</v>
      </c>
      <c r="CQ26" s="977">
        <f t="shared" ref="CQ26" si="96">CN26</f>
        <v>0</v>
      </c>
      <c r="CR26" s="977">
        <f>X26-AP26</f>
        <v>0</v>
      </c>
      <c r="CS26" s="983"/>
      <c r="CT26" s="1056" t="str">
        <f>IF(CB26="OK",INDEX(Tbl_Cust_Food[EUL], MATCH(F26,Tbl_Cust_Food[Proj Desc 1],0)),"")</f>
        <v/>
      </c>
      <c r="CU26" s="979" t="str">
        <f t="shared" ref="CU26" si="97">IFERROR(IF(AND($CM26&lt;=0,$CN26&lt;=0,$CO26&lt;=0),"No Savings","OK"),"")</f>
        <v>No Savings</v>
      </c>
      <c r="CV26" s="925" t="str">
        <f t="shared" ref="CV26" si="98">IF(AND(CB26="OK",CU26="OK"),"1","")</f>
        <v/>
      </c>
      <c r="CW26" s="925" t="str">
        <f>IFERROR(IF($CB26="OK",ROUND($AQ$14*SUM(BB26:BE27)/SUM($BF$18:$BG$37),2),""),"")</f>
        <v/>
      </c>
      <c r="CX26" s="925" t="str">
        <f>IFERROR(IF(M02S04F04="Customer/Self-Installed",CW26,IF($CB26="OK",CW26+BD26,"")),"")</f>
        <v/>
      </c>
      <c r="CY26" s="925" t="str">
        <f>IFERROR(IF($CB26="OK",CX26+BB26,""),"")</f>
        <v/>
      </c>
      <c r="CZ26" s="925" t="str">
        <f>IF(CB26="OK",INDEX(MEASURES3_M!$O$36, MATCH(F26,MEASURES3_M!$C$36,0)),"")</f>
        <v/>
      </c>
      <c r="DA26" s="925" t="str">
        <f>IF(CB26="OK",INDEX(MEASURES3_M!$P$36, MATCH(F26,MEASURES3_M!$C$36,0)),"")</f>
        <v/>
      </c>
      <c r="DD26" s="980" t="str">
        <f>IFERROR(IF(CB26&lt;&gt;"OK","",CM26*VLOOKUP('DATA TABLES_Project'!$C$247,'DATA TABLES_Project'!$A$250:$B$285,2,FALSE)),"")</f>
        <v/>
      </c>
      <c r="DE26" s="925" t="str">
        <f t="shared" ref="DE26" si="99">IFERROR(IF(CB26&lt;&gt;"OK","",CM26*CZ26*0.92),"")</f>
        <v/>
      </c>
      <c r="DF26" s="980" t="str">
        <f>IFERROR(IF(CB26&lt;&gt;"OK","",CM26*CZ26*0.92*VLOOKUP('DATA TABLES_Project'!$C$247,'DATA TABLES_Project'!$A$250:$B$285,2,FALSE)),"")</f>
        <v/>
      </c>
      <c r="DG26" s="925" t="str">
        <f t="shared" ref="DG26" si="100">IFERROR(IF(CB26&lt;&gt;"OK","",CM26*BV26),IF(BX26="Dual",(CM26*BW26)+((BY26-AJ26)*(BV26-BW26)),""))</f>
        <v/>
      </c>
      <c r="DH26" s="925" t="str">
        <f ca="1">IFERROR(IF(CB26&lt;&gt;"OK","",IF(OR(BX26="Single",BX26=""), CM26*BV26*AVERAGE(INDEX('DATA TABLES_Project'!$B$250:$B$285, MATCH('DATA TABLES_Project'!$C$247,'DATA TABLES_Project'!$A$250:$A$285, 0)):OFFSET(INDEX('DATA TABLES_Project'!$B$250:$B$285, MATCH('DATA TABLES_Project'!$C$247,'DATA TABLES_Project'!$A$250:$A$285, 0)),BV26-1,0)),CM26*BW26*AVERAGE(INDEX('DATA TABLES_Project'!$B$250:$B$285, MATCH('DATA TABLES_Project'!$C$247,'DATA TABLES_Project'!$A$250:$A$285, 0)):OFFSET(INDEX('DATA TABLES_Project'!$B$250:$B$285, MATCH('DATA TABLES_Project'!$C$247,'DATA TABLES_Project'!$A$250:$A$285, 0)),BW26-1,0)) + ((BY26-AJ26)*(BV26-BW26)*AVERAGE(OFFSET(INDEX('DATA TABLES_Project'!$B$250:$B$285, MATCH('DATA TABLES_Project'!$C$247,'DATA TABLES_Project'!$A$250:$A$285, 0)),BW26,0):OFFSET(INDEX('DATA TABLES_Project'!$B$250:$B$285, MATCH('DATA TABLES_Project'!$C$247,'DATA TABLES_Project'!$A$250:$A$285, 0)),BV26-1,0))))), "")</f>
        <v/>
      </c>
      <c r="DI26" s="925" t="str">
        <f t="shared" ref="DI26" si="101">IFERROR(IF(CB26&lt;&gt;"OK","",IF(BX26="Dual",(CM26*BW26)+((BY26-AJ26)*(BV26-BW26))*CZ26*0.92,CM26*CZ26*BV26*0.92)),"")</f>
        <v/>
      </c>
      <c r="DJ26" s="925" t="str">
        <f ca="1">IFERROR(IF(CB26&lt;&gt;"OK","",IF(OR(BX26="Single",BX26=""),0.92*CZ26*CM26*BV26*AVERAGE(INDEX('DATA TABLES_Project'!$B$250:$B$285, MATCH('DATA TABLES_Project'!$C$247,'DATA TABLES_Project'!$A$250:$A$285, 0)):OFFSET(INDEX('DATA TABLES_Project'!$B$250:$B$285, MATCH('DATA TABLES_Project'!$C$247,'DATA TABLES_Project'!$A$250:$A$285, 0)),BV26-1,0)),0.92*CZ26*CM26*BW26*AVERAGE(INDEX('DATA TABLES_Project'!$B$250:$B$285, MATCH('DATA TABLES_Project'!$C$247,'DATA TABLES_Project'!$A$250:$A$285, 0)):OFFSET(INDEX('DATA TABLES_Project'!$B$250:$B$285, MATCH('DATA TABLES_Project'!$C$247,'DATA TABLES_Project'!$A$250:$A$285, 0)),BW26-1,0)) + (0.92*CZ26*(BY26-AJ26)*(BV26-BW26)*AVERAGE(OFFSET(INDEX('DATA TABLES_Project'!$B$250:$B$285, MATCH('DATA TABLES_Project'!$C$247,'DATA TABLES_Project'!$A$250:$A$285, 0)),BW26,0):OFFSET(INDEX('DATA TABLES_Project'!$B$250:$B$285, MATCH('DATA TABLES_Project'!$C$247,'DATA TABLES_Project'!$A$250:$A$285, 0)),BV26-1,0))))), "")</f>
        <v/>
      </c>
      <c r="DK26" s="925" t="str">
        <f>IFERROR(IF(CB26&lt;&gt;"OK","",CO26*'DATA TABLES_Project'!$C$250),"")</f>
        <v/>
      </c>
      <c r="DL26" s="925" t="str">
        <f t="shared" ref="DL26" si="102">IFERROR(IF(CB26&lt;&gt;"OK","",CO26*DA26*0.92),"")</f>
        <v/>
      </c>
      <c r="DM26" s="925" t="str">
        <f>IFERROR(IF(CB26&lt;&gt;"OK","",CO26*'DATA TABLES_Project'!$C$250*DA26*0.92),"")</f>
        <v/>
      </c>
      <c r="DN26" s="925" t="str">
        <f t="shared" ref="DN26" si="103">IFERROR(IF(CB26&lt;&gt;"OK","",CO26*BV26),IF(BX26="Dual",(CO26*BW26)+((BZ26-AP26)*(BV26-BW26)),""))</f>
        <v/>
      </c>
      <c r="DO26" s="925" t="str">
        <f ca="1">IFERROR(IF(CB26&lt;&gt;"OK","",CO26*BV26*AVERAGE('DATA TABLES_Project'!$C$250:OFFSET('DATA TABLES_Project'!$C$250,BV26,0))),IF(BX26="Dual",(CO26*BW26*AVERAGE('DATA TABLES_Project'!$C$251:$C$259))+((BZ26-AP26)*(BV26-BW26)*AVERAGE('DATA TABLES_Project'!$C$260:$C$279)),""))</f>
        <v/>
      </c>
      <c r="DP26" s="925" t="str">
        <f t="shared" ref="DP26" si="104">IFERROR(IF(CB26&lt;&gt;"OK","",IF(BX26="Dual",((CO26*BW26)+(BZ26-AP26)*(BV26-BW26))*DA26*0.92,CO26*BV26*DA26*0.92)),"")</f>
        <v/>
      </c>
      <c r="DQ26" s="925" t="str">
        <f ca="1">IFERROR(IF(CB26&lt;&gt;"OK","",IF(BX26="Dual",(0.92*DA26*CO26*BW26*AVERAGE('DATA TABLES_Project'!$C$251:$C$259))+(0.92*DA26*(BZ26-AP26)*(BV26-BW26)*AVERAGE('DATA TABLES_Project'!$C$260:$C$279)),0.92*DA26*CO26*BV26*AVERAGE('DATA TABLES_Project'!$C$250:OFFSET('DATA TABLES_Project'!$C$250,BV26,0)))),"")</f>
        <v/>
      </c>
      <c r="DR26" s="980" t="str">
        <f>IFERROR(IF($CB26&lt;&gt;"OK","",CM26*'DATA TABLES_Project'!$B$290+IF(CO26&lt;0,0,CO26*'DATA TABLES_Project'!$B$291)),"")</f>
        <v/>
      </c>
      <c r="DS26" s="980" t="str">
        <f>IFERROR(IF($CB26&lt;&gt;"OK","",DD26*'DATA TABLES_Project'!$B$290+IF(DK26&lt;0,0,DK26*'DATA TABLES_Project'!$B$291)),"")</f>
        <v/>
      </c>
      <c r="DT26" s="980" t="str">
        <f>IFERROR(IF($CB26&lt;&gt;"OK","",DE26*'DATA TABLES_Project'!$B$290+IF(DL26&lt;0,0,DL26*'DATA TABLES_Project'!$B$291)),"")</f>
        <v/>
      </c>
      <c r="DU26" s="980" t="str">
        <f>IFERROR(IF($CB26&lt;&gt;"OK","",DF26*'DATA TABLES_Project'!$B$290+IF(DM26&lt;0,0,DM26*'DATA TABLES_Project'!$B$291)),"")</f>
        <v/>
      </c>
      <c r="DV26" s="980" t="str">
        <f>IFERROR(IF($CB26&lt;&gt;"OK","",DG26*'DATA TABLES_Project'!$B$290+IF(DN26&lt;0,0,DN26*'DATA TABLES_Project'!$B$291)),"")</f>
        <v/>
      </c>
      <c r="DW26" s="980" t="str">
        <f>IFERROR(IF($CB26&lt;&gt;"OK","",DH26*'DATA TABLES_Project'!$B$290+IF(DO26&lt;0,0,DO26*'DATA TABLES_Project'!$B$291)),"")</f>
        <v/>
      </c>
      <c r="DX26" s="980" t="str">
        <f>IFERROR(IF($CB26&lt;&gt;"OK","",DI26*'DATA TABLES_Project'!$B$290+IF(DP26&lt;0,0,DP26*'DATA TABLES_Project'!$B$291)),"")</f>
        <v/>
      </c>
      <c r="DY26" s="925" t="str">
        <f>IFERROR(IF($CB26&lt;&gt;"OK","",DJ26*'DATA TABLES_Project'!$B$290+IF(DQ26&lt;0,0,DQ26*'DATA TABLES_Project'!$B$291)),"")</f>
        <v/>
      </c>
      <c r="DZ26" s="925" t="str">
        <f t="shared" ref="DZ26" si="105">IFERROR(IF($CB26&lt;&gt;"OK","",AS26),"")</f>
        <v/>
      </c>
      <c r="EA26" s="925" t="str">
        <f>IFERROR(IF(CB26&lt;&gt;"OK","",CN26*'DATA TABLES_Project'!$B$250*CZ26*1.03),"")</f>
        <v/>
      </c>
      <c r="EB26" s="925" t="str">
        <f t="shared" ref="EB26" si="106">IFERROR(IF(CB26&lt;&gt;"OK","",CN26*CZ26*1.03),"")</f>
        <v/>
      </c>
      <c r="EC26" s="925" t="str">
        <f>IFERROR(IF(CB26&lt;&gt;"OK","",CZ26*DZ26*'DATA TABLES_Project'!$C$250*0.92),"")</f>
        <v/>
      </c>
      <c r="ED26" s="925" t="str">
        <f>IFERROR(IF(CB26&lt;&gt;"OK","",CZ26*DZ26*'DATA TABLES_Project'!$C$250*0.92),"")</f>
        <v/>
      </c>
      <c r="EE26" s="925" t="str">
        <f t="shared" ref="EE26" si="107">IFERROR(IF(CB26&lt;&gt;"OK","",CZ26*DZ26*0.92),"")</f>
        <v/>
      </c>
      <c r="EF26" s="925" t="str">
        <f t="shared" ref="EF26" si="108">IFERROR(IF(CB26&lt;&gt;"OK","",CZ26*DZ26*0.92),"")</f>
        <v/>
      </c>
      <c r="EG26" s="925" t="str">
        <f>IFERROR(IF($CB26&lt;&gt;"OK","",CM26*'DATA TABLES_Project'!$B$290+CO26*'DATA TABLES_Project'!$B$291),"")</f>
        <v/>
      </c>
      <c r="EH26" s="925" t="str">
        <f>IFERROR(IF($CB26&lt;&gt;"OK","",DD26*'DATA TABLES_Project'!$B$290+DK26*'DATA TABLES_Project'!$B$291),"")</f>
        <v/>
      </c>
      <c r="EI26" s="925" t="str">
        <f>IFERROR(IF($CB26&lt;&gt;"OK","",DE26*'DATA TABLES_Project'!$B$290+DL26*'DATA TABLES_Project'!$B$291),"")</f>
        <v/>
      </c>
      <c r="EJ26" s="925" t="str">
        <f>IFERROR(IF($CB26&lt;&gt;"OK","",DF26*'DATA TABLES_Project'!$B$290+DM26*'DATA TABLES_Project'!$B$291),"")</f>
        <v/>
      </c>
      <c r="EK26" s="925" t="str">
        <f>IFERROR(IF($CB26&lt;&gt;"OK","",DG26*'DATA TABLES_Project'!$B$290+DN26*'DATA TABLES_Project'!$B$291),"")</f>
        <v/>
      </c>
      <c r="EL26" s="925" t="str">
        <f>IFERROR(IF($CB26&lt;&gt;"OK","",DH26*'DATA TABLES_Project'!$B$290+DO26*'DATA TABLES_Project'!$B$291),"")</f>
        <v/>
      </c>
      <c r="EM26" s="925" t="str">
        <f>IFERROR(IF($CB26&lt;&gt;"OK","",DI26*'DATA TABLES_Project'!$B$290+DP26*'DATA TABLES_Project'!$B$291),"")</f>
        <v/>
      </c>
      <c r="EN26" s="925" t="str">
        <f>IFERROR(IF($CB26&lt;&gt;"OK","",DJ26*'DATA TABLES_Project'!$B$290+DQ26*'DATA TABLES_Project'!$B$291),"")</f>
        <v/>
      </c>
    </row>
    <row r="27" spans="1:144" ht="16.350000000000001" customHeight="1">
      <c r="A27" s="462"/>
      <c r="B27" s="994"/>
      <c r="C27" s="998"/>
      <c r="D27" s="999"/>
      <c r="E27" s="1000"/>
      <c r="F27" s="964"/>
      <c r="G27" s="965"/>
      <c r="H27" s="965"/>
      <c r="I27" s="965"/>
      <c r="J27" s="965"/>
      <c r="K27" s="966"/>
      <c r="L27" s="964"/>
      <c r="M27" s="965"/>
      <c r="N27" s="965"/>
      <c r="O27" s="965"/>
      <c r="P27" s="965"/>
      <c r="Q27" s="966"/>
      <c r="R27" s="1044"/>
      <c r="S27" s="1044"/>
      <c r="T27" s="1044"/>
      <c r="U27" s="1044"/>
      <c r="V27" s="1044"/>
      <c r="W27" s="1044"/>
      <c r="X27" s="1045"/>
      <c r="Y27" s="1045"/>
      <c r="Z27" s="1045"/>
      <c r="AA27" s="1045"/>
      <c r="AB27" s="1045"/>
      <c r="AC27" s="1045"/>
      <c r="AD27" s="964"/>
      <c r="AE27" s="965"/>
      <c r="AF27" s="965"/>
      <c r="AG27" s="965"/>
      <c r="AH27" s="965"/>
      <c r="AI27" s="966"/>
      <c r="AJ27" s="952"/>
      <c r="AK27" s="953"/>
      <c r="AL27" s="954"/>
      <c r="AM27" s="952"/>
      <c r="AN27" s="953"/>
      <c r="AO27" s="954"/>
      <c r="AP27" s="958"/>
      <c r="AQ27" s="959"/>
      <c r="AR27" s="960"/>
      <c r="AS27" s="958"/>
      <c r="AT27" s="959"/>
      <c r="AU27" s="960"/>
      <c r="AV27" s="968"/>
      <c r="AW27" s="969"/>
      <c r="AX27" s="969"/>
      <c r="AY27" s="969"/>
      <c r="AZ27" s="969"/>
      <c r="BA27" s="970"/>
      <c r="BB27" s="947"/>
      <c r="BC27" s="948"/>
      <c r="BD27" s="947"/>
      <c r="BE27" s="948"/>
      <c r="BF27" s="931"/>
      <c r="BG27" s="932"/>
      <c r="BH27" s="974"/>
      <c r="BI27" s="975"/>
      <c r="BJ27" s="976"/>
      <c r="BK27" s="936"/>
      <c r="BL27" s="937"/>
      <c r="BM27" s="938"/>
      <c r="BN27" s="942"/>
      <c r="BO27" s="943"/>
      <c r="BP27" s="944"/>
      <c r="BS27" s="967"/>
      <c r="BT27" s="967"/>
      <c r="BV27" s="926"/>
      <c r="BW27" s="926"/>
      <c r="BX27" s="926"/>
      <c r="BY27" s="927"/>
      <c r="BZ27" s="928"/>
      <c r="CB27" s="986"/>
      <c r="CC27" s="925"/>
      <c r="CD27" s="925"/>
      <c r="CE27" s="925"/>
      <c r="CF27" s="925"/>
      <c r="CG27" s="925"/>
      <c r="CH27" s="925"/>
      <c r="CI27" s="925"/>
      <c r="CJ27" s="977"/>
      <c r="CK27" s="977"/>
      <c r="CL27" s="977"/>
      <c r="CM27" s="977"/>
      <c r="CN27" s="977"/>
      <c r="CO27" s="977"/>
      <c r="CP27" s="977"/>
      <c r="CQ27" s="977"/>
      <c r="CR27" s="977"/>
      <c r="CS27" s="983"/>
      <c r="CT27" s="1056"/>
      <c r="CU27" s="979"/>
      <c r="CV27" s="925"/>
      <c r="CW27" s="925"/>
      <c r="CX27" s="925"/>
      <c r="CY27" s="925"/>
      <c r="CZ27" s="925"/>
      <c r="DA27" s="925"/>
      <c r="DD27" s="981"/>
      <c r="DE27" s="925"/>
      <c r="DF27" s="981"/>
      <c r="DG27" s="925"/>
      <c r="DH27" s="925"/>
      <c r="DI27" s="925"/>
      <c r="DJ27" s="925"/>
      <c r="DK27" s="925"/>
      <c r="DL27" s="925"/>
      <c r="DM27" s="925"/>
      <c r="DN27" s="925"/>
      <c r="DO27" s="925"/>
      <c r="DP27" s="925"/>
      <c r="DQ27" s="925"/>
      <c r="DR27" s="981"/>
      <c r="DS27" s="981"/>
      <c r="DT27" s="981"/>
      <c r="DU27" s="981"/>
      <c r="DV27" s="981"/>
      <c r="DW27" s="981"/>
      <c r="DX27" s="981"/>
      <c r="DY27" s="925"/>
      <c r="DZ27" s="925"/>
      <c r="EA27" s="925"/>
      <c r="EB27" s="925"/>
      <c r="EC27" s="925"/>
      <c r="ED27" s="925"/>
      <c r="EE27" s="925"/>
      <c r="EF27" s="925"/>
      <c r="EG27" s="925"/>
      <c r="EH27" s="925"/>
      <c r="EI27" s="925"/>
      <c r="EJ27" s="925"/>
      <c r="EK27" s="925"/>
      <c r="EL27" s="925"/>
      <c r="EM27" s="925"/>
      <c r="EN27" s="925"/>
    </row>
    <row r="28" spans="1:144" ht="16.350000000000001" customHeight="1">
      <c r="A28" s="462"/>
      <c r="B28" s="994">
        <v>6</v>
      </c>
      <c r="C28" s="995"/>
      <c r="D28" s="996"/>
      <c r="E28" s="997"/>
      <c r="F28" s="961"/>
      <c r="G28" s="962"/>
      <c r="H28" s="962"/>
      <c r="I28" s="962"/>
      <c r="J28" s="962"/>
      <c r="K28" s="963"/>
      <c r="L28" s="961"/>
      <c r="M28" s="962"/>
      <c r="N28" s="962"/>
      <c r="O28" s="962"/>
      <c r="P28" s="962"/>
      <c r="Q28" s="963"/>
      <c r="R28" s="1044"/>
      <c r="S28" s="1044"/>
      <c r="T28" s="1044"/>
      <c r="U28" s="1044"/>
      <c r="V28" s="1044"/>
      <c r="W28" s="1044"/>
      <c r="X28" s="1045"/>
      <c r="Y28" s="1045"/>
      <c r="Z28" s="1045"/>
      <c r="AA28" s="1045"/>
      <c r="AB28" s="1045"/>
      <c r="AC28" s="1045"/>
      <c r="AD28" s="961"/>
      <c r="AE28" s="962"/>
      <c r="AF28" s="962"/>
      <c r="AG28" s="962"/>
      <c r="AH28" s="962"/>
      <c r="AI28" s="963"/>
      <c r="AJ28" s="949"/>
      <c r="AK28" s="950"/>
      <c r="AL28" s="951"/>
      <c r="AM28" s="949"/>
      <c r="AN28" s="950"/>
      <c r="AO28" s="951"/>
      <c r="AP28" s="955"/>
      <c r="AQ28" s="956"/>
      <c r="AR28" s="957"/>
      <c r="AS28" s="955"/>
      <c r="AT28" s="956"/>
      <c r="AU28" s="957"/>
      <c r="AV28" s="968"/>
      <c r="AW28" s="969"/>
      <c r="AX28" s="970"/>
      <c r="AY28" s="968"/>
      <c r="AZ28" s="969"/>
      <c r="BA28" s="970"/>
      <c r="BB28" s="945"/>
      <c r="BC28" s="946"/>
      <c r="BD28" s="945"/>
      <c r="BE28" s="946"/>
      <c r="BF28" s="929" t="str">
        <f t="shared" ref="BF28" si="109">IF(CB28="OK",ROUND(BB28+BD28,2),"")</f>
        <v/>
      </c>
      <c r="BG28" s="930"/>
      <c r="BH28" s="971" t="str">
        <f t="shared" ref="BH28" si="110">IFERROR(IF(AND($CB28="OK",$CU28="OK"),$CI28,IF($CB28&lt;&gt;"OK",$CB28,$CU28)),"")</f>
        <v/>
      </c>
      <c r="BI28" s="972"/>
      <c r="BJ28" s="973"/>
      <c r="BK28" s="933" t="str">
        <f t="shared" ref="BK28" si="111">IF($CB28="OK",CM28,"")</f>
        <v/>
      </c>
      <c r="BL28" s="934"/>
      <c r="BM28" s="935"/>
      <c r="BN28" s="939" t="str">
        <f t="shared" ref="BN28" si="112">IF($CB28="OK",$CR28,"")</f>
        <v/>
      </c>
      <c r="BO28" s="940"/>
      <c r="BP28" s="941"/>
      <c r="BS28" s="967"/>
      <c r="BT28" s="967"/>
      <c r="BV28" s="926" t="str">
        <f t="shared" ref="BV28" si="113">IFERROR(ROUND(IF(AND(CB28="OK",CU28="OK"),CT28,""),0),"")</f>
        <v/>
      </c>
      <c r="BW28" s="926" t="str">
        <f t="shared" ref="BW28" si="114">IFERROR(ROUND(IF(AND(CB28="OK",CU28="OK"),BV28/3,""),0),"")</f>
        <v/>
      </c>
      <c r="BX28" s="926"/>
      <c r="BY28" s="927"/>
      <c r="BZ28" s="928"/>
      <c r="CB28" s="986" t="str">
        <f>IF(AND(C28="",F28="",R28="",AD28="",U28="",X28="",L28="",AJ28="",AV28="",AM28="",AP28="",AY28="",AV29="",BB28="",BD28="",AA28="",AS28=""),"",
IF(OR(C28="",F28="",R28="",AD28="",U28="",X28="",L28="",AJ28="",AV28="",AM28="",AP28="",AY28="",AV29="",BB28="",BD28="",AA28="",AS28=""),"Missing Fields",
IF(AND(M02S04F04disp="Required",M02S04F04=""),"TA Info Incomplete",
"OK")))</f>
        <v/>
      </c>
      <c r="CC28" s="925" t="str">
        <f>IF(AND(CB28="OK",CU28="OK"),INDEX(Tbl_Cust_Food[Measure Number], MATCH(F28,Tbl_Cust_Food[Proj Desc 1],0)),"")</f>
        <v/>
      </c>
      <c r="CD28" s="925"/>
      <c r="CE28" s="925" t="str">
        <f t="shared" ref="CE28" si="115">IF(CB28="OK","Measure","")</f>
        <v/>
      </c>
      <c r="CF28" s="925" t="str">
        <f t="shared" ref="CF28" si="116">IF(CB28="OK",1,"")</f>
        <v/>
      </c>
      <c r="CG28" s="978" t="str">
        <f t="shared" ref="CG28" si="117">IFERROR(CI28/CF28,"")</f>
        <v/>
      </c>
      <c r="CH28" s="978" t="str">
        <f>IF(CB28="OK",IF(CM28&gt;0,CM28*Incent_Rate_kWh,0)+IF(CO28&gt;0,CO28*Incent_Rate_thm,0),"")</f>
        <v/>
      </c>
      <c r="CI28" s="978" t="str">
        <f>IFERROR(IF($CB28="OK",IF(INCENTTOCOST_CUST&gt;CostCap_Cust,
CH28*CostCap_Cust/INCENTTOCOST_CUST,CH28),""),"")</f>
        <v/>
      </c>
      <c r="CJ28" s="977">
        <f t="shared" ref="CJ28" si="118">CM28</f>
        <v>0</v>
      </c>
      <c r="CK28" s="977">
        <f t="shared" ref="CK28" si="119">CN28</f>
        <v>0</v>
      </c>
      <c r="CL28" s="977">
        <f t="shared" ref="CL28" si="120">CO28</f>
        <v>0</v>
      </c>
      <c r="CM28" s="977">
        <f>R28-AJ28</f>
        <v>0</v>
      </c>
      <c r="CN28" s="977">
        <f>U28-AM28</f>
        <v>0</v>
      </c>
      <c r="CO28" s="977">
        <f t="shared" ref="CO28" si="121">IF(CR28&gt;0,CR28,0)</f>
        <v>0</v>
      </c>
      <c r="CP28" s="977">
        <f t="shared" ref="CP28" si="122">CM28</f>
        <v>0</v>
      </c>
      <c r="CQ28" s="977">
        <f t="shared" ref="CQ28" si="123">CN28</f>
        <v>0</v>
      </c>
      <c r="CR28" s="977">
        <f>X28-AP28</f>
        <v>0</v>
      </c>
      <c r="CS28" s="983"/>
      <c r="CT28" s="1056" t="str">
        <f>IF(CB28="OK",INDEX(Tbl_Cust_Food[EUL], MATCH(F28,Tbl_Cust_Food[Proj Desc 1],0)),"")</f>
        <v/>
      </c>
      <c r="CU28" s="979" t="str">
        <f t="shared" ref="CU28" si="124">IFERROR(IF(AND($CM28&lt;=0,$CN28&lt;=0,$CO28&lt;=0),"No Savings","OK"),"")</f>
        <v>No Savings</v>
      </c>
      <c r="CV28" s="925" t="str">
        <f t="shared" ref="CV28" si="125">IF(AND(CB28="OK",CU28="OK"),"1","")</f>
        <v/>
      </c>
      <c r="CW28" s="925" t="str">
        <f>IFERROR(IF($CB28="OK",ROUND($AQ$14*SUM(BB28:BE29)/SUM($BF$18:$BG$37),2),""),"")</f>
        <v/>
      </c>
      <c r="CX28" s="925" t="str">
        <f>IFERROR(IF(M02S04F04="Customer/Self-Installed",CW28,IF($CB28="OK",CW28+BD28,"")),"")</f>
        <v/>
      </c>
      <c r="CY28" s="925" t="str">
        <f>IFERROR(IF($CB28="OK",CX28+BB28,""),"")</f>
        <v/>
      </c>
      <c r="CZ28" s="925" t="str">
        <f>IF(CB28="OK",INDEX(MEASURES3_M!$O$36, MATCH(F28,MEASURES3_M!$C$36,0)),"")</f>
        <v/>
      </c>
      <c r="DA28" s="925" t="str">
        <f>IF(CB28="OK",INDEX(MEASURES3_M!$P$36, MATCH(F28,MEASURES3_M!$C$36,0)),"")</f>
        <v/>
      </c>
      <c r="DD28" s="980" t="str">
        <f>IFERROR(IF(CB28&lt;&gt;"OK","",CM28*VLOOKUP('DATA TABLES_Project'!$C$247,'DATA TABLES_Project'!$A$250:$B$285,2,FALSE)),"")</f>
        <v/>
      </c>
      <c r="DE28" s="925" t="str">
        <f t="shared" ref="DE28" si="126">IFERROR(IF(CB28&lt;&gt;"OK","",CM28*CZ28*0.92),"")</f>
        <v/>
      </c>
      <c r="DF28" s="980" t="str">
        <f>IFERROR(IF(CB28&lt;&gt;"OK","",CM28*CZ28*0.92*VLOOKUP('DATA TABLES_Project'!$C$247,'DATA TABLES_Project'!$A$250:$B$285,2,FALSE)),"")</f>
        <v/>
      </c>
      <c r="DG28" s="925" t="str">
        <f t="shared" ref="DG28" si="127">IFERROR(IF(CB28&lt;&gt;"OK","",CM28*BV28),IF(BX28="Dual",(CM28*BW28)+((BY28-AJ28)*(BV28-BW28)),""))</f>
        <v/>
      </c>
      <c r="DH28" s="925" t="str">
        <f ca="1">IFERROR(IF(CB28&lt;&gt;"OK","",IF(OR(BX28="Single",BX28=""), CM28*BV28*AVERAGE(INDEX('DATA TABLES_Project'!$B$250:$B$285, MATCH('DATA TABLES_Project'!$C$247,'DATA TABLES_Project'!$A$250:$A$285, 0)):OFFSET(INDEX('DATA TABLES_Project'!$B$250:$B$285, MATCH('DATA TABLES_Project'!$C$247,'DATA TABLES_Project'!$A$250:$A$285, 0)),BV28-1,0)),CM28*BW28*AVERAGE(INDEX('DATA TABLES_Project'!$B$250:$B$285, MATCH('DATA TABLES_Project'!$C$247,'DATA TABLES_Project'!$A$250:$A$285, 0)):OFFSET(INDEX('DATA TABLES_Project'!$B$250:$B$285, MATCH('DATA TABLES_Project'!$C$247,'DATA TABLES_Project'!$A$250:$A$285, 0)),BW28-1,0)) + ((BY28-AJ28)*(BV28-BW28)*AVERAGE(OFFSET(INDEX('DATA TABLES_Project'!$B$250:$B$285, MATCH('DATA TABLES_Project'!$C$247,'DATA TABLES_Project'!$A$250:$A$285, 0)),BW28,0):OFFSET(INDEX('DATA TABLES_Project'!$B$250:$B$285, MATCH('DATA TABLES_Project'!$C$247,'DATA TABLES_Project'!$A$250:$A$285, 0)),BV28-1,0))))), "")</f>
        <v/>
      </c>
      <c r="DI28" s="925" t="str">
        <f t="shared" ref="DI28" si="128">IFERROR(IF(CB28&lt;&gt;"OK","",IF(BX28="Dual",(CM28*BW28)+((BY28-AJ28)*(BV28-BW28))*CZ28*0.92,CM28*CZ28*BV28*0.92)),"")</f>
        <v/>
      </c>
      <c r="DJ28" s="925" t="str">
        <f ca="1">IFERROR(IF(CB28&lt;&gt;"OK","",IF(OR(BX28="Single",BX28=""),0.92*CZ28*CM28*BV28*AVERAGE(INDEX('DATA TABLES_Project'!$B$250:$B$285, MATCH('DATA TABLES_Project'!$C$247,'DATA TABLES_Project'!$A$250:$A$285, 0)):OFFSET(INDEX('DATA TABLES_Project'!$B$250:$B$285, MATCH('DATA TABLES_Project'!$C$247,'DATA TABLES_Project'!$A$250:$A$285, 0)),BV28-1,0)),0.92*CZ28*CM28*BW28*AVERAGE(INDEX('DATA TABLES_Project'!$B$250:$B$285, MATCH('DATA TABLES_Project'!$C$247,'DATA TABLES_Project'!$A$250:$A$285, 0)):OFFSET(INDEX('DATA TABLES_Project'!$B$250:$B$285, MATCH('DATA TABLES_Project'!$C$247,'DATA TABLES_Project'!$A$250:$A$285, 0)),BW28-1,0)) + (0.92*CZ28*(BY28-AJ28)*(BV28-BW28)*AVERAGE(OFFSET(INDEX('DATA TABLES_Project'!$B$250:$B$285, MATCH('DATA TABLES_Project'!$C$247,'DATA TABLES_Project'!$A$250:$A$285, 0)),BW28,0):OFFSET(INDEX('DATA TABLES_Project'!$B$250:$B$285, MATCH('DATA TABLES_Project'!$C$247,'DATA TABLES_Project'!$A$250:$A$285, 0)),BV28-1,0))))), "")</f>
        <v/>
      </c>
      <c r="DK28" s="925" t="str">
        <f>IFERROR(IF(CB28&lt;&gt;"OK","",CO28*'DATA TABLES_Project'!$C$250),"")</f>
        <v/>
      </c>
      <c r="DL28" s="925" t="str">
        <f t="shared" ref="DL28" si="129">IFERROR(IF(CB28&lt;&gt;"OK","",CO28*DA28*0.92),"")</f>
        <v/>
      </c>
      <c r="DM28" s="925" t="str">
        <f>IFERROR(IF(CB28&lt;&gt;"OK","",CO28*'DATA TABLES_Project'!$C$250*DA28*0.92),"")</f>
        <v/>
      </c>
      <c r="DN28" s="925" t="str">
        <f t="shared" ref="DN28" si="130">IFERROR(IF(CB28&lt;&gt;"OK","",CO28*BV28),IF(BX28="Dual",(CO28*BW28)+((BZ28-AP28)*(BV28-BW28)),""))</f>
        <v/>
      </c>
      <c r="DO28" s="925" t="str">
        <f ca="1">IFERROR(IF(CB28&lt;&gt;"OK","",CO28*BV28*AVERAGE('DATA TABLES_Project'!$C$250:OFFSET('DATA TABLES_Project'!$C$250,BV28,0))),IF(BX28="Dual",(CO28*BW28*AVERAGE('DATA TABLES_Project'!$C$251:$C$259))+((BZ28-AP28)*(BV28-BW28)*AVERAGE('DATA TABLES_Project'!$C$260:$C$279)),""))</f>
        <v/>
      </c>
      <c r="DP28" s="925" t="str">
        <f t="shared" ref="DP28" si="131">IFERROR(IF(CB28&lt;&gt;"OK","",IF(BX28="Dual",((CO28*BW28)+(BZ28-AP28)*(BV28-BW28))*DA28*0.92,CO28*BV28*DA28*0.92)),"")</f>
        <v/>
      </c>
      <c r="DQ28" s="925" t="str">
        <f ca="1">IFERROR(IF(CB28&lt;&gt;"OK","",IF(BX28="Dual",(0.92*DA28*CO28*BW28*AVERAGE('DATA TABLES_Project'!$C$251:$C$259))+(0.92*DA28*(BZ28-AP28)*(BV28-BW28)*AVERAGE('DATA TABLES_Project'!$C$260:$C$279)),0.92*DA28*CO28*BV28*AVERAGE('DATA TABLES_Project'!$C$250:OFFSET('DATA TABLES_Project'!$C$250,BV28,0)))),"")</f>
        <v/>
      </c>
      <c r="DR28" s="980" t="str">
        <f>IFERROR(IF($CB28&lt;&gt;"OK","",CM28*'DATA TABLES_Project'!$B$290+IF(CO28&lt;0,0,CO28*'DATA TABLES_Project'!$B$291)),"")</f>
        <v/>
      </c>
      <c r="DS28" s="980" t="str">
        <f>IFERROR(IF($CB28&lt;&gt;"OK","",DD28*'DATA TABLES_Project'!$B$290+IF(DK28&lt;0,0,DK28*'DATA TABLES_Project'!$B$291)),"")</f>
        <v/>
      </c>
      <c r="DT28" s="980" t="str">
        <f>IFERROR(IF($CB28&lt;&gt;"OK","",DE28*'DATA TABLES_Project'!$B$290+IF(DL28&lt;0,0,DL28*'DATA TABLES_Project'!$B$291)),"")</f>
        <v/>
      </c>
      <c r="DU28" s="980" t="str">
        <f>IFERROR(IF($CB28&lt;&gt;"OK","",DF28*'DATA TABLES_Project'!$B$290+IF(DM28&lt;0,0,DM28*'DATA TABLES_Project'!$B$291)),"")</f>
        <v/>
      </c>
      <c r="DV28" s="980" t="str">
        <f>IFERROR(IF($CB28&lt;&gt;"OK","",DG28*'DATA TABLES_Project'!$B$290+IF(DN28&lt;0,0,DN28*'DATA TABLES_Project'!$B$291)),"")</f>
        <v/>
      </c>
      <c r="DW28" s="980" t="str">
        <f>IFERROR(IF($CB28&lt;&gt;"OK","",DH28*'DATA TABLES_Project'!$B$290+IF(DO28&lt;0,0,DO28*'DATA TABLES_Project'!$B$291)),"")</f>
        <v/>
      </c>
      <c r="DX28" s="980" t="str">
        <f>IFERROR(IF($CB28&lt;&gt;"OK","",DI28*'DATA TABLES_Project'!$B$290+IF(DP28&lt;0,0,DP28*'DATA TABLES_Project'!$B$291)),"")</f>
        <v/>
      </c>
      <c r="DY28" s="925" t="str">
        <f>IFERROR(IF($CB28&lt;&gt;"OK","",DJ28*'DATA TABLES_Project'!$B$290+IF(DQ28&lt;0,0,DQ28*'DATA TABLES_Project'!$B$291)),"")</f>
        <v/>
      </c>
      <c r="DZ28" s="925" t="str">
        <f t="shared" ref="DZ28" si="132">IFERROR(IF($CB28&lt;&gt;"OK","",AS28),"")</f>
        <v/>
      </c>
      <c r="EA28" s="925" t="str">
        <f>IFERROR(IF(CB28&lt;&gt;"OK","",CN28*'DATA TABLES_Project'!$B$250*CZ28*1.03),"")</f>
        <v/>
      </c>
      <c r="EB28" s="925" t="str">
        <f t="shared" ref="EB28" si="133">IFERROR(IF(CB28&lt;&gt;"OK","",CN28*CZ28*1.03),"")</f>
        <v/>
      </c>
      <c r="EC28" s="925" t="str">
        <f>IFERROR(IF(CB28&lt;&gt;"OK","",CZ28*DZ28*'DATA TABLES_Project'!$C$250*0.92),"")</f>
        <v/>
      </c>
      <c r="ED28" s="925" t="str">
        <f>IFERROR(IF(CB28&lt;&gt;"OK","",CZ28*DZ28*'DATA TABLES_Project'!$C$250*0.92),"")</f>
        <v/>
      </c>
      <c r="EE28" s="925" t="str">
        <f t="shared" ref="EE28" si="134">IFERROR(IF(CB28&lt;&gt;"OK","",CZ28*DZ28*0.92),"")</f>
        <v/>
      </c>
      <c r="EF28" s="925" t="str">
        <f t="shared" ref="EF28" si="135">IFERROR(IF(CB28&lt;&gt;"OK","",CZ28*DZ28*0.92),"")</f>
        <v/>
      </c>
      <c r="EG28" s="925" t="str">
        <f>IFERROR(IF($CB28&lt;&gt;"OK","",CM28*'DATA TABLES_Project'!$B$290+CO28*'DATA TABLES_Project'!$B$291),"")</f>
        <v/>
      </c>
      <c r="EH28" s="925" t="str">
        <f>IFERROR(IF($CB28&lt;&gt;"OK","",DD28*'DATA TABLES_Project'!$B$290+DK28*'DATA TABLES_Project'!$B$291),"")</f>
        <v/>
      </c>
      <c r="EI28" s="925" t="str">
        <f>IFERROR(IF($CB28&lt;&gt;"OK","",DE28*'DATA TABLES_Project'!$B$290+DL28*'DATA TABLES_Project'!$B$291),"")</f>
        <v/>
      </c>
      <c r="EJ28" s="925" t="str">
        <f>IFERROR(IF($CB28&lt;&gt;"OK","",DF28*'DATA TABLES_Project'!$B$290+DM28*'DATA TABLES_Project'!$B$291),"")</f>
        <v/>
      </c>
      <c r="EK28" s="925" t="str">
        <f>IFERROR(IF($CB28&lt;&gt;"OK","",DG28*'DATA TABLES_Project'!$B$290+DN28*'DATA TABLES_Project'!$B$291),"")</f>
        <v/>
      </c>
      <c r="EL28" s="925" t="str">
        <f>IFERROR(IF($CB28&lt;&gt;"OK","",DH28*'DATA TABLES_Project'!$B$290+DO28*'DATA TABLES_Project'!$B$291),"")</f>
        <v/>
      </c>
      <c r="EM28" s="925" t="str">
        <f>IFERROR(IF($CB28&lt;&gt;"OK","",DI28*'DATA TABLES_Project'!$B$290+DP28*'DATA TABLES_Project'!$B$291),"")</f>
        <v/>
      </c>
      <c r="EN28" s="925" t="str">
        <f>IFERROR(IF($CB28&lt;&gt;"OK","",DJ28*'DATA TABLES_Project'!$B$290+DQ28*'DATA TABLES_Project'!$B$291),"")</f>
        <v/>
      </c>
    </row>
    <row r="29" spans="1:144" ht="16.350000000000001" customHeight="1">
      <c r="A29" s="462"/>
      <c r="B29" s="994"/>
      <c r="C29" s="998"/>
      <c r="D29" s="999"/>
      <c r="E29" s="1000"/>
      <c r="F29" s="964"/>
      <c r="G29" s="965"/>
      <c r="H29" s="965"/>
      <c r="I29" s="965"/>
      <c r="J29" s="965"/>
      <c r="K29" s="966"/>
      <c r="L29" s="964"/>
      <c r="M29" s="965"/>
      <c r="N29" s="965"/>
      <c r="O29" s="965"/>
      <c r="P29" s="965"/>
      <c r="Q29" s="966"/>
      <c r="R29" s="1044"/>
      <c r="S29" s="1044"/>
      <c r="T29" s="1044"/>
      <c r="U29" s="1044"/>
      <c r="V29" s="1044"/>
      <c r="W29" s="1044"/>
      <c r="X29" s="1045"/>
      <c r="Y29" s="1045"/>
      <c r="Z29" s="1045"/>
      <c r="AA29" s="1045"/>
      <c r="AB29" s="1045"/>
      <c r="AC29" s="1045"/>
      <c r="AD29" s="964"/>
      <c r="AE29" s="965"/>
      <c r="AF29" s="965"/>
      <c r="AG29" s="965"/>
      <c r="AH29" s="965"/>
      <c r="AI29" s="966"/>
      <c r="AJ29" s="952"/>
      <c r="AK29" s="953"/>
      <c r="AL29" s="954"/>
      <c r="AM29" s="952"/>
      <c r="AN29" s="953"/>
      <c r="AO29" s="954"/>
      <c r="AP29" s="958"/>
      <c r="AQ29" s="959"/>
      <c r="AR29" s="960"/>
      <c r="AS29" s="958"/>
      <c r="AT29" s="959"/>
      <c r="AU29" s="960"/>
      <c r="AV29" s="968"/>
      <c r="AW29" s="969"/>
      <c r="AX29" s="969"/>
      <c r="AY29" s="969"/>
      <c r="AZ29" s="969"/>
      <c r="BA29" s="970"/>
      <c r="BB29" s="947"/>
      <c r="BC29" s="948"/>
      <c r="BD29" s="947"/>
      <c r="BE29" s="948"/>
      <c r="BF29" s="931"/>
      <c r="BG29" s="932"/>
      <c r="BH29" s="974"/>
      <c r="BI29" s="975"/>
      <c r="BJ29" s="976"/>
      <c r="BK29" s="936"/>
      <c r="BL29" s="937"/>
      <c r="BM29" s="938"/>
      <c r="BN29" s="942"/>
      <c r="BO29" s="943"/>
      <c r="BP29" s="944"/>
      <c r="BS29" s="967"/>
      <c r="BT29" s="967"/>
      <c r="BV29" s="926"/>
      <c r="BW29" s="926"/>
      <c r="BX29" s="926"/>
      <c r="BY29" s="927"/>
      <c r="BZ29" s="928"/>
      <c r="CB29" s="986"/>
      <c r="CC29" s="925"/>
      <c r="CD29" s="925"/>
      <c r="CE29" s="925"/>
      <c r="CF29" s="925"/>
      <c r="CG29" s="925"/>
      <c r="CH29" s="925"/>
      <c r="CI29" s="925"/>
      <c r="CJ29" s="977"/>
      <c r="CK29" s="977"/>
      <c r="CL29" s="977"/>
      <c r="CM29" s="977"/>
      <c r="CN29" s="977"/>
      <c r="CO29" s="977"/>
      <c r="CP29" s="977"/>
      <c r="CQ29" s="977"/>
      <c r="CR29" s="977"/>
      <c r="CS29" s="983"/>
      <c r="CT29" s="1056"/>
      <c r="CU29" s="979"/>
      <c r="CV29" s="925"/>
      <c r="CW29" s="925"/>
      <c r="CX29" s="925"/>
      <c r="CY29" s="925"/>
      <c r="CZ29" s="925"/>
      <c r="DA29" s="925"/>
      <c r="DD29" s="981"/>
      <c r="DE29" s="925"/>
      <c r="DF29" s="981"/>
      <c r="DG29" s="925"/>
      <c r="DH29" s="925"/>
      <c r="DI29" s="925"/>
      <c r="DJ29" s="925"/>
      <c r="DK29" s="925"/>
      <c r="DL29" s="925"/>
      <c r="DM29" s="925"/>
      <c r="DN29" s="925"/>
      <c r="DO29" s="925"/>
      <c r="DP29" s="925"/>
      <c r="DQ29" s="925"/>
      <c r="DR29" s="981"/>
      <c r="DS29" s="981"/>
      <c r="DT29" s="981"/>
      <c r="DU29" s="981"/>
      <c r="DV29" s="981"/>
      <c r="DW29" s="981"/>
      <c r="DX29" s="981"/>
      <c r="DY29" s="925"/>
      <c r="DZ29" s="925"/>
      <c r="EA29" s="925"/>
      <c r="EB29" s="925"/>
      <c r="EC29" s="925"/>
      <c r="ED29" s="925"/>
      <c r="EE29" s="925"/>
      <c r="EF29" s="925"/>
      <c r="EG29" s="925"/>
      <c r="EH29" s="925"/>
      <c r="EI29" s="925"/>
      <c r="EJ29" s="925"/>
      <c r="EK29" s="925"/>
      <c r="EL29" s="925"/>
      <c r="EM29" s="925"/>
      <c r="EN29" s="925"/>
    </row>
    <row r="30" spans="1:144" ht="16.350000000000001" customHeight="1">
      <c r="A30" s="462"/>
      <c r="B30" s="994">
        <v>7</v>
      </c>
      <c r="C30" s="995"/>
      <c r="D30" s="996"/>
      <c r="E30" s="997"/>
      <c r="F30" s="961"/>
      <c r="G30" s="962"/>
      <c r="H30" s="962"/>
      <c r="I30" s="962"/>
      <c r="J30" s="962"/>
      <c r="K30" s="963"/>
      <c r="L30" s="961"/>
      <c r="M30" s="962"/>
      <c r="N30" s="962"/>
      <c r="O30" s="962"/>
      <c r="P30" s="962"/>
      <c r="Q30" s="963"/>
      <c r="R30" s="1044"/>
      <c r="S30" s="1044"/>
      <c r="T30" s="1044"/>
      <c r="U30" s="1044"/>
      <c r="V30" s="1044"/>
      <c r="W30" s="1044"/>
      <c r="X30" s="1045"/>
      <c r="Y30" s="1045"/>
      <c r="Z30" s="1045"/>
      <c r="AA30" s="1045"/>
      <c r="AB30" s="1045"/>
      <c r="AC30" s="1045"/>
      <c r="AD30" s="961"/>
      <c r="AE30" s="962"/>
      <c r="AF30" s="962"/>
      <c r="AG30" s="962"/>
      <c r="AH30" s="962"/>
      <c r="AI30" s="963"/>
      <c r="AJ30" s="949"/>
      <c r="AK30" s="950"/>
      <c r="AL30" s="951"/>
      <c r="AM30" s="949"/>
      <c r="AN30" s="950"/>
      <c r="AO30" s="951"/>
      <c r="AP30" s="955"/>
      <c r="AQ30" s="956"/>
      <c r="AR30" s="957"/>
      <c r="AS30" s="955"/>
      <c r="AT30" s="956"/>
      <c r="AU30" s="957"/>
      <c r="AV30" s="968"/>
      <c r="AW30" s="969"/>
      <c r="AX30" s="970"/>
      <c r="AY30" s="968"/>
      <c r="AZ30" s="969"/>
      <c r="BA30" s="970"/>
      <c r="BB30" s="945"/>
      <c r="BC30" s="946"/>
      <c r="BD30" s="945"/>
      <c r="BE30" s="946"/>
      <c r="BF30" s="929" t="str">
        <f t="shared" ref="BF30" si="136">IF(CB30="OK",ROUND(BB30+BD30,2),"")</f>
        <v/>
      </c>
      <c r="BG30" s="930"/>
      <c r="BH30" s="971" t="str">
        <f t="shared" ref="BH30" si="137">IFERROR(IF(AND($CB30="OK",$CU30="OK"),$CI30,IF($CB30&lt;&gt;"OK",$CB30,$CU30)),"")</f>
        <v/>
      </c>
      <c r="BI30" s="972"/>
      <c r="BJ30" s="973"/>
      <c r="BK30" s="933" t="str">
        <f t="shared" ref="BK30" si="138">IF($CB30="OK",CM30,"")</f>
        <v/>
      </c>
      <c r="BL30" s="934"/>
      <c r="BM30" s="935"/>
      <c r="BN30" s="939" t="str">
        <f t="shared" ref="BN30" si="139">IF($CB30="OK",$CR30,"")</f>
        <v/>
      </c>
      <c r="BO30" s="940"/>
      <c r="BP30" s="941"/>
      <c r="BS30" s="967"/>
      <c r="BT30" s="967"/>
      <c r="BV30" s="926" t="str">
        <f t="shared" ref="BV30" si="140">IFERROR(ROUND(IF(AND(CB30="OK",CU30="OK"),CT30,""),0),"")</f>
        <v/>
      </c>
      <c r="BW30" s="926" t="str">
        <f t="shared" ref="BW30" si="141">IFERROR(ROUND(IF(AND(CB30="OK",CU30="OK"),BV30/3,""),0),"")</f>
        <v/>
      </c>
      <c r="BX30" s="926"/>
      <c r="BY30" s="927"/>
      <c r="BZ30" s="928"/>
      <c r="CB30" s="986" t="str">
        <f>IF(AND(C30="",F30="",R30="",AD30="",U30="",X30="",L30="",AJ30="",AV30="",AM30="",AP30="",AY30="",AV31="",BB30="",BD30="",AA30="",AS30=""),"",
IF(OR(C30="",F30="",R30="",AD30="",U30="",X30="",L30="",AJ30="",AV30="",AM30="",AP30="",AY30="",AV31="",BB30="",BD30="",AA30="",AS30=""),"Missing Fields",
IF(AND(M02S04F04disp="Required",M02S04F04=""),"TA Info Incomplete",
"OK")))</f>
        <v/>
      </c>
      <c r="CC30" s="925" t="str">
        <f>IF(AND(CB30="OK",CU30="OK"),INDEX(Tbl_Cust_Food[Measure Number], MATCH(F30,Tbl_Cust_Food[Proj Desc 1],0)),"")</f>
        <v/>
      </c>
      <c r="CD30" s="925"/>
      <c r="CE30" s="925" t="str">
        <f t="shared" ref="CE30" si="142">IF(CB30="OK","Measure","")</f>
        <v/>
      </c>
      <c r="CF30" s="925" t="str">
        <f t="shared" ref="CF30" si="143">IF(CB30="OK",1,"")</f>
        <v/>
      </c>
      <c r="CG30" s="978" t="str">
        <f t="shared" ref="CG30" si="144">IFERROR(CI30/CF30,"")</f>
        <v/>
      </c>
      <c r="CH30" s="978" t="str">
        <f>IF(CB30="OK",IF(CM30&gt;0,CM30*Incent_Rate_kWh,0)+IF(CO30&gt;0,CO30*Incent_Rate_thm,0),"")</f>
        <v/>
      </c>
      <c r="CI30" s="978" t="str">
        <f>IFERROR(IF($CB30="OK",IF(INCENTTOCOST_CUST&gt;CostCap_Cust,
CH30*CostCap_Cust/INCENTTOCOST_CUST,CH30),""),"")</f>
        <v/>
      </c>
      <c r="CJ30" s="977">
        <f t="shared" ref="CJ30" si="145">CM30</f>
        <v>0</v>
      </c>
      <c r="CK30" s="977">
        <f t="shared" ref="CK30" si="146">CN30</f>
        <v>0</v>
      </c>
      <c r="CL30" s="977">
        <f t="shared" ref="CL30" si="147">CO30</f>
        <v>0</v>
      </c>
      <c r="CM30" s="977">
        <f>R30-AJ30</f>
        <v>0</v>
      </c>
      <c r="CN30" s="977">
        <f>U30-AM30</f>
        <v>0</v>
      </c>
      <c r="CO30" s="977">
        <f t="shared" ref="CO30" si="148">IF(CR30&gt;0,CR30,0)</f>
        <v>0</v>
      </c>
      <c r="CP30" s="977">
        <f t="shared" ref="CP30" si="149">CM30</f>
        <v>0</v>
      </c>
      <c r="CQ30" s="977">
        <f t="shared" ref="CQ30" si="150">CN30</f>
        <v>0</v>
      </c>
      <c r="CR30" s="977">
        <f>X30-AP30</f>
        <v>0</v>
      </c>
      <c r="CS30" s="983"/>
      <c r="CT30" s="1056" t="str">
        <f>IF(CB30="OK",INDEX(Tbl_Cust_Food[EUL], MATCH(F30,Tbl_Cust_Food[Proj Desc 1],0)),"")</f>
        <v/>
      </c>
      <c r="CU30" s="979" t="str">
        <f t="shared" ref="CU30" si="151">IFERROR(IF(AND($CM30&lt;=0,$CN30&lt;=0,$CO30&lt;=0),"No Savings","OK"),"")</f>
        <v>No Savings</v>
      </c>
      <c r="CV30" s="925" t="str">
        <f t="shared" ref="CV30" si="152">IF(AND(CB30="OK",CU30="OK"),"1","")</f>
        <v/>
      </c>
      <c r="CW30" s="925" t="str">
        <f>IFERROR(IF($CB30="OK",ROUND($AQ$14*SUM(BB30:BE31)/SUM($BF$18:$BG$37),2),""),"")</f>
        <v/>
      </c>
      <c r="CX30" s="925" t="str">
        <f>IFERROR(IF(M02S04F04="Customer/Self-Installed",CW30,IF($CB30="OK",CW30+BD30,"")),"")</f>
        <v/>
      </c>
      <c r="CY30" s="925" t="str">
        <f>IFERROR(IF($CB30="OK",CX30+BB30,""),"")</f>
        <v/>
      </c>
      <c r="CZ30" s="925" t="str">
        <f>IF(CB30="OK",INDEX(MEASURES3_M!$O$36, MATCH(F30,MEASURES3_M!$C$36,0)),"")</f>
        <v/>
      </c>
      <c r="DA30" s="925" t="str">
        <f>IF(CB30="OK",INDEX(MEASURES3_M!$P$36, MATCH(F30,MEASURES3_M!$C$36,0)),"")</f>
        <v/>
      </c>
      <c r="DD30" s="980" t="str">
        <f>IFERROR(IF(CB30&lt;&gt;"OK","",CM30*VLOOKUP('DATA TABLES_Project'!$C$247,'DATA TABLES_Project'!$A$250:$B$285,2,FALSE)),"")</f>
        <v/>
      </c>
      <c r="DE30" s="925" t="str">
        <f t="shared" ref="DE30" si="153">IFERROR(IF(CB30&lt;&gt;"OK","",CM30*CZ30*0.92),"")</f>
        <v/>
      </c>
      <c r="DF30" s="980" t="str">
        <f>IFERROR(IF(CB30&lt;&gt;"OK","",CM30*CZ30*0.92*VLOOKUP('DATA TABLES_Project'!$C$247,'DATA TABLES_Project'!$A$250:$B$285,2,FALSE)),"")</f>
        <v/>
      </c>
      <c r="DG30" s="925" t="str">
        <f t="shared" ref="DG30" si="154">IFERROR(IF(CB30&lt;&gt;"OK","",CM30*BV30),IF(BX30="Dual",(CM30*BW30)+((BY30-AJ30)*(BV30-BW30)),""))</f>
        <v/>
      </c>
      <c r="DH30" s="925" t="str">
        <f ca="1">IFERROR(IF(CB30&lt;&gt;"OK","",IF(OR(BX30="Single",BX30=""), CM30*BV30*AVERAGE(INDEX('DATA TABLES_Project'!$B$250:$B$285, MATCH('DATA TABLES_Project'!$C$247,'DATA TABLES_Project'!$A$250:$A$285, 0)):OFFSET(INDEX('DATA TABLES_Project'!$B$250:$B$285, MATCH('DATA TABLES_Project'!$C$247,'DATA TABLES_Project'!$A$250:$A$285, 0)),BV30-1,0)),CM30*BW30*AVERAGE(INDEX('DATA TABLES_Project'!$B$250:$B$285, MATCH('DATA TABLES_Project'!$C$247,'DATA TABLES_Project'!$A$250:$A$285, 0)):OFFSET(INDEX('DATA TABLES_Project'!$B$250:$B$285, MATCH('DATA TABLES_Project'!$C$247,'DATA TABLES_Project'!$A$250:$A$285, 0)),BW30-1,0)) + ((BY30-AJ30)*(BV30-BW30)*AVERAGE(OFFSET(INDEX('DATA TABLES_Project'!$B$250:$B$285, MATCH('DATA TABLES_Project'!$C$247,'DATA TABLES_Project'!$A$250:$A$285, 0)),BW30,0):OFFSET(INDEX('DATA TABLES_Project'!$B$250:$B$285, MATCH('DATA TABLES_Project'!$C$247,'DATA TABLES_Project'!$A$250:$A$285, 0)),BV30-1,0))))), "")</f>
        <v/>
      </c>
      <c r="DI30" s="925" t="str">
        <f t="shared" ref="DI30" si="155">IFERROR(IF(CB30&lt;&gt;"OK","",IF(BX30="Dual",(CM30*BW30)+((BY30-AJ30)*(BV30-BW30))*CZ30*0.92,CM30*CZ30*BV30*0.92)),"")</f>
        <v/>
      </c>
      <c r="DJ30" s="925" t="str">
        <f ca="1">IFERROR(IF(CB30&lt;&gt;"OK","",IF(OR(BX30="Single",BX30=""),0.92*CZ30*CM30*BV30*AVERAGE(INDEX('DATA TABLES_Project'!$B$250:$B$285, MATCH('DATA TABLES_Project'!$C$247,'DATA TABLES_Project'!$A$250:$A$285, 0)):OFFSET(INDEX('DATA TABLES_Project'!$B$250:$B$285, MATCH('DATA TABLES_Project'!$C$247,'DATA TABLES_Project'!$A$250:$A$285, 0)),BV30-1,0)),0.92*CZ30*CM30*BW30*AVERAGE(INDEX('DATA TABLES_Project'!$B$250:$B$285, MATCH('DATA TABLES_Project'!$C$247,'DATA TABLES_Project'!$A$250:$A$285, 0)):OFFSET(INDEX('DATA TABLES_Project'!$B$250:$B$285, MATCH('DATA TABLES_Project'!$C$247,'DATA TABLES_Project'!$A$250:$A$285, 0)),BW30-1,0)) + (0.92*CZ30*(BY30-AJ30)*(BV30-BW30)*AVERAGE(OFFSET(INDEX('DATA TABLES_Project'!$B$250:$B$285, MATCH('DATA TABLES_Project'!$C$247,'DATA TABLES_Project'!$A$250:$A$285, 0)),BW30,0):OFFSET(INDEX('DATA TABLES_Project'!$B$250:$B$285, MATCH('DATA TABLES_Project'!$C$247,'DATA TABLES_Project'!$A$250:$A$285, 0)),BV30-1,0))))), "")</f>
        <v/>
      </c>
      <c r="DK30" s="925" t="str">
        <f>IFERROR(IF(CB30&lt;&gt;"OK","",CO30*'DATA TABLES_Project'!$C$250),"")</f>
        <v/>
      </c>
      <c r="DL30" s="925" t="str">
        <f t="shared" ref="DL30" si="156">IFERROR(IF(CB30&lt;&gt;"OK","",CO30*DA30*0.92),"")</f>
        <v/>
      </c>
      <c r="DM30" s="925" t="str">
        <f>IFERROR(IF(CB30&lt;&gt;"OK","",CO30*'DATA TABLES_Project'!$C$250*DA30*0.92),"")</f>
        <v/>
      </c>
      <c r="DN30" s="925" t="str">
        <f t="shared" ref="DN30" si="157">IFERROR(IF(CB30&lt;&gt;"OK","",CO30*BV30),IF(BX30="Dual",(CO30*BW30)+((BZ30-AP30)*(BV30-BW30)),""))</f>
        <v/>
      </c>
      <c r="DO30" s="925" t="str">
        <f ca="1">IFERROR(IF(CB30&lt;&gt;"OK","",CO30*BV30*AVERAGE('DATA TABLES_Project'!$C$250:OFFSET('DATA TABLES_Project'!$C$250,BV30,0))),IF(BX30="Dual",(CO30*BW30*AVERAGE('DATA TABLES_Project'!$C$251:$C$259))+((BZ30-AP30)*(BV30-BW30)*AVERAGE('DATA TABLES_Project'!$C$260:$C$279)),""))</f>
        <v/>
      </c>
      <c r="DP30" s="925" t="str">
        <f t="shared" ref="DP30" si="158">IFERROR(IF(CB30&lt;&gt;"OK","",IF(BX30="Dual",((CO30*BW30)+(BZ30-AP30)*(BV30-BW30))*DA30*0.92,CO30*BV30*DA30*0.92)),"")</f>
        <v/>
      </c>
      <c r="DQ30" s="925" t="str">
        <f ca="1">IFERROR(IF(CB30&lt;&gt;"OK","",IF(BX30="Dual",(0.92*DA30*CO30*BW30*AVERAGE('DATA TABLES_Project'!$C$251:$C$259))+(0.92*DA30*(BZ30-AP30)*(BV30-BW30)*AVERAGE('DATA TABLES_Project'!$C$260:$C$279)),0.92*DA30*CO30*BV30*AVERAGE('DATA TABLES_Project'!$C$250:OFFSET('DATA TABLES_Project'!$C$250,BV30,0)))),"")</f>
        <v/>
      </c>
      <c r="DR30" s="980" t="str">
        <f>IFERROR(IF($CB30&lt;&gt;"OK","",CM30*'DATA TABLES_Project'!$B$290+IF(CO30&lt;0,0,CO30*'DATA TABLES_Project'!$B$291)),"")</f>
        <v/>
      </c>
      <c r="DS30" s="980" t="str">
        <f>IFERROR(IF($CB30&lt;&gt;"OK","",DD30*'DATA TABLES_Project'!$B$290+IF(DK30&lt;0,0,DK30*'DATA TABLES_Project'!$B$291)),"")</f>
        <v/>
      </c>
      <c r="DT30" s="980" t="str">
        <f>IFERROR(IF($CB30&lt;&gt;"OK","",DE30*'DATA TABLES_Project'!$B$290+IF(DL30&lt;0,0,DL30*'DATA TABLES_Project'!$B$291)),"")</f>
        <v/>
      </c>
      <c r="DU30" s="980" t="str">
        <f>IFERROR(IF($CB30&lt;&gt;"OK","",DF30*'DATA TABLES_Project'!$B$290+IF(DM30&lt;0,0,DM30*'DATA TABLES_Project'!$B$291)),"")</f>
        <v/>
      </c>
      <c r="DV30" s="980" t="str">
        <f>IFERROR(IF($CB30&lt;&gt;"OK","",DG30*'DATA TABLES_Project'!$B$290+IF(DN30&lt;0,0,DN30*'DATA TABLES_Project'!$B$291)),"")</f>
        <v/>
      </c>
      <c r="DW30" s="980" t="str">
        <f>IFERROR(IF($CB30&lt;&gt;"OK","",DH30*'DATA TABLES_Project'!$B$290+IF(DO30&lt;0,0,DO30*'DATA TABLES_Project'!$B$291)),"")</f>
        <v/>
      </c>
      <c r="DX30" s="980" t="str">
        <f>IFERROR(IF($CB30&lt;&gt;"OK","",DI30*'DATA TABLES_Project'!$B$290+IF(DP30&lt;0,0,DP30*'DATA TABLES_Project'!$B$291)),"")</f>
        <v/>
      </c>
      <c r="DY30" s="925" t="str">
        <f>IFERROR(IF($CB30&lt;&gt;"OK","",DJ30*'DATA TABLES_Project'!$B$290+IF(DQ30&lt;0,0,DQ30*'DATA TABLES_Project'!$B$291)),"")</f>
        <v/>
      </c>
      <c r="DZ30" s="925" t="str">
        <f t="shared" ref="DZ30" si="159">IFERROR(IF($CB30&lt;&gt;"OK","",AS30),"")</f>
        <v/>
      </c>
      <c r="EA30" s="925" t="str">
        <f>IFERROR(IF(CB30&lt;&gt;"OK","",CN30*'DATA TABLES_Project'!$B$250*CZ30*1.03),"")</f>
        <v/>
      </c>
      <c r="EB30" s="925" t="str">
        <f t="shared" ref="EB30" si="160">IFERROR(IF(CB30&lt;&gt;"OK","",CN30*CZ30*1.03),"")</f>
        <v/>
      </c>
      <c r="EC30" s="925" t="str">
        <f>IFERROR(IF(CB30&lt;&gt;"OK","",CZ30*DZ30*'DATA TABLES_Project'!$C$250*0.92),"")</f>
        <v/>
      </c>
      <c r="ED30" s="925" t="str">
        <f>IFERROR(IF(CB30&lt;&gt;"OK","",CZ30*DZ30*'DATA TABLES_Project'!$C$250*0.92),"")</f>
        <v/>
      </c>
      <c r="EE30" s="925" t="str">
        <f t="shared" ref="EE30" si="161">IFERROR(IF(CB30&lt;&gt;"OK","",CZ30*DZ30*0.92),"")</f>
        <v/>
      </c>
      <c r="EF30" s="925" t="str">
        <f t="shared" ref="EF30" si="162">IFERROR(IF(CB30&lt;&gt;"OK","",CZ30*DZ30*0.92),"")</f>
        <v/>
      </c>
      <c r="EG30" s="925" t="str">
        <f>IFERROR(IF($CB30&lt;&gt;"OK","",CM30*'DATA TABLES_Project'!$B$290+CO30*'DATA TABLES_Project'!$B$291),"")</f>
        <v/>
      </c>
      <c r="EH30" s="925" t="str">
        <f>IFERROR(IF($CB30&lt;&gt;"OK","",DD30*'DATA TABLES_Project'!$B$290+DK30*'DATA TABLES_Project'!$B$291),"")</f>
        <v/>
      </c>
      <c r="EI30" s="925" t="str">
        <f>IFERROR(IF($CB30&lt;&gt;"OK","",DE30*'DATA TABLES_Project'!$B$290+DL30*'DATA TABLES_Project'!$B$291),"")</f>
        <v/>
      </c>
      <c r="EJ30" s="925" t="str">
        <f>IFERROR(IF($CB30&lt;&gt;"OK","",DF30*'DATA TABLES_Project'!$B$290+DM30*'DATA TABLES_Project'!$B$291),"")</f>
        <v/>
      </c>
      <c r="EK30" s="925" t="str">
        <f>IFERROR(IF($CB30&lt;&gt;"OK","",DG30*'DATA TABLES_Project'!$B$290+DN30*'DATA TABLES_Project'!$B$291),"")</f>
        <v/>
      </c>
      <c r="EL30" s="925" t="str">
        <f>IFERROR(IF($CB30&lt;&gt;"OK","",DH30*'DATA TABLES_Project'!$B$290+DO30*'DATA TABLES_Project'!$B$291),"")</f>
        <v/>
      </c>
      <c r="EM30" s="925" t="str">
        <f>IFERROR(IF($CB30&lt;&gt;"OK","",DI30*'DATA TABLES_Project'!$B$290+DP30*'DATA TABLES_Project'!$B$291),"")</f>
        <v/>
      </c>
      <c r="EN30" s="925" t="str">
        <f>IFERROR(IF($CB30&lt;&gt;"OK","",DJ30*'DATA TABLES_Project'!$B$290+DQ30*'DATA TABLES_Project'!$B$291),"")</f>
        <v/>
      </c>
    </row>
    <row r="31" spans="1:144" ht="16.350000000000001" customHeight="1">
      <c r="A31" s="462"/>
      <c r="B31" s="994"/>
      <c r="C31" s="998"/>
      <c r="D31" s="999"/>
      <c r="E31" s="1000"/>
      <c r="F31" s="964"/>
      <c r="G31" s="965"/>
      <c r="H31" s="965"/>
      <c r="I31" s="965"/>
      <c r="J31" s="965"/>
      <c r="K31" s="966"/>
      <c r="L31" s="964"/>
      <c r="M31" s="965"/>
      <c r="N31" s="965"/>
      <c r="O31" s="965"/>
      <c r="P31" s="965"/>
      <c r="Q31" s="966"/>
      <c r="R31" s="1044"/>
      <c r="S31" s="1044"/>
      <c r="T31" s="1044"/>
      <c r="U31" s="1044"/>
      <c r="V31" s="1044"/>
      <c r="W31" s="1044"/>
      <c r="X31" s="1045"/>
      <c r="Y31" s="1045"/>
      <c r="Z31" s="1045"/>
      <c r="AA31" s="1045"/>
      <c r="AB31" s="1045"/>
      <c r="AC31" s="1045"/>
      <c r="AD31" s="964"/>
      <c r="AE31" s="965"/>
      <c r="AF31" s="965"/>
      <c r="AG31" s="965"/>
      <c r="AH31" s="965"/>
      <c r="AI31" s="966"/>
      <c r="AJ31" s="952"/>
      <c r="AK31" s="953"/>
      <c r="AL31" s="954"/>
      <c r="AM31" s="952"/>
      <c r="AN31" s="953"/>
      <c r="AO31" s="954"/>
      <c r="AP31" s="958"/>
      <c r="AQ31" s="959"/>
      <c r="AR31" s="960"/>
      <c r="AS31" s="958"/>
      <c r="AT31" s="959"/>
      <c r="AU31" s="960"/>
      <c r="AV31" s="968"/>
      <c r="AW31" s="969"/>
      <c r="AX31" s="969"/>
      <c r="AY31" s="969"/>
      <c r="AZ31" s="969"/>
      <c r="BA31" s="970"/>
      <c r="BB31" s="947"/>
      <c r="BC31" s="948"/>
      <c r="BD31" s="947"/>
      <c r="BE31" s="948"/>
      <c r="BF31" s="931"/>
      <c r="BG31" s="932"/>
      <c r="BH31" s="974"/>
      <c r="BI31" s="975"/>
      <c r="BJ31" s="976"/>
      <c r="BK31" s="936"/>
      <c r="BL31" s="937"/>
      <c r="BM31" s="938"/>
      <c r="BN31" s="942"/>
      <c r="BO31" s="943"/>
      <c r="BP31" s="944"/>
      <c r="BS31" s="967"/>
      <c r="BT31" s="967"/>
      <c r="BV31" s="926"/>
      <c r="BW31" s="926"/>
      <c r="BX31" s="926"/>
      <c r="BY31" s="927"/>
      <c r="BZ31" s="928"/>
      <c r="CB31" s="986"/>
      <c r="CC31" s="925"/>
      <c r="CD31" s="925"/>
      <c r="CE31" s="925"/>
      <c r="CF31" s="925"/>
      <c r="CG31" s="925"/>
      <c r="CH31" s="925"/>
      <c r="CI31" s="925"/>
      <c r="CJ31" s="977"/>
      <c r="CK31" s="977"/>
      <c r="CL31" s="977"/>
      <c r="CM31" s="977"/>
      <c r="CN31" s="977"/>
      <c r="CO31" s="977"/>
      <c r="CP31" s="977"/>
      <c r="CQ31" s="977"/>
      <c r="CR31" s="977"/>
      <c r="CS31" s="983"/>
      <c r="CT31" s="1056"/>
      <c r="CU31" s="979"/>
      <c r="CV31" s="925"/>
      <c r="CW31" s="925"/>
      <c r="CX31" s="925"/>
      <c r="CY31" s="925"/>
      <c r="CZ31" s="925"/>
      <c r="DA31" s="925"/>
      <c r="DD31" s="981"/>
      <c r="DE31" s="925"/>
      <c r="DF31" s="981"/>
      <c r="DG31" s="925"/>
      <c r="DH31" s="925"/>
      <c r="DI31" s="925"/>
      <c r="DJ31" s="925"/>
      <c r="DK31" s="925"/>
      <c r="DL31" s="925"/>
      <c r="DM31" s="925"/>
      <c r="DN31" s="925"/>
      <c r="DO31" s="925"/>
      <c r="DP31" s="925"/>
      <c r="DQ31" s="925"/>
      <c r="DR31" s="981"/>
      <c r="DS31" s="981"/>
      <c r="DT31" s="981"/>
      <c r="DU31" s="981"/>
      <c r="DV31" s="981"/>
      <c r="DW31" s="981"/>
      <c r="DX31" s="981"/>
      <c r="DY31" s="925"/>
      <c r="DZ31" s="925"/>
      <c r="EA31" s="925"/>
      <c r="EB31" s="925"/>
      <c r="EC31" s="925"/>
      <c r="ED31" s="925"/>
      <c r="EE31" s="925"/>
      <c r="EF31" s="925"/>
      <c r="EG31" s="925"/>
      <c r="EH31" s="925"/>
      <c r="EI31" s="925"/>
      <c r="EJ31" s="925"/>
      <c r="EK31" s="925"/>
      <c r="EL31" s="925"/>
      <c r="EM31" s="925"/>
      <c r="EN31" s="925"/>
    </row>
    <row r="32" spans="1:144" ht="16.350000000000001" customHeight="1">
      <c r="A32" s="462"/>
      <c r="B32" s="994">
        <v>8</v>
      </c>
      <c r="C32" s="995"/>
      <c r="D32" s="996"/>
      <c r="E32" s="997"/>
      <c r="F32" s="961"/>
      <c r="G32" s="962"/>
      <c r="H32" s="962"/>
      <c r="I32" s="962"/>
      <c r="J32" s="962"/>
      <c r="K32" s="963"/>
      <c r="L32" s="961"/>
      <c r="M32" s="962"/>
      <c r="N32" s="962"/>
      <c r="O32" s="962"/>
      <c r="P32" s="962"/>
      <c r="Q32" s="963"/>
      <c r="R32" s="1044"/>
      <c r="S32" s="1044"/>
      <c r="T32" s="1044"/>
      <c r="U32" s="1044"/>
      <c r="V32" s="1044"/>
      <c r="W32" s="1044"/>
      <c r="X32" s="1045"/>
      <c r="Y32" s="1045"/>
      <c r="Z32" s="1045"/>
      <c r="AA32" s="1045"/>
      <c r="AB32" s="1045"/>
      <c r="AC32" s="1045"/>
      <c r="AD32" s="961"/>
      <c r="AE32" s="962"/>
      <c r="AF32" s="962"/>
      <c r="AG32" s="962"/>
      <c r="AH32" s="962"/>
      <c r="AI32" s="963"/>
      <c r="AJ32" s="949"/>
      <c r="AK32" s="950"/>
      <c r="AL32" s="951"/>
      <c r="AM32" s="949"/>
      <c r="AN32" s="950"/>
      <c r="AO32" s="951"/>
      <c r="AP32" s="955"/>
      <c r="AQ32" s="956"/>
      <c r="AR32" s="957"/>
      <c r="AS32" s="955"/>
      <c r="AT32" s="956"/>
      <c r="AU32" s="957"/>
      <c r="AV32" s="968"/>
      <c r="AW32" s="969"/>
      <c r="AX32" s="970"/>
      <c r="AY32" s="968"/>
      <c r="AZ32" s="969"/>
      <c r="BA32" s="970"/>
      <c r="BB32" s="945"/>
      <c r="BC32" s="946"/>
      <c r="BD32" s="945"/>
      <c r="BE32" s="946"/>
      <c r="BF32" s="929" t="str">
        <f t="shared" ref="BF32" si="163">IF(CB32="OK",ROUND(BB32+BD32,2),"")</f>
        <v/>
      </c>
      <c r="BG32" s="930"/>
      <c r="BH32" s="971" t="str">
        <f t="shared" ref="BH32" si="164">IFERROR(IF(AND($CB32="OK",$CU32="OK"),$CI32,IF($CB32&lt;&gt;"OK",$CB32,$CU32)),"")</f>
        <v/>
      </c>
      <c r="BI32" s="972"/>
      <c r="BJ32" s="973"/>
      <c r="BK32" s="933" t="str">
        <f t="shared" ref="BK32" si="165">IF($CB32="OK",CM32,"")</f>
        <v/>
      </c>
      <c r="BL32" s="934"/>
      <c r="BM32" s="935"/>
      <c r="BN32" s="939" t="str">
        <f t="shared" ref="BN32" si="166">IF($CB32="OK",$CR32,"")</f>
        <v/>
      </c>
      <c r="BO32" s="940"/>
      <c r="BP32" s="941"/>
      <c r="BS32" s="967"/>
      <c r="BT32" s="967"/>
      <c r="BV32" s="926" t="str">
        <f t="shared" ref="BV32" si="167">IFERROR(ROUND(IF(AND(CB32="OK",CU32="OK"),CT32,""),0),"")</f>
        <v/>
      </c>
      <c r="BW32" s="926" t="str">
        <f t="shared" ref="BW32" si="168">IFERROR(ROUND(IF(AND(CB32="OK",CU32="OK"),BV32/3,""),0),"")</f>
        <v/>
      </c>
      <c r="BX32" s="926"/>
      <c r="BY32" s="927"/>
      <c r="BZ32" s="928"/>
      <c r="CB32" s="986" t="str">
        <f>IF(AND(C32="",F32="",R32="",AD32="",U32="",X32="",L32="",AJ32="",AV32="",AM32="",AP32="",AY32="",AV33="",BB32="",BD32="",AA32="",AS32=""),"",
IF(OR(C32="",F32="",R32="",AD32="",U32="",X32="",L32="",AJ32="",AV32="",AM32="",AP32="",AY32="",AV33="",BB32="",BD32="",AA32="",AS32=""),"Missing Fields",
IF(AND(M02S04F04disp="Required",M02S04F04=""),"TA Info Incomplete",
"OK")))</f>
        <v/>
      </c>
      <c r="CC32" s="925" t="str">
        <f>IF(AND(CB32="OK",CU32="OK"),INDEX(Tbl_Cust_Food[Measure Number], MATCH(F32,Tbl_Cust_Food[Proj Desc 1],0)),"")</f>
        <v/>
      </c>
      <c r="CD32" s="925"/>
      <c r="CE32" s="925" t="str">
        <f t="shared" ref="CE32" si="169">IF(CB32="OK","Measure","")</f>
        <v/>
      </c>
      <c r="CF32" s="925" t="str">
        <f t="shared" ref="CF32" si="170">IF(CB32="OK",1,"")</f>
        <v/>
      </c>
      <c r="CG32" s="978" t="str">
        <f t="shared" ref="CG32" si="171">IFERROR(CI32/CF32,"")</f>
        <v/>
      </c>
      <c r="CH32" s="978" t="str">
        <f>IF(CB32="OK",IF(CM32&gt;0,CM32*Incent_Rate_kWh,0)+IF(CO32&gt;0,CO32*Incent_Rate_thm,0),"")</f>
        <v/>
      </c>
      <c r="CI32" s="978" t="str">
        <f>IFERROR(IF($CB32="OK",IF(INCENTTOCOST_CUST&gt;CostCap_Cust,
CH32*CostCap_Cust/INCENTTOCOST_CUST,CH32),""),"")</f>
        <v/>
      </c>
      <c r="CJ32" s="977">
        <f t="shared" ref="CJ32" si="172">CM32</f>
        <v>0</v>
      </c>
      <c r="CK32" s="977">
        <f t="shared" ref="CK32" si="173">CN32</f>
        <v>0</v>
      </c>
      <c r="CL32" s="977">
        <f t="shared" ref="CL32" si="174">CO32</f>
        <v>0</v>
      </c>
      <c r="CM32" s="977">
        <f>R32-AJ32</f>
        <v>0</v>
      </c>
      <c r="CN32" s="977">
        <f>U32-AM32</f>
        <v>0</v>
      </c>
      <c r="CO32" s="977">
        <f t="shared" ref="CO32" si="175">IF(CR32&gt;0,CR32,0)</f>
        <v>0</v>
      </c>
      <c r="CP32" s="977">
        <f t="shared" ref="CP32" si="176">CM32</f>
        <v>0</v>
      </c>
      <c r="CQ32" s="977">
        <f t="shared" ref="CQ32" si="177">CN32</f>
        <v>0</v>
      </c>
      <c r="CR32" s="977">
        <f>X32-AP32</f>
        <v>0</v>
      </c>
      <c r="CS32" s="983"/>
      <c r="CT32" s="1056" t="str">
        <f>IF(CB32="OK",INDEX(Tbl_Cust_Food[EUL], MATCH(F32,Tbl_Cust_Food[Proj Desc 1],0)),"")</f>
        <v/>
      </c>
      <c r="CU32" s="979" t="str">
        <f t="shared" ref="CU32" si="178">IFERROR(IF(AND($CM32&lt;=0,$CN32&lt;=0,$CO32&lt;=0),"No Savings","OK"),"")</f>
        <v>No Savings</v>
      </c>
      <c r="CV32" s="925" t="str">
        <f t="shared" ref="CV32" si="179">IF(AND(CB32="OK",CU32="OK"),"1","")</f>
        <v/>
      </c>
      <c r="CW32" s="925" t="str">
        <f>IFERROR(IF($CB32="OK",ROUND($AQ$14*SUM(BB32:BE33)/SUM($BF$18:$BG$37),2),""),"")</f>
        <v/>
      </c>
      <c r="CX32" s="925" t="str">
        <f>IFERROR(IF(M02S04F04="Customer/Self-Installed",CW32,IF($CB32="OK",CW32+BD32,"")),"")</f>
        <v/>
      </c>
      <c r="CY32" s="925" t="str">
        <f>IFERROR(IF($CB32="OK",CX32+BB32,""),"")</f>
        <v/>
      </c>
      <c r="CZ32" s="925" t="str">
        <f>IF(CB32="OK",INDEX(MEASURES3_M!$O$36, MATCH(F32,MEASURES3_M!$C$36,0)),"")</f>
        <v/>
      </c>
      <c r="DA32" s="925" t="str">
        <f>IF(CB32="OK",INDEX(MEASURES3_M!$P$36, MATCH(F32,MEASURES3_M!$C$36,0)),"")</f>
        <v/>
      </c>
      <c r="DD32" s="980" t="str">
        <f>IFERROR(IF(CB32&lt;&gt;"OK","",CM32*VLOOKUP('DATA TABLES_Project'!$C$247,'DATA TABLES_Project'!$A$250:$B$285,2,FALSE)),"")</f>
        <v/>
      </c>
      <c r="DE32" s="925" t="str">
        <f t="shared" ref="DE32" si="180">IFERROR(IF(CB32&lt;&gt;"OK","",CM32*CZ32*0.92),"")</f>
        <v/>
      </c>
      <c r="DF32" s="980" t="str">
        <f>IFERROR(IF(CB32&lt;&gt;"OK","",CM32*CZ32*0.92*VLOOKUP('DATA TABLES_Project'!$C$247,'DATA TABLES_Project'!$A$250:$B$285,2,FALSE)),"")</f>
        <v/>
      </c>
      <c r="DG32" s="925" t="str">
        <f t="shared" ref="DG32" si="181">IFERROR(IF(CB32&lt;&gt;"OK","",CM32*BV32),IF(BX32="Dual",(CM32*BW32)+((BY32-AJ32)*(BV32-BW32)),""))</f>
        <v/>
      </c>
      <c r="DH32" s="925" t="str">
        <f ca="1">IFERROR(IF(CB32&lt;&gt;"OK","",IF(OR(BX32="Single",BX32=""), CM32*BV32*AVERAGE(INDEX('DATA TABLES_Project'!$B$250:$B$285, MATCH('DATA TABLES_Project'!$C$247,'DATA TABLES_Project'!$A$250:$A$285, 0)):OFFSET(INDEX('DATA TABLES_Project'!$B$250:$B$285, MATCH('DATA TABLES_Project'!$C$247,'DATA TABLES_Project'!$A$250:$A$285, 0)),BV32-1,0)),CM32*BW32*AVERAGE(INDEX('DATA TABLES_Project'!$B$250:$B$285, MATCH('DATA TABLES_Project'!$C$247,'DATA TABLES_Project'!$A$250:$A$285, 0)):OFFSET(INDEX('DATA TABLES_Project'!$B$250:$B$285, MATCH('DATA TABLES_Project'!$C$247,'DATA TABLES_Project'!$A$250:$A$285, 0)),BW32-1,0)) + ((BY32-AJ32)*(BV32-BW32)*AVERAGE(OFFSET(INDEX('DATA TABLES_Project'!$B$250:$B$285, MATCH('DATA TABLES_Project'!$C$247,'DATA TABLES_Project'!$A$250:$A$285, 0)),BW32,0):OFFSET(INDEX('DATA TABLES_Project'!$B$250:$B$285, MATCH('DATA TABLES_Project'!$C$247,'DATA TABLES_Project'!$A$250:$A$285, 0)),BV32-1,0))))), "")</f>
        <v/>
      </c>
      <c r="DI32" s="925" t="str">
        <f t="shared" ref="DI32" si="182">IFERROR(IF(CB32&lt;&gt;"OK","",IF(BX32="Dual",(CM32*BW32)+((BY32-AJ32)*(BV32-BW32))*CZ32*0.92,CM32*CZ32*BV32*0.92)),"")</f>
        <v/>
      </c>
      <c r="DJ32" s="925" t="str">
        <f ca="1">IFERROR(IF(CB32&lt;&gt;"OK","",IF(OR(BX32="Single",BX32=""),0.92*CZ32*CM32*BV32*AVERAGE(INDEX('DATA TABLES_Project'!$B$250:$B$285, MATCH('DATA TABLES_Project'!$C$247,'DATA TABLES_Project'!$A$250:$A$285, 0)):OFFSET(INDEX('DATA TABLES_Project'!$B$250:$B$285, MATCH('DATA TABLES_Project'!$C$247,'DATA TABLES_Project'!$A$250:$A$285, 0)),BV32-1,0)),0.92*CZ32*CM32*BW32*AVERAGE(INDEX('DATA TABLES_Project'!$B$250:$B$285, MATCH('DATA TABLES_Project'!$C$247,'DATA TABLES_Project'!$A$250:$A$285, 0)):OFFSET(INDEX('DATA TABLES_Project'!$B$250:$B$285, MATCH('DATA TABLES_Project'!$C$247,'DATA TABLES_Project'!$A$250:$A$285, 0)),BW32-1,0)) + (0.92*CZ32*(BY32-AJ32)*(BV32-BW32)*AVERAGE(OFFSET(INDEX('DATA TABLES_Project'!$B$250:$B$285, MATCH('DATA TABLES_Project'!$C$247,'DATA TABLES_Project'!$A$250:$A$285, 0)),BW32,0):OFFSET(INDEX('DATA TABLES_Project'!$B$250:$B$285, MATCH('DATA TABLES_Project'!$C$247,'DATA TABLES_Project'!$A$250:$A$285, 0)),BV32-1,0))))), "")</f>
        <v/>
      </c>
      <c r="DK32" s="925" t="str">
        <f>IFERROR(IF(CB32&lt;&gt;"OK","",CO32*'DATA TABLES_Project'!$C$250),"")</f>
        <v/>
      </c>
      <c r="DL32" s="925" t="str">
        <f t="shared" ref="DL32" si="183">IFERROR(IF(CB32&lt;&gt;"OK","",CO32*DA32*0.92),"")</f>
        <v/>
      </c>
      <c r="DM32" s="925" t="str">
        <f>IFERROR(IF(CB32&lt;&gt;"OK","",CO32*'DATA TABLES_Project'!$C$250*DA32*0.92),"")</f>
        <v/>
      </c>
      <c r="DN32" s="925" t="str">
        <f t="shared" ref="DN32" si="184">IFERROR(IF(CB32&lt;&gt;"OK","",CO32*BV32),IF(BX32="Dual",(CO32*BW32)+((BZ32-AP32)*(BV32-BW32)),""))</f>
        <v/>
      </c>
      <c r="DO32" s="925" t="str">
        <f ca="1">IFERROR(IF(CB32&lt;&gt;"OK","",CO32*BV32*AVERAGE('DATA TABLES_Project'!$C$250:OFFSET('DATA TABLES_Project'!$C$250,BV32,0))),IF(BX32="Dual",(CO32*BW32*AVERAGE('DATA TABLES_Project'!$C$251:$C$259))+((BZ32-AP32)*(BV32-BW32)*AVERAGE('DATA TABLES_Project'!$C$260:$C$279)),""))</f>
        <v/>
      </c>
      <c r="DP32" s="925" t="str">
        <f t="shared" ref="DP32" si="185">IFERROR(IF(CB32&lt;&gt;"OK","",IF(BX32="Dual",((CO32*BW32)+(BZ32-AP32)*(BV32-BW32))*DA32*0.92,CO32*BV32*DA32*0.92)),"")</f>
        <v/>
      </c>
      <c r="DQ32" s="925" t="str">
        <f ca="1">IFERROR(IF(CB32&lt;&gt;"OK","",IF(BX32="Dual",(0.92*DA32*CO32*BW32*AVERAGE('DATA TABLES_Project'!$C$251:$C$259))+(0.92*DA32*(BZ32-AP32)*(BV32-BW32)*AVERAGE('DATA TABLES_Project'!$C$260:$C$279)),0.92*DA32*CO32*BV32*AVERAGE('DATA TABLES_Project'!$C$250:OFFSET('DATA TABLES_Project'!$C$250,BV32,0)))),"")</f>
        <v/>
      </c>
      <c r="DR32" s="980" t="str">
        <f>IFERROR(IF($CB32&lt;&gt;"OK","",CM32*'DATA TABLES_Project'!$B$290+IF(CO32&lt;0,0,CO32*'DATA TABLES_Project'!$B$291)),"")</f>
        <v/>
      </c>
      <c r="DS32" s="980" t="str">
        <f>IFERROR(IF($CB32&lt;&gt;"OK","",DD32*'DATA TABLES_Project'!$B$290+IF(DK32&lt;0,0,DK32*'DATA TABLES_Project'!$B$291)),"")</f>
        <v/>
      </c>
      <c r="DT32" s="980" t="str">
        <f>IFERROR(IF($CB32&lt;&gt;"OK","",DE32*'DATA TABLES_Project'!$B$290+IF(DL32&lt;0,0,DL32*'DATA TABLES_Project'!$B$291)),"")</f>
        <v/>
      </c>
      <c r="DU32" s="980" t="str">
        <f>IFERROR(IF($CB32&lt;&gt;"OK","",DF32*'DATA TABLES_Project'!$B$290+IF(DM32&lt;0,0,DM32*'DATA TABLES_Project'!$B$291)),"")</f>
        <v/>
      </c>
      <c r="DV32" s="980" t="str">
        <f>IFERROR(IF($CB32&lt;&gt;"OK","",DG32*'DATA TABLES_Project'!$B$290+IF(DN32&lt;0,0,DN32*'DATA TABLES_Project'!$B$291)),"")</f>
        <v/>
      </c>
      <c r="DW32" s="980" t="str">
        <f>IFERROR(IF($CB32&lt;&gt;"OK","",DH32*'DATA TABLES_Project'!$B$290+IF(DO32&lt;0,0,DO32*'DATA TABLES_Project'!$B$291)),"")</f>
        <v/>
      </c>
      <c r="DX32" s="980" t="str">
        <f>IFERROR(IF($CB32&lt;&gt;"OK","",DI32*'DATA TABLES_Project'!$B$290+IF(DP32&lt;0,0,DP32*'DATA TABLES_Project'!$B$291)),"")</f>
        <v/>
      </c>
      <c r="DY32" s="925" t="str">
        <f>IFERROR(IF($CB32&lt;&gt;"OK","",DJ32*'DATA TABLES_Project'!$B$290+IF(DQ32&lt;0,0,DQ32*'DATA TABLES_Project'!$B$291)),"")</f>
        <v/>
      </c>
      <c r="DZ32" s="925" t="str">
        <f t="shared" ref="DZ32" si="186">IFERROR(IF($CB32&lt;&gt;"OK","",AS32),"")</f>
        <v/>
      </c>
      <c r="EA32" s="925" t="str">
        <f>IFERROR(IF(CB32&lt;&gt;"OK","",CN32*'DATA TABLES_Project'!$B$250*CZ32*1.03),"")</f>
        <v/>
      </c>
      <c r="EB32" s="925" t="str">
        <f t="shared" ref="EB32" si="187">IFERROR(IF(CB32&lt;&gt;"OK","",CN32*CZ32*1.03),"")</f>
        <v/>
      </c>
      <c r="EC32" s="925" t="str">
        <f>IFERROR(IF(CB32&lt;&gt;"OK","",CZ32*DZ32*'DATA TABLES_Project'!$C$250*0.92),"")</f>
        <v/>
      </c>
      <c r="ED32" s="925" t="str">
        <f>IFERROR(IF(CB32&lt;&gt;"OK","",CZ32*DZ32*'DATA TABLES_Project'!$C$250*0.92),"")</f>
        <v/>
      </c>
      <c r="EE32" s="925" t="str">
        <f t="shared" ref="EE32" si="188">IFERROR(IF(CB32&lt;&gt;"OK","",CZ32*DZ32*0.92),"")</f>
        <v/>
      </c>
      <c r="EF32" s="925" t="str">
        <f t="shared" ref="EF32" si="189">IFERROR(IF(CB32&lt;&gt;"OK","",CZ32*DZ32*0.92),"")</f>
        <v/>
      </c>
      <c r="EG32" s="925" t="str">
        <f>IFERROR(IF($CB32&lt;&gt;"OK","",CM32*'DATA TABLES_Project'!$B$290+CO32*'DATA TABLES_Project'!$B$291),"")</f>
        <v/>
      </c>
      <c r="EH32" s="925" t="str">
        <f>IFERROR(IF($CB32&lt;&gt;"OK","",DD32*'DATA TABLES_Project'!$B$290+DK32*'DATA TABLES_Project'!$B$291),"")</f>
        <v/>
      </c>
      <c r="EI32" s="925" t="str">
        <f>IFERROR(IF($CB32&lt;&gt;"OK","",DE32*'DATA TABLES_Project'!$B$290+DL32*'DATA TABLES_Project'!$B$291),"")</f>
        <v/>
      </c>
      <c r="EJ32" s="925" t="str">
        <f>IFERROR(IF($CB32&lt;&gt;"OK","",DF32*'DATA TABLES_Project'!$B$290+DM32*'DATA TABLES_Project'!$B$291),"")</f>
        <v/>
      </c>
      <c r="EK32" s="925" t="str">
        <f>IFERROR(IF($CB32&lt;&gt;"OK","",DG32*'DATA TABLES_Project'!$B$290+DN32*'DATA TABLES_Project'!$B$291),"")</f>
        <v/>
      </c>
      <c r="EL32" s="925" t="str">
        <f>IFERROR(IF($CB32&lt;&gt;"OK","",DH32*'DATA TABLES_Project'!$B$290+DO32*'DATA TABLES_Project'!$B$291),"")</f>
        <v/>
      </c>
      <c r="EM32" s="925" t="str">
        <f>IFERROR(IF($CB32&lt;&gt;"OK","",DI32*'DATA TABLES_Project'!$B$290+DP32*'DATA TABLES_Project'!$B$291),"")</f>
        <v/>
      </c>
      <c r="EN32" s="925" t="str">
        <f>IFERROR(IF($CB32&lt;&gt;"OK","",DJ32*'DATA TABLES_Project'!$B$290+DQ32*'DATA TABLES_Project'!$B$291),"")</f>
        <v/>
      </c>
    </row>
    <row r="33" spans="1:144" ht="16.350000000000001" customHeight="1">
      <c r="A33" s="462"/>
      <c r="B33" s="994"/>
      <c r="C33" s="998"/>
      <c r="D33" s="999"/>
      <c r="E33" s="1000"/>
      <c r="F33" s="964"/>
      <c r="G33" s="965"/>
      <c r="H33" s="965"/>
      <c r="I33" s="965"/>
      <c r="J33" s="965"/>
      <c r="K33" s="966"/>
      <c r="L33" s="964"/>
      <c r="M33" s="965"/>
      <c r="N33" s="965"/>
      <c r="O33" s="965"/>
      <c r="P33" s="965"/>
      <c r="Q33" s="966"/>
      <c r="R33" s="1044"/>
      <c r="S33" s="1044"/>
      <c r="T33" s="1044"/>
      <c r="U33" s="1044"/>
      <c r="V33" s="1044"/>
      <c r="W33" s="1044"/>
      <c r="X33" s="1045"/>
      <c r="Y33" s="1045"/>
      <c r="Z33" s="1045"/>
      <c r="AA33" s="1045"/>
      <c r="AB33" s="1045"/>
      <c r="AC33" s="1045"/>
      <c r="AD33" s="964"/>
      <c r="AE33" s="965"/>
      <c r="AF33" s="965"/>
      <c r="AG33" s="965"/>
      <c r="AH33" s="965"/>
      <c r="AI33" s="966"/>
      <c r="AJ33" s="952"/>
      <c r="AK33" s="953"/>
      <c r="AL33" s="954"/>
      <c r="AM33" s="952"/>
      <c r="AN33" s="953"/>
      <c r="AO33" s="954"/>
      <c r="AP33" s="958"/>
      <c r="AQ33" s="959"/>
      <c r="AR33" s="960"/>
      <c r="AS33" s="958"/>
      <c r="AT33" s="959"/>
      <c r="AU33" s="960"/>
      <c r="AV33" s="968"/>
      <c r="AW33" s="969"/>
      <c r="AX33" s="969"/>
      <c r="AY33" s="969"/>
      <c r="AZ33" s="969"/>
      <c r="BA33" s="970"/>
      <c r="BB33" s="947"/>
      <c r="BC33" s="948"/>
      <c r="BD33" s="947"/>
      <c r="BE33" s="948"/>
      <c r="BF33" s="931"/>
      <c r="BG33" s="932"/>
      <c r="BH33" s="974"/>
      <c r="BI33" s="975"/>
      <c r="BJ33" s="976"/>
      <c r="BK33" s="936"/>
      <c r="BL33" s="937"/>
      <c r="BM33" s="938"/>
      <c r="BN33" s="942"/>
      <c r="BO33" s="943"/>
      <c r="BP33" s="944"/>
      <c r="BS33" s="967"/>
      <c r="BT33" s="967"/>
      <c r="BV33" s="926"/>
      <c r="BW33" s="926"/>
      <c r="BX33" s="926"/>
      <c r="BY33" s="927"/>
      <c r="BZ33" s="928"/>
      <c r="CB33" s="986"/>
      <c r="CC33" s="925"/>
      <c r="CD33" s="925"/>
      <c r="CE33" s="925"/>
      <c r="CF33" s="925"/>
      <c r="CG33" s="925"/>
      <c r="CH33" s="925"/>
      <c r="CI33" s="925"/>
      <c r="CJ33" s="977"/>
      <c r="CK33" s="977"/>
      <c r="CL33" s="977"/>
      <c r="CM33" s="977"/>
      <c r="CN33" s="977"/>
      <c r="CO33" s="977"/>
      <c r="CP33" s="977"/>
      <c r="CQ33" s="977"/>
      <c r="CR33" s="977"/>
      <c r="CS33" s="983"/>
      <c r="CT33" s="1056"/>
      <c r="CU33" s="979"/>
      <c r="CV33" s="925"/>
      <c r="CW33" s="925"/>
      <c r="CX33" s="925"/>
      <c r="CY33" s="925"/>
      <c r="CZ33" s="925"/>
      <c r="DA33" s="925"/>
      <c r="DD33" s="981"/>
      <c r="DE33" s="925"/>
      <c r="DF33" s="981"/>
      <c r="DG33" s="925"/>
      <c r="DH33" s="925"/>
      <c r="DI33" s="925"/>
      <c r="DJ33" s="925"/>
      <c r="DK33" s="925"/>
      <c r="DL33" s="925"/>
      <c r="DM33" s="925"/>
      <c r="DN33" s="925"/>
      <c r="DO33" s="925"/>
      <c r="DP33" s="925"/>
      <c r="DQ33" s="925"/>
      <c r="DR33" s="981"/>
      <c r="DS33" s="981"/>
      <c r="DT33" s="981"/>
      <c r="DU33" s="981"/>
      <c r="DV33" s="981"/>
      <c r="DW33" s="981"/>
      <c r="DX33" s="981"/>
      <c r="DY33" s="925"/>
      <c r="DZ33" s="925"/>
      <c r="EA33" s="925"/>
      <c r="EB33" s="925"/>
      <c r="EC33" s="925"/>
      <c r="ED33" s="925"/>
      <c r="EE33" s="925"/>
      <c r="EF33" s="925"/>
      <c r="EG33" s="925"/>
      <c r="EH33" s="925"/>
      <c r="EI33" s="925"/>
      <c r="EJ33" s="925"/>
      <c r="EK33" s="925"/>
      <c r="EL33" s="925"/>
      <c r="EM33" s="925"/>
      <c r="EN33" s="925"/>
    </row>
    <row r="34" spans="1:144" ht="16.350000000000001" customHeight="1">
      <c r="A34" s="462"/>
      <c r="B34" s="994">
        <v>9</v>
      </c>
      <c r="C34" s="995"/>
      <c r="D34" s="996"/>
      <c r="E34" s="997"/>
      <c r="F34" s="961"/>
      <c r="G34" s="962"/>
      <c r="H34" s="962"/>
      <c r="I34" s="962"/>
      <c r="J34" s="962"/>
      <c r="K34" s="963"/>
      <c r="L34" s="961"/>
      <c r="M34" s="962"/>
      <c r="N34" s="962"/>
      <c r="O34" s="962"/>
      <c r="P34" s="962"/>
      <c r="Q34" s="963"/>
      <c r="R34" s="1044"/>
      <c r="S34" s="1044"/>
      <c r="T34" s="1044"/>
      <c r="U34" s="1044"/>
      <c r="V34" s="1044"/>
      <c r="W34" s="1044"/>
      <c r="X34" s="1045"/>
      <c r="Y34" s="1045"/>
      <c r="Z34" s="1045"/>
      <c r="AA34" s="1045"/>
      <c r="AB34" s="1045"/>
      <c r="AC34" s="1045"/>
      <c r="AD34" s="961"/>
      <c r="AE34" s="962"/>
      <c r="AF34" s="962"/>
      <c r="AG34" s="962"/>
      <c r="AH34" s="962"/>
      <c r="AI34" s="963"/>
      <c r="AJ34" s="949"/>
      <c r="AK34" s="950"/>
      <c r="AL34" s="951"/>
      <c r="AM34" s="949"/>
      <c r="AN34" s="950"/>
      <c r="AO34" s="951"/>
      <c r="AP34" s="955"/>
      <c r="AQ34" s="956"/>
      <c r="AR34" s="957"/>
      <c r="AS34" s="955"/>
      <c r="AT34" s="956"/>
      <c r="AU34" s="957"/>
      <c r="AV34" s="968"/>
      <c r="AW34" s="969"/>
      <c r="AX34" s="970"/>
      <c r="AY34" s="968"/>
      <c r="AZ34" s="969"/>
      <c r="BA34" s="970"/>
      <c r="BB34" s="945"/>
      <c r="BC34" s="946"/>
      <c r="BD34" s="945"/>
      <c r="BE34" s="946"/>
      <c r="BF34" s="929" t="str">
        <f t="shared" ref="BF34" si="190">IF(CB34="OK",ROUND(BB34+BD34,2),"")</f>
        <v/>
      </c>
      <c r="BG34" s="930"/>
      <c r="BH34" s="971" t="str">
        <f t="shared" ref="BH34" si="191">IFERROR(IF(AND($CB34="OK",$CU34="OK"),$CI34,IF($CB34&lt;&gt;"OK",$CB34,$CU34)),"")</f>
        <v/>
      </c>
      <c r="BI34" s="972"/>
      <c r="BJ34" s="973"/>
      <c r="BK34" s="933" t="str">
        <f t="shared" ref="BK34" si="192">IF($CB34="OK",CM34,"")</f>
        <v/>
      </c>
      <c r="BL34" s="934"/>
      <c r="BM34" s="935"/>
      <c r="BN34" s="939" t="str">
        <f t="shared" ref="BN34" si="193">IF($CB34="OK",$CR34,"")</f>
        <v/>
      </c>
      <c r="BO34" s="940"/>
      <c r="BP34" s="941"/>
      <c r="BS34" s="967"/>
      <c r="BT34" s="967"/>
      <c r="BV34" s="926" t="str">
        <f t="shared" ref="BV34" si="194">IFERROR(ROUND(IF(AND(CB34="OK",CU34="OK"),CT34,""),0),"")</f>
        <v/>
      </c>
      <c r="BW34" s="926" t="str">
        <f t="shared" ref="BW34" si="195">IFERROR(ROUND(IF(AND(CB34="OK",CU34="OK"),BV34/3,""),0),"")</f>
        <v/>
      </c>
      <c r="BX34" s="926"/>
      <c r="BY34" s="927"/>
      <c r="BZ34" s="928"/>
      <c r="CB34" s="986" t="str">
        <f>IF(AND(C34="",F34="",R34="",AD34="",U34="",X34="",L34="",AJ34="",AV34="",AM34="",AP34="",AY34="",AV35="",BB34="",BD34="",AA34="",AS34=""),"",
IF(OR(C34="",F34="",R34="",AD34="",U34="",X34="",L34="",AJ34="",AV34="",AM34="",AP34="",AY34="",AV35="",BB34="",BD34="",AA34="",AS34=""),"Missing Fields",
IF(AND(M02S04F04disp="Required",M02S04F04=""),"TA Info Incomplete",
"OK")))</f>
        <v/>
      </c>
      <c r="CC34" s="925" t="str">
        <f>IF(AND(CB34="OK",CU34="OK"),INDEX(Tbl_Cust_Food[Measure Number], MATCH(F34,Tbl_Cust_Food[Proj Desc 1],0)),"")</f>
        <v/>
      </c>
      <c r="CD34" s="925"/>
      <c r="CE34" s="925" t="str">
        <f t="shared" ref="CE34" si="196">IF(CB34="OK","Measure","")</f>
        <v/>
      </c>
      <c r="CF34" s="925" t="str">
        <f t="shared" ref="CF34" si="197">IF(CB34="OK",1,"")</f>
        <v/>
      </c>
      <c r="CG34" s="978" t="str">
        <f t="shared" ref="CG34" si="198">IFERROR(CI34/CF34,"")</f>
        <v/>
      </c>
      <c r="CH34" s="978" t="str">
        <f>IF(CB34="OK",IF(CM34&gt;0,CM34*Incent_Rate_kWh,0)+IF(CO34&gt;0,CO34*Incent_Rate_thm,0),"")</f>
        <v/>
      </c>
      <c r="CI34" s="978" t="str">
        <f>IFERROR(IF($CB34="OK",IF(INCENTTOCOST_CUST&gt;CostCap_Cust,
CH34*CostCap_Cust/INCENTTOCOST_CUST,CH34),""),"")</f>
        <v/>
      </c>
      <c r="CJ34" s="977">
        <f t="shared" ref="CJ34" si="199">CM34</f>
        <v>0</v>
      </c>
      <c r="CK34" s="977">
        <f t="shared" ref="CK34" si="200">CN34</f>
        <v>0</v>
      </c>
      <c r="CL34" s="977">
        <f t="shared" ref="CL34" si="201">CO34</f>
        <v>0</v>
      </c>
      <c r="CM34" s="977">
        <f>R34-AJ34</f>
        <v>0</v>
      </c>
      <c r="CN34" s="977">
        <f>U34-AM34</f>
        <v>0</v>
      </c>
      <c r="CO34" s="977">
        <f t="shared" ref="CO34" si="202">IF(CR34&gt;0,CR34,0)</f>
        <v>0</v>
      </c>
      <c r="CP34" s="977">
        <f t="shared" ref="CP34" si="203">CM34</f>
        <v>0</v>
      </c>
      <c r="CQ34" s="977">
        <f t="shared" ref="CQ34" si="204">CN34</f>
        <v>0</v>
      </c>
      <c r="CR34" s="977">
        <f>X34-AP34</f>
        <v>0</v>
      </c>
      <c r="CS34" s="983"/>
      <c r="CT34" s="1056" t="str">
        <f>IF(CB34="OK",INDEX(Tbl_Cust_Food[EUL], MATCH(F34,Tbl_Cust_Food[Proj Desc 1],0)),"")</f>
        <v/>
      </c>
      <c r="CU34" s="979" t="str">
        <f t="shared" ref="CU34" si="205">IFERROR(IF(AND($CM34&lt;=0,$CN34&lt;=0,$CO34&lt;=0),"No Savings","OK"),"")</f>
        <v>No Savings</v>
      </c>
      <c r="CV34" s="925" t="str">
        <f t="shared" ref="CV34" si="206">IF(AND(CB34="OK",CU34="OK"),"1","")</f>
        <v/>
      </c>
      <c r="CW34" s="925" t="str">
        <f>IFERROR(IF($CB34="OK",ROUND($AQ$14*SUM(BB34:BE35)/SUM($BF$18:$BG$37),2),""),"")</f>
        <v/>
      </c>
      <c r="CX34" s="925" t="str">
        <f>IFERROR(IF(M02S04F04="Customer/Self-Installed",CW34,IF($CB34="OK",CW34+BD34,"")),"")</f>
        <v/>
      </c>
      <c r="CY34" s="925" t="str">
        <f>IFERROR(IF($CB34="OK",CX34+BB34,""),"")</f>
        <v/>
      </c>
      <c r="CZ34" s="925" t="str">
        <f>IF(CB34="OK",INDEX(MEASURES3_M!$O$36, MATCH(F34,MEASURES3_M!$C$36,0)),"")</f>
        <v/>
      </c>
      <c r="DA34" s="925" t="str">
        <f>IF(CB34="OK",INDEX(MEASURES3_M!$P$36, MATCH(F34,MEASURES3_M!$C$36,0)),"")</f>
        <v/>
      </c>
      <c r="DD34" s="980" t="str">
        <f>IFERROR(IF(CB34&lt;&gt;"OK","",CM34*VLOOKUP('DATA TABLES_Project'!$C$247,'DATA TABLES_Project'!$A$250:$B$285,2,FALSE)),"")</f>
        <v/>
      </c>
      <c r="DE34" s="925" t="str">
        <f t="shared" ref="DE34" si="207">IFERROR(IF(CB34&lt;&gt;"OK","",CM34*CZ34*0.92),"")</f>
        <v/>
      </c>
      <c r="DF34" s="980" t="str">
        <f>IFERROR(IF(CB34&lt;&gt;"OK","",CM34*CZ34*0.92*VLOOKUP('DATA TABLES_Project'!$C$247,'DATA TABLES_Project'!$A$250:$B$285,2,FALSE)),"")</f>
        <v/>
      </c>
      <c r="DG34" s="925" t="str">
        <f t="shared" ref="DG34" si="208">IFERROR(IF(CB34&lt;&gt;"OK","",CM34*BV34),IF(BX34="Dual",(CM34*BW34)+((BY34-AJ34)*(BV34-BW34)),""))</f>
        <v/>
      </c>
      <c r="DH34" s="925" t="str">
        <f ca="1">IFERROR(IF(CB34&lt;&gt;"OK","",IF(OR(BX34="Single",BX34=""), CM34*BV34*AVERAGE(INDEX('DATA TABLES_Project'!$B$250:$B$285, MATCH('DATA TABLES_Project'!$C$247,'DATA TABLES_Project'!$A$250:$A$285, 0)):OFFSET(INDEX('DATA TABLES_Project'!$B$250:$B$285, MATCH('DATA TABLES_Project'!$C$247,'DATA TABLES_Project'!$A$250:$A$285, 0)),BV34-1,0)),CM34*BW34*AVERAGE(INDEX('DATA TABLES_Project'!$B$250:$B$285, MATCH('DATA TABLES_Project'!$C$247,'DATA TABLES_Project'!$A$250:$A$285, 0)):OFFSET(INDEX('DATA TABLES_Project'!$B$250:$B$285, MATCH('DATA TABLES_Project'!$C$247,'DATA TABLES_Project'!$A$250:$A$285, 0)),BW34-1,0)) + ((BY34-AJ34)*(BV34-BW34)*AVERAGE(OFFSET(INDEX('DATA TABLES_Project'!$B$250:$B$285, MATCH('DATA TABLES_Project'!$C$247,'DATA TABLES_Project'!$A$250:$A$285, 0)),BW34,0):OFFSET(INDEX('DATA TABLES_Project'!$B$250:$B$285, MATCH('DATA TABLES_Project'!$C$247,'DATA TABLES_Project'!$A$250:$A$285, 0)),BV34-1,0))))), "")</f>
        <v/>
      </c>
      <c r="DI34" s="925" t="str">
        <f t="shared" ref="DI34" si="209">IFERROR(IF(CB34&lt;&gt;"OK","",IF(BX34="Dual",(CM34*BW34)+((BY34-AJ34)*(BV34-BW34))*CZ34*0.92,CM34*CZ34*BV34*0.92)),"")</f>
        <v/>
      </c>
      <c r="DJ34" s="925" t="str">
        <f ca="1">IFERROR(IF(CB34&lt;&gt;"OK","",IF(OR(BX34="Single",BX34=""),0.92*CZ34*CM34*BV34*AVERAGE(INDEX('DATA TABLES_Project'!$B$250:$B$285, MATCH('DATA TABLES_Project'!$C$247,'DATA TABLES_Project'!$A$250:$A$285, 0)):OFFSET(INDEX('DATA TABLES_Project'!$B$250:$B$285, MATCH('DATA TABLES_Project'!$C$247,'DATA TABLES_Project'!$A$250:$A$285, 0)),BV34-1,0)),0.92*CZ34*CM34*BW34*AVERAGE(INDEX('DATA TABLES_Project'!$B$250:$B$285, MATCH('DATA TABLES_Project'!$C$247,'DATA TABLES_Project'!$A$250:$A$285, 0)):OFFSET(INDEX('DATA TABLES_Project'!$B$250:$B$285, MATCH('DATA TABLES_Project'!$C$247,'DATA TABLES_Project'!$A$250:$A$285, 0)),BW34-1,0)) + (0.92*CZ34*(BY34-AJ34)*(BV34-BW34)*AVERAGE(OFFSET(INDEX('DATA TABLES_Project'!$B$250:$B$285, MATCH('DATA TABLES_Project'!$C$247,'DATA TABLES_Project'!$A$250:$A$285, 0)),BW34,0):OFFSET(INDEX('DATA TABLES_Project'!$B$250:$B$285, MATCH('DATA TABLES_Project'!$C$247,'DATA TABLES_Project'!$A$250:$A$285, 0)),BV34-1,0))))), "")</f>
        <v/>
      </c>
      <c r="DK34" s="925" t="str">
        <f>IFERROR(IF(CB34&lt;&gt;"OK","",CO34*'DATA TABLES_Project'!$C$250),"")</f>
        <v/>
      </c>
      <c r="DL34" s="925" t="str">
        <f t="shared" ref="DL34" si="210">IFERROR(IF(CB34&lt;&gt;"OK","",CO34*DA34*0.92),"")</f>
        <v/>
      </c>
      <c r="DM34" s="925" t="str">
        <f>IFERROR(IF(CB34&lt;&gt;"OK","",CO34*'DATA TABLES_Project'!$C$250*DA34*0.92),"")</f>
        <v/>
      </c>
      <c r="DN34" s="925" t="str">
        <f t="shared" ref="DN34" si="211">IFERROR(IF(CB34&lt;&gt;"OK","",CO34*BV34),IF(BX34="Dual",(CO34*BW34)+((BZ34-AP34)*(BV34-BW34)),""))</f>
        <v/>
      </c>
      <c r="DO34" s="925" t="str">
        <f ca="1">IFERROR(IF(CB34&lt;&gt;"OK","",CO34*BV34*AVERAGE('DATA TABLES_Project'!$C$250:OFFSET('DATA TABLES_Project'!$C$250,BV34,0))),IF(BX34="Dual",(CO34*BW34*AVERAGE('DATA TABLES_Project'!$C$251:$C$259))+((BZ34-AP34)*(BV34-BW34)*AVERAGE('DATA TABLES_Project'!$C$260:$C$279)),""))</f>
        <v/>
      </c>
      <c r="DP34" s="925" t="str">
        <f t="shared" ref="DP34" si="212">IFERROR(IF(CB34&lt;&gt;"OK","",IF(BX34="Dual",((CO34*BW34)+(BZ34-AP34)*(BV34-BW34))*DA34*0.92,CO34*BV34*DA34*0.92)),"")</f>
        <v/>
      </c>
      <c r="DQ34" s="925" t="str">
        <f ca="1">IFERROR(IF(CB34&lt;&gt;"OK","",IF(BX34="Dual",(0.92*DA34*CO34*BW34*AVERAGE('DATA TABLES_Project'!$C$251:$C$259))+(0.92*DA34*(BZ34-AP34)*(BV34-BW34)*AVERAGE('DATA TABLES_Project'!$C$260:$C$279)),0.92*DA34*CO34*BV34*AVERAGE('DATA TABLES_Project'!$C$250:OFFSET('DATA TABLES_Project'!$C$250,BV34,0)))),"")</f>
        <v/>
      </c>
      <c r="DR34" s="980" t="str">
        <f>IFERROR(IF($CB34&lt;&gt;"OK","",CM34*'DATA TABLES_Project'!$B$290+IF(CO34&lt;0,0,CO34*'DATA TABLES_Project'!$B$291)),"")</f>
        <v/>
      </c>
      <c r="DS34" s="980" t="str">
        <f>IFERROR(IF($CB34&lt;&gt;"OK","",DD34*'DATA TABLES_Project'!$B$290+IF(DK34&lt;0,0,DK34*'DATA TABLES_Project'!$B$291)),"")</f>
        <v/>
      </c>
      <c r="DT34" s="980" t="str">
        <f>IFERROR(IF($CB34&lt;&gt;"OK","",DE34*'DATA TABLES_Project'!$B$290+IF(DL34&lt;0,0,DL34*'DATA TABLES_Project'!$B$291)),"")</f>
        <v/>
      </c>
      <c r="DU34" s="980" t="str">
        <f>IFERROR(IF($CB34&lt;&gt;"OK","",DF34*'DATA TABLES_Project'!$B$290+IF(DM34&lt;0,0,DM34*'DATA TABLES_Project'!$B$291)),"")</f>
        <v/>
      </c>
      <c r="DV34" s="980" t="str">
        <f>IFERROR(IF($CB34&lt;&gt;"OK","",DG34*'DATA TABLES_Project'!$B$290+IF(DN34&lt;0,0,DN34*'DATA TABLES_Project'!$B$291)),"")</f>
        <v/>
      </c>
      <c r="DW34" s="980" t="str">
        <f>IFERROR(IF($CB34&lt;&gt;"OK","",DH34*'DATA TABLES_Project'!$B$290+IF(DO34&lt;0,0,DO34*'DATA TABLES_Project'!$B$291)),"")</f>
        <v/>
      </c>
      <c r="DX34" s="980" t="str">
        <f>IFERROR(IF($CB34&lt;&gt;"OK","",DI34*'DATA TABLES_Project'!$B$290+IF(DP34&lt;0,0,DP34*'DATA TABLES_Project'!$B$291)),"")</f>
        <v/>
      </c>
      <c r="DY34" s="925" t="str">
        <f>IFERROR(IF($CB34&lt;&gt;"OK","",DJ34*'DATA TABLES_Project'!$B$290+IF(DQ34&lt;0,0,DQ34*'DATA TABLES_Project'!$B$291)),"")</f>
        <v/>
      </c>
      <c r="DZ34" s="925" t="str">
        <f t="shared" ref="DZ34" si="213">IFERROR(IF($CB34&lt;&gt;"OK","",AS34),"")</f>
        <v/>
      </c>
      <c r="EA34" s="925" t="str">
        <f>IFERROR(IF(CB34&lt;&gt;"OK","",CN34*'DATA TABLES_Project'!$B$250*CZ34*1.03),"")</f>
        <v/>
      </c>
      <c r="EB34" s="925" t="str">
        <f t="shared" ref="EB34" si="214">IFERROR(IF(CB34&lt;&gt;"OK","",CN34*CZ34*1.03),"")</f>
        <v/>
      </c>
      <c r="EC34" s="925" t="str">
        <f>IFERROR(IF(CB34&lt;&gt;"OK","",CZ34*DZ34*'DATA TABLES_Project'!$C$250*0.92),"")</f>
        <v/>
      </c>
      <c r="ED34" s="925" t="str">
        <f>IFERROR(IF(CB34&lt;&gt;"OK","",CZ34*DZ34*'DATA TABLES_Project'!$C$250*0.92),"")</f>
        <v/>
      </c>
      <c r="EE34" s="925" t="str">
        <f t="shared" ref="EE34" si="215">IFERROR(IF(CB34&lt;&gt;"OK","",CZ34*DZ34*0.92),"")</f>
        <v/>
      </c>
      <c r="EF34" s="925" t="str">
        <f t="shared" ref="EF34" si="216">IFERROR(IF(CB34&lt;&gt;"OK","",CZ34*DZ34*0.92),"")</f>
        <v/>
      </c>
      <c r="EG34" s="925" t="str">
        <f>IFERROR(IF($CB34&lt;&gt;"OK","",CM34*'DATA TABLES_Project'!$B$290+CO34*'DATA TABLES_Project'!$B$291),"")</f>
        <v/>
      </c>
      <c r="EH34" s="925" t="str">
        <f>IFERROR(IF($CB34&lt;&gt;"OK","",DD34*'DATA TABLES_Project'!$B$290+DK34*'DATA TABLES_Project'!$B$291),"")</f>
        <v/>
      </c>
      <c r="EI34" s="925" t="str">
        <f>IFERROR(IF($CB34&lt;&gt;"OK","",DE34*'DATA TABLES_Project'!$B$290+DL34*'DATA TABLES_Project'!$B$291),"")</f>
        <v/>
      </c>
      <c r="EJ34" s="925" t="str">
        <f>IFERROR(IF($CB34&lt;&gt;"OK","",DF34*'DATA TABLES_Project'!$B$290+DM34*'DATA TABLES_Project'!$B$291),"")</f>
        <v/>
      </c>
      <c r="EK34" s="925" t="str">
        <f>IFERROR(IF($CB34&lt;&gt;"OK","",DG34*'DATA TABLES_Project'!$B$290+DN34*'DATA TABLES_Project'!$B$291),"")</f>
        <v/>
      </c>
      <c r="EL34" s="925" t="str">
        <f>IFERROR(IF($CB34&lt;&gt;"OK","",DH34*'DATA TABLES_Project'!$B$290+DO34*'DATA TABLES_Project'!$B$291),"")</f>
        <v/>
      </c>
      <c r="EM34" s="925" t="str">
        <f>IFERROR(IF($CB34&lt;&gt;"OK","",DI34*'DATA TABLES_Project'!$B$290+DP34*'DATA TABLES_Project'!$B$291),"")</f>
        <v/>
      </c>
      <c r="EN34" s="925" t="str">
        <f>IFERROR(IF($CB34&lt;&gt;"OK","",DJ34*'DATA TABLES_Project'!$B$290+DQ34*'DATA TABLES_Project'!$B$291),"")</f>
        <v/>
      </c>
    </row>
    <row r="35" spans="1:144" ht="16.350000000000001" customHeight="1">
      <c r="A35" s="462"/>
      <c r="B35" s="994"/>
      <c r="C35" s="998"/>
      <c r="D35" s="999"/>
      <c r="E35" s="1000"/>
      <c r="F35" s="964"/>
      <c r="G35" s="965"/>
      <c r="H35" s="965"/>
      <c r="I35" s="965"/>
      <c r="J35" s="965"/>
      <c r="K35" s="966"/>
      <c r="L35" s="964"/>
      <c r="M35" s="965"/>
      <c r="N35" s="965"/>
      <c r="O35" s="965"/>
      <c r="P35" s="965"/>
      <c r="Q35" s="966"/>
      <c r="R35" s="1044"/>
      <c r="S35" s="1044"/>
      <c r="T35" s="1044"/>
      <c r="U35" s="1044"/>
      <c r="V35" s="1044"/>
      <c r="W35" s="1044"/>
      <c r="X35" s="1045"/>
      <c r="Y35" s="1045"/>
      <c r="Z35" s="1045"/>
      <c r="AA35" s="1045"/>
      <c r="AB35" s="1045"/>
      <c r="AC35" s="1045"/>
      <c r="AD35" s="964"/>
      <c r="AE35" s="965"/>
      <c r="AF35" s="965"/>
      <c r="AG35" s="965"/>
      <c r="AH35" s="965"/>
      <c r="AI35" s="966"/>
      <c r="AJ35" s="952"/>
      <c r="AK35" s="953"/>
      <c r="AL35" s="954"/>
      <c r="AM35" s="952"/>
      <c r="AN35" s="953"/>
      <c r="AO35" s="954"/>
      <c r="AP35" s="958"/>
      <c r="AQ35" s="959"/>
      <c r="AR35" s="960"/>
      <c r="AS35" s="958"/>
      <c r="AT35" s="959"/>
      <c r="AU35" s="960"/>
      <c r="AV35" s="968"/>
      <c r="AW35" s="969"/>
      <c r="AX35" s="969"/>
      <c r="AY35" s="969"/>
      <c r="AZ35" s="969"/>
      <c r="BA35" s="970"/>
      <c r="BB35" s="947"/>
      <c r="BC35" s="948"/>
      <c r="BD35" s="947"/>
      <c r="BE35" s="948"/>
      <c r="BF35" s="931"/>
      <c r="BG35" s="932"/>
      <c r="BH35" s="974"/>
      <c r="BI35" s="975"/>
      <c r="BJ35" s="976"/>
      <c r="BK35" s="936"/>
      <c r="BL35" s="937"/>
      <c r="BM35" s="938"/>
      <c r="BN35" s="942"/>
      <c r="BO35" s="943"/>
      <c r="BP35" s="944"/>
      <c r="BS35" s="967"/>
      <c r="BT35" s="967"/>
      <c r="BV35" s="926"/>
      <c r="BW35" s="926"/>
      <c r="BX35" s="926"/>
      <c r="BY35" s="927"/>
      <c r="BZ35" s="928"/>
      <c r="CB35" s="986"/>
      <c r="CC35" s="925"/>
      <c r="CD35" s="925"/>
      <c r="CE35" s="925"/>
      <c r="CF35" s="925"/>
      <c r="CG35" s="925"/>
      <c r="CH35" s="925"/>
      <c r="CI35" s="925"/>
      <c r="CJ35" s="977"/>
      <c r="CK35" s="977"/>
      <c r="CL35" s="977"/>
      <c r="CM35" s="977"/>
      <c r="CN35" s="977"/>
      <c r="CO35" s="977"/>
      <c r="CP35" s="977"/>
      <c r="CQ35" s="977"/>
      <c r="CR35" s="977"/>
      <c r="CS35" s="983"/>
      <c r="CT35" s="1056"/>
      <c r="CU35" s="979"/>
      <c r="CV35" s="925"/>
      <c r="CW35" s="925"/>
      <c r="CX35" s="925"/>
      <c r="CY35" s="925"/>
      <c r="CZ35" s="925"/>
      <c r="DA35" s="925"/>
      <c r="DD35" s="981"/>
      <c r="DE35" s="925"/>
      <c r="DF35" s="981"/>
      <c r="DG35" s="925"/>
      <c r="DH35" s="925"/>
      <c r="DI35" s="925"/>
      <c r="DJ35" s="925"/>
      <c r="DK35" s="925"/>
      <c r="DL35" s="925"/>
      <c r="DM35" s="925"/>
      <c r="DN35" s="925"/>
      <c r="DO35" s="925"/>
      <c r="DP35" s="925"/>
      <c r="DQ35" s="925"/>
      <c r="DR35" s="981"/>
      <c r="DS35" s="981"/>
      <c r="DT35" s="981"/>
      <c r="DU35" s="981"/>
      <c r="DV35" s="981"/>
      <c r="DW35" s="981"/>
      <c r="DX35" s="981"/>
      <c r="DY35" s="925"/>
      <c r="DZ35" s="925"/>
      <c r="EA35" s="925"/>
      <c r="EB35" s="925"/>
      <c r="EC35" s="925"/>
      <c r="ED35" s="925"/>
      <c r="EE35" s="925"/>
      <c r="EF35" s="925"/>
      <c r="EG35" s="925"/>
      <c r="EH35" s="925"/>
      <c r="EI35" s="925"/>
      <c r="EJ35" s="925"/>
      <c r="EK35" s="925"/>
      <c r="EL35" s="925"/>
      <c r="EM35" s="925"/>
      <c r="EN35" s="925"/>
    </row>
    <row r="36" spans="1:144" ht="16.350000000000001" customHeight="1">
      <c r="A36" s="462"/>
      <c r="B36" s="994">
        <v>10</v>
      </c>
      <c r="C36" s="995"/>
      <c r="D36" s="996"/>
      <c r="E36" s="997"/>
      <c r="F36" s="961"/>
      <c r="G36" s="962"/>
      <c r="H36" s="962"/>
      <c r="I36" s="962"/>
      <c r="J36" s="962"/>
      <c r="K36" s="963"/>
      <c r="L36" s="961"/>
      <c r="M36" s="962"/>
      <c r="N36" s="962"/>
      <c r="O36" s="962"/>
      <c r="P36" s="962"/>
      <c r="Q36" s="963"/>
      <c r="R36" s="1044"/>
      <c r="S36" s="1044"/>
      <c r="T36" s="1044"/>
      <c r="U36" s="1044"/>
      <c r="V36" s="1044"/>
      <c r="W36" s="1044"/>
      <c r="X36" s="1045"/>
      <c r="Y36" s="1045"/>
      <c r="Z36" s="1045"/>
      <c r="AA36" s="1045"/>
      <c r="AB36" s="1045"/>
      <c r="AC36" s="1045"/>
      <c r="AD36" s="961"/>
      <c r="AE36" s="962"/>
      <c r="AF36" s="962"/>
      <c r="AG36" s="962"/>
      <c r="AH36" s="962"/>
      <c r="AI36" s="963"/>
      <c r="AJ36" s="949"/>
      <c r="AK36" s="950"/>
      <c r="AL36" s="951"/>
      <c r="AM36" s="949"/>
      <c r="AN36" s="950"/>
      <c r="AO36" s="951"/>
      <c r="AP36" s="955"/>
      <c r="AQ36" s="956"/>
      <c r="AR36" s="957"/>
      <c r="AS36" s="955"/>
      <c r="AT36" s="956"/>
      <c r="AU36" s="957"/>
      <c r="AV36" s="968"/>
      <c r="AW36" s="969"/>
      <c r="AX36" s="970"/>
      <c r="AY36" s="968"/>
      <c r="AZ36" s="969"/>
      <c r="BA36" s="970"/>
      <c r="BB36" s="945"/>
      <c r="BC36" s="946"/>
      <c r="BD36" s="945"/>
      <c r="BE36" s="946"/>
      <c r="BF36" s="929" t="str">
        <f t="shared" ref="BF36" si="217">IF(CB36="OK",ROUND(BB36+BD36,2),"")</f>
        <v/>
      </c>
      <c r="BG36" s="930"/>
      <c r="BH36" s="971" t="str">
        <f t="shared" ref="BH36" si="218">IFERROR(IF(AND($CB36="OK",$CU36="OK"),$CI36,IF($CB36&lt;&gt;"OK",$CB36,$CU36)),"")</f>
        <v/>
      </c>
      <c r="BI36" s="972"/>
      <c r="BJ36" s="973"/>
      <c r="BK36" s="933" t="str">
        <f t="shared" ref="BK36" si="219">IF($CB36="OK",CM36,"")</f>
        <v/>
      </c>
      <c r="BL36" s="934"/>
      <c r="BM36" s="935"/>
      <c r="BN36" s="939" t="str">
        <f t="shared" ref="BN36" si="220">IF($CB36="OK",$CR36,"")</f>
        <v/>
      </c>
      <c r="BO36" s="940"/>
      <c r="BP36" s="941"/>
      <c r="BS36" s="967"/>
      <c r="BT36" s="967"/>
      <c r="BV36" s="926" t="str">
        <f t="shared" ref="BV36" si="221">IFERROR(ROUND(IF(AND(CB36="OK",CU36="OK"),CT36,""),0),"")</f>
        <v/>
      </c>
      <c r="BW36" s="926" t="str">
        <f t="shared" ref="BW36" si="222">IFERROR(ROUND(IF(AND(CB36="OK",CU36="OK"),BV36/3,""),0),"")</f>
        <v/>
      </c>
      <c r="BX36" s="926"/>
      <c r="BY36" s="927"/>
      <c r="BZ36" s="928"/>
      <c r="CB36" s="986" t="str">
        <f>IF(AND(C36="",F36="",R36="",AD36="",U36="",X36="",L36="",AJ36="",AV36="",AM36="",AP36="",AY36="",AV37="",BB36="",BD36="",AA36="",AS36=""),"",
IF(OR(C36="",F36="",R36="",AD36="",U36="",X36="",L36="",AJ36="",AV36="",AM36="",AP36="",AY36="",AV37="",BB36="",BD36="",AA36="",AS36=""),"Missing Fields",
IF(AND(M02S04F04disp="Required",M02S04F04=""),"TA Info Incomplete",
"OK")))</f>
        <v/>
      </c>
      <c r="CC36" s="925" t="str">
        <f>IF(AND(CB36="OK",CU36="OK"),INDEX(Tbl_Cust_Food[Measure Number], MATCH(F36,Tbl_Cust_Food[Proj Desc 1],0)),"")</f>
        <v/>
      </c>
      <c r="CD36" s="925"/>
      <c r="CE36" s="925" t="str">
        <f t="shared" ref="CE36" si="223">IF(CB36="OK","Measure","")</f>
        <v/>
      </c>
      <c r="CF36" s="925" t="str">
        <f t="shared" ref="CF36" si="224">IF(CB36="OK",1,"")</f>
        <v/>
      </c>
      <c r="CG36" s="978" t="str">
        <f t="shared" ref="CG36" si="225">IFERROR(CI36/CF36,"")</f>
        <v/>
      </c>
      <c r="CH36" s="978" t="str">
        <f>IF(CB36="OK",IF(CM36&gt;0,CM36*Incent_Rate_kWh,0)+IF(CO36&gt;0,CO36*Incent_Rate_thm,0),"")</f>
        <v/>
      </c>
      <c r="CI36" s="978" t="str">
        <f>IFERROR(IF($CB36="OK",IF(INCENTTOCOST_CUST&gt;CostCap_Cust,
CH36*CostCap_Cust/INCENTTOCOST_CUST,CH36),""),"")</f>
        <v/>
      </c>
      <c r="CJ36" s="977">
        <f t="shared" ref="CJ36" si="226">CM36</f>
        <v>0</v>
      </c>
      <c r="CK36" s="977">
        <f t="shared" ref="CK36" si="227">CN36</f>
        <v>0</v>
      </c>
      <c r="CL36" s="977">
        <f t="shared" ref="CL36" si="228">CO36</f>
        <v>0</v>
      </c>
      <c r="CM36" s="977">
        <f>R36-AJ36</f>
        <v>0</v>
      </c>
      <c r="CN36" s="977">
        <f>U36-AM36</f>
        <v>0</v>
      </c>
      <c r="CO36" s="977">
        <f t="shared" ref="CO36" si="229">IF(CR36&gt;0,CR36,0)</f>
        <v>0</v>
      </c>
      <c r="CP36" s="977">
        <f t="shared" ref="CP36" si="230">CM36</f>
        <v>0</v>
      </c>
      <c r="CQ36" s="977">
        <f t="shared" ref="CQ36" si="231">CN36</f>
        <v>0</v>
      </c>
      <c r="CR36" s="977">
        <f>X36-AP36</f>
        <v>0</v>
      </c>
      <c r="CS36" s="983"/>
      <c r="CT36" s="1056" t="str">
        <f>IF(CB36="OK",INDEX(Tbl_Cust_Food[EUL], MATCH(F36,Tbl_Cust_Food[Proj Desc 1],0)),"")</f>
        <v/>
      </c>
      <c r="CU36" s="979" t="str">
        <f t="shared" ref="CU36" si="232">IFERROR(IF(AND($CM36&lt;=0,$CN36&lt;=0,$CO36&lt;=0),"No Savings","OK"),"")</f>
        <v>No Savings</v>
      </c>
      <c r="CV36" s="925" t="str">
        <f t="shared" ref="CV36" si="233">IF(AND(CB36="OK",CU36="OK"),"1","")</f>
        <v/>
      </c>
      <c r="CW36" s="925" t="str">
        <f>IFERROR(IF($CB36="OK",ROUND($AQ$14*SUM(BB36:BE37)/SUM($BF$18:$BG$37),2),""),"")</f>
        <v/>
      </c>
      <c r="CX36" s="925" t="str">
        <f>IFERROR(IF(M02S04F04="Customer/Self-Installed",CW36,IF($CB36="OK",CW36+BD36,"")),"")</f>
        <v/>
      </c>
      <c r="CY36" s="925" t="str">
        <f>IFERROR(IF($CB36="OK",CX36+BB36,""),"")</f>
        <v/>
      </c>
      <c r="CZ36" s="925" t="str">
        <f>IF(CB36="OK",INDEX(MEASURES3_M!$O$36, MATCH(F36,MEASURES3_M!$C$36,0)),"")</f>
        <v/>
      </c>
      <c r="DA36" s="925" t="str">
        <f>IF(CB36="OK",INDEX(MEASURES3_M!$P$36, MATCH(F36,MEASURES3_M!$C$36,0)),"")</f>
        <v/>
      </c>
      <c r="DD36" s="980" t="str">
        <f>IFERROR(IF(CB36&lt;&gt;"OK","",CM36*VLOOKUP('DATA TABLES_Project'!$C$247,'DATA TABLES_Project'!$A$250:$B$285,2,FALSE)),"")</f>
        <v/>
      </c>
      <c r="DE36" s="925" t="str">
        <f t="shared" ref="DE36" si="234">IFERROR(IF(CB36&lt;&gt;"OK","",CM36*CZ36*0.92),"")</f>
        <v/>
      </c>
      <c r="DF36" s="980" t="str">
        <f>IFERROR(IF(CB36&lt;&gt;"OK","",CM36*CZ36*0.92*VLOOKUP('DATA TABLES_Project'!$C$247,'DATA TABLES_Project'!$A$250:$B$285,2,FALSE)),"")</f>
        <v/>
      </c>
      <c r="DG36" s="925" t="str">
        <f t="shared" ref="DG36" si="235">IFERROR(IF(CB36&lt;&gt;"OK","",CM36*BV36),IF(BX36="Dual",(CM36*BW36)+((BY36-AJ36)*(BV36-BW36)),""))</f>
        <v/>
      </c>
      <c r="DH36" s="925" t="str">
        <f ca="1">IFERROR(IF(CB36&lt;&gt;"OK","",IF(OR(BX36="Single",BX36=""), CM36*BV36*AVERAGE(INDEX('DATA TABLES_Project'!$B$250:$B$285, MATCH('DATA TABLES_Project'!$C$247,'DATA TABLES_Project'!$A$250:$A$285, 0)):OFFSET(INDEX('DATA TABLES_Project'!$B$250:$B$285, MATCH('DATA TABLES_Project'!$C$247,'DATA TABLES_Project'!$A$250:$A$285, 0)),BV36-1,0)),CM36*BW36*AVERAGE(INDEX('DATA TABLES_Project'!$B$250:$B$285, MATCH('DATA TABLES_Project'!$C$247,'DATA TABLES_Project'!$A$250:$A$285, 0)):OFFSET(INDEX('DATA TABLES_Project'!$B$250:$B$285, MATCH('DATA TABLES_Project'!$C$247,'DATA TABLES_Project'!$A$250:$A$285, 0)),BW36-1,0)) + ((BY36-AJ36)*(BV36-BW36)*AVERAGE(OFFSET(INDEX('DATA TABLES_Project'!$B$250:$B$285, MATCH('DATA TABLES_Project'!$C$247,'DATA TABLES_Project'!$A$250:$A$285, 0)),BW36,0):OFFSET(INDEX('DATA TABLES_Project'!$B$250:$B$285, MATCH('DATA TABLES_Project'!$C$247,'DATA TABLES_Project'!$A$250:$A$285, 0)),BV36-1,0))))), "")</f>
        <v/>
      </c>
      <c r="DI36" s="925" t="str">
        <f t="shared" ref="DI36" si="236">IFERROR(IF(CB36&lt;&gt;"OK","",IF(BX36="Dual",(CM36*BW36)+((BY36-AJ36)*(BV36-BW36))*CZ36*0.92,CM36*CZ36*BV36*0.92)),"")</f>
        <v/>
      </c>
      <c r="DJ36" s="925" t="str">
        <f ca="1">IFERROR(IF(CB36&lt;&gt;"OK","",IF(OR(BX36="Single",BX36=""),0.92*CZ36*CM36*BV36*AVERAGE(INDEX('DATA TABLES_Project'!$B$250:$B$285, MATCH('DATA TABLES_Project'!$C$247,'DATA TABLES_Project'!$A$250:$A$285, 0)):OFFSET(INDEX('DATA TABLES_Project'!$B$250:$B$285, MATCH('DATA TABLES_Project'!$C$247,'DATA TABLES_Project'!$A$250:$A$285, 0)),BV36-1,0)),0.92*CZ36*CM36*BW36*AVERAGE(INDEX('DATA TABLES_Project'!$B$250:$B$285, MATCH('DATA TABLES_Project'!$C$247,'DATA TABLES_Project'!$A$250:$A$285, 0)):OFFSET(INDEX('DATA TABLES_Project'!$B$250:$B$285, MATCH('DATA TABLES_Project'!$C$247,'DATA TABLES_Project'!$A$250:$A$285, 0)),BW36-1,0)) + (0.92*CZ36*(BY36-AJ36)*(BV36-BW36)*AVERAGE(OFFSET(INDEX('DATA TABLES_Project'!$B$250:$B$285, MATCH('DATA TABLES_Project'!$C$247,'DATA TABLES_Project'!$A$250:$A$285, 0)),BW36,0):OFFSET(INDEX('DATA TABLES_Project'!$B$250:$B$285, MATCH('DATA TABLES_Project'!$C$247,'DATA TABLES_Project'!$A$250:$A$285, 0)),BV36-1,0))))), "")</f>
        <v/>
      </c>
      <c r="DK36" s="925" t="str">
        <f>IFERROR(IF(CB36&lt;&gt;"OK","",CO36*'DATA TABLES_Project'!$C$250),"")</f>
        <v/>
      </c>
      <c r="DL36" s="925" t="str">
        <f t="shared" ref="DL36" si="237">IFERROR(IF(CB36&lt;&gt;"OK","",CO36*DA36*0.92),"")</f>
        <v/>
      </c>
      <c r="DM36" s="925" t="str">
        <f>IFERROR(IF(CB36&lt;&gt;"OK","",CO36*'DATA TABLES_Project'!$C$250*DA36*0.92),"")</f>
        <v/>
      </c>
      <c r="DN36" s="925" t="str">
        <f t="shared" ref="DN36" si="238">IFERROR(IF(CB36&lt;&gt;"OK","",CO36*BV36),IF(BX36="Dual",(CO36*BW36)+((BZ36-AP36)*(BV36-BW36)),""))</f>
        <v/>
      </c>
      <c r="DO36" s="925" t="str">
        <f ca="1">IFERROR(IF(CB36&lt;&gt;"OK","",CO36*BV36*AVERAGE('DATA TABLES_Project'!$C$250:OFFSET('DATA TABLES_Project'!$C$250,BV36,0))),IF(BX36="Dual",(CO36*BW36*AVERAGE('DATA TABLES_Project'!$C$251:$C$259))+((BZ36-AP36)*(BV36-BW36)*AVERAGE('DATA TABLES_Project'!$C$260:$C$279)),""))</f>
        <v/>
      </c>
      <c r="DP36" s="925" t="str">
        <f t="shared" ref="DP36" si="239">IFERROR(IF(CB36&lt;&gt;"OK","",IF(BX36="Dual",((CO36*BW36)+(BZ36-AP36)*(BV36-BW36))*DA36*0.92,CO36*BV36*DA36*0.92)),"")</f>
        <v/>
      </c>
      <c r="DQ36" s="925" t="str">
        <f ca="1">IFERROR(IF(CB36&lt;&gt;"OK","",IF(BX36="Dual",(0.92*DA36*CO36*BW36*AVERAGE('DATA TABLES_Project'!$C$251:$C$259))+(0.92*DA36*(BZ36-AP36)*(BV36-BW36)*AVERAGE('DATA TABLES_Project'!$C$260:$C$279)),0.92*DA36*CO36*BV36*AVERAGE('DATA TABLES_Project'!$C$250:OFFSET('DATA TABLES_Project'!$C$250,BV36,0)))),"")</f>
        <v/>
      </c>
      <c r="DR36" s="980" t="str">
        <f>IFERROR(IF($CB36&lt;&gt;"OK","",CM36*'DATA TABLES_Project'!$B$290+IF(CO36&lt;0,0,CO36*'DATA TABLES_Project'!$B$291)),"")</f>
        <v/>
      </c>
      <c r="DS36" s="980" t="str">
        <f>IFERROR(IF($CB36&lt;&gt;"OK","",DD36*'DATA TABLES_Project'!$B$290+IF(DK36&lt;0,0,DK36*'DATA TABLES_Project'!$B$291)),"")</f>
        <v/>
      </c>
      <c r="DT36" s="980" t="str">
        <f>IFERROR(IF($CB36&lt;&gt;"OK","",DE36*'DATA TABLES_Project'!$B$290+IF(DL36&lt;0,0,DL36*'DATA TABLES_Project'!$B$291)),"")</f>
        <v/>
      </c>
      <c r="DU36" s="980" t="str">
        <f>IFERROR(IF($CB36&lt;&gt;"OK","",DF36*'DATA TABLES_Project'!$B$290+IF(DM36&lt;0,0,DM36*'DATA TABLES_Project'!$B$291)),"")</f>
        <v/>
      </c>
      <c r="DV36" s="980" t="str">
        <f>IFERROR(IF($CB36&lt;&gt;"OK","",DG36*'DATA TABLES_Project'!$B$290+IF(DN36&lt;0,0,DN36*'DATA TABLES_Project'!$B$291)),"")</f>
        <v/>
      </c>
      <c r="DW36" s="980" t="str">
        <f>IFERROR(IF($CB36&lt;&gt;"OK","",DH36*'DATA TABLES_Project'!$B$290+IF(DO36&lt;0,0,DO36*'DATA TABLES_Project'!$B$291)),"")</f>
        <v/>
      </c>
      <c r="DX36" s="980" t="str">
        <f>IFERROR(IF($CB36&lt;&gt;"OK","",DI36*'DATA TABLES_Project'!$B$290+IF(DP36&lt;0,0,DP36*'DATA TABLES_Project'!$B$291)),"")</f>
        <v/>
      </c>
      <c r="DY36" s="925" t="str">
        <f>IFERROR(IF($CB36&lt;&gt;"OK","",DJ36*'DATA TABLES_Project'!$B$290+IF(DQ36&lt;0,0,DQ36*'DATA TABLES_Project'!$B$291)),"")</f>
        <v/>
      </c>
      <c r="DZ36" s="925" t="str">
        <f t="shared" ref="DZ36" si="240">IFERROR(IF($CB36&lt;&gt;"OK","",AS36),"")</f>
        <v/>
      </c>
      <c r="EA36" s="925" t="str">
        <f>IFERROR(IF(CB36&lt;&gt;"OK","",CN36*'DATA TABLES_Project'!$B$250*CZ36*1.03),"")</f>
        <v/>
      </c>
      <c r="EB36" s="925" t="str">
        <f t="shared" ref="EB36" si="241">IFERROR(IF(CB36&lt;&gt;"OK","",CN36*CZ36*1.03),"")</f>
        <v/>
      </c>
      <c r="EC36" s="925" t="str">
        <f>IFERROR(IF(CB36&lt;&gt;"OK","",CZ36*DZ36*'DATA TABLES_Project'!$C$250*0.92),"")</f>
        <v/>
      </c>
      <c r="ED36" s="925" t="str">
        <f>IFERROR(IF(CB36&lt;&gt;"OK","",CZ36*DZ36*'DATA TABLES_Project'!$C$250*0.92),"")</f>
        <v/>
      </c>
      <c r="EE36" s="925" t="str">
        <f t="shared" ref="EE36" si="242">IFERROR(IF(CB36&lt;&gt;"OK","",CZ36*DZ36*0.92),"")</f>
        <v/>
      </c>
      <c r="EF36" s="925" t="str">
        <f t="shared" ref="EF36" si="243">IFERROR(IF(CB36&lt;&gt;"OK","",CZ36*DZ36*0.92),"")</f>
        <v/>
      </c>
      <c r="EG36" s="925" t="str">
        <f>IFERROR(IF($CB36&lt;&gt;"OK","",CM36*'DATA TABLES_Project'!$B$290+CO36*'DATA TABLES_Project'!$B$291),"")</f>
        <v/>
      </c>
      <c r="EH36" s="925" t="str">
        <f>IFERROR(IF($CB36&lt;&gt;"OK","",DD36*'DATA TABLES_Project'!$B$290+DK36*'DATA TABLES_Project'!$B$291),"")</f>
        <v/>
      </c>
      <c r="EI36" s="925" t="str">
        <f>IFERROR(IF($CB36&lt;&gt;"OK","",DE36*'DATA TABLES_Project'!$B$290+DL36*'DATA TABLES_Project'!$B$291),"")</f>
        <v/>
      </c>
      <c r="EJ36" s="925" t="str">
        <f>IFERROR(IF($CB36&lt;&gt;"OK","",DF36*'DATA TABLES_Project'!$B$290+DM36*'DATA TABLES_Project'!$B$291),"")</f>
        <v/>
      </c>
      <c r="EK36" s="925" t="str">
        <f>IFERROR(IF($CB36&lt;&gt;"OK","",DG36*'DATA TABLES_Project'!$B$290+DN36*'DATA TABLES_Project'!$B$291),"")</f>
        <v/>
      </c>
      <c r="EL36" s="925" t="str">
        <f>IFERROR(IF($CB36&lt;&gt;"OK","",DH36*'DATA TABLES_Project'!$B$290+DO36*'DATA TABLES_Project'!$B$291),"")</f>
        <v/>
      </c>
      <c r="EM36" s="925" t="str">
        <f>IFERROR(IF($CB36&lt;&gt;"OK","",DI36*'DATA TABLES_Project'!$B$290+DP36*'DATA TABLES_Project'!$B$291),"")</f>
        <v/>
      </c>
      <c r="EN36" s="925" t="str">
        <f>IFERROR(IF($CB36&lt;&gt;"OK","",DJ36*'DATA TABLES_Project'!$B$290+DQ36*'DATA TABLES_Project'!$B$291),"")</f>
        <v/>
      </c>
    </row>
    <row r="37" spans="1:144" ht="16.350000000000001" customHeight="1">
      <c r="A37" s="462"/>
      <c r="B37" s="994"/>
      <c r="C37" s="998"/>
      <c r="D37" s="999"/>
      <c r="E37" s="1000"/>
      <c r="F37" s="964"/>
      <c r="G37" s="965"/>
      <c r="H37" s="965"/>
      <c r="I37" s="965"/>
      <c r="J37" s="965"/>
      <c r="K37" s="966"/>
      <c r="L37" s="964"/>
      <c r="M37" s="965"/>
      <c r="N37" s="965"/>
      <c r="O37" s="965"/>
      <c r="P37" s="965"/>
      <c r="Q37" s="966"/>
      <c r="R37" s="1044"/>
      <c r="S37" s="1044"/>
      <c r="T37" s="1044"/>
      <c r="U37" s="1044"/>
      <c r="V37" s="1044"/>
      <c r="W37" s="1044"/>
      <c r="X37" s="1045"/>
      <c r="Y37" s="1045"/>
      <c r="Z37" s="1045"/>
      <c r="AA37" s="1045"/>
      <c r="AB37" s="1045"/>
      <c r="AC37" s="1045"/>
      <c r="AD37" s="964"/>
      <c r="AE37" s="965"/>
      <c r="AF37" s="965"/>
      <c r="AG37" s="965"/>
      <c r="AH37" s="965"/>
      <c r="AI37" s="966"/>
      <c r="AJ37" s="952"/>
      <c r="AK37" s="953"/>
      <c r="AL37" s="954"/>
      <c r="AM37" s="952"/>
      <c r="AN37" s="953"/>
      <c r="AO37" s="954"/>
      <c r="AP37" s="958"/>
      <c r="AQ37" s="959"/>
      <c r="AR37" s="960"/>
      <c r="AS37" s="958"/>
      <c r="AT37" s="959"/>
      <c r="AU37" s="960"/>
      <c r="AV37" s="968"/>
      <c r="AW37" s="969"/>
      <c r="AX37" s="969"/>
      <c r="AY37" s="969"/>
      <c r="AZ37" s="969"/>
      <c r="BA37" s="970"/>
      <c r="BB37" s="947"/>
      <c r="BC37" s="948"/>
      <c r="BD37" s="947"/>
      <c r="BE37" s="948"/>
      <c r="BF37" s="931"/>
      <c r="BG37" s="932"/>
      <c r="BH37" s="974"/>
      <c r="BI37" s="975"/>
      <c r="BJ37" s="976"/>
      <c r="BK37" s="936"/>
      <c r="BL37" s="937"/>
      <c r="BM37" s="938"/>
      <c r="BN37" s="942"/>
      <c r="BO37" s="943"/>
      <c r="BP37" s="944"/>
      <c r="BS37" s="967"/>
      <c r="BT37" s="967"/>
      <c r="BV37" s="926"/>
      <c r="BW37" s="926"/>
      <c r="BX37" s="926"/>
      <c r="BY37" s="927"/>
      <c r="BZ37" s="928"/>
      <c r="CB37" s="986"/>
      <c r="CC37" s="925"/>
      <c r="CD37" s="925"/>
      <c r="CE37" s="925"/>
      <c r="CF37" s="925"/>
      <c r="CG37" s="925"/>
      <c r="CH37" s="925"/>
      <c r="CI37" s="925"/>
      <c r="CJ37" s="977"/>
      <c r="CK37" s="977"/>
      <c r="CL37" s="977"/>
      <c r="CM37" s="977"/>
      <c r="CN37" s="977"/>
      <c r="CO37" s="977"/>
      <c r="CP37" s="977"/>
      <c r="CQ37" s="977"/>
      <c r="CR37" s="977"/>
      <c r="CS37" s="983"/>
      <c r="CT37" s="1056"/>
      <c r="CU37" s="979"/>
      <c r="CV37" s="925"/>
      <c r="CW37" s="925"/>
      <c r="CX37" s="925"/>
      <c r="CY37" s="925"/>
      <c r="CZ37" s="925"/>
      <c r="DA37" s="925"/>
      <c r="DD37" s="981"/>
      <c r="DE37" s="925"/>
      <c r="DF37" s="981"/>
      <c r="DG37" s="925"/>
      <c r="DH37" s="925"/>
      <c r="DI37" s="925"/>
      <c r="DJ37" s="925"/>
      <c r="DK37" s="925"/>
      <c r="DL37" s="925"/>
      <c r="DM37" s="925"/>
      <c r="DN37" s="925"/>
      <c r="DO37" s="925"/>
      <c r="DP37" s="925"/>
      <c r="DQ37" s="925"/>
      <c r="DR37" s="981"/>
      <c r="DS37" s="981"/>
      <c r="DT37" s="981"/>
      <c r="DU37" s="981"/>
      <c r="DV37" s="981"/>
      <c r="DW37" s="981"/>
      <c r="DX37" s="981"/>
      <c r="DY37" s="925"/>
      <c r="DZ37" s="925"/>
      <c r="EA37" s="925"/>
      <c r="EB37" s="925"/>
      <c r="EC37" s="925"/>
      <c r="ED37" s="925"/>
      <c r="EE37" s="925"/>
      <c r="EF37" s="925"/>
      <c r="EG37" s="925"/>
      <c r="EH37" s="925"/>
      <c r="EI37" s="925"/>
      <c r="EJ37" s="925"/>
      <c r="EK37" s="925"/>
      <c r="EL37" s="925"/>
      <c r="EM37" s="925"/>
      <c r="EN37" s="925"/>
    </row>
    <row r="38" spans="1:144" ht="16.350000000000001" customHeight="1">
      <c r="A38" s="462"/>
      <c r="B38" s="994"/>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462"/>
      <c r="BD38" s="462"/>
      <c r="BE38" s="462"/>
      <c r="BF38" s="462"/>
      <c r="BG38" s="462"/>
      <c r="BH38" s="462"/>
      <c r="BI38" s="462"/>
      <c r="BJ38" s="462"/>
    </row>
    <row r="39" spans="1:144" ht="16.350000000000001" hidden="1" customHeight="1">
      <c r="A39" s="462"/>
      <c r="B39" s="994"/>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462"/>
      <c r="BD39" s="462"/>
      <c r="BE39" s="462"/>
      <c r="BF39" s="462"/>
      <c r="BG39" s="462"/>
      <c r="BH39" s="462"/>
      <c r="BI39" s="462"/>
      <c r="BJ39" s="462"/>
    </row>
    <row r="40" spans="1:144" ht="16.350000000000001" hidden="1" customHeight="1">
      <c r="B40" s="1046"/>
    </row>
    <row r="41" spans="1:144" ht="16.350000000000001" hidden="1" customHeight="1">
      <c r="B41" s="1046"/>
    </row>
    <row r="42" spans="1:144" ht="16.350000000000001" hidden="1" customHeight="1">
      <c r="B42" s="1046"/>
    </row>
    <row r="43" spans="1:144" ht="16.350000000000001" hidden="1" customHeight="1">
      <c r="B43" s="1046"/>
    </row>
    <row r="44" spans="1:144" ht="16.350000000000001" hidden="1" customHeight="1">
      <c r="B44" s="1046"/>
    </row>
    <row r="45" spans="1:144" ht="16.350000000000001" hidden="1" customHeight="1">
      <c r="B45" s="1046"/>
    </row>
    <row r="46" spans="1:144" ht="16.350000000000001" hidden="1" customHeight="1">
      <c r="B46" s="1046"/>
    </row>
    <row r="47" spans="1:144" ht="16.350000000000001" hidden="1" customHeight="1">
      <c r="B47" s="1046"/>
    </row>
    <row r="48" spans="1:144" ht="16.350000000000001" hidden="1" customHeight="1">
      <c r="AY48" s="16"/>
      <c r="AZ48" s="20"/>
      <c r="BC48" s="20"/>
      <c r="BD48" s="20"/>
    </row>
    <row r="49" spans="51:56" ht="16.350000000000001" hidden="1" customHeight="1">
      <c r="AY49" s="16"/>
      <c r="AZ49" s="20"/>
      <c r="BC49" s="20"/>
      <c r="BD49" s="20"/>
    </row>
    <row r="50" spans="51:56" ht="16.350000000000001" hidden="1" customHeight="1">
      <c r="AY50" s="16"/>
      <c r="AZ50" s="20"/>
      <c r="BC50" s="20"/>
      <c r="BD50" s="20"/>
    </row>
    <row r="51" spans="51:56" ht="16.350000000000001" hidden="1" customHeight="1">
      <c r="AY51" s="16"/>
      <c r="AZ51" s="20"/>
      <c r="BC51" s="20"/>
      <c r="BD51" s="20"/>
    </row>
    <row r="52" spans="51:56" ht="16.350000000000001" hidden="1" customHeight="1">
      <c r="AY52" s="16"/>
      <c r="AZ52" s="20"/>
      <c r="BC52" s="20"/>
      <c r="BD52" s="20"/>
    </row>
    <row r="53" spans="51:56" ht="16.350000000000001" hidden="1" customHeight="1">
      <c r="AY53" s="16"/>
      <c r="AZ53" s="20"/>
      <c r="BC53" s="20"/>
      <c r="BD53" s="20"/>
    </row>
    <row r="54" spans="51:56" ht="16.350000000000001" hidden="1" customHeight="1">
      <c r="AY54" s="16"/>
      <c r="AZ54" s="20"/>
      <c r="BC54" s="20"/>
      <c r="BD54" s="20"/>
    </row>
    <row r="55" spans="51:56" ht="16.350000000000001" hidden="1" customHeight="1">
      <c r="AY55" s="16"/>
      <c r="AZ55" s="20"/>
      <c r="BC55" s="20"/>
      <c r="BD55" s="20"/>
    </row>
    <row r="56" spans="51:56" ht="16.350000000000001" hidden="1" customHeight="1">
      <c r="AY56" s="16"/>
      <c r="AZ56" s="20"/>
      <c r="BC56" s="20"/>
      <c r="BD56" s="20"/>
    </row>
    <row r="57" spans="51:56" ht="16.350000000000001" hidden="1" customHeight="1">
      <c r="AY57" s="16"/>
      <c r="AZ57" s="20"/>
      <c r="BC57" s="20"/>
      <c r="BD57" s="20"/>
    </row>
    <row r="58" spans="51:56" ht="16.350000000000001" hidden="1" customHeight="1">
      <c r="AY58" s="16"/>
      <c r="AZ58" s="20"/>
      <c r="BC58" s="20"/>
      <c r="BD58" s="20"/>
    </row>
    <row r="59" spans="51:56" ht="16.350000000000001" hidden="1" customHeight="1">
      <c r="AY59" s="16"/>
      <c r="AZ59" s="20"/>
      <c r="BC59" s="20"/>
      <c r="BD59" s="20"/>
    </row>
    <row r="60" spans="51:56" ht="16.350000000000001" hidden="1" customHeight="1">
      <c r="AY60" s="16"/>
      <c r="AZ60" s="20"/>
      <c r="BC60" s="20"/>
      <c r="BD60" s="20"/>
    </row>
    <row r="61" spans="51:56" ht="16.350000000000001" hidden="1" customHeight="1">
      <c r="AY61" s="16"/>
      <c r="AZ61" s="20"/>
      <c r="BC61" s="20"/>
      <c r="BD61" s="20"/>
    </row>
    <row r="62" spans="51:56" ht="16.350000000000001" hidden="1" customHeight="1">
      <c r="AY62" s="16"/>
      <c r="AZ62" s="20"/>
      <c r="BC62" s="20"/>
      <c r="BD62" s="20"/>
    </row>
    <row r="63" spans="51:56" ht="16.350000000000001" hidden="1" customHeight="1">
      <c r="AY63" s="16"/>
      <c r="AZ63" s="20"/>
      <c r="BC63" s="20"/>
      <c r="BD63" s="20"/>
    </row>
    <row r="64" spans="51:56" ht="16.350000000000001" hidden="1" customHeight="1">
      <c r="AY64" s="16"/>
      <c r="AZ64" s="20"/>
      <c r="BC64" s="20"/>
      <c r="BD64" s="20"/>
    </row>
    <row r="65" spans="51:56" ht="16.350000000000001" hidden="1" customHeight="1">
      <c r="AY65" s="16"/>
      <c r="AZ65" s="20"/>
      <c r="BC65" s="20"/>
      <c r="BD65" s="20"/>
    </row>
    <row r="66" spans="51:56" ht="16.350000000000001" hidden="1" customHeight="1">
      <c r="AY66" s="16"/>
      <c r="AZ66" s="20"/>
      <c r="BC66" s="20"/>
      <c r="BD66" s="20"/>
    </row>
    <row r="67" spans="51:56" ht="16.350000000000001" hidden="1" customHeight="1">
      <c r="AY67" s="16"/>
      <c r="AZ67" s="20"/>
      <c r="BC67" s="20"/>
      <c r="BD67" s="20"/>
    </row>
    <row r="68" spans="51:56" ht="16.350000000000001" hidden="1" customHeight="1">
      <c r="AY68" s="16"/>
      <c r="AZ68" s="20"/>
      <c r="BC68" s="20"/>
      <c r="BD68" s="20"/>
    </row>
    <row r="69" spans="51:56" ht="16.350000000000001" hidden="1" customHeight="1">
      <c r="AY69" s="16"/>
      <c r="AZ69" s="20"/>
      <c r="BC69" s="20"/>
      <c r="BD69" s="20"/>
    </row>
    <row r="70" spans="51:56" ht="16.350000000000001" hidden="1" customHeight="1">
      <c r="AY70" s="16"/>
      <c r="AZ70" s="20"/>
      <c r="BC70" s="20"/>
      <c r="BD70" s="20"/>
    </row>
    <row r="71" spans="51:56" ht="16.350000000000001" hidden="1" customHeight="1">
      <c r="AY71" s="16"/>
      <c r="AZ71" s="20"/>
      <c r="BC71" s="20"/>
      <c r="BD71" s="20"/>
    </row>
    <row r="72" spans="51:56" ht="16.350000000000001" hidden="1" customHeight="1">
      <c r="AY72" s="16"/>
      <c r="AZ72" s="20"/>
      <c r="BC72" s="20"/>
      <c r="BD72" s="20"/>
    </row>
    <row r="73" spans="51:56" ht="16.350000000000001" hidden="1" customHeight="1">
      <c r="AY73" s="16"/>
      <c r="AZ73" s="20"/>
      <c r="BC73" s="20"/>
      <c r="BD73" s="20"/>
    </row>
    <row r="74" spans="51:56" ht="16.350000000000001" hidden="1" customHeight="1">
      <c r="AY74" s="16"/>
      <c r="AZ74" s="20"/>
      <c r="BC74" s="20"/>
      <c r="BD74" s="20"/>
    </row>
    <row r="75" spans="51:56" ht="16.350000000000001" hidden="1" customHeight="1">
      <c r="AY75" s="16"/>
      <c r="AZ75" s="20"/>
      <c r="BC75" s="20"/>
      <c r="BD75" s="20"/>
    </row>
    <row r="76" spans="51:56" ht="16.350000000000001" hidden="1" customHeight="1">
      <c r="AY76" s="16"/>
      <c r="AZ76" s="20"/>
      <c r="BC76" s="20"/>
      <c r="BD76" s="20"/>
    </row>
    <row r="77" spans="51:56" ht="16.350000000000001" hidden="1" customHeight="1">
      <c r="AY77" s="16"/>
      <c r="AZ77" s="20"/>
      <c r="BC77" s="20"/>
      <c r="BD77" s="20"/>
    </row>
    <row r="78" spans="51:56" ht="16.350000000000001" hidden="1" customHeight="1">
      <c r="AY78" s="16"/>
      <c r="AZ78" s="20"/>
      <c r="BC78" s="20"/>
      <c r="BD78" s="20"/>
    </row>
    <row r="79" spans="51:56" ht="16.350000000000001" hidden="1" customHeight="1">
      <c r="AY79" s="16"/>
      <c r="AZ79" s="20"/>
      <c r="BC79" s="20"/>
      <c r="BD79" s="20"/>
    </row>
    <row r="80" spans="51:56" ht="16.350000000000001" hidden="1" customHeight="1">
      <c r="AY80" s="16"/>
      <c r="AZ80" s="20"/>
      <c r="BC80" s="20"/>
      <c r="BD80" s="20"/>
    </row>
    <row r="81" spans="51:56" ht="16.350000000000001" hidden="1" customHeight="1">
      <c r="AY81" s="16"/>
      <c r="AZ81" s="20"/>
      <c r="BC81" s="20"/>
      <c r="BD81" s="20"/>
    </row>
    <row r="82" spans="51:56" ht="16.350000000000001" hidden="1" customHeight="1">
      <c r="AY82" s="16"/>
      <c r="AZ82" s="20"/>
      <c r="BC82" s="20"/>
      <c r="BD82" s="20"/>
    </row>
    <row r="83" spans="51:56" ht="16.350000000000001" hidden="1" customHeight="1">
      <c r="AY83" s="16"/>
      <c r="AZ83" s="20"/>
      <c r="BC83" s="20"/>
      <c r="BD83" s="20"/>
    </row>
    <row r="84" spans="51:56" ht="16.350000000000001" hidden="1" customHeight="1">
      <c r="AY84" s="16"/>
      <c r="AZ84" s="20"/>
      <c r="BC84" s="20"/>
      <c r="BD84" s="20"/>
    </row>
    <row r="85" spans="51:56" ht="16.350000000000001" hidden="1" customHeight="1">
      <c r="AY85" s="16"/>
      <c r="AZ85" s="20"/>
      <c r="BC85" s="20"/>
      <c r="BD85" s="20"/>
    </row>
    <row r="86" spans="51:56" ht="16.350000000000001" hidden="1" customHeight="1">
      <c r="AY86" s="16"/>
      <c r="AZ86" s="20"/>
      <c r="BC86" s="20"/>
      <c r="BD86" s="20"/>
    </row>
    <row r="87" spans="51:56" ht="16.350000000000001" hidden="1" customHeight="1">
      <c r="AY87" s="16"/>
      <c r="AZ87" s="20"/>
      <c r="BC87" s="20"/>
      <c r="BD87" s="20"/>
    </row>
    <row r="88" spans="51:56" ht="16.350000000000001" hidden="1" customHeight="1">
      <c r="AY88" s="16"/>
      <c r="AZ88" s="20"/>
      <c r="BC88" s="20"/>
      <c r="BD88" s="20"/>
    </row>
    <row r="89" spans="51:56" ht="16.350000000000001" hidden="1" customHeight="1">
      <c r="AY89" s="16"/>
      <c r="AZ89" s="20"/>
      <c r="BC89" s="20"/>
      <c r="BD89" s="20"/>
    </row>
    <row r="90" spans="51:56" ht="16.350000000000001" hidden="1" customHeight="1">
      <c r="AY90" s="16"/>
      <c r="AZ90" s="20"/>
      <c r="BC90" s="20"/>
      <c r="BD90" s="20"/>
    </row>
    <row r="91" spans="51:56" ht="16.350000000000001" hidden="1" customHeight="1">
      <c r="AY91" s="16"/>
      <c r="AZ91" s="20"/>
      <c r="BC91" s="20"/>
      <c r="BD91" s="20"/>
    </row>
    <row r="92" spans="51:56" ht="16.350000000000001" hidden="1" customHeight="1">
      <c r="AY92" s="16"/>
      <c r="AZ92" s="20"/>
      <c r="BC92" s="20"/>
      <c r="BD92" s="20"/>
    </row>
    <row r="93" spans="51:56" ht="16.350000000000001" hidden="1" customHeight="1">
      <c r="AY93" s="16"/>
      <c r="AZ93" s="20"/>
      <c r="BC93" s="20"/>
      <c r="BD93" s="20"/>
    </row>
    <row r="94" spans="51:56" ht="16.350000000000001" hidden="1" customHeight="1">
      <c r="AY94" s="16"/>
      <c r="AZ94" s="20"/>
      <c r="BC94" s="20"/>
      <c r="BD94" s="20"/>
    </row>
    <row r="95" spans="51:56" ht="16.350000000000001" hidden="1" customHeight="1">
      <c r="AY95" s="16"/>
      <c r="AZ95" s="20"/>
      <c r="BC95" s="20"/>
      <c r="BD95" s="20"/>
    </row>
    <row r="96" spans="51:56" ht="16.350000000000001" hidden="1" customHeight="1">
      <c r="AY96" s="16"/>
      <c r="AZ96" s="20"/>
      <c r="BC96" s="20"/>
      <c r="BD96" s="20"/>
    </row>
    <row r="97" spans="51:56" ht="16.350000000000001" hidden="1" customHeight="1">
      <c r="AY97" s="16"/>
      <c r="AZ97" s="20"/>
      <c r="BC97" s="20"/>
      <c r="BD97" s="20"/>
    </row>
    <row r="98" spans="51:56" ht="16.350000000000001" hidden="1" customHeight="1">
      <c r="AY98" s="16"/>
      <c r="AZ98" s="20"/>
      <c r="BC98" s="20"/>
      <c r="BD98" s="20"/>
    </row>
    <row r="99" spans="51:56" ht="16.350000000000001" hidden="1" customHeight="1">
      <c r="AY99" s="16"/>
      <c r="AZ99" s="20"/>
      <c r="BC99" s="20"/>
      <c r="BD99" s="20"/>
    </row>
    <row r="100" spans="51:56" ht="16.350000000000001" hidden="1" customHeight="1">
      <c r="AY100" s="16"/>
      <c r="AZ100" s="20"/>
      <c r="BC100" s="20"/>
      <c r="BD100" s="20"/>
    </row>
    <row r="101" spans="51:56" ht="16.350000000000001" hidden="1" customHeight="1">
      <c r="AY101" s="16"/>
      <c r="AZ101" s="20"/>
      <c r="BC101" s="20"/>
      <c r="BD101" s="20"/>
    </row>
    <row r="102" spans="51:56" ht="16.350000000000001" hidden="1" customHeight="1">
      <c r="AY102" s="16"/>
      <c r="AZ102" s="20"/>
      <c r="BC102" s="20"/>
      <c r="BD102" s="20"/>
    </row>
    <row r="103" spans="51:56" ht="16.350000000000001" hidden="1" customHeight="1">
      <c r="AY103" s="16"/>
      <c r="AZ103" s="20"/>
      <c r="BC103" s="20"/>
      <c r="BD103" s="20"/>
    </row>
    <row r="104" spans="51:56" ht="16.350000000000001" hidden="1" customHeight="1">
      <c r="AY104" s="16"/>
      <c r="AZ104" s="20"/>
      <c r="BC104" s="20"/>
      <c r="BD104" s="20"/>
    </row>
    <row r="105" spans="51:56" ht="16.350000000000001" hidden="1" customHeight="1">
      <c r="AY105" s="16"/>
      <c r="AZ105" s="20"/>
      <c r="BC105" s="20"/>
      <c r="BD105" s="20"/>
    </row>
    <row r="106" spans="51:56" ht="16.350000000000001" hidden="1" customHeight="1">
      <c r="AY106" s="16"/>
      <c r="AZ106" s="20"/>
      <c r="BC106" s="20"/>
      <c r="BD106" s="20"/>
    </row>
    <row r="107" spans="51:56" ht="16.350000000000001" hidden="1" customHeight="1">
      <c r="AY107" s="16"/>
      <c r="AZ107" s="20"/>
      <c r="BC107" s="20"/>
      <c r="BD107" s="20"/>
    </row>
    <row r="108" spans="51:56" ht="16.350000000000001" hidden="1" customHeight="1">
      <c r="AY108" s="16"/>
      <c r="AZ108" s="20"/>
      <c r="BC108" s="20"/>
      <c r="BD108" s="20"/>
    </row>
    <row r="109" spans="51:56" ht="16.350000000000001" hidden="1" customHeight="1">
      <c r="AY109" s="16"/>
      <c r="AZ109" s="20"/>
      <c r="BC109" s="20"/>
      <c r="BD109" s="20"/>
    </row>
    <row r="110" spans="51:56" ht="16.350000000000001" hidden="1" customHeight="1">
      <c r="AY110" s="16"/>
      <c r="AZ110" s="20"/>
      <c r="BC110" s="20"/>
      <c r="BD110" s="20"/>
    </row>
    <row r="111" spans="51:56" ht="16.350000000000001" hidden="1" customHeight="1">
      <c r="AY111" s="16"/>
      <c r="AZ111" s="20"/>
      <c r="BC111" s="20"/>
      <c r="BD111" s="20"/>
    </row>
    <row r="112" spans="51:56" ht="16.350000000000001" hidden="1" customHeight="1">
      <c r="AY112" s="16"/>
      <c r="AZ112" s="20"/>
      <c r="BC112" s="20"/>
      <c r="BD112" s="20"/>
    </row>
    <row r="113" spans="51:56" ht="16.350000000000001" hidden="1" customHeight="1">
      <c r="AY113" s="16"/>
      <c r="AZ113" s="20"/>
      <c r="BC113" s="20"/>
      <c r="BD113" s="20"/>
    </row>
    <row r="114" spans="51:56" ht="16.350000000000001" hidden="1" customHeight="1">
      <c r="AY114" s="16"/>
      <c r="AZ114" s="20"/>
      <c r="BC114" s="20"/>
      <c r="BD114" s="20"/>
    </row>
    <row r="115" spans="51:56" ht="16.350000000000001" hidden="1" customHeight="1">
      <c r="AY115" s="16"/>
      <c r="AZ115" s="20"/>
      <c r="BC115" s="20"/>
      <c r="BD115" s="20"/>
    </row>
    <row r="116" spans="51:56" ht="16.350000000000001" hidden="1" customHeight="1">
      <c r="AY116" s="16"/>
      <c r="AZ116" s="20"/>
      <c r="BC116" s="20"/>
      <c r="BD116" s="20"/>
    </row>
    <row r="117" spans="51:56" ht="16.350000000000001" hidden="1" customHeight="1">
      <c r="AY117" s="16"/>
      <c r="AZ117" s="20"/>
      <c r="BC117" s="20"/>
      <c r="BD117" s="20"/>
    </row>
    <row r="118" spans="51:56" ht="16.350000000000001" hidden="1" customHeight="1">
      <c r="AY118" s="16"/>
      <c r="AZ118" s="20"/>
      <c r="BC118" s="20"/>
      <c r="BD118" s="20"/>
    </row>
    <row r="119" spans="51:56" ht="16.350000000000001" hidden="1" customHeight="1">
      <c r="AY119" s="16"/>
      <c r="AZ119" s="20"/>
      <c r="BC119" s="20"/>
      <c r="BD119" s="20"/>
    </row>
    <row r="120" spans="51:56" ht="16.350000000000001" hidden="1" customHeight="1">
      <c r="AY120" s="16"/>
      <c r="AZ120" s="20"/>
      <c r="BC120" s="20"/>
      <c r="BD120" s="20"/>
    </row>
    <row r="121" spans="51:56" ht="16.350000000000001" hidden="1" customHeight="1">
      <c r="AY121" s="16"/>
      <c r="AZ121" s="20"/>
      <c r="BC121" s="20"/>
      <c r="BD121" s="20"/>
    </row>
    <row r="122" spans="51:56" ht="16.350000000000001" hidden="1" customHeight="1">
      <c r="AY122" s="16"/>
      <c r="AZ122" s="20"/>
      <c r="BC122" s="20"/>
      <c r="BD122" s="20"/>
    </row>
    <row r="123" spans="51:56" ht="16.350000000000001" hidden="1" customHeight="1">
      <c r="AY123" s="16"/>
      <c r="AZ123" s="20"/>
      <c r="BC123" s="20"/>
      <c r="BD123" s="20"/>
    </row>
    <row r="124" spans="51:56" ht="16.350000000000001" hidden="1" customHeight="1">
      <c r="AY124" s="16"/>
      <c r="AZ124" s="20"/>
      <c r="BC124" s="20"/>
      <c r="BD124" s="20"/>
    </row>
    <row r="125" spans="51:56" ht="16.350000000000001" hidden="1" customHeight="1">
      <c r="AY125" s="16"/>
      <c r="AZ125" s="20"/>
      <c r="BC125" s="20"/>
      <c r="BD125" s="20"/>
    </row>
    <row r="126" spans="51:56" ht="16.350000000000001" hidden="1" customHeight="1">
      <c r="AY126" s="16"/>
      <c r="AZ126" s="20"/>
      <c r="BC126" s="20"/>
      <c r="BD126" s="20"/>
    </row>
    <row r="127" spans="51:56" ht="16.350000000000001" hidden="1" customHeight="1">
      <c r="AY127" s="16"/>
      <c r="AZ127" s="20"/>
      <c r="BC127" s="20"/>
      <c r="BD127" s="20"/>
    </row>
    <row r="128" spans="51:56" ht="16.350000000000001" hidden="1" customHeight="1">
      <c r="AY128" s="16"/>
      <c r="AZ128" s="20"/>
      <c r="BC128" s="20"/>
      <c r="BD128" s="20"/>
    </row>
    <row r="129" spans="51:56" ht="16.350000000000001" hidden="1" customHeight="1">
      <c r="AY129" s="16"/>
      <c r="AZ129" s="20"/>
      <c r="BC129" s="20"/>
      <c r="BD129" s="20"/>
    </row>
    <row r="130" spans="51:56" ht="16.350000000000001" hidden="1" customHeight="1">
      <c r="AY130" s="16"/>
      <c r="AZ130" s="20"/>
      <c r="BC130" s="20"/>
      <c r="BD130" s="20"/>
    </row>
    <row r="131" spans="51:56" ht="16.350000000000001" hidden="1" customHeight="1">
      <c r="AY131" s="16"/>
      <c r="AZ131" s="20"/>
      <c r="BC131" s="20"/>
      <c r="BD131" s="20"/>
    </row>
    <row r="132" spans="51:56" ht="16.350000000000001" hidden="1" customHeight="1">
      <c r="AY132" s="16"/>
      <c r="AZ132" s="20"/>
      <c r="BC132" s="20"/>
      <c r="BD132" s="20"/>
    </row>
    <row r="133" spans="51:56" ht="16.350000000000001" hidden="1" customHeight="1">
      <c r="AY133" s="16"/>
      <c r="AZ133" s="20"/>
      <c r="BC133" s="20"/>
      <c r="BD133" s="20"/>
    </row>
    <row r="134" spans="51:56" ht="16.350000000000001" hidden="1" customHeight="1">
      <c r="AY134" s="16"/>
      <c r="AZ134" s="20"/>
      <c r="BC134" s="20"/>
      <c r="BD134" s="20"/>
    </row>
    <row r="135" spans="51:56" ht="16.350000000000001" hidden="1" customHeight="1">
      <c r="AY135" s="16"/>
      <c r="AZ135" s="20"/>
      <c r="BC135" s="20"/>
      <c r="BD135" s="20"/>
    </row>
    <row r="136" spans="51:56" ht="16.350000000000001" hidden="1" customHeight="1">
      <c r="AY136" s="16"/>
      <c r="AZ136" s="20"/>
      <c r="BC136" s="20"/>
      <c r="BD136" s="20"/>
    </row>
    <row r="137" spans="51:56" ht="16.350000000000001" hidden="1" customHeight="1">
      <c r="AY137" s="16"/>
      <c r="AZ137" s="20"/>
      <c r="BC137" s="20"/>
      <c r="BD137" s="20"/>
    </row>
    <row r="138" spans="51:56" ht="16.350000000000001" hidden="1" customHeight="1">
      <c r="AY138" s="16"/>
      <c r="AZ138" s="20"/>
      <c r="BC138" s="20"/>
      <c r="BD138" s="20"/>
    </row>
    <row r="139" spans="51:56" ht="16.350000000000001" hidden="1" customHeight="1">
      <c r="AY139" s="16"/>
      <c r="AZ139" s="20"/>
      <c r="BC139" s="20"/>
      <c r="BD139" s="20"/>
    </row>
    <row r="140" spans="51:56" ht="16.350000000000001" hidden="1" customHeight="1">
      <c r="AY140" s="16"/>
      <c r="AZ140" s="20"/>
      <c r="BC140" s="20"/>
      <c r="BD140" s="20"/>
    </row>
    <row r="141" spans="51:56" ht="16.350000000000001" hidden="1" customHeight="1">
      <c r="AY141" s="16"/>
      <c r="AZ141" s="20"/>
      <c r="BC141" s="20"/>
      <c r="BD141" s="20"/>
    </row>
    <row r="142" spans="51:56" ht="16.350000000000001" hidden="1" customHeight="1">
      <c r="AY142" s="16"/>
      <c r="AZ142" s="20"/>
      <c r="BC142" s="20"/>
      <c r="BD142" s="20"/>
    </row>
    <row r="143" spans="51:56" ht="16.350000000000001" hidden="1" customHeight="1">
      <c r="AY143" s="16"/>
      <c r="AZ143" s="20"/>
      <c r="BC143" s="20"/>
      <c r="BD143" s="20"/>
    </row>
    <row r="144" spans="51:56" ht="16.350000000000001" hidden="1" customHeight="1">
      <c r="AY144" s="16"/>
      <c r="AZ144" s="20"/>
      <c r="BC144" s="20"/>
      <c r="BD144" s="20"/>
    </row>
    <row r="145" spans="51:56" ht="16.350000000000001" hidden="1" customHeight="1">
      <c r="AY145" s="16"/>
      <c r="AZ145" s="20"/>
      <c r="BC145" s="20"/>
      <c r="BD145" s="20"/>
    </row>
    <row r="146" spans="51:56" ht="16.350000000000001" hidden="1" customHeight="1">
      <c r="AY146" s="16"/>
      <c r="AZ146" s="20"/>
      <c r="BC146" s="20"/>
      <c r="BD146" s="20"/>
    </row>
    <row r="147" spans="51:56" ht="16.350000000000001" hidden="1" customHeight="1">
      <c r="AY147" s="16"/>
      <c r="AZ147" s="20"/>
      <c r="BC147" s="20"/>
      <c r="BD147" s="20"/>
    </row>
    <row r="148" spans="51:56" ht="16.350000000000001" hidden="1" customHeight="1">
      <c r="AY148" s="16"/>
      <c r="AZ148" s="20"/>
      <c r="BC148" s="20"/>
      <c r="BD148" s="20"/>
    </row>
    <row r="149" spans="51:56" ht="16.350000000000001" hidden="1" customHeight="1">
      <c r="AY149" s="16"/>
      <c r="AZ149" s="20"/>
      <c r="BC149" s="20"/>
      <c r="BD149" s="20"/>
    </row>
    <row r="150" spans="51:56" ht="16.350000000000001" hidden="1" customHeight="1">
      <c r="AY150" s="16"/>
      <c r="AZ150" s="20"/>
      <c r="BC150" s="20"/>
      <c r="BD150" s="20"/>
    </row>
    <row r="151" spans="51:56" ht="16.350000000000001" hidden="1" customHeight="1">
      <c r="AY151" s="16"/>
      <c r="AZ151" s="20"/>
      <c r="BC151" s="20"/>
      <c r="BD151" s="20"/>
    </row>
    <row r="152" spans="51:56" ht="16.350000000000001" hidden="1" customHeight="1">
      <c r="AY152" s="16"/>
      <c r="AZ152" s="20"/>
      <c r="BC152" s="20"/>
      <c r="BD152" s="20"/>
    </row>
    <row r="153" spans="51:56" ht="16.350000000000001" hidden="1" customHeight="1">
      <c r="AY153" s="16"/>
      <c r="AZ153" s="20"/>
      <c r="BC153" s="20"/>
      <c r="BD153" s="20"/>
    </row>
    <row r="154" spans="51:56" ht="16.350000000000001" hidden="1" customHeight="1">
      <c r="AY154" s="16"/>
      <c r="AZ154" s="20"/>
      <c r="BC154" s="20"/>
      <c r="BD154" s="20"/>
    </row>
    <row r="155" spans="51:56" ht="16.350000000000001" hidden="1" customHeight="1">
      <c r="AY155" s="16"/>
      <c r="AZ155" s="20"/>
      <c r="BC155" s="20"/>
      <c r="BD155" s="20"/>
    </row>
    <row r="156" spans="51:56" ht="16.350000000000001" hidden="1" customHeight="1">
      <c r="AY156" s="16"/>
      <c r="AZ156" s="20"/>
      <c r="BC156" s="20"/>
      <c r="BD156" s="20"/>
    </row>
    <row r="157" spans="51:56" ht="16.350000000000001" hidden="1" customHeight="1">
      <c r="AY157" s="16"/>
      <c r="AZ157" s="20"/>
      <c r="BC157" s="20"/>
      <c r="BD157" s="20"/>
    </row>
    <row r="158" spans="51:56" ht="16.350000000000001" hidden="1" customHeight="1">
      <c r="AY158" s="16"/>
      <c r="AZ158" s="20"/>
      <c r="BC158" s="20"/>
      <c r="BD158" s="20"/>
    </row>
    <row r="159" spans="51:56" ht="16.350000000000001" hidden="1" customHeight="1">
      <c r="AY159" s="16"/>
      <c r="AZ159" s="20"/>
      <c r="BC159" s="20"/>
      <c r="BD159" s="20"/>
    </row>
    <row r="160" spans="51:56" ht="16.350000000000001" hidden="1" customHeight="1">
      <c r="AY160" s="16"/>
      <c r="AZ160" s="20"/>
      <c r="BC160" s="20"/>
      <c r="BD160" s="20"/>
    </row>
    <row r="161" spans="51:56" ht="16.350000000000001" hidden="1" customHeight="1">
      <c r="AY161" s="16"/>
      <c r="AZ161" s="20"/>
      <c r="BC161" s="20"/>
      <c r="BD161" s="20"/>
    </row>
    <row r="162" spans="51:56" ht="16.350000000000001" hidden="1" customHeight="1">
      <c r="AY162" s="16"/>
      <c r="AZ162" s="20"/>
      <c r="BC162" s="20"/>
      <c r="BD162" s="20"/>
    </row>
    <row r="163" spans="51:56" ht="16.350000000000001" hidden="1" customHeight="1">
      <c r="AY163" s="16"/>
      <c r="AZ163" s="20"/>
      <c r="BC163" s="20"/>
      <c r="BD163" s="20"/>
    </row>
    <row r="164" spans="51:56" ht="16.350000000000001" hidden="1" customHeight="1">
      <c r="AY164" s="16"/>
      <c r="AZ164" s="20"/>
      <c r="BC164" s="20"/>
      <c r="BD164" s="20"/>
    </row>
    <row r="165" spans="51:56" ht="16.350000000000001" hidden="1" customHeight="1">
      <c r="AY165" s="16"/>
      <c r="AZ165" s="20"/>
      <c r="BC165" s="20"/>
      <c r="BD165" s="20"/>
    </row>
    <row r="166" spans="51:56" ht="16.350000000000001" hidden="1" customHeight="1">
      <c r="AY166" s="16"/>
      <c r="AZ166" s="20"/>
      <c r="BC166" s="20"/>
      <c r="BD166" s="20"/>
    </row>
    <row r="167" spans="51:56" ht="16.350000000000001" hidden="1" customHeight="1">
      <c r="AY167" s="16"/>
      <c r="AZ167" s="20"/>
      <c r="BC167" s="20"/>
      <c r="BD167" s="20"/>
    </row>
    <row r="168" spans="51:56" ht="16.350000000000001" hidden="1" customHeight="1">
      <c r="AY168" s="16"/>
      <c r="AZ168" s="20"/>
      <c r="BC168" s="20"/>
      <c r="BD168" s="20"/>
    </row>
    <row r="169" spans="51:56" ht="16.350000000000001" hidden="1" customHeight="1">
      <c r="AY169" s="16"/>
      <c r="AZ169" s="20"/>
      <c r="BC169" s="20"/>
      <c r="BD169" s="20"/>
    </row>
    <row r="170" spans="51:56" ht="16.350000000000001" hidden="1" customHeight="1">
      <c r="AY170" s="16"/>
      <c r="AZ170" s="20"/>
      <c r="BC170" s="20"/>
      <c r="BD170" s="20"/>
    </row>
    <row r="171" spans="51:56" ht="16.350000000000001" hidden="1" customHeight="1">
      <c r="AY171" s="16"/>
      <c r="AZ171" s="20"/>
      <c r="BC171" s="20"/>
      <c r="BD171" s="20"/>
    </row>
    <row r="172" spans="51:56" ht="16.350000000000001" hidden="1" customHeight="1">
      <c r="AY172" s="16"/>
      <c r="AZ172" s="20"/>
      <c r="BC172" s="20"/>
      <c r="BD172" s="20"/>
    </row>
    <row r="173" spans="51:56" ht="16.350000000000001" hidden="1" customHeight="1">
      <c r="AY173" s="16"/>
      <c r="AZ173" s="20"/>
      <c r="BC173" s="20"/>
      <c r="BD173" s="20"/>
    </row>
    <row r="174" spans="51:56" ht="16.350000000000001" hidden="1" customHeight="1">
      <c r="AY174" s="16"/>
      <c r="AZ174" s="20"/>
      <c r="BC174" s="20"/>
      <c r="BD174" s="20"/>
    </row>
    <row r="175" spans="51:56" ht="16.350000000000001" hidden="1" customHeight="1">
      <c r="AY175" s="16"/>
      <c r="AZ175" s="20"/>
      <c r="BC175" s="20"/>
      <c r="BD175" s="20"/>
    </row>
    <row r="176" spans="51:56" ht="16.350000000000001" hidden="1" customHeight="1">
      <c r="AY176" s="16"/>
      <c r="AZ176" s="20"/>
      <c r="BC176" s="20"/>
      <c r="BD176" s="20"/>
    </row>
    <row r="177" spans="51:56" ht="16.350000000000001" hidden="1" customHeight="1">
      <c r="AY177" s="16"/>
      <c r="AZ177" s="20"/>
      <c r="BC177" s="20"/>
      <c r="BD177" s="20"/>
    </row>
    <row r="178" spans="51:56" ht="16.350000000000001" hidden="1" customHeight="1">
      <c r="AY178" s="16"/>
      <c r="AZ178" s="20"/>
      <c r="BC178" s="20"/>
      <c r="BD178" s="20"/>
    </row>
    <row r="179" spans="51:56" ht="16.350000000000001" hidden="1" customHeight="1">
      <c r="AY179" s="16"/>
      <c r="AZ179" s="20"/>
      <c r="BC179" s="20"/>
      <c r="BD179" s="20"/>
    </row>
    <row r="180" spans="51:56" ht="16.350000000000001" hidden="1" customHeight="1">
      <c r="AY180" s="16"/>
      <c r="AZ180" s="20"/>
      <c r="BC180" s="20"/>
      <c r="BD180" s="20"/>
    </row>
    <row r="181" spans="51:56" ht="16.350000000000001" hidden="1" customHeight="1">
      <c r="AY181" s="16"/>
      <c r="AZ181" s="20"/>
      <c r="BC181" s="20"/>
      <c r="BD181" s="20"/>
    </row>
    <row r="182" spans="51:56" ht="16.350000000000001" hidden="1" customHeight="1">
      <c r="AY182" s="16"/>
      <c r="AZ182" s="20"/>
      <c r="BC182" s="20"/>
      <c r="BD182" s="20"/>
    </row>
    <row r="183" spans="51:56" ht="16.350000000000001" hidden="1" customHeight="1">
      <c r="AY183" s="16"/>
      <c r="AZ183" s="20"/>
      <c r="BC183" s="20"/>
      <c r="BD183" s="20"/>
    </row>
    <row r="184" spans="51:56" ht="16.350000000000001" hidden="1" customHeight="1">
      <c r="AY184" s="16"/>
      <c r="AZ184" s="20"/>
      <c r="BC184" s="20"/>
      <c r="BD184" s="20"/>
    </row>
    <row r="185" spans="51:56" ht="16.350000000000001" hidden="1" customHeight="1">
      <c r="AY185" s="16"/>
      <c r="AZ185" s="20"/>
      <c r="BC185" s="20"/>
      <c r="BD185" s="20"/>
    </row>
    <row r="186" spans="51:56" ht="16.350000000000001" hidden="1" customHeight="1">
      <c r="AY186" s="16"/>
      <c r="AZ186" s="20"/>
      <c r="BC186" s="20"/>
      <c r="BD186" s="20"/>
    </row>
    <row r="187" spans="51:56" ht="16.350000000000001" hidden="1" customHeight="1">
      <c r="AY187" s="16"/>
      <c r="AZ187" s="20"/>
      <c r="BC187" s="20"/>
      <c r="BD187" s="20"/>
    </row>
    <row r="188" spans="51:56" ht="16.350000000000001" hidden="1" customHeight="1">
      <c r="AY188" s="16"/>
      <c r="AZ188" s="20"/>
      <c r="BC188" s="20"/>
      <c r="BD188" s="20"/>
    </row>
    <row r="189" spans="51:56" ht="16.350000000000001" hidden="1" customHeight="1">
      <c r="AY189" s="16"/>
      <c r="AZ189" s="20"/>
      <c r="BC189" s="20"/>
      <c r="BD189" s="20"/>
    </row>
    <row r="190" spans="51:56" ht="16.350000000000001" hidden="1" customHeight="1">
      <c r="AY190" s="16"/>
      <c r="AZ190" s="20"/>
      <c r="BC190" s="20"/>
      <c r="BD190" s="20"/>
    </row>
    <row r="191" spans="51:56" ht="16.350000000000001" hidden="1" customHeight="1">
      <c r="AY191" s="16"/>
      <c r="AZ191" s="20"/>
      <c r="BC191" s="20"/>
      <c r="BD191" s="20"/>
    </row>
    <row r="192" spans="51:56" ht="16.350000000000001" hidden="1" customHeight="1">
      <c r="AY192" s="16"/>
      <c r="AZ192" s="20"/>
      <c r="BC192" s="20"/>
      <c r="BD192" s="20"/>
    </row>
    <row r="193" spans="1:70" ht="16.350000000000001" hidden="1" customHeight="1">
      <c r="AY193" s="16"/>
      <c r="AZ193" s="20"/>
      <c r="BC193" s="20"/>
      <c r="BD193" s="20"/>
    </row>
    <row r="194" spans="1:70" ht="16.350000000000001" hidden="1" customHeight="1">
      <c r="AY194" s="16"/>
      <c r="AZ194" s="20"/>
      <c r="BC194" s="20"/>
      <c r="BD194" s="20"/>
    </row>
    <row r="195" spans="1:70" ht="16.350000000000001" hidden="1" customHeight="1">
      <c r="AY195" s="16"/>
      <c r="AZ195" s="20"/>
      <c r="BC195" s="20"/>
      <c r="BD195" s="20"/>
    </row>
    <row r="196" spans="1:70" ht="16.350000000000001" hidden="1" customHeight="1">
      <c r="O196" s="919"/>
      <c r="P196" s="919"/>
      <c r="Q196" s="919"/>
      <c r="R196" s="919"/>
      <c r="S196" s="919"/>
      <c r="T196" s="919"/>
      <c r="U196" s="919"/>
      <c r="V196" s="919"/>
      <c r="W196" s="919"/>
      <c r="X196" s="919"/>
      <c r="Y196" s="919"/>
      <c r="Z196" s="919"/>
      <c r="AA196" s="919"/>
      <c r="AB196" s="919"/>
      <c r="AC196" s="919"/>
      <c r="AD196" s="919"/>
      <c r="AE196" s="919"/>
      <c r="AF196" s="919"/>
      <c r="AG196" s="919"/>
      <c r="AH196" s="919"/>
      <c r="AI196" s="919"/>
      <c r="AJ196" s="919"/>
      <c r="AK196" s="919"/>
      <c r="AL196" s="919"/>
      <c r="AM196" s="919"/>
      <c r="AN196" s="919"/>
      <c r="AO196" s="919"/>
      <c r="AP196" s="919"/>
      <c r="AQ196" s="919"/>
      <c r="AR196" s="919"/>
      <c r="AS196" s="919"/>
      <c r="AT196" s="919"/>
      <c r="AU196" s="919"/>
      <c r="AV196" s="919"/>
      <c r="AW196" s="919"/>
      <c r="AX196" s="919"/>
      <c r="AY196" s="919"/>
    </row>
    <row r="197" spans="1:70" ht="16.350000000000001" hidden="1" customHeight="1">
      <c r="O197" s="919"/>
      <c r="P197" s="919"/>
      <c r="Q197" s="919"/>
      <c r="R197" s="919"/>
      <c r="S197" s="919"/>
      <c r="T197" s="919"/>
      <c r="U197" s="919"/>
      <c r="V197" s="919"/>
      <c r="W197" s="919"/>
      <c r="X197" s="919"/>
      <c r="Y197" s="919"/>
      <c r="Z197" s="919"/>
      <c r="AA197" s="919"/>
      <c r="AB197" s="919"/>
      <c r="AC197" s="919"/>
      <c r="AD197" s="919"/>
      <c r="AE197" s="919"/>
      <c r="AF197" s="919"/>
      <c r="AG197" s="919"/>
      <c r="AH197" s="919"/>
      <c r="AI197" s="919"/>
      <c r="AJ197" s="919"/>
      <c r="AK197" s="919"/>
      <c r="AL197" s="919"/>
      <c r="AM197" s="919"/>
      <c r="AN197" s="919"/>
      <c r="AO197" s="919"/>
      <c r="AP197" s="919"/>
      <c r="AQ197" s="919"/>
      <c r="AR197" s="919"/>
      <c r="AS197" s="919"/>
      <c r="AT197" s="919"/>
      <c r="AU197" s="919"/>
      <c r="AV197" s="919"/>
      <c r="AW197" s="919"/>
      <c r="AX197" s="919"/>
      <c r="AY197" s="919"/>
    </row>
    <row r="198" spans="1:70" ht="16.350000000000001" hidden="1" customHeight="1">
      <c r="O198" s="919"/>
      <c r="P198" s="919"/>
      <c r="Q198" s="919"/>
      <c r="R198" s="919"/>
      <c r="S198" s="919"/>
      <c r="T198" s="919"/>
      <c r="U198" s="919"/>
      <c r="V198" s="919"/>
      <c r="W198" s="919"/>
      <c r="X198" s="919"/>
      <c r="Y198" s="919"/>
      <c r="Z198" s="919"/>
      <c r="AA198" s="919"/>
      <c r="AB198" s="919"/>
      <c r="AC198" s="919"/>
      <c r="AD198" s="919"/>
      <c r="AE198" s="919"/>
      <c r="AF198" s="919"/>
      <c r="AG198" s="919"/>
      <c r="AH198" s="919"/>
      <c r="AI198" s="919"/>
      <c r="AJ198" s="919"/>
      <c r="AK198" s="919"/>
      <c r="AL198" s="919"/>
      <c r="AM198" s="919"/>
      <c r="AN198" s="919"/>
      <c r="AO198" s="919"/>
      <c r="AP198" s="919"/>
      <c r="AQ198" s="919"/>
      <c r="AR198" s="919"/>
      <c r="AS198" s="919"/>
      <c r="AT198" s="919"/>
      <c r="AU198" s="919"/>
      <c r="AV198" s="919"/>
      <c r="AW198" s="919"/>
      <c r="AX198" s="919"/>
      <c r="AY198" s="919"/>
      <c r="AZ198" s="919"/>
    </row>
    <row r="199" spans="1:70" ht="16.350000000000001" hidden="1" customHeight="1">
      <c r="AY199" s="16"/>
      <c r="AZ199" s="20"/>
      <c r="BC199" s="20"/>
      <c r="BD199" s="20"/>
    </row>
    <row r="200" spans="1:70"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03"/>
      <c r="BH200" s="503"/>
      <c r="BI200" s="503"/>
      <c r="BJ200" s="515"/>
      <c r="BK200" s="502"/>
      <c r="BL200" s="502"/>
      <c r="BM200" s="502"/>
      <c r="BN200" s="502"/>
      <c r="BO200" s="502"/>
      <c r="BP200" s="502"/>
      <c r="BQ200" s="502"/>
      <c r="BR200" s="502"/>
    </row>
    <row r="201" spans="1:70"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03"/>
      <c r="BH201" s="503"/>
      <c r="BI201" s="503"/>
      <c r="BJ201" s="515"/>
      <c r="BK201" s="502"/>
      <c r="BL201" s="502"/>
      <c r="BM201" s="502"/>
      <c r="BN201" s="502"/>
      <c r="BO201" s="502"/>
      <c r="BP201" s="502"/>
      <c r="BQ201" s="502"/>
      <c r="BR201" s="502"/>
    </row>
    <row r="202" spans="1:70"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03"/>
      <c r="BH202" s="503"/>
      <c r="BI202" s="503"/>
      <c r="BJ202" s="515"/>
      <c r="BK202" s="502"/>
      <c r="BL202" s="502"/>
      <c r="BM202" s="502"/>
      <c r="BN202" s="502"/>
      <c r="BO202" s="502"/>
      <c r="BP202" s="502"/>
      <c r="BQ202" s="502"/>
      <c r="BR202" s="502"/>
    </row>
    <row r="203" spans="1:70" ht="16.350000000000001" hidden="1" customHeight="1"/>
    <row r="204" spans="1:70" ht="16.350000000000001" hidden="1" customHeight="1"/>
  </sheetData>
  <sheetProtection algorithmName="SHA-512" hashValue="doiECHtbCWZqBSNl5gSPxqTuzPe8E9F5W7pPopFm75Ye4qFM5GAxPecYeDj2MeBAuBJ6c1MdXhDKgWx1I6IqDA==" saltValue="EAzTfX5mg23pfQMOCWy6WQ==" spinCount="100000" sheet="1" objects="1" scenarios="1" selectLockedCells="1"/>
  <mergeCells count="1019">
    <mergeCell ref="DX34:DX35"/>
    <mergeCell ref="DE36:DE37"/>
    <mergeCell ref="DF36:DF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V36:DV37"/>
    <mergeCell ref="DW36:DW37"/>
    <mergeCell ref="DX36:DX37"/>
    <mergeCell ref="DN34:DN35"/>
    <mergeCell ref="DO34:DO35"/>
    <mergeCell ref="DP34:DP35"/>
    <mergeCell ref="DQ34:DQ35"/>
    <mergeCell ref="DR34:DR35"/>
    <mergeCell ref="DS34:DS35"/>
    <mergeCell ref="DT34:DT35"/>
    <mergeCell ref="DU34:DU35"/>
    <mergeCell ref="DV34:DV35"/>
    <mergeCell ref="DE34:DE35"/>
    <mergeCell ref="DF34:DF35"/>
    <mergeCell ref="DG34:DG35"/>
    <mergeCell ref="DH34:DH35"/>
    <mergeCell ref="DI34:DI35"/>
    <mergeCell ref="DJ34:DJ35"/>
    <mergeCell ref="DK34:DK35"/>
    <mergeCell ref="DL34:DL35"/>
    <mergeCell ref="DM34:DM35"/>
    <mergeCell ref="DW34:DW35"/>
    <mergeCell ref="DX30:DX31"/>
    <mergeCell ref="DE32:DE33"/>
    <mergeCell ref="DF32:DF33"/>
    <mergeCell ref="DG32:DG33"/>
    <mergeCell ref="DH32:DH33"/>
    <mergeCell ref="DI32:DI33"/>
    <mergeCell ref="DJ32:DJ33"/>
    <mergeCell ref="DK32:DK33"/>
    <mergeCell ref="DL32:DL33"/>
    <mergeCell ref="DM32:DM33"/>
    <mergeCell ref="DN32:DN33"/>
    <mergeCell ref="DO32:DO33"/>
    <mergeCell ref="DP32:DP33"/>
    <mergeCell ref="DQ32:DQ33"/>
    <mergeCell ref="DR32:DR33"/>
    <mergeCell ref="DS32:DS33"/>
    <mergeCell ref="DT32:DT33"/>
    <mergeCell ref="DU32:DU33"/>
    <mergeCell ref="DV32:DV33"/>
    <mergeCell ref="DW32:DW33"/>
    <mergeCell ref="DX32:DX33"/>
    <mergeCell ref="DN30:DN31"/>
    <mergeCell ref="DO30:DO31"/>
    <mergeCell ref="DP30:DP31"/>
    <mergeCell ref="DQ30:DQ31"/>
    <mergeCell ref="DR30:DR31"/>
    <mergeCell ref="DS30:DS31"/>
    <mergeCell ref="DT30:DT31"/>
    <mergeCell ref="DU30:DU31"/>
    <mergeCell ref="DV30:DV31"/>
    <mergeCell ref="DE30:DE31"/>
    <mergeCell ref="DF30:DF31"/>
    <mergeCell ref="DG30:DG31"/>
    <mergeCell ref="DH30:DH31"/>
    <mergeCell ref="DI30:DI31"/>
    <mergeCell ref="DJ30:DJ31"/>
    <mergeCell ref="DK30:DK31"/>
    <mergeCell ref="DL30:DL31"/>
    <mergeCell ref="DM30:DM31"/>
    <mergeCell ref="DW30:DW31"/>
    <mergeCell ref="DM26:DM27"/>
    <mergeCell ref="DN26:DN27"/>
    <mergeCell ref="DO26:DO27"/>
    <mergeCell ref="DP26:DP27"/>
    <mergeCell ref="DQ26:DQ27"/>
    <mergeCell ref="DR26:DR27"/>
    <mergeCell ref="DS26:DS27"/>
    <mergeCell ref="DT26:DT27"/>
    <mergeCell ref="DU26:DU27"/>
    <mergeCell ref="DV26:DV27"/>
    <mergeCell ref="DW26:DW27"/>
    <mergeCell ref="DX26:DX27"/>
    <mergeCell ref="DE28:DE29"/>
    <mergeCell ref="DF28:DF29"/>
    <mergeCell ref="DG28:DG29"/>
    <mergeCell ref="DH28:DH29"/>
    <mergeCell ref="DI28:DI29"/>
    <mergeCell ref="DJ28:DJ29"/>
    <mergeCell ref="DK28:DK29"/>
    <mergeCell ref="DL28:DL29"/>
    <mergeCell ref="DM28:DM29"/>
    <mergeCell ref="DN28:DN29"/>
    <mergeCell ref="DO28:DO29"/>
    <mergeCell ref="DP28:DP29"/>
    <mergeCell ref="DQ28:DQ29"/>
    <mergeCell ref="DR28:DR29"/>
    <mergeCell ref="DS28:DS29"/>
    <mergeCell ref="DT28:DT29"/>
    <mergeCell ref="DU28:DU29"/>
    <mergeCell ref="DV28:DV29"/>
    <mergeCell ref="DW28:DW29"/>
    <mergeCell ref="DX28:DX29"/>
    <mergeCell ref="DE26:DE27"/>
    <mergeCell ref="DF26:DF27"/>
    <mergeCell ref="DG26:DG27"/>
    <mergeCell ref="DH26:DH27"/>
    <mergeCell ref="DI26:DI27"/>
    <mergeCell ref="DJ26:DJ27"/>
    <mergeCell ref="DK26:DK27"/>
    <mergeCell ref="DL26:DL27"/>
    <mergeCell ref="DX22:DX23"/>
    <mergeCell ref="DE24:DE25"/>
    <mergeCell ref="DF24:DF25"/>
    <mergeCell ref="DG24:DG25"/>
    <mergeCell ref="DH24:DH25"/>
    <mergeCell ref="DI24:DI25"/>
    <mergeCell ref="DJ24:DJ25"/>
    <mergeCell ref="DK24:DK25"/>
    <mergeCell ref="DL24:DL25"/>
    <mergeCell ref="DM24:DM25"/>
    <mergeCell ref="DN24:DN25"/>
    <mergeCell ref="DO24:DO25"/>
    <mergeCell ref="DP24:DP25"/>
    <mergeCell ref="DQ24:DQ25"/>
    <mergeCell ref="DR24:DR25"/>
    <mergeCell ref="DS24:DS25"/>
    <mergeCell ref="DT24:DT25"/>
    <mergeCell ref="DU24:DU25"/>
    <mergeCell ref="DV24:DV25"/>
    <mergeCell ref="DW24:DW25"/>
    <mergeCell ref="DX24:DX25"/>
    <mergeCell ref="DM22:DM23"/>
    <mergeCell ref="DN22:DN23"/>
    <mergeCell ref="DO22:DO23"/>
    <mergeCell ref="DP22:DP23"/>
    <mergeCell ref="DQ22:DQ23"/>
    <mergeCell ref="DR22:DR23"/>
    <mergeCell ref="DS22:DS23"/>
    <mergeCell ref="DT22:DT23"/>
    <mergeCell ref="DU22:DU23"/>
    <mergeCell ref="DV18:DV19"/>
    <mergeCell ref="DO18:DO19"/>
    <mergeCell ref="DP18:DP19"/>
    <mergeCell ref="DQ18:DQ19"/>
    <mergeCell ref="DR18:DR19"/>
    <mergeCell ref="DS18:DS19"/>
    <mergeCell ref="DT18:DT19"/>
    <mergeCell ref="DU18:DU19"/>
    <mergeCell ref="DV22:DV23"/>
    <mergeCell ref="DW22:DW23"/>
    <mergeCell ref="DW18:DW19"/>
    <mergeCell ref="DX18:DX19"/>
    <mergeCell ref="DE20:DE21"/>
    <mergeCell ref="DF20:DF21"/>
    <mergeCell ref="DG20:DG21"/>
    <mergeCell ref="DH20:DH21"/>
    <mergeCell ref="DI20:DI21"/>
    <mergeCell ref="DJ20:DJ21"/>
    <mergeCell ref="DK20:DK21"/>
    <mergeCell ref="DL20:DL21"/>
    <mergeCell ref="DM20:DM21"/>
    <mergeCell ref="DN20:DN21"/>
    <mergeCell ref="DO20:DO21"/>
    <mergeCell ref="DP20:DP21"/>
    <mergeCell ref="DQ20:DQ21"/>
    <mergeCell ref="DR20:DR21"/>
    <mergeCell ref="DS20:DS21"/>
    <mergeCell ref="DT20:DT21"/>
    <mergeCell ref="DU20:DU21"/>
    <mergeCell ref="DV20:DV21"/>
    <mergeCell ref="DW20:DW21"/>
    <mergeCell ref="DX20:DX21"/>
    <mergeCell ref="DM18:DM19"/>
    <mergeCell ref="DN18:DN19"/>
    <mergeCell ref="DE18:DE19"/>
    <mergeCell ref="DF18:DF19"/>
    <mergeCell ref="DG18:DG19"/>
    <mergeCell ref="DH18:DH19"/>
    <mergeCell ref="DI18:DI19"/>
    <mergeCell ref="DJ18:DJ19"/>
    <mergeCell ref="DK18:DK19"/>
    <mergeCell ref="DL18:DL19"/>
    <mergeCell ref="DE22:DE23"/>
    <mergeCell ref="DF22:DF23"/>
    <mergeCell ref="DG22:DG23"/>
    <mergeCell ref="DH22:DH23"/>
    <mergeCell ref="DI22:DI23"/>
    <mergeCell ref="DJ22:DJ23"/>
    <mergeCell ref="DK22:DK23"/>
    <mergeCell ref="DL22:DL23"/>
    <mergeCell ref="CY32:CY33"/>
    <mergeCell ref="CY34:CY35"/>
    <mergeCell ref="CY36:CY37"/>
    <mergeCell ref="CW13:CY14"/>
    <mergeCell ref="CY16:CY17"/>
    <mergeCell ref="CY18:CY19"/>
    <mergeCell ref="CY20:CY21"/>
    <mergeCell ref="CY22:CY23"/>
    <mergeCell ref="CY24:CY25"/>
    <mergeCell ref="CY26:CY27"/>
    <mergeCell ref="CY28:CY29"/>
    <mergeCell ref="CY30:CY31"/>
    <mergeCell ref="DD18:DD19"/>
    <mergeCell ref="DD20:DD21"/>
    <mergeCell ref="DD22:DD23"/>
    <mergeCell ref="DD24:DD25"/>
    <mergeCell ref="DD26:DD27"/>
    <mergeCell ref="DD28:DD29"/>
    <mergeCell ref="DD30:DD31"/>
    <mergeCell ref="DD32:DD33"/>
    <mergeCell ref="DD34:DD35"/>
    <mergeCell ref="DD36:DD37"/>
    <mergeCell ref="CX18:CX19"/>
    <mergeCell ref="CW34:CW35"/>
    <mergeCell ref="CX34:CX35"/>
    <mergeCell ref="CZ16:CZ17"/>
    <mergeCell ref="DA16:DA17"/>
    <mergeCell ref="CZ18:CZ19"/>
    <mergeCell ref="DA18:DA19"/>
    <mergeCell ref="CZ20:CZ21"/>
    <mergeCell ref="DA20:DA21"/>
    <mergeCell ref="CZ22:CZ23"/>
    <mergeCell ref="AK9:AO11"/>
    <mergeCell ref="C16:E17"/>
    <mergeCell ref="F16:K17"/>
    <mergeCell ref="L16:Q17"/>
    <mergeCell ref="K9:N11"/>
    <mergeCell ref="O9:R11"/>
    <mergeCell ref="S9:V11"/>
    <mergeCell ref="AF9:AJ11"/>
    <mergeCell ref="Y12:AB13"/>
    <mergeCell ref="AC12:AG13"/>
    <mergeCell ref="AH12:AK13"/>
    <mergeCell ref="AL12:AO13"/>
    <mergeCell ref="W9:Z11"/>
    <mergeCell ref="AA9:AE11"/>
    <mergeCell ref="AA16:AC17"/>
    <mergeCell ref="AD16:AI17"/>
    <mergeCell ref="AJ16:AL17"/>
    <mergeCell ref="C18:E19"/>
    <mergeCell ref="F18:K19"/>
    <mergeCell ref="L18:Q19"/>
    <mergeCell ref="C36:E37"/>
    <mergeCell ref="F36:K37"/>
    <mergeCell ref="L36:Q37"/>
    <mergeCell ref="C30:E31"/>
    <mergeCell ref="F30:K31"/>
    <mergeCell ref="L30:Q31"/>
    <mergeCell ref="C32:E33"/>
    <mergeCell ref="F32:K33"/>
    <mergeCell ref="L32:Q33"/>
    <mergeCell ref="C34:E35"/>
    <mergeCell ref="F34:K35"/>
    <mergeCell ref="L34:Q35"/>
    <mergeCell ref="C24:E25"/>
    <mergeCell ref="F24:K25"/>
    <mergeCell ref="L24:Q25"/>
    <mergeCell ref="BT18:BT19"/>
    <mergeCell ref="AQ12:BA13"/>
    <mergeCell ref="AQ14:BA14"/>
    <mergeCell ref="AP16:AR17"/>
    <mergeCell ref="AP18:AR19"/>
    <mergeCell ref="AV16:AX16"/>
    <mergeCell ref="AY16:BA16"/>
    <mergeCell ref="AV17:BA17"/>
    <mergeCell ref="BB16:BE16"/>
    <mergeCell ref="BB17:BC17"/>
    <mergeCell ref="BD17:BE17"/>
    <mergeCell ref="BF16:BG17"/>
    <mergeCell ref="BK16:BM17"/>
    <mergeCell ref="BN16:BP17"/>
    <mergeCell ref="AV18:AX18"/>
    <mergeCell ref="AY18:BA18"/>
    <mergeCell ref="AV19:BA19"/>
    <mergeCell ref="BB18:BC19"/>
    <mergeCell ref="BD18:BE19"/>
    <mergeCell ref="BF18:BG19"/>
    <mergeCell ref="BH18:BJ19"/>
    <mergeCell ref="B46:B47"/>
    <mergeCell ref="B44:B45"/>
    <mergeCell ref="B42:B43"/>
    <mergeCell ref="B40:B41"/>
    <mergeCell ref="B38:B39"/>
    <mergeCell ref="X16:Z17"/>
    <mergeCell ref="B18:B19"/>
    <mergeCell ref="R18:T19"/>
    <mergeCell ref="R16:T17"/>
    <mergeCell ref="U16:W17"/>
    <mergeCell ref="B24:B25"/>
    <mergeCell ref="R24:T25"/>
    <mergeCell ref="B30:B31"/>
    <mergeCell ref="B20:B21"/>
    <mergeCell ref="B22:B23"/>
    <mergeCell ref="U22:W23"/>
    <mergeCell ref="X22:Z23"/>
    <mergeCell ref="U24:W25"/>
    <mergeCell ref="X24:Z25"/>
    <mergeCell ref="C20:E21"/>
    <mergeCell ref="F20:K21"/>
    <mergeCell ref="L20:Q21"/>
    <mergeCell ref="C22:E23"/>
    <mergeCell ref="F22:K23"/>
    <mergeCell ref="R30:T31"/>
    <mergeCell ref="U30:W31"/>
    <mergeCell ref="X30:Z31"/>
    <mergeCell ref="C26:E27"/>
    <mergeCell ref="F26:K27"/>
    <mergeCell ref="L26:Q27"/>
    <mergeCell ref="C28:E29"/>
    <mergeCell ref="F28:K29"/>
    <mergeCell ref="O198:AZ198"/>
    <mergeCell ref="BH1:BK3"/>
    <mergeCell ref="F1:I3"/>
    <mergeCell ref="J1:M3"/>
    <mergeCell ref="AT1:AW3"/>
    <mergeCell ref="AX1:BA3"/>
    <mergeCell ref="BB1:BG3"/>
    <mergeCell ref="BG5:BI7"/>
    <mergeCell ref="BG8:BI8"/>
    <mergeCell ref="AX4:BA4"/>
    <mergeCell ref="BB4:BF4"/>
    <mergeCell ref="BG4:BJ4"/>
    <mergeCell ref="AP9:AS11"/>
    <mergeCell ref="AT9:AW11"/>
    <mergeCell ref="L15:Z15"/>
    <mergeCell ref="AA15:AU15"/>
    <mergeCell ref="AM16:AO17"/>
    <mergeCell ref="Y14:AB14"/>
    <mergeCell ref="AC14:AG14"/>
    <mergeCell ref="AH14:AK14"/>
    <mergeCell ref="AL14:AO14"/>
    <mergeCell ref="AP1:AS3"/>
    <mergeCell ref="AX9:BA11"/>
    <mergeCell ref="BH16:BJ17"/>
    <mergeCell ref="AM22:AO23"/>
    <mergeCell ref="AJ24:AL25"/>
    <mergeCell ref="AJ30:AL31"/>
    <mergeCell ref="L28:Q29"/>
    <mergeCell ref="AA24:AC25"/>
    <mergeCell ref="AA26:AC27"/>
    <mergeCell ref="AA28:AC29"/>
    <mergeCell ref="AA30:AC31"/>
    <mergeCell ref="CB16:CB17"/>
    <mergeCell ref="CC16:CC17"/>
    <mergeCell ref="CD16:CD17"/>
    <mergeCell ref="CE16:CE17"/>
    <mergeCell ref="CF16:CF17"/>
    <mergeCell ref="O196:AY197"/>
    <mergeCell ref="U18:W19"/>
    <mergeCell ref="X18:Z19"/>
    <mergeCell ref="AJ18:AL19"/>
    <mergeCell ref="AM18:AO19"/>
    <mergeCell ref="AJ20:AL21"/>
    <mergeCell ref="AM20:AO21"/>
    <mergeCell ref="AM24:AO25"/>
    <mergeCell ref="R20:T21"/>
    <mergeCell ref="U20:W21"/>
    <mergeCell ref="X20:Z21"/>
    <mergeCell ref="R22:T23"/>
    <mergeCell ref="L22:Q23"/>
    <mergeCell ref="U36:W37"/>
    <mergeCell ref="X36:Z37"/>
    <mergeCell ref="AJ36:AL37"/>
    <mergeCell ref="AA36:AC37"/>
    <mergeCell ref="AD36:AI37"/>
    <mergeCell ref="AV36:AX36"/>
    <mergeCell ref="AY36:BA36"/>
    <mergeCell ref="AV37:BA37"/>
    <mergeCell ref="AA18:AC19"/>
    <mergeCell ref="AA20:AC21"/>
    <mergeCell ref="AA22:AC23"/>
    <mergeCell ref="BS16:BS17"/>
    <mergeCell ref="BT16:BT17"/>
    <mergeCell ref="BS18:BS19"/>
    <mergeCell ref="CQ20:CQ21"/>
    <mergeCell ref="CR20:CR21"/>
    <mergeCell ref="CS20:CS21"/>
    <mergeCell ref="CJ20:CJ21"/>
    <mergeCell ref="CQ16:CQ17"/>
    <mergeCell ref="CR16:CR17"/>
    <mergeCell ref="CR18:CR19"/>
    <mergeCell ref="CS16:CS17"/>
    <mergeCell ref="CT16:CT17"/>
    <mergeCell ref="CL16:CL17"/>
    <mergeCell ref="CM16:CM17"/>
    <mergeCell ref="CN16:CN17"/>
    <mergeCell ref="CO16:CO17"/>
    <mergeCell ref="CP16:CP17"/>
    <mergeCell ref="CS18:CS19"/>
    <mergeCell ref="CG16:CG17"/>
    <mergeCell ref="CH16:CH17"/>
    <mergeCell ref="CI16:CI17"/>
    <mergeCell ref="CJ16:CJ17"/>
    <mergeCell ref="CK16:CK17"/>
    <mergeCell ref="BX22:BX23"/>
    <mergeCell ref="BY22:BY23"/>
    <mergeCell ref="BZ22:BZ23"/>
    <mergeCell ref="CC18:CC19"/>
    <mergeCell ref="CD18:CD19"/>
    <mergeCell ref="CE18:CE19"/>
    <mergeCell ref="CF18:CF19"/>
    <mergeCell ref="CB22:CB23"/>
    <mergeCell ref="CC22:CC23"/>
    <mergeCell ref="CD22:CD23"/>
    <mergeCell ref="CE22:CE23"/>
    <mergeCell ref="CF22:CF23"/>
    <mergeCell ref="CT20:CT21"/>
    <mergeCell ref="CG18:CG19"/>
    <mergeCell ref="CB18:CB19"/>
    <mergeCell ref="CM18:CM19"/>
    <mergeCell ref="CN18:CN19"/>
    <mergeCell ref="CO18:CO19"/>
    <mergeCell ref="CP18:CP19"/>
    <mergeCell ref="CQ18:CQ19"/>
    <mergeCell ref="CH18:CH19"/>
    <mergeCell ref="CI18:CI19"/>
    <mergeCell ref="CJ18:CJ19"/>
    <mergeCell ref="CK18:CK19"/>
    <mergeCell ref="CL18:CL19"/>
    <mergeCell ref="CT18:CT19"/>
    <mergeCell ref="CL20:CL21"/>
    <mergeCell ref="CM20:CM21"/>
    <mergeCell ref="CN20:CN21"/>
    <mergeCell ref="CE20:CE21"/>
    <mergeCell ref="CF20:CF21"/>
    <mergeCell ref="CG20:CG21"/>
    <mergeCell ref="CL22:CL23"/>
    <mergeCell ref="CM22:CM23"/>
    <mergeCell ref="CN22:CN23"/>
    <mergeCell ref="CO22:CO23"/>
    <mergeCell ref="CP22:CP23"/>
    <mergeCell ref="CG22:CG23"/>
    <mergeCell ref="CH22:CH23"/>
    <mergeCell ref="CI22:CI23"/>
    <mergeCell ref="CJ22:CJ23"/>
    <mergeCell ref="CK22:CK23"/>
    <mergeCell ref="CQ22:CQ23"/>
    <mergeCell ref="CR22:CR23"/>
    <mergeCell ref="CS22:CS23"/>
    <mergeCell ref="BS22:BS23"/>
    <mergeCell ref="BT22:BT23"/>
    <mergeCell ref="CO20:CO21"/>
    <mergeCell ref="CP20:CP21"/>
    <mergeCell ref="CB20:CB21"/>
    <mergeCell ref="CC20:CC21"/>
    <mergeCell ref="CD20:CD21"/>
    <mergeCell ref="BS20:BS21"/>
    <mergeCell ref="BT20:BT21"/>
    <mergeCell ref="CH20:CH21"/>
    <mergeCell ref="CI20:CI21"/>
    <mergeCell ref="CK20:CK21"/>
    <mergeCell ref="BV20:BV21"/>
    <mergeCell ref="BW20:BW21"/>
    <mergeCell ref="BX20:BX21"/>
    <mergeCell ref="BY20:BY21"/>
    <mergeCell ref="BZ20:BZ21"/>
    <mergeCell ref="BV22:BV23"/>
    <mergeCell ref="BW22:BW23"/>
    <mergeCell ref="CJ28:CJ29"/>
    <mergeCell ref="CK28:CK29"/>
    <mergeCell ref="CF28:CF29"/>
    <mergeCell ref="B26:B27"/>
    <mergeCell ref="R26:T27"/>
    <mergeCell ref="U26:W27"/>
    <mergeCell ref="X26:Z27"/>
    <mergeCell ref="AJ26:AL27"/>
    <mergeCell ref="AM26:AO27"/>
    <mergeCell ref="CM24:CM25"/>
    <mergeCell ref="CN24:CN25"/>
    <mergeCell ref="CO24:CO25"/>
    <mergeCell ref="CP24:CP25"/>
    <mergeCell ref="CQ24:CQ25"/>
    <mergeCell ref="CH24:CH25"/>
    <mergeCell ref="CI24:CI25"/>
    <mergeCell ref="CJ24:CJ25"/>
    <mergeCell ref="BH26:BJ27"/>
    <mergeCell ref="CB26:CB27"/>
    <mergeCell ref="CC26:CC27"/>
    <mergeCell ref="CK24:CK25"/>
    <mergeCell ref="CL24:CL25"/>
    <mergeCell ref="CC24:CC25"/>
    <mergeCell ref="CD24:CD25"/>
    <mergeCell ref="CE24:CE25"/>
    <mergeCell ref="CF24:CF25"/>
    <mergeCell ref="AP24:AR25"/>
    <mergeCell ref="CH26:CH27"/>
    <mergeCell ref="CI26:CI27"/>
    <mergeCell ref="BS26:BS27"/>
    <mergeCell ref="BT26:BT27"/>
    <mergeCell ref="BN24:BP25"/>
    <mergeCell ref="CG24:CG25"/>
    <mergeCell ref="CB24:CB25"/>
    <mergeCell ref="BS24:BS25"/>
    <mergeCell ref="BT24:BT25"/>
    <mergeCell ref="BV24:BV25"/>
    <mergeCell ref="BW24:BW25"/>
    <mergeCell ref="BX24:BX25"/>
    <mergeCell ref="BY24:BY25"/>
    <mergeCell ref="BZ24:BZ25"/>
    <mergeCell ref="BV26:BV27"/>
    <mergeCell ref="BW26:BW27"/>
    <mergeCell ref="BX26:BX27"/>
    <mergeCell ref="BY26:BY27"/>
    <mergeCell ref="BZ26:BZ27"/>
    <mergeCell ref="CG28:CG29"/>
    <mergeCell ref="CH28:CH29"/>
    <mergeCell ref="CI28:CI29"/>
    <mergeCell ref="CE26:CE27"/>
    <mergeCell ref="CF26:CF27"/>
    <mergeCell ref="CG26:CG27"/>
    <mergeCell ref="B32:B33"/>
    <mergeCell ref="R32:T33"/>
    <mergeCell ref="U32:W33"/>
    <mergeCell ref="X32:Z33"/>
    <mergeCell ref="AJ32:AL33"/>
    <mergeCell ref="AM32:AO33"/>
    <mergeCell ref="AV28:AX28"/>
    <mergeCell ref="AY28:BA28"/>
    <mergeCell ref="AV29:BA29"/>
    <mergeCell ref="BH28:BJ29"/>
    <mergeCell ref="CT26:CT27"/>
    <mergeCell ref="B28:B29"/>
    <mergeCell ref="R28:T29"/>
    <mergeCell ref="U28:W29"/>
    <mergeCell ref="X28:Z29"/>
    <mergeCell ref="AJ28:AL29"/>
    <mergeCell ref="AM28:AO29"/>
    <mergeCell ref="CO26:CO27"/>
    <mergeCell ref="CP26:CP27"/>
    <mergeCell ref="CQ28:CQ29"/>
    <mergeCell ref="CR28:CR29"/>
    <mergeCell ref="CS28:CS29"/>
    <mergeCell ref="CT28:CT29"/>
    <mergeCell ref="CD26:CD27"/>
    <mergeCell ref="CQ26:CQ27"/>
    <mergeCell ref="CR26:CR27"/>
    <mergeCell ref="CS26:CS27"/>
    <mergeCell ref="CJ26:CJ27"/>
    <mergeCell ref="CK26:CK27"/>
    <mergeCell ref="CL26:CL27"/>
    <mergeCell ref="CM26:CM27"/>
    <mergeCell ref="CN26:CN27"/>
    <mergeCell ref="CE32:CE33"/>
    <mergeCell ref="AM30:AO31"/>
    <mergeCell ref="AP30:AR31"/>
    <mergeCell ref="AP32:AR33"/>
    <mergeCell ref="BV30:BV31"/>
    <mergeCell ref="BS32:BS33"/>
    <mergeCell ref="BT32:BT33"/>
    <mergeCell ref="AV30:AX30"/>
    <mergeCell ref="AY30:BA30"/>
    <mergeCell ref="AV31:BA31"/>
    <mergeCell ref="BS30:BS31"/>
    <mergeCell ref="BT30:BT31"/>
    <mergeCell ref="CB30:CB31"/>
    <mergeCell ref="BS28:BS29"/>
    <mergeCell ref="BT28:BT29"/>
    <mergeCell ref="BV28:BV29"/>
    <mergeCell ref="BW28:BW29"/>
    <mergeCell ref="BX28:BX29"/>
    <mergeCell ref="BY28:BY29"/>
    <mergeCell ref="BZ28:BZ29"/>
    <mergeCell ref="BW30:BW31"/>
    <mergeCell ref="BX30:BX31"/>
    <mergeCell ref="BY30:BY31"/>
    <mergeCell ref="BZ30:BZ31"/>
    <mergeCell ref="CC28:CC29"/>
    <mergeCell ref="CD28:CD29"/>
    <mergeCell ref="CE28:CE29"/>
    <mergeCell ref="B34:B35"/>
    <mergeCell ref="R34:T35"/>
    <mergeCell ref="U34:W35"/>
    <mergeCell ref="X34:Z35"/>
    <mergeCell ref="AJ34:AL35"/>
    <mergeCell ref="AM34:AO35"/>
    <mergeCell ref="CO32:CO33"/>
    <mergeCell ref="CP32:CP33"/>
    <mergeCell ref="CR32:CR33"/>
    <mergeCell ref="CJ32:CJ33"/>
    <mergeCell ref="CK32:CK33"/>
    <mergeCell ref="CF32:CF33"/>
    <mergeCell ref="CG32:CG33"/>
    <mergeCell ref="CH32:CH33"/>
    <mergeCell ref="CI32:CI33"/>
    <mergeCell ref="CD32:CD33"/>
    <mergeCell ref="CF34:CF35"/>
    <mergeCell ref="BH34:BJ35"/>
    <mergeCell ref="AV33:BA33"/>
    <mergeCell ref="AV34:AX34"/>
    <mergeCell ref="AY34:BA34"/>
    <mergeCell ref="AV35:BA35"/>
    <mergeCell ref="AD34:AI35"/>
    <mergeCell ref="AA32:AC33"/>
    <mergeCell ref="CQ32:CQ33"/>
    <mergeCell ref="BS34:BS35"/>
    <mergeCell ref="BT34:BT35"/>
    <mergeCell ref="AA34:AC35"/>
    <mergeCell ref="AV32:AX32"/>
    <mergeCell ref="AY32:BA32"/>
    <mergeCell ref="BF32:BG33"/>
    <mergeCell ref="BK32:BM33"/>
    <mergeCell ref="CT22:CT23"/>
    <mergeCell ref="CV34:CV35"/>
    <mergeCell ref="BT36:BT37"/>
    <mergeCell ref="BV36:BV37"/>
    <mergeCell ref="BW36:BW37"/>
    <mergeCell ref="BX36:BX37"/>
    <mergeCell ref="BY36:BY37"/>
    <mergeCell ref="BZ36:BZ37"/>
    <mergeCell ref="B36:B37"/>
    <mergeCell ref="R36:T37"/>
    <mergeCell ref="CQ34:CQ35"/>
    <mergeCell ref="CR34:CR35"/>
    <mergeCell ref="CS34:CS35"/>
    <mergeCell ref="CT34:CT35"/>
    <mergeCell ref="CL34:CL35"/>
    <mergeCell ref="CM34:CM35"/>
    <mergeCell ref="CN34:CN35"/>
    <mergeCell ref="CO34:CO35"/>
    <mergeCell ref="CP34:CP35"/>
    <mergeCell ref="CG34:CG35"/>
    <mergeCell ref="CH34:CH35"/>
    <mergeCell ref="CI34:CI35"/>
    <mergeCell ref="CJ34:CJ35"/>
    <mergeCell ref="CK34:CK35"/>
    <mergeCell ref="CB34:CB35"/>
    <mergeCell ref="CC34:CC35"/>
    <mergeCell ref="CD34:CD35"/>
    <mergeCell ref="CE34:CE35"/>
    <mergeCell ref="AM36:AO37"/>
    <mergeCell ref="BB34:BC35"/>
    <mergeCell ref="BD34:BE35"/>
    <mergeCell ref="BF34:BG35"/>
    <mergeCell ref="CU24:CU25"/>
    <mergeCell ref="CU26:CU27"/>
    <mergeCell ref="CU28:CU29"/>
    <mergeCell ref="CU30:CU31"/>
    <mergeCell ref="CU32:CU33"/>
    <mergeCell ref="CJ36:CJ37"/>
    <mergeCell ref="CK36:CK37"/>
    <mergeCell ref="CL36:CL37"/>
    <mergeCell ref="CR30:CR31"/>
    <mergeCell ref="CL30:CL31"/>
    <mergeCell ref="CT32:CT33"/>
    <mergeCell ref="CS32:CS33"/>
    <mergeCell ref="CS30:CS31"/>
    <mergeCell ref="CT30:CT31"/>
    <mergeCell ref="CP30:CP31"/>
    <mergeCell ref="CQ30:CQ31"/>
    <mergeCell ref="CL28:CL29"/>
    <mergeCell ref="CM28:CM29"/>
    <mergeCell ref="CN28:CN29"/>
    <mergeCell ref="CO28:CO29"/>
    <mergeCell ref="CP28:CP29"/>
    <mergeCell ref="CT24:CT25"/>
    <mergeCell ref="CM30:CM31"/>
    <mergeCell ref="CN30:CN31"/>
    <mergeCell ref="CO30:CO31"/>
    <mergeCell ref="CJ30:CJ31"/>
    <mergeCell ref="CK30:CK31"/>
    <mergeCell ref="CL32:CL33"/>
    <mergeCell ref="CM32:CM33"/>
    <mergeCell ref="CN32:CN33"/>
    <mergeCell ref="CR24:CR25"/>
    <mergeCell ref="CS24:CS25"/>
    <mergeCell ref="AP36:AR37"/>
    <mergeCell ref="AS16:AU17"/>
    <mergeCell ref="AS18:AU19"/>
    <mergeCell ref="AS20:AU21"/>
    <mergeCell ref="AS22:AU23"/>
    <mergeCell ref="AS24:AU25"/>
    <mergeCell ref="AS26:AU27"/>
    <mergeCell ref="AS28:AU29"/>
    <mergeCell ref="AS30:AU31"/>
    <mergeCell ref="AS32:AU33"/>
    <mergeCell ref="AS34:AU35"/>
    <mergeCell ref="AS36:AU37"/>
    <mergeCell ref="AP20:AR21"/>
    <mergeCell ref="AP26:AR27"/>
    <mergeCell ref="AP28:AR29"/>
    <mergeCell ref="AD18:AI19"/>
    <mergeCell ref="AD20:AI21"/>
    <mergeCell ref="AD22:AI23"/>
    <mergeCell ref="AD24:AI25"/>
    <mergeCell ref="AD26:AI27"/>
    <mergeCell ref="AD28:AI29"/>
    <mergeCell ref="AD30:AI31"/>
    <mergeCell ref="AD32:AI33"/>
    <mergeCell ref="AP34:AR35"/>
    <mergeCell ref="AJ22:AL23"/>
    <mergeCell ref="AP22:AR23"/>
    <mergeCell ref="BB22:BC23"/>
    <mergeCell ref="BB26:BC27"/>
    <mergeCell ref="AV22:AX22"/>
    <mergeCell ref="AY22:BA22"/>
    <mergeCell ref="AV23:BA23"/>
    <mergeCell ref="AV24:AX24"/>
    <mergeCell ref="AY24:BA24"/>
    <mergeCell ref="AV25:BA25"/>
    <mergeCell ref="AV26:AX26"/>
    <mergeCell ref="AY26:BA26"/>
    <mergeCell ref="AV27:BA27"/>
    <mergeCell ref="BK18:BM19"/>
    <mergeCell ref="BN18:BP19"/>
    <mergeCell ref="AV20:AX20"/>
    <mergeCell ref="AY20:BA20"/>
    <mergeCell ref="BB20:BC21"/>
    <mergeCell ref="BD20:BE21"/>
    <mergeCell ref="BF20:BG21"/>
    <mergeCell ref="BH20:BJ21"/>
    <mergeCell ref="BK20:BM21"/>
    <mergeCell ref="BN20:BP21"/>
    <mergeCell ref="AV21:BA21"/>
    <mergeCell ref="BD22:BE23"/>
    <mergeCell ref="BF22:BG23"/>
    <mergeCell ref="BH22:BJ23"/>
    <mergeCell ref="BK22:BM23"/>
    <mergeCell ref="BN22:BP23"/>
    <mergeCell ref="BB24:BC25"/>
    <mergeCell ref="BD24:BE25"/>
    <mergeCell ref="BF24:BG25"/>
    <mergeCell ref="BH24:BJ25"/>
    <mergeCell ref="BK24:BM25"/>
    <mergeCell ref="CV28:CV29"/>
    <mergeCell ref="CW28:CW29"/>
    <mergeCell ref="CX28:CX29"/>
    <mergeCell ref="BF26:BG27"/>
    <mergeCell ref="BK26:BM27"/>
    <mergeCell ref="BN26:BP27"/>
    <mergeCell ref="BB28:BC29"/>
    <mergeCell ref="BD28:BE29"/>
    <mergeCell ref="BF28:BG29"/>
    <mergeCell ref="BK28:BM29"/>
    <mergeCell ref="BN28:BP29"/>
    <mergeCell ref="CV30:CV31"/>
    <mergeCell ref="CW30:CW31"/>
    <mergeCell ref="CX30:CX31"/>
    <mergeCell ref="CV32:CV33"/>
    <mergeCell ref="CW32:CW33"/>
    <mergeCell ref="CX32:CX33"/>
    <mergeCell ref="CV26:CV27"/>
    <mergeCell ref="CW26:CW27"/>
    <mergeCell ref="CX26:CX27"/>
    <mergeCell ref="CC30:CC31"/>
    <mergeCell ref="CD30:CD31"/>
    <mergeCell ref="CE30:CE31"/>
    <mergeCell ref="CF30:CF31"/>
    <mergeCell ref="CG30:CG31"/>
    <mergeCell ref="CB28:CB29"/>
    <mergeCell ref="BN32:BP33"/>
    <mergeCell ref="CH30:CH31"/>
    <mergeCell ref="CI30:CI31"/>
    <mergeCell ref="BH32:BJ33"/>
    <mergeCell ref="CB32:CB33"/>
    <mergeCell ref="CC32:CC33"/>
    <mergeCell ref="DY18:DY19"/>
    <mergeCell ref="DZ18:DZ19"/>
    <mergeCell ref="DY20:DY21"/>
    <mergeCell ref="DZ20:DZ21"/>
    <mergeCell ref="DY22:DY23"/>
    <mergeCell ref="DZ22:DZ23"/>
    <mergeCell ref="DY24:DY25"/>
    <mergeCell ref="DZ24:DZ25"/>
    <mergeCell ref="DY26:DY27"/>
    <mergeCell ref="DZ26:DZ27"/>
    <mergeCell ref="DY28:DY29"/>
    <mergeCell ref="DZ28:DZ29"/>
    <mergeCell ref="DY30:DY31"/>
    <mergeCell ref="DZ30:DZ31"/>
    <mergeCell ref="DY32:DY33"/>
    <mergeCell ref="DZ32:DZ33"/>
    <mergeCell ref="DY34:DY35"/>
    <mergeCell ref="DZ34:DZ35"/>
    <mergeCell ref="DY36:DY37"/>
    <mergeCell ref="DZ36:DZ37"/>
    <mergeCell ref="BK34:BM35"/>
    <mergeCell ref="BN34:BP35"/>
    <mergeCell ref="BB36:BC37"/>
    <mergeCell ref="BD36:BE37"/>
    <mergeCell ref="BF36:BG37"/>
    <mergeCell ref="BK36:BM37"/>
    <mergeCell ref="BN36:BP37"/>
    <mergeCell ref="CV36:CV37"/>
    <mergeCell ref="CW36:CW37"/>
    <mergeCell ref="CX36:CX37"/>
    <mergeCell ref="CR36:CR37"/>
    <mergeCell ref="CS36:CS37"/>
    <mergeCell ref="CT36:CT37"/>
    <mergeCell ref="CM36:CM37"/>
    <mergeCell ref="CN36:CN37"/>
    <mergeCell ref="CO36:CO37"/>
    <mergeCell ref="CP36:CP37"/>
    <mergeCell ref="CQ36:CQ37"/>
    <mergeCell ref="CH36:CH37"/>
    <mergeCell ref="CI36:CI37"/>
    <mergeCell ref="CU34:CU35"/>
    <mergeCell ref="CC36:CC37"/>
    <mergeCell ref="CD36:CD37"/>
    <mergeCell ref="CE36:CE37"/>
    <mergeCell ref="CF36:CF37"/>
    <mergeCell ref="CG36:CG37"/>
    <mergeCell ref="BH36:BJ37"/>
    <mergeCell ref="CB36:CB37"/>
    <mergeCell ref="BS36:BS37"/>
    <mergeCell ref="CU36:CU37"/>
    <mergeCell ref="DA22:DA23"/>
    <mergeCell ref="CZ24:CZ25"/>
    <mergeCell ref="DA24:DA25"/>
    <mergeCell ref="BV14:BZ15"/>
    <mergeCell ref="BV16:BV17"/>
    <mergeCell ref="BW16:BW17"/>
    <mergeCell ref="BX16:BX17"/>
    <mergeCell ref="BY16:BY17"/>
    <mergeCell ref="BZ16:BZ17"/>
    <mergeCell ref="BV18:BV19"/>
    <mergeCell ref="BW18:BW19"/>
    <mergeCell ref="BX18:BX19"/>
    <mergeCell ref="BY18:BY19"/>
    <mergeCell ref="BZ18:BZ19"/>
    <mergeCell ref="CV22:CV23"/>
    <mergeCell ref="CW22:CW23"/>
    <mergeCell ref="CX22:CX23"/>
    <mergeCell ref="CV24:CV25"/>
    <mergeCell ref="CW24:CW25"/>
    <mergeCell ref="CX24:CX25"/>
    <mergeCell ref="CV16:CV17"/>
    <mergeCell ref="CW16:CW17"/>
    <mergeCell ref="CX16:CX17"/>
    <mergeCell ref="CV18:CV19"/>
    <mergeCell ref="CW18:CW19"/>
    <mergeCell ref="CV20:CV21"/>
    <mergeCell ref="CW20:CW21"/>
    <mergeCell ref="CX20:CX21"/>
    <mergeCell ref="CU16:CU17"/>
    <mergeCell ref="CU18:CU19"/>
    <mergeCell ref="CU20:CU21"/>
    <mergeCell ref="CU22:CU23"/>
    <mergeCell ref="R200:AR201"/>
    <mergeCell ref="CZ36:CZ37"/>
    <mergeCell ref="DA36:DA37"/>
    <mergeCell ref="CZ26:CZ27"/>
    <mergeCell ref="DA26:DA27"/>
    <mergeCell ref="CZ28:CZ29"/>
    <mergeCell ref="DA28:DA29"/>
    <mergeCell ref="CZ30:CZ31"/>
    <mergeCell ref="DA30:DA31"/>
    <mergeCell ref="CZ32:CZ33"/>
    <mergeCell ref="DA32:DA33"/>
    <mergeCell ref="CZ34:CZ35"/>
    <mergeCell ref="DA34:DA35"/>
    <mergeCell ref="BV32:BV33"/>
    <mergeCell ref="BW32:BW33"/>
    <mergeCell ref="BX32:BX33"/>
    <mergeCell ref="BY32:BY33"/>
    <mergeCell ref="BZ32:BZ33"/>
    <mergeCell ref="BV34:BV35"/>
    <mergeCell ref="BW34:BW35"/>
    <mergeCell ref="BX34:BX35"/>
    <mergeCell ref="BY34:BY35"/>
    <mergeCell ref="BZ34:BZ35"/>
    <mergeCell ref="BD26:BE27"/>
    <mergeCell ref="BB30:BC31"/>
    <mergeCell ref="BD30:BE31"/>
    <mergeCell ref="BF30:BG31"/>
    <mergeCell ref="BH30:BJ31"/>
    <mergeCell ref="BK30:BM31"/>
    <mergeCell ref="BN30:BP31"/>
    <mergeCell ref="BB32:BC33"/>
    <mergeCell ref="BD32:BE33"/>
    <mergeCell ref="EJ18:EJ19"/>
    <mergeCell ref="EK18:EK19"/>
    <mergeCell ref="EL18:EL19"/>
    <mergeCell ref="EM18:EM19"/>
    <mergeCell ref="EN18:EN19"/>
    <mergeCell ref="EA20:EA21"/>
    <mergeCell ref="EB20:EB21"/>
    <mergeCell ref="EC20:EC21"/>
    <mergeCell ref="ED20:ED21"/>
    <mergeCell ref="EE20:EE21"/>
    <mergeCell ref="EF20:EF21"/>
    <mergeCell ref="EG20:EG21"/>
    <mergeCell ref="EH20:EH21"/>
    <mergeCell ref="EI20:EI21"/>
    <mergeCell ref="EJ20:EJ21"/>
    <mergeCell ref="EK20:EK21"/>
    <mergeCell ref="EL20:EL21"/>
    <mergeCell ref="EM20:EM21"/>
    <mergeCell ref="EN20:EN21"/>
    <mergeCell ref="EA18:EA19"/>
    <mergeCell ref="EB18:EB19"/>
    <mergeCell ref="EC18:EC19"/>
    <mergeCell ref="ED18:ED19"/>
    <mergeCell ref="EE18:EE19"/>
    <mergeCell ref="EF18:EF19"/>
    <mergeCell ref="EG18:EG19"/>
    <mergeCell ref="EH18:EH19"/>
    <mergeCell ref="EI18:EI19"/>
    <mergeCell ref="EJ22:EJ23"/>
    <mergeCell ref="EK22:EK23"/>
    <mergeCell ref="EL22:EL23"/>
    <mergeCell ref="EM22:EM23"/>
    <mergeCell ref="EN22:EN23"/>
    <mergeCell ref="EA24:EA25"/>
    <mergeCell ref="EB24:EB25"/>
    <mergeCell ref="EC24:EC25"/>
    <mergeCell ref="ED24:ED25"/>
    <mergeCell ref="EE24:EE25"/>
    <mergeCell ref="EF24:EF25"/>
    <mergeCell ref="EG24:EG25"/>
    <mergeCell ref="EH24:EH25"/>
    <mergeCell ref="EI24:EI25"/>
    <mergeCell ref="EJ24:EJ25"/>
    <mergeCell ref="EK24:EK25"/>
    <mergeCell ref="EL24:EL25"/>
    <mergeCell ref="EM24:EM25"/>
    <mergeCell ref="EN24:EN25"/>
    <mergeCell ref="EA22:EA23"/>
    <mergeCell ref="EB22:EB23"/>
    <mergeCell ref="EC22:EC23"/>
    <mergeCell ref="ED22:ED23"/>
    <mergeCell ref="EE22:EE23"/>
    <mergeCell ref="EF22:EF23"/>
    <mergeCell ref="EG22:EG23"/>
    <mergeCell ref="EH22:EH23"/>
    <mergeCell ref="EI22:EI23"/>
    <mergeCell ref="EJ26:EJ27"/>
    <mergeCell ref="EK26:EK27"/>
    <mergeCell ref="EL26:EL27"/>
    <mergeCell ref="EM26:EM27"/>
    <mergeCell ref="EN26:EN27"/>
    <mergeCell ref="EA28:EA29"/>
    <mergeCell ref="EB28:EB29"/>
    <mergeCell ref="EC28:EC29"/>
    <mergeCell ref="ED28:ED29"/>
    <mergeCell ref="EE28:EE29"/>
    <mergeCell ref="EF28:EF29"/>
    <mergeCell ref="EG28:EG29"/>
    <mergeCell ref="EH28:EH29"/>
    <mergeCell ref="EI28:EI29"/>
    <mergeCell ref="EJ28:EJ29"/>
    <mergeCell ref="EK28:EK29"/>
    <mergeCell ref="EL28:EL29"/>
    <mergeCell ref="EM28:EM29"/>
    <mergeCell ref="EN28:EN29"/>
    <mergeCell ref="EA26:EA27"/>
    <mergeCell ref="EB26:EB27"/>
    <mergeCell ref="EC26:EC27"/>
    <mergeCell ref="ED26:ED27"/>
    <mergeCell ref="EE26:EE27"/>
    <mergeCell ref="EF26:EF27"/>
    <mergeCell ref="EG26:EG27"/>
    <mergeCell ref="EH26:EH27"/>
    <mergeCell ref="EI26:EI27"/>
    <mergeCell ref="EJ30:EJ31"/>
    <mergeCell ref="EK30:EK31"/>
    <mergeCell ref="EL30:EL31"/>
    <mergeCell ref="EM30:EM31"/>
    <mergeCell ref="EN30:EN31"/>
    <mergeCell ref="EA32:EA33"/>
    <mergeCell ref="EB32:EB33"/>
    <mergeCell ref="EC32:EC33"/>
    <mergeCell ref="ED32:ED33"/>
    <mergeCell ref="EE32:EE33"/>
    <mergeCell ref="EF32:EF33"/>
    <mergeCell ref="EG32:EG33"/>
    <mergeCell ref="EH32:EH33"/>
    <mergeCell ref="EI32:EI33"/>
    <mergeCell ref="EJ32:EJ33"/>
    <mergeCell ref="EK32:EK33"/>
    <mergeCell ref="EL32:EL33"/>
    <mergeCell ref="EM32:EM33"/>
    <mergeCell ref="EN32:EN33"/>
    <mergeCell ref="EA30:EA31"/>
    <mergeCell ref="EB30:EB31"/>
    <mergeCell ref="EC30:EC31"/>
    <mergeCell ref="ED30:ED31"/>
    <mergeCell ref="EE30:EE31"/>
    <mergeCell ref="EF30:EF31"/>
    <mergeCell ref="EG30:EG31"/>
    <mergeCell ref="EH30:EH31"/>
    <mergeCell ref="EI30:EI31"/>
    <mergeCell ref="EJ34:EJ35"/>
    <mergeCell ref="EK34:EK35"/>
    <mergeCell ref="EL34:EL35"/>
    <mergeCell ref="EM34:EM35"/>
    <mergeCell ref="EN34:EN35"/>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A34:EA35"/>
    <mergeCell ref="EB34:EB35"/>
    <mergeCell ref="EC34:EC35"/>
    <mergeCell ref="ED34:ED35"/>
    <mergeCell ref="EE34:EE35"/>
    <mergeCell ref="EF34:EF35"/>
    <mergeCell ref="EG34:EG35"/>
    <mergeCell ref="EH34:EH35"/>
    <mergeCell ref="EI34:EI35"/>
  </mergeCells>
  <conditionalFormatting sqref="C18 L18 AD18 AJ18 AM18 AP18 AY18 BB18 BD18 AV18:AV37 C20 L20 AD20 AJ20 AM20 AP20 AY20 BB20 BD20 C22 L22 AD22 AJ22 AM22 AP22 AY22 BB22 BD22 C24 L24 AD24 AJ24 AM24 AP24 AY24 BB24 BD24 C26 L26 AD26 AJ26 AM26 AP26 AY26 BB26 BD26 C28 L28 AD28 AJ28 AM28 AP28 AY28 BB28 BD28 C30 L30 AD30 AJ30 AM30 AP30 AY30 BB30 BD30 C32 L32 AD32 AJ32 AM32 AP32 AY32 BB32 BD32 C34 L34 AD34 AJ34 AM34 AP34 AY34 BB34 BD34 C36 L36 AD36 AJ36 AM36 AP36 AY36 BB36 BD36">
    <cfRule type="expression" dxfId="314" priority="11">
      <formula>AND(ISBLANK($F18)=FALSE,OR(ISBLANK(C18)=TRUE,C18=""))</formula>
    </cfRule>
  </conditionalFormatting>
  <conditionalFormatting sqref="R18:AC37">
    <cfRule type="expression" dxfId="313" priority="3">
      <formula>AND(ISBLANK($F18)=FALSE,OR(ISBLANK(R18)=TRUE,R18=""))</formula>
    </cfRule>
  </conditionalFormatting>
  <conditionalFormatting sqref="AS18 AS20 AS22 AS24 AS26 AS28 AS30 AS32 AS34 AS36">
    <cfRule type="expression" dxfId="312" priority="2">
      <formula>AND(ISBLANK($F18)=FALSE,OR(ISBLANK(AS18)=TRUE,AS18=""))</formula>
    </cfRule>
  </conditionalFormatting>
  <conditionalFormatting sqref="AV18 AY18 AV20 AY20 AV22 AY22 AV24 AY24 AV26 AY26 AV28 AY28 AV30 AY30 AV32 AY32 AV34 AY34 AV36 AY36">
    <cfRule type="expression" dxfId="311" priority="2096">
      <formula>AND($F18&lt;&gt;"",$P18&lt;&gt;"",AV18="")</formula>
    </cfRule>
  </conditionalFormatting>
  <conditionalFormatting sqref="AV19 AV21 AV23 AV25 AV27 AV29 AV31 AV33 AV35 AV37">
    <cfRule type="expression" dxfId="310" priority="7">
      <formula>AND($F18&lt;&gt;"",AV19="")</formula>
    </cfRule>
  </conditionalFormatting>
  <conditionalFormatting sqref="BA8:BF8">
    <cfRule type="expression" dxfId="309" priority="4">
      <formula>IF($AO$8=PROJSTATMEASURE,FALSE,TRUE)</formula>
    </cfRule>
  </conditionalFormatting>
  <conditionalFormatting sqref="BH18 BH20 BH22 BH24 BH26 BH28 BH30 BH32 BH34 BH36">
    <cfRule type="expression" dxfId="308" priority="2217" stopIfTrue="1">
      <formula>ISNUMBER($BH18)=FALSE</formula>
    </cfRule>
    <cfRule type="expression" dxfId="307" priority="2218">
      <formula>$BH18 &lt;&gt; #REF!</formula>
    </cfRule>
  </conditionalFormatting>
  <conditionalFormatting sqref="BY18:BZ37">
    <cfRule type="expression" dxfId="306" priority="1">
      <formula>$BX18&lt;&gt;"Dual"</formula>
    </cfRule>
  </conditionalFormatting>
  <dataValidations count="20">
    <dataValidation type="list" allowBlank="1" showInputMessage="1" showErrorMessage="1" prompt="Select Custom Measure Category." sqref="F18 F20 F22 F24 F26 F28 F30 F32 F34 F36" xr:uid="{D5D5B8F7-DCD9-4521-BDE7-CB520576F6B0}">
      <formula1>List_Cust_Food</formula1>
    </dataValidation>
    <dataValidation type="decimal" allowBlank="1" showInputMessage="1" showErrorMessage="1" prompt="This is the TOTAL Labor Cost of the measure, NOT a per unit basis." sqref="BD18 BD20 BD22 BD24 BD26 BD28 BD30 BD32 BD34 BD36" xr:uid="{1B9B9435-22B1-46D9-908C-85A264A26D1A}">
      <formula1>0</formula1>
      <formula2>999999999</formula2>
    </dataValidation>
    <dataValidation type="decimal" allowBlank="1" showInputMessage="1" showErrorMessage="1" prompt="This is the TOTAL Material Cost of the measure, NOT a per unit basis." sqref="BB18 BB20 BB22 BB24 BB26 BB28 BB30 BB32 BB34 BB36" xr:uid="{81A3AD0B-D351-43B9-8031-B80CFE20B8BA}">
      <formula1>0</formula1>
      <formula2>999999999</formula2>
    </dataValidation>
    <dataValidation allowBlank="1" showInputMessage="1" showErrorMessage="1" prompt="Install Location should describe the area where the equipment is installed. (e.g. Room 201, Garage, Mechanical Room)." sqref="C18 C20 C22 C24 C26 C28 C30 C32 C34 C36" xr:uid="{D2983F52-C2C7-4A9B-A1EA-3C5A7604F8CA}"/>
    <dataValidation allowBlank="1" showInputMessage="1" showErrorMessage="1" prompt="Enter the Manufacturer name as it appears in technical documents and invoices." sqref="AV18 AV20 AV22 AV24 AV26 AV28 AV30 AV32 AV34 AV36" xr:uid="{366D3245-4F2F-49D5-82BF-80CBC5EF139D}"/>
    <dataValidation allowBlank="1" showInputMessage="1" showErrorMessage="1" prompt="Enter the Model number as it appears in technical documents and invoices." sqref="AY18 AY20 AY22 AY24 AY26 AY28 AY30 AY32 AY34 AY36" xr:uid="{30933C0F-54D4-4EC1-89A9-22715FFD8ED9}"/>
    <dataValidation allowBlank="1" showInputMessage="1" showErrorMessage="1" prompt="Provide a brief description of the Existing Equipment." sqref="L18 L20 L22 L24 L26 L28 L30 L32 L34 L36" xr:uid="{28C3C859-C445-47F5-ABE8-512DE38461DA}"/>
    <dataValidation allowBlank="1" showInputMessage="1" showErrorMessage="1" prompt="Enter the Serial number as it appears in technical documents and invoices." sqref="AV19 AV21 AV23 AV25 AV27 AV29 AV31 AV33 AV35 AV37" xr:uid="{B289F8E9-DA6B-41A7-8178-461EB3A2C9B7}"/>
    <dataValidation type="custom" operator="greaterThanOrEqual" allowBlank="1" showInputMessage="1" showErrorMessage="1" errorTitle="Invalid Entry" error="Please enter no more than 4 decimals." prompt="Enter the Total Annual kWh Usage for the Existing measure, NOT per unit." sqref="R18:T37" xr:uid="{3937FF0A-9F17-4487-9D38-E83F9DF67D4C}">
      <formula1>AND(R18&gt;=0,R18=ROUND(R18,4))</formula1>
    </dataValidation>
    <dataValidation type="custom" operator="greaterThanOrEqual" allowBlank="1" showInputMessage="1" showErrorMessage="1" errorTitle="Invalid Entry" error="Please enter no more than 6 decimals." prompt="Enter the Total Annual kW Demand for the Existing measure, NOT per unit." sqref="U18:W37" xr:uid="{E2573093-19D5-40EF-91CB-908E5C45DE80}">
      <formula1>AND(U18&gt;=0,U18=ROUND(U18,6))</formula1>
    </dataValidation>
    <dataValidation type="custom" operator="greaterThanOrEqual" allowBlank="1" showInputMessage="1" showErrorMessage="1" errorTitle="Invalid Entry" error="Please enter no more than 4 decimals." prompt="Enter the Total Annual kWh Usage for the Proposed measure, NOT per unit." sqref="AJ18 AJ20 AJ22 AJ24 AJ26 AJ28 AJ30 AJ32 AJ34 AJ36" xr:uid="{C6EC7168-A553-4A39-98CA-30E53002572D}">
      <formula1>AND(AJ18&gt;=0,AJ18=ROUND(AJ18,4))</formula1>
    </dataValidation>
    <dataValidation type="custom" operator="greaterThanOrEqual" allowBlank="1" showInputMessage="1" showErrorMessage="1" errorTitle="Invalid Entry" error="Please enter no more than 6 decimals." prompt="Enter the Total Annual kW Demand for the Proposed measure, NOT per unit." sqref="AM18 AM20 AM22 AM24 AM26 AM28 AM30 AM32 AM34 AM36" xr:uid="{88B1A299-9F33-448B-A4DF-83CA1452D604}">
      <formula1>AND(AM18&gt;=0,AM18=ROUND(AM18,6))</formula1>
    </dataValidation>
    <dataValidation type="textLength" errorStyle="warning" operator="lessThan" allowBlank="1" showInputMessage="1" showErrorMessage="1" errorTitle="*Important*" error="Text length must be less than 255 characters." prompt="Provide a brief description of the Proposed Equipment." sqref="AD18 AD20 AD22 AD24 AD26 AD28 AD30 AD32 AD34 AD36" xr:uid="{DC2B982A-860C-4C88-8214-2C34FBECCCDF}">
      <formula1>255</formula1>
    </dataValidation>
    <dataValidation type="custom" operator="greaterThanOrEqual" allowBlank="1" showInputMessage="1" showErrorMessage="1" errorTitle="Invalid Entry" error="Please enter no more than 6 decimals." prompt="Enter the Total Annual therm Usage for the Existing measure, NOT per unit." sqref="X18:Z37" xr:uid="{E445E678-BDDA-45D1-9842-2EB5124AB415}">
      <formula1>AND(X18&gt;=0,X18=ROUND(X18,6))</formula1>
    </dataValidation>
    <dataValidation type="custom" operator="greaterThanOrEqual" allowBlank="1" showInputMessage="1" showErrorMessage="1" errorTitle="Invalid Entry" error="Please enter no more than 6 decimals." prompt="Enter the Total Annual therm Usage for the Proposed measure, NOT per unit." sqref="AP18:AR37" xr:uid="{42084E03-33C2-4A49-A454-218C8AB79717}">
      <formula1>AND(AP18&gt;=0,AP18=ROUND(AP18,6))</formula1>
    </dataValidation>
    <dataValidation type="custom" operator="greaterThanOrEqual" allowBlank="1" showInputMessage="1" showErrorMessage="1" errorTitle="Invalid Entry" error="Please enter no more than 6 decimals." prompt="Enter the Peak Day therm Usage for the Existing measure, NOT per unit." sqref="AA18:AC37" xr:uid="{19395EF6-0E20-43AC-8249-36280EDFFD82}">
      <formula1>AND(AA18&gt;=0,AA18=ROUND(AA18,6))</formula1>
    </dataValidation>
    <dataValidation type="custom" operator="greaterThanOrEqual" allowBlank="1" showInputMessage="1" showErrorMessage="1" errorTitle="Invalid Entry" error="Please enter no more than 6 decimals." prompt="Enter the Peak Day therm Usage for the Proposed measure, NOT per unit." sqref="AS18:AU37" xr:uid="{F59DF04D-1391-4472-BCF2-F50624418593}">
      <formula1>AND(AS18&gt;=0,AS18=ROUND(AS18,6))</formula1>
    </dataValidation>
    <dataValidation type="custom" allowBlank="1" showInputMessage="1" showErrorMessage="1" sqref="BZ18:BZ37" xr:uid="{C359D5FE-D9CF-46E7-ABB7-E346211021A3}">
      <formula1>AND(BZ18&gt;=0,BZ18=ROUND(BZ18,6))</formula1>
    </dataValidation>
    <dataValidation type="custom" allowBlank="1" showInputMessage="1" showErrorMessage="1" sqref="BY18:BY37" xr:uid="{516BB36D-D5E6-4233-B63A-7D5050B7505F}">
      <formula1>AND(BY18&gt;=0,BY18=ROUND(BY18,4))</formula1>
    </dataValidation>
    <dataValidation type="whole" operator="greaterThan" allowBlank="1" showInputMessage="1" showErrorMessage="1" sqref="BV18:BW37" xr:uid="{F9EA5698-2BCB-454D-8F6F-DC0779367119}">
      <formula1>0</formula1>
    </dataValidation>
  </dataValidations>
  <hyperlinks>
    <hyperlink ref="J1:M3" location="'M01-S02'!J1" tooltip="Instructions" display="'M01-S02'!J1" xr:uid="{9E164D16-991A-4F0A-B92B-53E0DA289317}"/>
    <hyperlink ref="AX1:BA3" location="'M05-S05'!AL1" tooltip=" " display="'M05-S05'!AL1" xr:uid="{EAE0D622-8A43-490C-BC57-22D28AAB4C09}"/>
    <hyperlink ref="BH1:BK3" location="'M01-S03'!AP1" tooltip="Contact" display="'M01-S03'!AP1" xr:uid="{E11A0581-0F71-4F63-8787-408129DD7BC8}"/>
    <hyperlink ref="AT1:AW3" location="'M05-S04'!AH1" tooltip=" " display="'M05-S04'!AH1" xr:uid="{7D91C32A-CAF0-45BA-963D-108772B803D7}"/>
    <hyperlink ref="AP1:AS3" location="'M05-S05'!AL1" tooltip=" " display="'M05-S05'!AL1" xr:uid="{E3E90881-51FE-444F-B9F2-5BF864C1656F}"/>
    <hyperlink ref="W9:Z11" location="Custom_WH_Tax" tooltip="Refrigeration" display="Custom_WH_Tax" xr:uid="{48047E14-9311-49B7-B7EC-428FADA79926}"/>
    <hyperlink ref="AP9:AS11" location="Custom_PL_Tax" tooltip="Motors and Drives" display="Custom_PL_Tax" xr:uid="{6332F695-3AE0-45CA-A4FE-89F11EA9EFB1}"/>
    <hyperlink ref="K9:N11" location="Custom_Lighting_Tax" display="Custom_Lighting_Tax" xr:uid="{A3D59821-C7B6-4212-9C0B-AC16DAAB1335}"/>
    <hyperlink ref="O9:R11" location="Custom_HVAC_Tax" display="Custom_HVAC_Tax" xr:uid="{A58DCDBD-6B93-439F-9A32-C36A1ED48FC9}"/>
    <hyperlink ref="S9:V11" location="Custom_Heating_Tax" display="Custom_Heating_Tax" xr:uid="{3434C6FC-93A2-4593-9EB7-F6F25EAF2D8B}"/>
    <hyperlink ref="AF9:AJ11" location="Custom_FS_Tax" display="Custom_FS_Tax" xr:uid="{FB5C98C1-24E4-477D-95B4-78256C42DCFB}"/>
    <hyperlink ref="AK9:AO11" location="Custom_AG_Tax" display="Custom_AG_Tax" xr:uid="{254B97B6-F67A-4286-B86D-17832C36438C}"/>
    <hyperlink ref="AT9:AW11" location="Custom_RA_Tax" display="Custom_RA_Tax" xr:uid="{3F481EC3-3956-4ACD-9F50-8558FC5E8479}"/>
    <hyperlink ref="AX9:BA11" location="Custom_Misc_Tax" display="Custom_Misc_Tax" xr:uid="{3ED0411F-29D2-4E22-830F-CB203C52FE1B}"/>
    <hyperlink ref="AA9:AE11" location="Custom_Refrig_Tax" display="Custom_Refrig_Tax" xr:uid="{475F4A3E-7521-4E59-8AD6-79D97C1F9D48}"/>
  </hyperlinks>
  <printOptions horizontalCentered="1"/>
  <pageMargins left="0" right="0" top="0.25" bottom="0.25" header="0.25" footer="0.25"/>
  <pageSetup scale="4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4BF2DDB-2576-4EBB-84D9-691CA3FAC985}">
          <x14:formula1>
            <xm:f>'DATA TABLES_Project'!$A$112:$A$113</xm:f>
          </x14:formula1>
          <xm:sqref>BX18:BX37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0C7-3DC2-4D88-958A-B4D7CD5E9E4E}">
  <sheetPr codeName="Sheet35">
    <tabColor rgb="FF142C41"/>
    <pageSetUpPr fitToPage="1"/>
  </sheetPr>
  <dimension ref="A1:EN204"/>
  <sheetViews>
    <sheetView showGridLines="0" showRowColHeaders="0" zoomScale="90" zoomScaleNormal="90" workbookViewId="0">
      <selection activeCell="AQ14" sqref="AQ14:BA14"/>
    </sheetView>
  </sheetViews>
  <sheetFormatPr defaultColWidth="0" defaultRowHeight="0" customHeight="1" zeroHeight="1"/>
  <cols>
    <col min="1" max="70" width="4.5703125" style="502" customWidth="1"/>
    <col min="71" max="71" width="11.5703125" hidden="1" customWidth="1"/>
    <col min="72" max="72" width="80.5703125" hidden="1" customWidth="1"/>
    <col min="73" max="73" width="4.5703125" hidden="1" customWidth="1"/>
    <col min="74" max="76" width="12" hidden="1" customWidth="1"/>
    <col min="77" max="78" width="15.28515625" hidden="1" customWidth="1"/>
    <col min="79" max="79" width="4.5703125" hidden="1" customWidth="1"/>
    <col min="80" max="98" width="12" hidden="1" customWidth="1"/>
    <col min="99" max="99" width="8.5703125" hidden="1" customWidth="1"/>
    <col min="100" max="102" width="12" hidden="1" customWidth="1"/>
    <col min="103" max="103" width="8.5703125" hidden="1" customWidth="1"/>
    <col min="104" max="107" width="12" hidden="1" customWidth="1"/>
    <col min="108" max="128" width="28.5703125" hidden="1" customWidth="1"/>
    <col min="129" max="129" width="26.7109375" hidden="1" customWidth="1"/>
    <col min="130" max="130" width="15.85546875" hidden="1" customWidth="1"/>
    <col min="131" max="144" width="32.5703125" hidden="1" customWidth="1"/>
    <col min="145" max="16384" width="4.5703125" hidden="1"/>
  </cols>
  <sheetData>
    <row r="1" spans="1:112" ht="16.350000000000001" customHeight="1">
      <c r="A1" s="12"/>
      <c r="B1" s="36"/>
      <c r="C1" s="36"/>
      <c r="D1" s="36"/>
      <c r="E1" s="36"/>
      <c r="F1" s="750" t="str">
        <f>M1S1</f>
        <v>WELCOME</v>
      </c>
      <c r="G1" s="750"/>
      <c r="H1" s="750"/>
      <c r="I1" s="750"/>
      <c r="J1" s="727" t="str">
        <f>M1S2</f>
        <v>INSTRUCTIONS</v>
      </c>
      <c r="K1" s="727"/>
      <c r="L1" s="727"/>
      <c r="M1" s="727"/>
      <c r="N1" s="166"/>
      <c r="O1" s="166"/>
      <c r="P1" s="166"/>
      <c r="Q1" s="166"/>
      <c r="R1" s="166"/>
      <c r="S1" s="166"/>
      <c r="T1" s="166"/>
      <c r="U1" s="189"/>
      <c r="V1" s="190" t="s">
        <v>118</v>
      </c>
      <c r="W1" s="190"/>
      <c r="X1" s="190"/>
      <c r="Y1" s="190"/>
      <c r="Z1" s="166"/>
      <c r="AA1" s="166"/>
      <c r="AB1" s="166"/>
      <c r="AC1" s="166"/>
      <c r="AD1" s="166"/>
      <c r="AE1" s="166"/>
      <c r="AF1" s="166"/>
      <c r="AG1" s="166"/>
      <c r="AH1" s="166"/>
      <c r="AI1" s="166"/>
      <c r="AJ1" s="166"/>
      <c r="AK1"/>
      <c r="AL1"/>
      <c r="AM1"/>
      <c r="AN1"/>
      <c r="AO1"/>
      <c r="AP1" s="734" t="str">
        <f>IF(ACTIVEINSPECT="Yes","Complete "&amp;M5S4,"")</f>
        <v/>
      </c>
      <c r="AQ1" s="734"/>
      <c r="AR1" s="734"/>
      <c r="AS1" s="734"/>
      <c r="AT1" s="730" t="str">
        <f>IF(ACTIVEOFFER="Yes","Sign "&amp;M5S6,"")</f>
        <v>Sign OBR: Repayment Agreement</v>
      </c>
      <c r="AU1" s="730"/>
      <c r="AV1" s="730"/>
      <c r="AW1" s="730"/>
      <c r="AX1" s="730" t="str">
        <f>IF(ACTIVECOMPL="Yes","Sign "&amp;M5S5,"")</f>
        <v xml:space="preserve">Sign Project Completion Certification </v>
      </c>
      <c r="AY1" s="730"/>
      <c r="AZ1" s="730"/>
      <c r="BA1" s="730"/>
      <c r="BB1" s="732" t="str">
        <f>M1S4</f>
        <v>INCENTIVE RATES &amp; REQUIREMENTS</v>
      </c>
      <c r="BC1" s="732"/>
      <c r="BD1" s="732"/>
      <c r="BE1" s="732"/>
      <c r="BF1" s="732"/>
      <c r="BG1" s="732"/>
      <c r="BH1" s="722" t="s">
        <v>119</v>
      </c>
      <c r="BI1" s="723"/>
      <c r="BJ1" s="723"/>
      <c r="BK1" s="723"/>
      <c r="BL1" s="676"/>
      <c r="BM1" s="676"/>
      <c r="BN1" s="676"/>
      <c r="BO1" s="676"/>
      <c r="BP1" s="676"/>
      <c r="BQ1" s="676"/>
      <c r="BR1" s="676"/>
    </row>
    <row r="2" spans="1:112" ht="16.350000000000001" customHeight="1">
      <c r="A2"/>
      <c r="B2" s="36"/>
      <c r="C2" s="36"/>
      <c r="D2" s="36"/>
      <c r="E2" s="36"/>
      <c r="F2" s="750"/>
      <c r="G2" s="750"/>
      <c r="H2" s="750"/>
      <c r="I2" s="750"/>
      <c r="J2" s="728"/>
      <c r="K2" s="728"/>
      <c r="L2" s="728"/>
      <c r="M2" s="728"/>
      <c r="N2" s="166"/>
      <c r="O2" s="166"/>
      <c r="P2" s="166"/>
      <c r="Q2" s="166"/>
      <c r="R2" s="166"/>
      <c r="S2" s="166"/>
      <c r="T2" s="166"/>
      <c r="U2" s="189"/>
      <c r="V2" s="190"/>
      <c r="W2" s="190"/>
      <c r="X2" s="190"/>
      <c r="Y2" s="190"/>
      <c r="Z2" s="166"/>
      <c r="AA2" s="166"/>
      <c r="AB2" s="166"/>
      <c r="AC2" s="166"/>
      <c r="AD2" s="166"/>
      <c r="AE2" s="166"/>
      <c r="AF2" s="166"/>
      <c r="AG2" s="166"/>
      <c r="AH2" s="166"/>
      <c r="AI2" s="166"/>
      <c r="AJ2" s="166"/>
      <c r="AK2"/>
      <c r="AL2"/>
      <c r="AM2"/>
      <c r="AN2"/>
      <c r="AO2"/>
      <c r="AP2" s="734"/>
      <c r="AQ2" s="734"/>
      <c r="AR2" s="734"/>
      <c r="AS2" s="734"/>
      <c r="AT2" s="730"/>
      <c r="AU2" s="730"/>
      <c r="AV2" s="730"/>
      <c r="AW2" s="730"/>
      <c r="AX2" s="730"/>
      <c r="AY2" s="730"/>
      <c r="AZ2" s="730"/>
      <c r="BA2" s="730"/>
      <c r="BB2" s="732"/>
      <c r="BC2" s="732"/>
      <c r="BD2" s="732"/>
      <c r="BE2" s="732"/>
      <c r="BF2" s="732"/>
      <c r="BG2" s="732"/>
      <c r="BH2" s="723"/>
      <c r="BI2" s="723"/>
      <c r="BJ2" s="723"/>
      <c r="BK2" s="723"/>
      <c r="BL2" s="676"/>
      <c r="BM2" s="676"/>
      <c r="BN2" s="676"/>
      <c r="BO2" s="676"/>
      <c r="BP2" s="676"/>
      <c r="BQ2" s="676"/>
      <c r="BR2" s="676"/>
    </row>
    <row r="3" spans="1:112" ht="16.350000000000001" customHeight="1" thickBot="1">
      <c r="A3" s="614"/>
      <c r="B3" s="627"/>
      <c r="C3" s="627"/>
      <c r="D3" s="627"/>
      <c r="E3" s="627"/>
      <c r="F3" s="875"/>
      <c r="G3" s="875"/>
      <c r="H3" s="875"/>
      <c r="I3" s="875"/>
      <c r="J3" s="876"/>
      <c r="K3" s="876"/>
      <c r="L3" s="876"/>
      <c r="M3" s="876"/>
      <c r="N3" s="608"/>
      <c r="O3" s="608"/>
      <c r="P3" s="608"/>
      <c r="Q3" s="608"/>
      <c r="R3" s="608"/>
      <c r="S3" s="608"/>
      <c r="T3" s="608"/>
      <c r="U3" s="608"/>
      <c r="V3" s="609"/>
      <c r="W3" s="609"/>
      <c r="X3" s="609"/>
      <c r="Y3" s="609"/>
      <c r="Z3" s="614"/>
      <c r="AA3" s="614"/>
      <c r="AB3" s="614"/>
      <c r="AC3" s="614"/>
      <c r="AD3" s="614"/>
      <c r="AE3" s="614"/>
      <c r="AF3" s="614"/>
      <c r="AG3" s="614"/>
      <c r="AH3" s="614"/>
      <c r="AI3" s="614"/>
      <c r="AJ3" s="614"/>
      <c r="AK3" s="614"/>
      <c r="AL3" s="614"/>
      <c r="AM3" s="614"/>
      <c r="AN3" s="614"/>
      <c r="AO3" s="614"/>
      <c r="AP3" s="868"/>
      <c r="AQ3" s="868"/>
      <c r="AR3" s="868"/>
      <c r="AS3" s="868"/>
      <c r="AT3" s="869"/>
      <c r="AU3" s="869"/>
      <c r="AV3" s="869"/>
      <c r="AW3" s="869"/>
      <c r="AX3" s="869"/>
      <c r="AY3" s="869"/>
      <c r="AZ3" s="869"/>
      <c r="BA3" s="869"/>
      <c r="BB3" s="1009"/>
      <c r="BC3" s="1009"/>
      <c r="BD3" s="1009"/>
      <c r="BE3" s="1009"/>
      <c r="BF3" s="1009"/>
      <c r="BG3" s="1009"/>
      <c r="BH3" s="871"/>
      <c r="BI3" s="871"/>
      <c r="BJ3" s="871"/>
      <c r="BK3" s="871"/>
      <c r="BL3" s="676"/>
      <c r="BM3" s="676"/>
      <c r="BN3" s="676"/>
      <c r="BO3" s="676"/>
      <c r="BP3" s="676"/>
      <c r="BQ3" s="676"/>
      <c r="BR3" s="676"/>
    </row>
    <row r="4" spans="1:112" s="496" customFormat="1" ht="16.350000000000001" customHeight="1">
      <c r="A4" s="632"/>
      <c r="B4" s="632"/>
      <c r="C4" s="632"/>
      <c r="D4" s="632"/>
      <c r="E4" s="632"/>
      <c r="F4" s="632"/>
      <c r="G4" s="632"/>
      <c r="H4" s="632"/>
      <c r="I4" s="632"/>
      <c r="J4" s="632"/>
      <c r="K4" s="632"/>
      <c r="L4" s="632"/>
      <c r="M4" s="632"/>
      <c r="N4" s="633"/>
      <c r="O4" s="498"/>
      <c r="P4" s="632"/>
      <c r="Q4" s="632"/>
      <c r="R4" s="632"/>
      <c r="S4" s="632"/>
      <c r="T4" s="634" t="s">
        <v>707</v>
      </c>
      <c r="U4" s="635" t="str">
        <f>M05S07F07</f>
        <v>Custom</v>
      </c>
      <c r="V4" s="497"/>
      <c r="W4" s="497"/>
      <c r="X4" s="636"/>
      <c r="Y4" s="636"/>
      <c r="Z4" s="636"/>
      <c r="AA4" s="632"/>
      <c r="AB4" s="632"/>
      <c r="AC4" s="634" t="s">
        <v>708</v>
      </c>
      <c r="AD4" s="635" t="str">
        <f>IF(M02S02F02="","[Project Name]",LEFT(M02S02F02,25))</f>
        <v>[Project Name]</v>
      </c>
      <c r="AE4" s="497"/>
      <c r="AF4" s="647"/>
      <c r="AG4" s="647"/>
      <c r="AH4" s="647"/>
      <c r="AI4" s="647"/>
      <c r="AJ4" s="647"/>
      <c r="AK4" s="647"/>
      <c r="AL4" s="634" t="s">
        <v>709</v>
      </c>
      <c r="AM4" s="637" t="str">
        <f>IF(M02S02F27="Yes",Status_Final,Status_Pre)</f>
        <v>Draft Pre-Application</v>
      </c>
      <c r="AN4" s="497"/>
      <c r="AO4" s="498"/>
      <c r="AP4" s="632"/>
      <c r="AQ4" s="632"/>
      <c r="AR4" s="498"/>
      <c r="AS4" s="498"/>
      <c r="AT4" s="632"/>
      <c r="AU4" s="632"/>
      <c r="AV4" s="632"/>
      <c r="AW4" s="634" t="s">
        <v>710</v>
      </c>
      <c r="AX4" s="872">
        <f>Incent_Total_Cap_All</f>
        <v>0</v>
      </c>
      <c r="AY4" s="872"/>
      <c r="AZ4" s="872"/>
      <c r="BA4" s="872"/>
      <c r="BB4" s="873" t="s">
        <v>711</v>
      </c>
      <c r="BC4" s="873"/>
      <c r="BD4" s="873"/>
      <c r="BE4" s="873"/>
      <c r="BF4" s="873"/>
      <c r="BG4" s="872" t="str">
        <f>OBR_Amount_Requested</f>
        <v/>
      </c>
      <c r="BH4" s="872"/>
      <c r="BI4" s="872"/>
      <c r="BJ4" s="872"/>
      <c r="BK4" s="498"/>
      <c r="BL4" s="617"/>
      <c r="BM4" s="617"/>
      <c r="BN4" s="617"/>
      <c r="BO4" s="617"/>
      <c r="BP4" s="617"/>
      <c r="BQ4" s="617"/>
      <c r="BR4" s="617"/>
    </row>
    <row r="5" spans="1:112"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142"/>
      <c r="BK5" s="142"/>
      <c r="BL5"/>
      <c r="BM5"/>
      <c r="BN5"/>
      <c r="BO5"/>
      <c r="BP5"/>
      <c r="BQ5"/>
      <c r="BR5"/>
    </row>
    <row r="6" spans="1:112"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c r="BJ6"/>
      <c r="BK6"/>
      <c r="BL6"/>
      <c r="BM6"/>
      <c r="BN6"/>
      <c r="BO6"/>
      <c r="BP6"/>
      <c r="BQ6"/>
      <c r="BR6"/>
    </row>
    <row r="7" spans="1:112"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c r="BJ7"/>
      <c r="BK7"/>
      <c r="BL7"/>
      <c r="BM7"/>
      <c r="BN7"/>
      <c r="BO7"/>
      <c r="BP7"/>
      <c r="BQ7"/>
      <c r="BR7"/>
    </row>
    <row r="8" spans="1:112"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14"/>
      <c r="BK8" s="614"/>
      <c r="BL8"/>
      <c r="BM8"/>
      <c r="BN8"/>
      <c r="BO8"/>
      <c r="BP8"/>
      <c r="BQ8"/>
      <c r="BR8"/>
    </row>
    <row r="9" spans="1:112" s="43" customFormat="1" ht="16.350000000000001" customHeight="1">
      <c r="A9" s="178"/>
      <c r="B9" s="179"/>
      <c r="C9" s="179"/>
      <c r="D9" s="179"/>
      <c r="E9" s="179"/>
      <c r="F9" s="178"/>
      <c r="G9" s="178"/>
      <c r="H9" s="178"/>
      <c r="I9" s="178"/>
      <c r="K9" s="1051" t="str">
        <f>M4S2</f>
        <v>Lighting &amp; Lighting Controls</v>
      </c>
      <c r="L9" s="1014"/>
      <c r="M9" s="1014"/>
      <c r="N9" s="1014"/>
      <c r="O9" s="1005" t="str">
        <f>M4S3</f>
        <v>HVAC</v>
      </c>
      <c r="P9" s="1005"/>
      <c r="Q9" s="1005"/>
      <c r="R9" s="1005"/>
      <c r="S9" s="1005" t="str">
        <f>M4S4</f>
        <v>Heating</v>
      </c>
      <c r="T9" s="1005"/>
      <c r="U9" s="1005"/>
      <c r="V9" s="1005"/>
      <c r="W9" s="1005" t="str">
        <f>M4S5</f>
        <v>Water Heating &amp; Boilers</v>
      </c>
      <c r="X9" s="1005"/>
      <c r="Y9" s="1005"/>
      <c r="Z9" s="1005"/>
      <c r="AA9" s="1029" t="str">
        <f>M4S6</f>
        <v>Refrigeration</v>
      </c>
      <c r="AB9" s="1030"/>
      <c r="AC9" s="1030"/>
      <c r="AD9" s="1030"/>
      <c r="AE9" s="1031"/>
      <c r="AF9" s="1010" t="str">
        <f>M4S7</f>
        <v>Food Service</v>
      </c>
      <c r="AG9" s="1011"/>
      <c r="AH9" s="1011"/>
      <c r="AI9" s="1011"/>
      <c r="AJ9" s="1012"/>
      <c r="AK9" s="1067" t="str">
        <f>M4S8</f>
        <v>Agriculture</v>
      </c>
      <c r="AL9" s="1068"/>
      <c r="AM9" s="1068"/>
      <c r="AN9" s="1068"/>
      <c r="AO9" s="1069"/>
      <c r="AP9" s="1005" t="str">
        <f>M4S9</f>
        <v>Plug Load</v>
      </c>
      <c r="AQ9" s="1005"/>
      <c r="AR9" s="1005"/>
      <c r="AS9" s="1005"/>
      <c r="AT9" s="1005" t="str">
        <f>M4S10</f>
        <v>Residential Appliances</v>
      </c>
      <c r="AU9" s="1005"/>
      <c r="AV9" s="1005"/>
      <c r="AW9" s="1005"/>
      <c r="AX9" s="1005" t="str">
        <f>M4S11</f>
        <v>Miscellaneous</v>
      </c>
      <c r="AY9" s="1005"/>
      <c r="AZ9" s="1005"/>
      <c r="BA9" s="1005"/>
      <c r="BB9" s="178"/>
      <c r="BC9" s="178"/>
      <c r="BD9" s="178"/>
      <c r="BE9" s="178"/>
      <c r="BF9" s="178"/>
      <c r="BG9" s="178"/>
      <c r="BH9" s="178"/>
      <c r="BI9" s="178"/>
      <c r="BJ9" s="178"/>
      <c r="BK9" s="178"/>
      <c r="BL9" s="178"/>
      <c r="BM9" s="178"/>
      <c r="BN9" s="178"/>
      <c r="BO9" s="178"/>
      <c r="BP9" s="178"/>
      <c r="BQ9" s="178"/>
      <c r="BR9" s="178"/>
      <c r="DD9"/>
      <c r="DE9"/>
      <c r="DF9"/>
      <c r="DG9"/>
      <c r="DH9"/>
    </row>
    <row r="10" spans="1:112" s="43" customFormat="1" ht="16.350000000000001" customHeight="1">
      <c r="A10" s="178"/>
      <c r="B10" s="179"/>
      <c r="C10" s="179"/>
      <c r="D10" s="179"/>
      <c r="E10" s="179"/>
      <c r="F10" s="178"/>
      <c r="G10" s="178"/>
      <c r="H10" s="178"/>
      <c r="I10" s="178"/>
      <c r="K10" s="1051"/>
      <c r="L10" s="1014"/>
      <c r="M10" s="1014"/>
      <c r="N10" s="1014"/>
      <c r="O10" s="1005"/>
      <c r="P10" s="1005"/>
      <c r="Q10" s="1005"/>
      <c r="R10" s="1005"/>
      <c r="S10" s="1005"/>
      <c r="T10" s="1005"/>
      <c r="U10" s="1005"/>
      <c r="V10" s="1005"/>
      <c r="W10" s="1005"/>
      <c r="X10" s="1005"/>
      <c r="Y10" s="1005"/>
      <c r="Z10" s="1005"/>
      <c r="AA10" s="1032"/>
      <c r="AB10" s="1033"/>
      <c r="AC10" s="1033"/>
      <c r="AD10" s="1033"/>
      <c r="AE10" s="1034"/>
      <c r="AF10" s="1013"/>
      <c r="AG10" s="1014"/>
      <c r="AH10" s="1014"/>
      <c r="AI10" s="1014"/>
      <c r="AJ10" s="1015"/>
      <c r="AK10" s="1070"/>
      <c r="AL10" s="1026"/>
      <c r="AM10" s="1026"/>
      <c r="AN10" s="1026"/>
      <c r="AO10" s="1071"/>
      <c r="AP10" s="1005"/>
      <c r="AQ10" s="1005"/>
      <c r="AR10" s="1005"/>
      <c r="AS10" s="1005"/>
      <c r="AT10" s="1005"/>
      <c r="AU10" s="1005"/>
      <c r="AV10" s="1005"/>
      <c r="AW10" s="1005"/>
      <c r="AX10" s="1005"/>
      <c r="AY10" s="1005"/>
      <c r="AZ10" s="1005"/>
      <c r="BA10" s="1005"/>
      <c r="BB10" s="178"/>
      <c r="BC10" s="178"/>
      <c r="BD10" s="178"/>
      <c r="BE10" s="178"/>
      <c r="BF10" s="178"/>
      <c r="BG10" s="178"/>
      <c r="BH10" s="178"/>
      <c r="BI10" s="178"/>
      <c r="BJ10" s="178"/>
      <c r="BK10" s="178"/>
      <c r="BL10" s="178"/>
      <c r="BM10" s="178"/>
      <c r="BN10" s="178"/>
      <c r="BO10" s="178"/>
      <c r="BP10" s="178"/>
      <c r="BQ10" s="178"/>
      <c r="BR10" s="178"/>
      <c r="DD10"/>
      <c r="DE10"/>
      <c r="DF10"/>
      <c r="DG10"/>
      <c r="DH10"/>
    </row>
    <row r="11" spans="1:112" ht="16.350000000000001" customHeight="1">
      <c r="A11" s="177"/>
      <c r="B11" s="180"/>
      <c r="C11" s="180"/>
      <c r="D11" s="180"/>
      <c r="E11" s="180"/>
      <c r="F11" s="177"/>
      <c r="G11" s="177"/>
      <c r="H11" s="177"/>
      <c r="I11" s="177"/>
      <c r="J11"/>
      <c r="K11" s="1052"/>
      <c r="L11" s="1053"/>
      <c r="M11" s="1053"/>
      <c r="N11" s="1053"/>
      <c r="O11" s="1006"/>
      <c r="P11" s="1006"/>
      <c r="Q11" s="1006"/>
      <c r="R11" s="1006"/>
      <c r="S11" s="1006"/>
      <c r="T11" s="1006"/>
      <c r="U11" s="1006"/>
      <c r="V11" s="1006"/>
      <c r="W11" s="1006"/>
      <c r="X11" s="1006"/>
      <c r="Y11" s="1006"/>
      <c r="Z11" s="1006"/>
      <c r="AA11" s="1035"/>
      <c r="AB11" s="1036"/>
      <c r="AC11" s="1036"/>
      <c r="AD11" s="1036"/>
      <c r="AE11" s="1037"/>
      <c r="AF11" s="1016"/>
      <c r="AG11" s="1017"/>
      <c r="AH11" s="1017"/>
      <c r="AI11" s="1017"/>
      <c r="AJ11" s="1018"/>
      <c r="AK11" s="1072"/>
      <c r="AL11" s="1073"/>
      <c r="AM11" s="1073"/>
      <c r="AN11" s="1073"/>
      <c r="AO11" s="1074"/>
      <c r="AP11" s="1006"/>
      <c r="AQ11" s="1006"/>
      <c r="AR11" s="1006"/>
      <c r="AS11" s="1006"/>
      <c r="AT11" s="1006"/>
      <c r="AU11" s="1006"/>
      <c r="AV11" s="1006"/>
      <c r="AW11" s="1006"/>
      <c r="AX11" s="1006"/>
      <c r="AY11" s="1006"/>
      <c r="AZ11" s="1006"/>
      <c r="BA11" s="1006"/>
      <c r="BB11" s="177"/>
      <c r="BC11" s="177"/>
      <c r="BD11" s="177"/>
      <c r="BE11" s="177"/>
      <c r="BF11" s="177"/>
      <c r="BG11" s="177"/>
      <c r="BH11" s="177"/>
      <c r="BI11" s="177"/>
      <c r="BJ11" s="177"/>
      <c r="BK11" s="177"/>
      <c r="BL11" s="177"/>
      <c r="BM11" s="177"/>
      <c r="BN11" s="177"/>
      <c r="BO11" s="177"/>
      <c r="BP11" s="177"/>
      <c r="BQ11" s="177"/>
      <c r="BR11" s="177"/>
    </row>
    <row r="12" spans="1:112" ht="16.350000000000001" customHeight="1">
      <c r="A12" s="181"/>
      <c r="B12" s="181"/>
      <c r="C12" s="181"/>
      <c r="D12" s="181"/>
      <c r="E12" s="181"/>
      <c r="F12" s="181"/>
      <c r="G12" s="177"/>
      <c r="H12" s="177"/>
      <c r="I12" s="177"/>
      <c r="J12" s="177"/>
      <c r="K12" s="177"/>
      <c r="L12" s="177"/>
      <c r="M12" s="177"/>
      <c r="N12" s="177"/>
      <c r="O12" s="177"/>
      <c r="P12" s="177"/>
      <c r="Q12" s="177"/>
      <c r="R12" s="177"/>
      <c r="S12" s="177"/>
      <c r="T12" s="177"/>
      <c r="U12" s="177"/>
      <c r="V12" s="177"/>
      <c r="W12" s="177"/>
      <c r="X12" s="177"/>
      <c r="Y12" s="1004">
        <f>IFERROR(SUM(BF18:BG225,AQ14),0)</f>
        <v>0</v>
      </c>
      <c r="Z12" s="1004"/>
      <c r="AA12" s="1004"/>
      <c r="AB12" s="1004"/>
      <c r="AC12" s="1004">
        <f>IFERROR(SUM(BH18:BJ225),0)</f>
        <v>0</v>
      </c>
      <c r="AD12" s="1004"/>
      <c r="AE12" s="1004"/>
      <c r="AF12" s="1004"/>
      <c r="AG12" s="1004"/>
      <c r="AH12" s="1007">
        <f>IFERROR(SUMIF(BH18:BJ225,"&gt;0",BK18:BM225),0)</f>
        <v>0</v>
      </c>
      <c r="AI12" s="1007"/>
      <c r="AJ12" s="1007"/>
      <c r="AK12" s="1007"/>
      <c r="AL12" s="1008">
        <f>IFERROR(SUMIF(BH18:BJ225,"&gt;0",BN18:BP225),0)</f>
        <v>0</v>
      </c>
      <c r="AM12" s="1008"/>
      <c r="AN12" s="1008"/>
      <c r="AO12" s="1008"/>
      <c r="AP12"/>
      <c r="AQ12" s="1019" t="s">
        <v>1399</v>
      </c>
      <c r="AR12" s="1019"/>
      <c r="AS12" s="1019"/>
      <c r="AT12" s="1019"/>
      <c r="AU12" s="1019"/>
      <c r="AV12" s="1019"/>
      <c r="AW12" s="1019"/>
      <c r="AX12" s="1019"/>
      <c r="AY12" s="1019"/>
      <c r="AZ12" s="1019"/>
      <c r="BA12" s="1019"/>
      <c r="BB12"/>
      <c r="BC12"/>
      <c r="BD12"/>
      <c r="BE12"/>
      <c r="BF12"/>
      <c r="BG12"/>
      <c r="BH12"/>
      <c r="BI12" s="177"/>
      <c r="BJ12" s="177"/>
      <c r="BK12" s="177"/>
      <c r="BL12" s="177"/>
      <c r="BM12" s="177"/>
      <c r="BN12" s="177"/>
      <c r="BO12" s="177"/>
      <c r="BP12" s="177"/>
      <c r="BQ12" s="177"/>
      <c r="BR12" s="177"/>
    </row>
    <row r="13" spans="1:112" ht="16.350000000000001" customHeight="1">
      <c r="A13" s="181"/>
      <c r="B13" s="181"/>
      <c r="C13"/>
      <c r="D13"/>
      <c r="E13"/>
      <c r="F13"/>
      <c r="G13"/>
      <c r="H13"/>
      <c r="I13"/>
      <c r="J13"/>
      <c r="K13"/>
      <c r="L13"/>
      <c r="M13"/>
      <c r="N13"/>
      <c r="O13"/>
      <c r="P13"/>
      <c r="Q13"/>
      <c r="R13"/>
      <c r="S13"/>
      <c r="T13" s="177"/>
      <c r="U13" s="177"/>
      <c r="V13" s="177"/>
      <c r="W13" s="177"/>
      <c r="X13" s="177"/>
      <c r="Y13" s="1004"/>
      <c r="Z13" s="1004"/>
      <c r="AA13" s="1004"/>
      <c r="AB13" s="1004"/>
      <c r="AC13" s="1004"/>
      <c r="AD13" s="1004"/>
      <c r="AE13" s="1004"/>
      <c r="AF13" s="1004"/>
      <c r="AG13" s="1004"/>
      <c r="AH13" s="1007"/>
      <c r="AI13" s="1007"/>
      <c r="AJ13" s="1007"/>
      <c r="AK13" s="1007"/>
      <c r="AL13" s="1008"/>
      <c r="AM13" s="1008"/>
      <c r="AN13" s="1008"/>
      <c r="AO13" s="1008"/>
      <c r="AP13"/>
      <c r="AQ13" s="1020"/>
      <c r="AR13" s="1020"/>
      <c r="AS13" s="1020"/>
      <c r="AT13" s="1020"/>
      <c r="AU13" s="1020"/>
      <c r="AV13" s="1020"/>
      <c r="AW13" s="1020"/>
      <c r="AX13" s="1020"/>
      <c r="AY13" s="1020"/>
      <c r="AZ13" s="1020"/>
      <c r="BA13" s="1020"/>
      <c r="BB13"/>
      <c r="BC13"/>
      <c r="BD13"/>
      <c r="BE13"/>
      <c r="BF13"/>
      <c r="BG13"/>
      <c r="BH13"/>
      <c r="BI13" s="177"/>
      <c r="BJ13" s="177"/>
      <c r="BK13" s="177"/>
      <c r="BL13" s="177"/>
      <c r="BM13" s="177"/>
      <c r="BN13" s="177"/>
      <c r="BO13" s="177"/>
      <c r="BP13" s="177"/>
      <c r="BQ13" s="177"/>
      <c r="BR13" s="177"/>
      <c r="CW13" s="1041" t="s">
        <v>1400</v>
      </c>
      <c r="CX13" s="1041"/>
      <c r="CY13" s="1041"/>
    </row>
    <row r="14" spans="1:112" ht="16.350000000000001" customHeight="1">
      <c r="A14" s="177"/>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003" t="s">
        <v>1401</v>
      </c>
      <c r="Z14" s="1003"/>
      <c r="AA14" s="1003"/>
      <c r="AB14" s="1003"/>
      <c r="AC14" s="1003" t="s">
        <v>1402</v>
      </c>
      <c r="AD14" s="1003"/>
      <c r="AE14" s="1003"/>
      <c r="AF14" s="1003"/>
      <c r="AG14" s="1003"/>
      <c r="AH14" s="1003" t="s">
        <v>1403</v>
      </c>
      <c r="AI14" s="1003"/>
      <c r="AJ14" s="1003"/>
      <c r="AK14" s="1003"/>
      <c r="AL14" s="1003" t="s">
        <v>1403</v>
      </c>
      <c r="AM14" s="1003"/>
      <c r="AN14" s="1003"/>
      <c r="AO14" s="1003"/>
      <c r="AP14"/>
      <c r="AQ14" s="1021"/>
      <c r="AR14" s="1021"/>
      <c r="AS14" s="1021"/>
      <c r="AT14" s="1021"/>
      <c r="AU14" s="1021"/>
      <c r="AV14" s="1021"/>
      <c r="AW14" s="1021"/>
      <c r="AX14" s="1021"/>
      <c r="AY14" s="1021"/>
      <c r="AZ14" s="1021"/>
      <c r="BA14" s="1021"/>
      <c r="BB14"/>
      <c r="BC14"/>
      <c r="BD14"/>
      <c r="BE14"/>
      <c r="BF14"/>
      <c r="BG14"/>
      <c r="BH14"/>
      <c r="BI14" s="177"/>
      <c r="BJ14" s="177"/>
      <c r="BK14" s="177"/>
      <c r="BL14" s="177"/>
      <c r="BM14" s="177"/>
      <c r="BN14" s="177"/>
      <c r="BO14" s="177"/>
      <c r="BP14" s="177"/>
      <c r="BQ14" s="177"/>
      <c r="BR14" s="177"/>
      <c r="BV14" s="1040" t="s">
        <v>1404</v>
      </c>
      <c r="BW14" s="1040"/>
      <c r="BX14" s="1040"/>
      <c r="BY14" s="1040"/>
      <c r="BZ14" s="1040"/>
      <c r="CW14" s="1041"/>
      <c r="CX14" s="1041"/>
      <c r="CY14" s="1041"/>
    </row>
    <row r="15" spans="1:112" ht="16.350000000000001" customHeight="1">
      <c r="A15" s="177"/>
      <c r="B15"/>
      <c r="C15"/>
      <c r="D15" s="47"/>
      <c r="E15" s="47"/>
      <c r="F15" s="47"/>
      <c r="G15" s="47"/>
      <c r="H15" s="47"/>
      <c r="I15" s="47"/>
      <c r="J15" s="47"/>
      <c r="K15" s="47"/>
      <c r="L15" s="1038" t="s">
        <v>1405</v>
      </c>
      <c r="M15" s="1038"/>
      <c r="N15" s="1038"/>
      <c r="O15" s="1038"/>
      <c r="P15" s="1038"/>
      <c r="Q15" s="1038"/>
      <c r="R15" s="1038"/>
      <c r="S15" s="1038"/>
      <c r="T15" s="1038"/>
      <c r="U15" s="1038"/>
      <c r="V15" s="1038"/>
      <c r="W15" s="1038"/>
      <c r="X15" s="1038"/>
      <c r="Y15" s="1038"/>
      <c r="Z15" s="1038"/>
      <c r="AA15" s="1038" t="s">
        <v>1406</v>
      </c>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679"/>
      <c r="AW15" s="679"/>
      <c r="AX15" s="679"/>
      <c r="AY15" s="679"/>
      <c r="AZ15" s="679"/>
      <c r="BA15" s="679"/>
      <c r="BB15"/>
      <c r="BC15"/>
      <c r="BD15"/>
      <c r="BE15"/>
      <c r="BF15"/>
      <c r="BG15"/>
      <c r="BH15"/>
      <c r="BI15"/>
      <c r="BJ15"/>
      <c r="BK15"/>
      <c r="BL15"/>
      <c r="BM15"/>
      <c r="BN15"/>
      <c r="BO15"/>
      <c r="BP15"/>
      <c r="BQ15"/>
      <c r="BR15"/>
      <c r="BV15" s="1040"/>
      <c r="BW15" s="1040"/>
      <c r="BX15" s="1040"/>
      <c r="BY15" s="1040"/>
      <c r="BZ15" s="1040"/>
      <c r="CW15" s="595"/>
      <c r="CX15" s="595"/>
      <c r="CY15" s="595"/>
    </row>
    <row r="16" spans="1:112" ht="16.350000000000001" customHeight="1">
      <c r="A16"/>
      <c r="B16"/>
      <c r="C16" s="992" t="s">
        <v>1407</v>
      </c>
      <c r="D16" s="992"/>
      <c r="E16" s="992"/>
      <c r="F16" s="991" t="s">
        <v>1408</v>
      </c>
      <c r="G16" s="991"/>
      <c r="H16" s="991"/>
      <c r="I16" s="991"/>
      <c r="J16" s="991"/>
      <c r="K16" s="991"/>
      <c r="L16" s="991" t="s">
        <v>1409</v>
      </c>
      <c r="M16" s="991"/>
      <c r="N16" s="991"/>
      <c r="O16" s="991"/>
      <c r="P16" s="991"/>
      <c r="Q16" s="991"/>
      <c r="R16" s="991" t="s">
        <v>1410</v>
      </c>
      <c r="S16" s="991"/>
      <c r="T16" s="991"/>
      <c r="U16" s="991" t="s">
        <v>1411</v>
      </c>
      <c r="V16" s="991"/>
      <c r="W16" s="991"/>
      <c r="X16" s="991" t="s">
        <v>1412</v>
      </c>
      <c r="Y16" s="991"/>
      <c r="Z16" s="991"/>
      <c r="AA16" s="991" t="s">
        <v>1413</v>
      </c>
      <c r="AB16" s="991"/>
      <c r="AC16" s="991"/>
      <c r="AD16" s="1022" t="s">
        <v>1409</v>
      </c>
      <c r="AE16" s="991"/>
      <c r="AF16" s="991"/>
      <c r="AG16" s="991"/>
      <c r="AH16" s="991"/>
      <c r="AI16" s="991"/>
      <c r="AJ16" s="991" t="s">
        <v>1410</v>
      </c>
      <c r="AK16" s="991"/>
      <c r="AL16" s="991"/>
      <c r="AM16" s="991" t="s">
        <v>1411</v>
      </c>
      <c r="AN16" s="991"/>
      <c r="AO16" s="991"/>
      <c r="AP16" s="991" t="s">
        <v>1412</v>
      </c>
      <c r="AQ16" s="991"/>
      <c r="AR16" s="991"/>
      <c r="AS16" s="991" t="s">
        <v>1413</v>
      </c>
      <c r="AT16" s="991"/>
      <c r="AU16" s="991"/>
      <c r="AV16" s="1057" t="s">
        <v>1414</v>
      </c>
      <c r="AW16" s="1057"/>
      <c r="AX16" s="1057"/>
      <c r="AY16" s="1057" t="s">
        <v>1415</v>
      </c>
      <c r="AZ16" s="1057"/>
      <c r="BA16" s="1057"/>
      <c r="BB16" s="989" t="s">
        <v>1416</v>
      </c>
      <c r="BC16" s="989"/>
      <c r="BD16" s="989"/>
      <c r="BE16" s="989"/>
      <c r="BF16" s="991" t="s">
        <v>224</v>
      </c>
      <c r="BG16" s="991"/>
      <c r="BH16" s="984" t="s">
        <v>1417</v>
      </c>
      <c r="BI16" s="984"/>
      <c r="BJ16" s="984"/>
      <c r="BK16" s="984" t="s">
        <v>1418</v>
      </c>
      <c r="BL16" s="984"/>
      <c r="BM16" s="984"/>
      <c r="BN16" s="984" t="s">
        <v>1419</v>
      </c>
      <c r="BO16" s="984"/>
      <c r="BP16" s="984"/>
      <c r="BQ16"/>
      <c r="BR16"/>
      <c r="BS16" s="987" t="s">
        <v>1420</v>
      </c>
      <c r="BT16" s="987" t="s">
        <v>1421</v>
      </c>
      <c r="BV16" s="987" t="s">
        <v>1422</v>
      </c>
      <c r="BW16" s="987" t="s">
        <v>1423</v>
      </c>
      <c r="BX16" s="987" t="s">
        <v>1424</v>
      </c>
      <c r="BY16" s="987" t="s">
        <v>1425</v>
      </c>
      <c r="BZ16" s="987" t="s">
        <v>1426</v>
      </c>
      <c r="CB16" s="987" t="s">
        <v>1427</v>
      </c>
      <c r="CC16" s="987" t="s">
        <v>779</v>
      </c>
      <c r="CD16" s="987" t="s">
        <v>1428</v>
      </c>
      <c r="CE16" s="987" t="s">
        <v>1429</v>
      </c>
      <c r="CF16" s="987" t="s">
        <v>1430</v>
      </c>
      <c r="CG16" s="987" t="s">
        <v>1431</v>
      </c>
      <c r="CH16" s="987" t="s">
        <v>1432</v>
      </c>
      <c r="CI16" s="987" t="s">
        <v>1433</v>
      </c>
      <c r="CJ16" s="987" t="s">
        <v>1434</v>
      </c>
      <c r="CK16" s="987" t="s">
        <v>1435</v>
      </c>
      <c r="CL16" s="987" t="s">
        <v>1436</v>
      </c>
      <c r="CM16" s="987" t="s">
        <v>1437</v>
      </c>
      <c r="CN16" s="987" t="s">
        <v>1438</v>
      </c>
      <c r="CO16" s="987" t="s">
        <v>1439</v>
      </c>
      <c r="CP16" s="987" t="s">
        <v>1440</v>
      </c>
      <c r="CQ16" s="987" t="s">
        <v>1441</v>
      </c>
      <c r="CR16" s="987" t="s">
        <v>1442</v>
      </c>
      <c r="CS16" s="987" t="s">
        <v>1443</v>
      </c>
      <c r="CT16" s="987" t="s">
        <v>1444</v>
      </c>
      <c r="CU16" s="987" t="s">
        <v>1445</v>
      </c>
      <c r="CV16" s="919" t="s">
        <v>1446</v>
      </c>
      <c r="CW16" s="919" t="s">
        <v>1447</v>
      </c>
      <c r="CX16" s="919" t="s">
        <v>1448</v>
      </c>
      <c r="CY16" s="1042" t="s">
        <v>1449</v>
      </c>
      <c r="CZ16" s="1042" t="s">
        <v>1450</v>
      </c>
      <c r="DA16" s="1042" t="s">
        <v>1491</v>
      </c>
    </row>
    <row r="17" spans="1:144" ht="16.350000000000001" customHeight="1">
      <c r="A17"/>
      <c r="B17" s="12"/>
      <c r="C17" s="993"/>
      <c r="D17" s="993"/>
      <c r="E17" s="993"/>
      <c r="F17" s="990"/>
      <c r="G17" s="990"/>
      <c r="H17" s="990"/>
      <c r="I17" s="990"/>
      <c r="J17" s="990"/>
      <c r="K17" s="990"/>
      <c r="L17" s="990"/>
      <c r="M17" s="990"/>
      <c r="N17" s="990"/>
      <c r="O17" s="990"/>
      <c r="P17" s="990"/>
      <c r="Q17" s="990"/>
      <c r="R17" s="991"/>
      <c r="S17" s="991"/>
      <c r="T17" s="991"/>
      <c r="U17" s="991"/>
      <c r="V17" s="991"/>
      <c r="W17" s="991"/>
      <c r="X17" s="991"/>
      <c r="Y17" s="991"/>
      <c r="Z17" s="991"/>
      <c r="AA17" s="991"/>
      <c r="AB17" s="991"/>
      <c r="AC17" s="991"/>
      <c r="AD17" s="1023"/>
      <c r="AE17" s="990"/>
      <c r="AF17" s="990"/>
      <c r="AG17" s="990"/>
      <c r="AH17" s="990"/>
      <c r="AI17" s="990"/>
      <c r="AJ17" s="990"/>
      <c r="AK17" s="990"/>
      <c r="AL17" s="990"/>
      <c r="AM17" s="990"/>
      <c r="AN17" s="990"/>
      <c r="AO17" s="990"/>
      <c r="AP17" s="990"/>
      <c r="AQ17" s="990"/>
      <c r="AR17" s="990"/>
      <c r="AS17" s="991"/>
      <c r="AT17" s="991"/>
      <c r="AU17" s="991"/>
      <c r="AV17" s="1039" t="s">
        <v>1451</v>
      </c>
      <c r="AW17" s="1039"/>
      <c r="AX17" s="1039"/>
      <c r="AY17" s="1039"/>
      <c r="AZ17" s="1039"/>
      <c r="BA17" s="1039"/>
      <c r="BB17" s="990" t="s">
        <v>1452</v>
      </c>
      <c r="BC17" s="990"/>
      <c r="BD17" s="990" t="s">
        <v>1453</v>
      </c>
      <c r="BE17" s="990"/>
      <c r="BF17" s="990"/>
      <c r="BG17" s="990"/>
      <c r="BH17" s="985"/>
      <c r="BI17" s="985"/>
      <c r="BJ17" s="985"/>
      <c r="BK17" s="985"/>
      <c r="BL17" s="985"/>
      <c r="BM17" s="985"/>
      <c r="BN17" s="985"/>
      <c r="BO17" s="985"/>
      <c r="BP17" s="985"/>
      <c r="BQ17"/>
      <c r="BR17"/>
      <c r="BS17" s="987"/>
      <c r="BT17" s="987"/>
      <c r="BV17" s="988"/>
      <c r="BW17" s="988"/>
      <c r="BX17" s="988"/>
      <c r="BY17" s="988"/>
      <c r="BZ17" s="988"/>
      <c r="CB17" s="988"/>
      <c r="CC17" s="988"/>
      <c r="CD17" s="988"/>
      <c r="CE17" s="988"/>
      <c r="CF17" s="988"/>
      <c r="CG17" s="988"/>
      <c r="CH17" s="988"/>
      <c r="CI17" s="988"/>
      <c r="CJ17" s="988"/>
      <c r="CK17" s="988"/>
      <c r="CL17" s="988"/>
      <c r="CM17" s="988"/>
      <c r="CN17" s="988"/>
      <c r="CO17" s="988"/>
      <c r="CP17" s="988"/>
      <c r="CQ17" s="988"/>
      <c r="CR17" s="988"/>
      <c r="CS17" s="988"/>
      <c r="CT17" s="988"/>
      <c r="CU17" s="987"/>
      <c r="CV17" s="919"/>
      <c r="CW17" s="919"/>
      <c r="CX17" s="919"/>
      <c r="CY17" s="1042"/>
      <c r="CZ17" s="1042"/>
      <c r="DA17" s="1042"/>
      <c r="DD17" s="670" t="s">
        <v>1454</v>
      </c>
      <c r="DE17" s="670" t="s">
        <v>1455</v>
      </c>
      <c r="DF17" s="670" t="s">
        <v>1456</v>
      </c>
      <c r="DG17" s="670" t="s">
        <v>1457</v>
      </c>
      <c r="DH17" s="670" t="s">
        <v>1458</v>
      </c>
      <c r="DI17" s="670" t="s">
        <v>1459</v>
      </c>
      <c r="DJ17" s="670" t="s">
        <v>1460</v>
      </c>
      <c r="DK17" s="670" t="s">
        <v>1461</v>
      </c>
      <c r="DL17" s="670" t="s">
        <v>1462</v>
      </c>
      <c r="DM17" s="670" t="s">
        <v>1463</v>
      </c>
      <c r="DN17" s="670" t="s">
        <v>1464</v>
      </c>
      <c r="DO17" s="670" t="s">
        <v>1465</v>
      </c>
      <c r="DP17" s="670" t="s">
        <v>1466</v>
      </c>
      <c r="DQ17" s="670" t="s">
        <v>1467</v>
      </c>
      <c r="DR17" s="670" t="s">
        <v>1468</v>
      </c>
      <c r="DS17" s="670" t="s">
        <v>1469</v>
      </c>
      <c r="DT17" s="670" t="s">
        <v>1470</v>
      </c>
      <c r="DU17" s="670" t="s">
        <v>1471</v>
      </c>
      <c r="DV17" s="670" t="s">
        <v>1472</v>
      </c>
      <c r="DW17" s="670" t="s">
        <v>1473</v>
      </c>
      <c r="DX17" s="670" t="s">
        <v>1474</v>
      </c>
      <c r="DY17" s="670" t="s">
        <v>1475</v>
      </c>
      <c r="DZ17" s="670" t="s">
        <v>1476</v>
      </c>
      <c r="EA17" s="703" t="s">
        <v>1477</v>
      </c>
      <c r="EB17" s="703" t="s">
        <v>1478</v>
      </c>
      <c r="EC17" s="703" t="s">
        <v>1479</v>
      </c>
      <c r="ED17" s="703" t="s">
        <v>1480</v>
      </c>
      <c r="EE17" s="703" t="s">
        <v>1481</v>
      </c>
      <c r="EF17" s="703" t="s">
        <v>1482</v>
      </c>
      <c r="EG17" s="703" t="s">
        <v>1483</v>
      </c>
      <c r="EH17" s="703" t="s">
        <v>1484</v>
      </c>
      <c r="EI17" s="703" t="s">
        <v>1485</v>
      </c>
      <c r="EJ17" s="703" t="s">
        <v>1486</v>
      </c>
      <c r="EK17" s="703" t="s">
        <v>1487</v>
      </c>
      <c r="EL17" s="703" t="s">
        <v>1488</v>
      </c>
      <c r="EM17" s="703" t="s">
        <v>1489</v>
      </c>
      <c r="EN17" s="703" t="s">
        <v>1490</v>
      </c>
    </row>
    <row r="18" spans="1:144" ht="16.350000000000001" customHeight="1">
      <c r="A18" s="462"/>
      <c r="B18" s="994">
        <v>1</v>
      </c>
      <c r="C18" s="995"/>
      <c r="D18" s="996"/>
      <c r="E18" s="997"/>
      <c r="F18" s="961"/>
      <c r="G18" s="962"/>
      <c r="H18" s="962"/>
      <c r="I18" s="962"/>
      <c r="J18" s="962"/>
      <c r="K18" s="963"/>
      <c r="L18" s="961"/>
      <c r="M18" s="962"/>
      <c r="N18" s="962"/>
      <c r="O18" s="962"/>
      <c r="P18" s="962"/>
      <c r="Q18" s="963"/>
      <c r="R18" s="1044"/>
      <c r="S18" s="1044"/>
      <c r="T18" s="1044"/>
      <c r="U18" s="1044"/>
      <c r="V18" s="1044"/>
      <c r="W18" s="1044"/>
      <c r="X18" s="1045"/>
      <c r="Y18" s="1045"/>
      <c r="Z18" s="1045"/>
      <c r="AA18" s="1045"/>
      <c r="AB18" s="1045"/>
      <c r="AC18" s="1045"/>
      <c r="AD18" s="961"/>
      <c r="AE18" s="962"/>
      <c r="AF18" s="962"/>
      <c r="AG18" s="962"/>
      <c r="AH18" s="962"/>
      <c r="AI18" s="963"/>
      <c r="AJ18" s="949"/>
      <c r="AK18" s="950"/>
      <c r="AL18" s="951"/>
      <c r="AM18" s="949"/>
      <c r="AN18" s="950"/>
      <c r="AO18" s="951"/>
      <c r="AP18" s="955"/>
      <c r="AQ18" s="956"/>
      <c r="AR18" s="957"/>
      <c r="AS18" s="955"/>
      <c r="AT18" s="956"/>
      <c r="AU18" s="957"/>
      <c r="AV18" s="968"/>
      <c r="AW18" s="969"/>
      <c r="AX18" s="970"/>
      <c r="AY18" s="968"/>
      <c r="AZ18" s="969"/>
      <c r="BA18" s="970"/>
      <c r="BB18" s="945"/>
      <c r="BC18" s="946"/>
      <c r="BD18" s="945"/>
      <c r="BE18" s="946"/>
      <c r="BF18" s="929" t="str">
        <f>IF(CB18="OK",ROUND(BB18+BD18,2),"")</f>
        <v/>
      </c>
      <c r="BG18" s="930"/>
      <c r="BH18" s="971" t="str">
        <f>IFERROR(IF(AND($CB18="OK",$CU18="OK"),$CI18,IF($CB18&lt;&gt;"OK",$CB18,$CU18)),"")</f>
        <v/>
      </c>
      <c r="BI18" s="972"/>
      <c r="BJ18" s="973"/>
      <c r="BK18" s="933" t="str">
        <f>IF($CB18="OK",CM18,"")</f>
        <v/>
      </c>
      <c r="BL18" s="934"/>
      <c r="BM18" s="935"/>
      <c r="BN18" s="939" t="str">
        <f>IF($CB18="OK",$CR18,"")</f>
        <v/>
      </c>
      <c r="BO18" s="940"/>
      <c r="BP18" s="941"/>
      <c r="BQ18"/>
      <c r="BR18"/>
      <c r="BS18" s="967"/>
      <c r="BT18" s="967"/>
      <c r="BV18" s="926" t="str">
        <f>IFERROR(ROUND(IF(AND(CB18="OK",CU18="OK"),CT18,""),0),"")</f>
        <v/>
      </c>
      <c r="BW18" s="926" t="str">
        <f>IFERROR(ROUND(IF(AND(CB18="OK",CU18="OK"),BV18/3,""),0),"")</f>
        <v/>
      </c>
      <c r="BX18" s="926"/>
      <c r="BY18" s="927"/>
      <c r="BZ18" s="928"/>
      <c r="CB18" s="986" t="str">
        <f>IF(AND(C18="",F18="",R18="",AD18="",U18="",X18="",L18="",AJ18="",AV18="",AM18="",AP18="",AY18="",AV19="",BB18="",BD18="",AA18="",AS18=""),"",
IF(OR(C18="",F18="",R18="",AD18="",U18="",X18="",L18="",AJ18="",AV18="",AM18="",AP18="",AY18="",AV19="",BB18="",BD18="",AA18="",AS18=""),"Missing Fields",
IF(AND(M02S04F04disp="Required",M02S04F04=""),"TA Info Incomplete",
"OK")))</f>
        <v/>
      </c>
      <c r="CC18" s="925" t="str">
        <f>IF(AND(CB18="OK",CU18="OK"),INDEX(Tbl_Cust_Ag[Measure Number], MATCH(F18,Tbl_Cust_Ag[Proj Desc 1],0)),"")</f>
        <v/>
      </c>
      <c r="CD18" s="925"/>
      <c r="CE18" s="925" t="str">
        <f>IF(CB18="OK","Measure","")</f>
        <v/>
      </c>
      <c r="CF18" s="925" t="str">
        <f>IF(CB18="OK",1,"")</f>
        <v/>
      </c>
      <c r="CG18" s="978" t="str">
        <f>IFERROR(CI18/CF18,"")</f>
        <v/>
      </c>
      <c r="CH18" s="978" t="str">
        <f>IF(CB18="OK", IF(F18="Agriculture Lighting", IF(CM18&gt;0, CM18*Lighting_Only_rate, 0) + IF(CO18&gt;0, CO18*Lighting_Only_rate, 0), IF(CM18&gt;0, CM18*Incent_Rate_kWh, 0) + IF(CO18&gt;0, CO18*Incent_Rate_thm, 0)), "")</f>
        <v/>
      </c>
      <c r="CI18" s="978" t="str">
        <f>IFERROR(IF($CB18="OK",IF(INCENTTOCOST_CUST&gt;CostCap_Cust,
CH18*CostCap_Cust/INCENTTOCOST_CUST,CH18),""),"")</f>
        <v/>
      </c>
      <c r="CJ18" s="977">
        <f t="shared" ref="CJ18" si="0">CM18</f>
        <v>0</v>
      </c>
      <c r="CK18" s="977">
        <f>CN18</f>
        <v>0</v>
      </c>
      <c r="CL18" s="977">
        <f>CO18</f>
        <v>0</v>
      </c>
      <c r="CM18" s="977">
        <f>R18-AJ18</f>
        <v>0</v>
      </c>
      <c r="CN18" s="977">
        <f>U18-AM18</f>
        <v>0</v>
      </c>
      <c r="CO18" s="977">
        <f>IF(CR18&gt;0,CR18,0)</f>
        <v>0</v>
      </c>
      <c r="CP18" s="977">
        <f>CM18</f>
        <v>0</v>
      </c>
      <c r="CQ18" s="977">
        <f>CN18</f>
        <v>0</v>
      </c>
      <c r="CR18" s="977">
        <f>X18-AP18</f>
        <v>0</v>
      </c>
      <c r="CS18" s="983"/>
      <c r="CT18" s="1056" t="str">
        <f>IF(CB18="OK",INDEX(Tbl_Cust_Ag[EUL], MATCH(F18,Tbl_Cust_Ag[Proj Desc 1],0)),"")</f>
        <v/>
      </c>
      <c r="CU18" s="979" t="str">
        <f>IFERROR(IF(AND($CM18&lt;=0,$CN18&lt;=0,$CO18&lt;=0),"No Savings","OK"),"")</f>
        <v>No Savings</v>
      </c>
      <c r="CV18" s="925" t="str">
        <f>IF(AND(CB18="OK",CU18="OK"),"1","")</f>
        <v/>
      </c>
      <c r="CW18" s="1043" t="str">
        <f>IFERROR(IF($CB18="OK",ROUND($AQ$14-SUM($CW$20:$CW$37),2),""),"")</f>
        <v/>
      </c>
      <c r="CX18" s="925" t="str">
        <f>IFERROR(IF(M02S04F04="Customer/Self-Installed",CW18,IF($CB18="OK",CW18+BD18,"")),"")</f>
        <v/>
      </c>
      <c r="CY18" s="925" t="str">
        <f>IFERROR(IF($CB18="OK",CX18+BB18,""),"")</f>
        <v/>
      </c>
      <c r="CZ18" s="925" t="str">
        <f>IF(CB18="OK",INDEX(MEASURES3_M!$O$40:$O$42, MATCH(F18,MEASURES3_M!$C$40:$C$42,0)),"")</f>
        <v/>
      </c>
      <c r="DA18" s="925" t="str">
        <f>IF(CB18="OK",INDEX(MEASURES3_M!$P$40:$P$42, MATCH(F18,MEASURES3_M!$C$40:$C$42,0)),"")</f>
        <v/>
      </c>
      <c r="DD18" s="980" t="str">
        <f>IFERROR(IF(CB18&lt;&gt;"OK","",CM18*VLOOKUP('DATA TABLES_Project'!$C$247,'DATA TABLES_Project'!$A$250:$B$285,2,FALSE)),"")</f>
        <v/>
      </c>
      <c r="DE18" s="925" t="str">
        <f>IFERROR(IF(CB18&lt;&gt;"OK","",CM18*CZ18*0.92),"")</f>
        <v/>
      </c>
      <c r="DF18" s="925" t="str">
        <f>IFERROR(IF(CB18&lt;&gt;"OK","",CM18*CZ18*0.92*VLOOKUP('DATA TABLES_Project'!$C$247,'DATA TABLES_Project'!$A$250:$B$285,2,FALSE)),"")</f>
        <v/>
      </c>
      <c r="DG18" s="925" t="str">
        <f>IFERROR(IF(CB18&lt;&gt;"OK","",CM18*BV18),IF(BX18="Dual",(CM18*BW18)+((BY18-AJ18)*(BV18-BW18)),""))</f>
        <v/>
      </c>
      <c r="DH18" s="925" t="str">
        <f ca="1">IFERROR(IF(CB18&lt;&gt;"OK","",IF(OR(BX18="Single",BX18=""), CM18*BV18*AVERAGE(INDEX('DATA TABLES_Project'!$B$250:$B$285, MATCH('DATA TABLES_Project'!$C$247,'DATA TABLES_Project'!$A$250:$A$285, 0)):OFFSET(INDEX('DATA TABLES_Project'!$B$250:$B$285, MATCH('DATA TABLES_Project'!$C$247,'DATA TABLES_Project'!$A$250:$A$285, 0)),BV18-1,0)),CM18*BW18*AVERAGE(INDEX('DATA TABLES_Project'!$B$250:$B$285, MATCH('DATA TABLES_Project'!$C$247,'DATA TABLES_Project'!$A$250:$A$285, 0)):OFFSET(INDEX('DATA TABLES_Project'!$B$250:$B$285, MATCH('DATA TABLES_Project'!$C$247,'DATA TABLES_Project'!$A$250:$A$285, 0)),BW18-1,0)) + ((BY18-AJ18)*(BV18-BW18)*AVERAGE(OFFSET(INDEX('DATA TABLES_Project'!$B$250:$B$285, MATCH('DATA TABLES_Project'!$C$247,'DATA TABLES_Project'!$A$250:$A$285, 0)),BW18,0):OFFSET(INDEX('DATA TABLES_Project'!$B$250:$B$285, MATCH('DATA TABLES_Project'!$C$247,'DATA TABLES_Project'!$A$250:$A$285, 0)),BV18-1,0))))), "")</f>
        <v/>
      </c>
      <c r="DI18" s="925" t="str">
        <f>IFERROR(IF(CB18&lt;&gt;"OK","",IF(BX18="Dual",(CM18*BW18)+((BY18-AJ18)*(BV18-BW18))*CZ18*0.92,CM18*CZ18*BV18*0.92)),"")</f>
        <v/>
      </c>
      <c r="DJ18" s="925" t="str">
        <f ca="1">IFERROR(IF(CB18&lt;&gt;"OK","",IF(OR(BX18="Single",BX18=""),0.92*CZ18*CM18*BV18*AVERAGE(INDEX('DATA TABLES_Project'!$B$250:$B$285, MATCH('DATA TABLES_Project'!$C$247,'DATA TABLES_Project'!$A$250:$A$285, 0)):OFFSET(INDEX('DATA TABLES_Project'!$B$250:$B$285, MATCH('DATA TABLES_Project'!$C$247,'DATA TABLES_Project'!$A$250:$A$285, 0)),BV18-1,0)),0.92*CZ18*CM18*BW18*AVERAGE(INDEX('DATA TABLES_Project'!$B$250:$B$285, MATCH('DATA TABLES_Project'!$C$247,'DATA TABLES_Project'!$A$250:$A$285, 0)):OFFSET(INDEX('DATA TABLES_Project'!$B$250:$B$285, MATCH('DATA TABLES_Project'!$C$247,'DATA TABLES_Project'!$A$250:$A$285, 0)),BW18-1,0)) + (0.92*CZ18*(BY18-AJ18)*(BV18-BW18)*AVERAGE(OFFSET(INDEX('DATA TABLES_Project'!$B$250:$B$285, MATCH('DATA TABLES_Project'!$C$247,'DATA TABLES_Project'!$A$250:$A$285, 0)),BW18,0):OFFSET(INDEX('DATA TABLES_Project'!$B$250:$B$285, MATCH('DATA TABLES_Project'!$C$247,'DATA TABLES_Project'!$A$250:$A$285, 0)),BV18-1,0))))), "")</f>
        <v/>
      </c>
      <c r="DK18" s="925" t="str">
        <f>IFERROR(IF(CB18&lt;&gt;"OK","",CO18*'DATA TABLES_Project'!$C$250),"")</f>
        <v/>
      </c>
      <c r="DL18" s="925" t="str">
        <f>IFERROR(IF(CB18&lt;&gt;"OK","",CO18*DA18*0.92),"")</f>
        <v/>
      </c>
      <c r="DM18" s="925" t="str">
        <f>IFERROR(IF(CB18&lt;&gt;"OK","",CO18*'DATA TABLES_Project'!$C$250*DA18*0.92),"")</f>
        <v/>
      </c>
      <c r="DN18" s="925" t="str">
        <f>IFERROR(IF(CB18&lt;&gt;"OK","",CO18*BV18),IF(BX18="Dual",(CO18*BW18)+((BZ18-AP18)*(BV18-BW18)),""))</f>
        <v/>
      </c>
      <c r="DO18" s="925" t="str">
        <f ca="1">IFERROR(IF(CB18&lt;&gt;"OK","",CO18*BV18*AVERAGE('DATA TABLES_Project'!$C$250:OFFSET('DATA TABLES_Project'!$C$250,BV18,0))),IF(BX18="Dual",(CO18*BW18*AVERAGE('DATA TABLES_Project'!$C$251:$C$259))+((BZ18-AP18)*(BV18-BW18)*AVERAGE('DATA TABLES_Project'!$C$260:$C$279)),""))</f>
        <v/>
      </c>
      <c r="DP18" s="925" t="str">
        <f>IFERROR(IF(CB18&lt;&gt;"OK","",IF(BX18="Dual",((CO18*BW18)+(BZ18-AP18)*(BV18-BW18))*DA18*0.92,CO18*BV18*DA18*0.92)),"")</f>
        <v/>
      </c>
      <c r="DQ18" s="925" t="str">
        <f ca="1">IFERROR(IF(CB18&lt;&gt;"OK","",IF(BX18="Dual",(0.92*DA18*CO18*BW18*AVERAGE('DATA TABLES_Project'!$C$251:$C$259))+(0.92*DA18*(BZ18-AP18)*(BV18-BW18)*AVERAGE('DATA TABLES_Project'!$C$260:$C$279)),0.92*DA18*CO18*BV18*AVERAGE('DATA TABLES_Project'!$C$250:OFFSET('DATA TABLES_Project'!$C$250,BV18,0)))),"")</f>
        <v/>
      </c>
      <c r="DR18" s="925" t="str">
        <f>IFERROR(IF($CB18&lt;&gt;"OK","",CM18*'DATA TABLES_Project'!$B$290+IF(CO18&lt;0,0,CO18*'DATA TABLES_Project'!$B$291)),"")</f>
        <v/>
      </c>
      <c r="DS18" s="925" t="str">
        <f>IFERROR(IF($CB18&lt;&gt;"OK","",DD18*'DATA TABLES_Project'!$B$290+IF(DK18&lt;0,0,DK18*'DATA TABLES_Project'!$B$291)),"")</f>
        <v/>
      </c>
      <c r="DT18" s="925" t="str">
        <f>IFERROR(IF($CB18&lt;&gt;"OK","",DE18*'DATA TABLES_Project'!$B$290+IF(DL18&lt;0,0,DL18*'DATA TABLES_Project'!$B$291)),"")</f>
        <v/>
      </c>
      <c r="DU18" s="925" t="str">
        <f>IFERROR(IF($CB18&lt;&gt;"OK","",DF18*'DATA TABLES_Project'!$B$290+IF(DM18&lt;0,0,DM18*'DATA TABLES_Project'!$B$291)),"")</f>
        <v/>
      </c>
      <c r="DV18" s="925" t="str">
        <f>IFERROR(IF($CB18&lt;&gt;"OK","",DG18*'DATA TABLES_Project'!$B$290+IF(DN18&lt;0,0,DN18*'DATA TABLES_Project'!$B$291)),"")</f>
        <v/>
      </c>
      <c r="DW18" s="925" t="str">
        <f>IFERROR(IF($CB18&lt;&gt;"OK","",DH18*'DATA TABLES_Project'!$B$290+IF(DO18&lt;0,0,DO18*'DATA TABLES_Project'!$B$291)),"")</f>
        <v/>
      </c>
      <c r="DX18" s="925" t="str">
        <f>IFERROR(IF($CB18&lt;&gt;"OK","",DI18*'DATA TABLES_Project'!$B$290+IF(DP18&lt;0,0,DP18*'DATA TABLES_Project'!$B$291)),"")</f>
        <v/>
      </c>
      <c r="DY18" s="925" t="str">
        <f>IFERROR(IF($CB18&lt;&gt;"OK","",DJ18*'DATA TABLES_Project'!$B$290+IF(DQ18&lt;0,0,DQ18*'DATA TABLES_Project'!$B$291)),"")</f>
        <v/>
      </c>
      <c r="DZ18" s="925" t="str">
        <f>IFERROR(IF($CB18&lt;&gt;"OK","",AS18),"")</f>
        <v/>
      </c>
      <c r="EA18" s="925" t="str">
        <f>IFERROR(IF(CB18&lt;&gt;"OK","",CN18*'DATA TABLES_Project'!$B$250*CZ18*1.03),"")</f>
        <v/>
      </c>
      <c r="EB18" s="925" t="str">
        <f>IFERROR(IF(CB18&lt;&gt;"OK","",CN18*CZ18*1.03),"")</f>
        <v/>
      </c>
      <c r="EC18" s="925" t="str">
        <f>IFERROR(IF(CB18&lt;&gt;"OK","",CZ18*DZ18*'DATA TABLES_Project'!$C$250*0.92),"")</f>
        <v/>
      </c>
      <c r="ED18" s="925" t="str">
        <f>IFERROR(IF(CB18&lt;&gt;"OK","",CZ18*DZ18*'DATA TABLES_Project'!$C$250*0.92),"")</f>
        <v/>
      </c>
      <c r="EE18" s="925" t="str">
        <f>IFERROR(IF(CB18&lt;&gt;"OK","",CZ18*DZ18*0.92),"")</f>
        <v/>
      </c>
      <c r="EF18" s="925" t="str">
        <f>IFERROR(IF(CB18&lt;&gt;"OK","",CZ18*DZ18*0.92),"")</f>
        <v/>
      </c>
      <c r="EG18" s="925" t="str">
        <f>IFERROR(IF($CB18&lt;&gt;"OK","",CM18*'DATA TABLES_Project'!$B$290+CO18*'DATA TABLES_Project'!$B$291),"")</f>
        <v/>
      </c>
      <c r="EH18" s="925" t="str">
        <f>IFERROR(IF($CB18&lt;&gt;"OK","",DD18*'DATA TABLES_Project'!$B$290+DK18*'DATA TABLES_Project'!$B$291),"")</f>
        <v/>
      </c>
      <c r="EI18" s="925" t="str">
        <f>IFERROR(IF($CB18&lt;&gt;"OK","",DE18*'DATA TABLES_Project'!$B$290+DL18*'DATA TABLES_Project'!$B$291),"")</f>
        <v/>
      </c>
      <c r="EJ18" s="925" t="str">
        <f>IFERROR(IF($CB18&lt;&gt;"OK","",DF18*'DATA TABLES_Project'!$B$290+DM18*'DATA TABLES_Project'!$B$291),"")</f>
        <v/>
      </c>
      <c r="EK18" s="925" t="str">
        <f>IFERROR(IF($CB18&lt;&gt;"OK","",DG18*'DATA TABLES_Project'!$B$290+DN18*'DATA TABLES_Project'!$B$291),"")</f>
        <v/>
      </c>
      <c r="EL18" s="925" t="str">
        <f>IFERROR(IF($CB18&lt;&gt;"OK","",DH18*'DATA TABLES_Project'!$B$290+DO18*'DATA TABLES_Project'!$B$291),"")</f>
        <v/>
      </c>
      <c r="EM18" s="925" t="str">
        <f>IFERROR(IF($CB18&lt;&gt;"OK","",DI18*'DATA TABLES_Project'!$B$290+DP18*'DATA TABLES_Project'!$B$291),"")</f>
        <v/>
      </c>
      <c r="EN18" s="925" t="str">
        <f>IFERROR(IF($CB18&lt;&gt;"OK","",DJ18*'DATA TABLES_Project'!$B$290+DQ18*'DATA TABLES_Project'!$B$291),"")</f>
        <v/>
      </c>
    </row>
    <row r="19" spans="1:144" ht="16.350000000000001" customHeight="1">
      <c r="A19" s="462"/>
      <c r="B19" s="994"/>
      <c r="C19" s="998"/>
      <c r="D19" s="999"/>
      <c r="E19" s="1000"/>
      <c r="F19" s="964"/>
      <c r="G19" s="965"/>
      <c r="H19" s="965"/>
      <c r="I19" s="965"/>
      <c r="J19" s="965"/>
      <c r="K19" s="966"/>
      <c r="L19" s="964"/>
      <c r="M19" s="965"/>
      <c r="N19" s="965"/>
      <c r="O19" s="965"/>
      <c r="P19" s="965"/>
      <c r="Q19" s="966"/>
      <c r="R19" s="1044"/>
      <c r="S19" s="1044"/>
      <c r="T19" s="1044"/>
      <c r="U19" s="1044"/>
      <c r="V19" s="1044"/>
      <c r="W19" s="1044"/>
      <c r="X19" s="1045"/>
      <c r="Y19" s="1045"/>
      <c r="Z19" s="1045"/>
      <c r="AA19" s="1045"/>
      <c r="AB19" s="1045"/>
      <c r="AC19" s="1045"/>
      <c r="AD19" s="964"/>
      <c r="AE19" s="965"/>
      <c r="AF19" s="965"/>
      <c r="AG19" s="965"/>
      <c r="AH19" s="965"/>
      <c r="AI19" s="966"/>
      <c r="AJ19" s="952"/>
      <c r="AK19" s="953"/>
      <c r="AL19" s="954"/>
      <c r="AM19" s="952"/>
      <c r="AN19" s="953"/>
      <c r="AO19" s="954"/>
      <c r="AP19" s="958"/>
      <c r="AQ19" s="959"/>
      <c r="AR19" s="960"/>
      <c r="AS19" s="958"/>
      <c r="AT19" s="959"/>
      <c r="AU19" s="960"/>
      <c r="AV19" s="968"/>
      <c r="AW19" s="969"/>
      <c r="AX19" s="969"/>
      <c r="AY19" s="969"/>
      <c r="AZ19" s="969"/>
      <c r="BA19" s="970"/>
      <c r="BB19" s="947"/>
      <c r="BC19" s="948"/>
      <c r="BD19" s="947"/>
      <c r="BE19" s="948"/>
      <c r="BF19" s="931"/>
      <c r="BG19" s="932"/>
      <c r="BH19" s="974"/>
      <c r="BI19" s="975"/>
      <c r="BJ19" s="976"/>
      <c r="BK19" s="936"/>
      <c r="BL19" s="937"/>
      <c r="BM19" s="938"/>
      <c r="BN19" s="942"/>
      <c r="BO19" s="943"/>
      <c r="BP19" s="944"/>
      <c r="BQ19"/>
      <c r="BR19"/>
      <c r="BS19" s="967"/>
      <c r="BT19" s="967"/>
      <c r="BV19" s="926"/>
      <c r="BW19" s="926"/>
      <c r="BX19" s="926"/>
      <c r="BY19" s="927"/>
      <c r="BZ19" s="928"/>
      <c r="CB19" s="986"/>
      <c r="CC19" s="925"/>
      <c r="CD19" s="925"/>
      <c r="CE19" s="925"/>
      <c r="CF19" s="925"/>
      <c r="CG19" s="925"/>
      <c r="CH19" s="925"/>
      <c r="CI19" s="925"/>
      <c r="CJ19" s="977"/>
      <c r="CK19" s="977"/>
      <c r="CL19" s="977"/>
      <c r="CM19" s="977"/>
      <c r="CN19" s="977"/>
      <c r="CO19" s="977"/>
      <c r="CP19" s="977"/>
      <c r="CQ19" s="977"/>
      <c r="CR19" s="977"/>
      <c r="CS19" s="983"/>
      <c r="CT19" s="1056"/>
      <c r="CU19" s="979"/>
      <c r="CV19" s="925"/>
      <c r="CW19" s="1043"/>
      <c r="CX19" s="925"/>
      <c r="CY19" s="925"/>
      <c r="CZ19" s="925"/>
      <c r="DA19" s="925"/>
      <c r="DD19" s="981"/>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row>
    <row r="20" spans="1:144" ht="16.350000000000001" customHeight="1">
      <c r="A20" s="462"/>
      <c r="B20" s="994">
        <v>2</v>
      </c>
      <c r="C20" s="995"/>
      <c r="D20" s="996"/>
      <c r="E20" s="997"/>
      <c r="F20" s="961"/>
      <c r="G20" s="962"/>
      <c r="H20" s="962"/>
      <c r="I20" s="962"/>
      <c r="J20" s="962"/>
      <c r="K20" s="963"/>
      <c r="L20" s="961"/>
      <c r="M20" s="962"/>
      <c r="N20" s="962"/>
      <c r="O20" s="962"/>
      <c r="P20" s="962"/>
      <c r="Q20" s="963"/>
      <c r="R20" s="1044"/>
      <c r="S20" s="1044"/>
      <c r="T20" s="1044"/>
      <c r="U20" s="1044"/>
      <c r="V20" s="1044"/>
      <c r="W20" s="1044"/>
      <c r="X20" s="1045"/>
      <c r="Y20" s="1045"/>
      <c r="Z20" s="1045"/>
      <c r="AA20" s="1045"/>
      <c r="AB20" s="1045"/>
      <c r="AC20" s="1045"/>
      <c r="AD20" s="961"/>
      <c r="AE20" s="962"/>
      <c r="AF20" s="962"/>
      <c r="AG20" s="962"/>
      <c r="AH20" s="962"/>
      <c r="AI20" s="963"/>
      <c r="AJ20" s="949"/>
      <c r="AK20" s="950"/>
      <c r="AL20" s="951"/>
      <c r="AM20" s="949"/>
      <c r="AN20" s="950"/>
      <c r="AO20" s="951"/>
      <c r="AP20" s="955"/>
      <c r="AQ20" s="956"/>
      <c r="AR20" s="957"/>
      <c r="AS20" s="955"/>
      <c r="AT20" s="956"/>
      <c r="AU20" s="957"/>
      <c r="AV20" s="968"/>
      <c r="AW20" s="969"/>
      <c r="AX20" s="970"/>
      <c r="AY20" s="968"/>
      <c r="AZ20" s="969"/>
      <c r="BA20" s="970"/>
      <c r="BB20" s="945"/>
      <c r="BC20" s="946"/>
      <c r="BD20" s="945"/>
      <c r="BE20" s="946"/>
      <c r="BF20" s="929" t="str">
        <f t="shared" ref="BF20" si="1">IF(CB20="OK",ROUND(BB20+BD20,2),"")</f>
        <v/>
      </c>
      <c r="BG20" s="930"/>
      <c r="BH20" s="971" t="str">
        <f t="shared" ref="BH20" si="2">IFERROR(IF(AND($CB20="OK",$CU20="OK"),$CI20,IF($CB20&lt;&gt;"OK",$CB20,$CU20)),"")</f>
        <v/>
      </c>
      <c r="BI20" s="972"/>
      <c r="BJ20" s="973"/>
      <c r="BK20" s="933" t="str">
        <f t="shared" ref="BK20" si="3">IF($CB20="OK",CM20,"")</f>
        <v/>
      </c>
      <c r="BL20" s="934"/>
      <c r="BM20" s="935"/>
      <c r="BN20" s="939" t="str">
        <f t="shared" ref="BN20" si="4">IF($CB20="OK",$CR20,"")</f>
        <v/>
      </c>
      <c r="BO20" s="940"/>
      <c r="BP20" s="941"/>
      <c r="BQ20"/>
      <c r="BR20"/>
      <c r="BS20" s="967"/>
      <c r="BT20" s="967"/>
      <c r="BV20" s="926" t="str">
        <f t="shared" ref="BV20" si="5">IFERROR(ROUND(IF(AND(CB20="OK",CU20="OK"),CT20,""),0),"")</f>
        <v/>
      </c>
      <c r="BW20" s="926" t="str">
        <f t="shared" ref="BW20" si="6">IFERROR(ROUND(IF(AND(CB20="OK",CU20="OK"),BV20/3,""),0),"")</f>
        <v/>
      </c>
      <c r="BX20" s="926"/>
      <c r="BY20" s="927"/>
      <c r="BZ20" s="928"/>
      <c r="CB20" s="986" t="str">
        <f>IF(AND(C20="",F20="",R20="",AD20="",U20="",X20="",L20="",AJ20="",AV20="",AM20="",AP20="",AY20="",AV21="",BB20="",BD20="",AA20="",AS20=""),"",
IF(OR(C20="",F20="",R20="",AD20="",U20="",X20="",L20="",AJ20="",AV20="",AM20="",AP20="",AY20="",AV21="",BB20="",BD20="",AA20="",AS20=""),"Missing Fields",
IF(AND(M02S04F04disp="Required",M02S04F04=""),"TA Info Incomplete",
"OK")))</f>
        <v/>
      </c>
      <c r="CC20" s="925" t="str">
        <f>IF(AND(CB20="OK",CU20="OK"),INDEX(Tbl_Cust_Ag[Measure Number], MATCH(F20,Tbl_Cust_Ag[Proj Desc 1],0)),"")</f>
        <v/>
      </c>
      <c r="CD20" s="925"/>
      <c r="CE20" s="925" t="str">
        <f t="shared" ref="CE20" si="7">IF(CB20="OK","Measure","")</f>
        <v/>
      </c>
      <c r="CF20" s="925" t="str">
        <f t="shared" ref="CF20" si="8">IF(CB20="OK",1,"")</f>
        <v/>
      </c>
      <c r="CG20" s="978" t="str">
        <f t="shared" ref="CG20" si="9">IFERROR(CI20/CF20,"")</f>
        <v/>
      </c>
      <c r="CH20" s="978" t="str">
        <f>IF(CB20="OK", IF(F20="Agriculture Lighting", IF(CM20&gt;0, CM20*Lighting_Only_rate, 0) + IF(CO20&gt;0, CO20*Lighting_Only_rate, 0), IF(CM20&gt;0, CM20*Incent_Rate_kWh, 0) + IF(CO20&gt;0, CO20*Incent_Rate_thm, 0)), "")</f>
        <v/>
      </c>
      <c r="CI20" s="978" t="str">
        <f>IFERROR(IF($CB20="OK",IF(INCENTTOCOST_CUST&gt;CostCap_Cust,
CH20*CostCap_Cust/INCENTTOCOST_CUST,CH20),""),"")</f>
        <v/>
      </c>
      <c r="CJ20" s="977">
        <f t="shared" ref="CJ20" si="10">CM20</f>
        <v>0</v>
      </c>
      <c r="CK20" s="977">
        <f t="shared" ref="CK20" si="11">CN20</f>
        <v>0</v>
      </c>
      <c r="CL20" s="977">
        <f t="shared" ref="CL20" si="12">CO20</f>
        <v>0</v>
      </c>
      <c r="CM20" s="977">
        <f>R20-AJ20</f>
        <v>0</v>
      </c>
      <c r="CN20" s="977">
        <f>U20-AM20</f>
        <v>0</v>
      </c>
      <c r="CO20" s="977">
        <f t="shared" ref="CO20" si="13">IF(CR20&gt;0,CR20,0)</f>
        <v>0</v>
      </c>
      <c r="CP20" s="977">
        <f t="shared" ref="CP20" si="14">CM20</f>
        <v>0</v>
      </c>
      <c r="CQ20" s="977">
        <f t="shared" ref="CQ20" si="15">CN20</f>
        <v>0</v>
      </c>
      <c r="CR20" s="977">
        <f>X20-AP20</f>
        <v>0</v>
      </c>
      <c r="CS20" s="983"/>
      <c r="CT20" s="1056" t="str">
        <f>IF(CB20="OK",INDEX(Tbl_Cust_Ag[EUL], MATCH(F20,Tbl_Cust_Ag[Proj Desc 1],0)),"")</f>
        <v/>
      </c>
      <c r="CU20" s="979" t="str">
        <f t="shared" ref="CU20" si="16">IFERROR(IF(AND($CM20&lt;=0,$CN20&lt;=0,$CO20&lt;=0),"No Savings","OK"),"")</f>
        <v>No Savings</v>
      </c>
      <c r="CV20" s="925" t="str">
        <f t="shared" ref="CV20" si="17">IF(AND(CB20="OK",CU20="OK"),"1","")</f>
        <v/>
      </c>
      <c r="CW20" s="925" t="str">
        <f>IFERROR(IF($CB20="OK",ROUND($AQ$14*SUM(BB20:BE21)/SUM($BF$18:$BG$37),2),""),"")</f>
        <v/>
      </c>
      <c r="CX20" s="925" t="str">
        <f>IFERROR(IF(M02S04F04="Customer/Self-Installed",CW20,IF($CB20="OK",CW20+BD20,"")),"")</f>
        <v/>
      </c>
      <c r="CY20" s="925" t="str">
        <f>IFERROR(IF($CB20="OK",CX20+BB20,""),"")</f>
        <v/>
      </c>
      <c r="CZ20" s="925" t="str">
        <f>IF(CB20="OK",INDEX(MEASURES3_M!$O$40:$O$42, MATCH(F20,MEASURES3_M!$C$40:$C$42,0)),"")</f>
        <v/>
      </c>
      <c r="DA20" s="925" t="str">
        <f>IF(CB20="OK",INDEX(MEASURES3_M!$P$40:$P$42, MATCH(F20,MEASURES3_M!$C$40:$C$42,0)),"")</f>
        <v/>
      </c>
      <c r="DD20" s="980" t="str">
        <f>IFERROR(IF(CB20&lt;&gt;"OK","",CM20*VLOOKUP('DATA TABLES_Project'!$C$247,'DATA TABLES_Project'!$A$250:$B$285,2,FALSE)),"")</f>
        <v/>
      </c>
      <c r="DE20" s="925" t="str">
        <f t="shared" ref="DE20" si="18">IFERROR(IF(CB20&lt;&gt;"OK","",CM20*CZ20*0.92),"")</f>
        <v/>
      </c>
      <c r="DF20" s="980" t="str">
        <f>IFERROR(IF(CB20&lt;&gt;"OK","",CM20*CZ20*0.92*VLOOKUP('DATA TABLES_Project'!$C$247,'DATA TABLES_Project'!$A$250:$B$285,2,FALSE)),"")</f>
        <v/>
      </c>
      <c r="DG20" s="925" t="str">
        <f t="shared" ref="DG20" si="19">IFERROR(IF(CB20&lt;&gt;"OK","",CM20*BV20),IF(BX20="Dual",(CM20*BW20)+((BY20-AJ20)*(BV20-BW20)),""))</f>
        <v/>
      </c>
      <c r="DH20" s="925" t="str">
        <f ca="1">IFERROR(IF(CB20&lt;&gt;"OK","",IF(OR(BX20="Single",BX20=""), CM20*BV20*AVERAGE(INDEX('DATA TABLES_Project'!$B$250:$B$285, MATCH('DATA TABLES_Project'!$C$247,'DATA TABLES_Project'!$A$250:$A$285, 0)):OFFSET(INDEX('DATA TABLES_Project'!$B$250:$B$285, MATCH('DATA TABLES_Project'!$C$247,'DATA TABLES_Project'!$A$250:$A$285, 0)),BV20-1,0)),CM20*BW20*AVERAGE(INDEX('DATA TABLES_Project'!$B$250:$B$285, MATCH('DATA TABLES_Project'!$C$247,'DATA TABLES_Project'!$A$250:$A$285, 0)):OFFSET(INDEX('DATA TABLES_Project'!$B$250:$B$285, MATCH('DATA TABLES_Project'!$C$247,'DATA TABLES_Project'!$A$250:$A$285, 0)),BW20-1,0)) + ((BY20-AJ20)*(BV20-BW20)*AVERAGE(OFFSET(INDEX('DATA TABLES_Project'!$B$250:$B$285, MATCH('DATA TABLES_Project'!$C$247,'DATA TABLES_Project'!$A$250:$A$285, 0)),BW20,0):OFFSET(INDEX('DATA TABLES_Project'!$B$250:$B$285, MATCH('DATA TABLES_Project'!$C$247,'DATA TABLES_Project'!$A$250:$A$285, 0)),BV20-1,0))))), "")</f>
        <v/>
      </c>
      <c r="DI20" s="925" t="str">
        <f t="shared" ref="DI20" si="20">IFERROR(IF(CB20&lt;&gt;"OK","",IF(BX20="Dual",(CM20*BW20)+((BY20-AJ20)*(BV20-BW20))*CZ20*0.92,CM20*CZ20*BV20*0.92)),"")</f>
        <v/>
      </c>
      <c r="DJ20" s="925" t="str">
        <f ca="1">IFERROR(IF(CB20&lt;&gt;"OK","",IF(OR(BX20="Single",BX20=""),0.92*CZ20*CM20*BV20*AVERAGE(INDEX('DATA TABLES_Project'!$B$250:$B$285, MATCH('DATA TABLES_Project'!$C$247,'DATA TABLES_Project'!$A$250:$A$285, 0)):OFFSET(INDEX('DATA TABLES_Project'!$B$250:$B$285, MATCH('DATA TABLES_Project'!$C$247,'DATA TABLES_Project'!$A$250:$A$285, 0)),BV20-1,0)),0.92*CZ20*CM20*BW20*AVERAGE(INDEX('DATA TABLES_Project'!$B$250:$B$285, MATCH('DATA TABLES_Project'!$C$247,'DATA TABLES_Project'!$A$250:$A$285, 0)):OFFSET(INDEX('DATA TABLES_Project'!$B$250:$B$285, MATCH('DATA TABLES_Project'!$C$247,'DATA TABLES_Project'!$A$250:$A$285, 0)),BW20-1,0)) + (0.92*CZ20*(BY20-AJ20)*(BV20-BW20)*AVERAGE(OFFSET(INDEX('DATA TABLES_Project'!$B$250:$B$285, MATCH('DATA TABLES_Project'!$C$247,'DATA TABLES_Project'!$A$250:$A$285, 0)),BW20,0):OFFSET(INDEX('DATA TABLES_Project'!$B$250:$B$285, MATCH('DATA TABLES_Project'!$C$247,'DATA TABLES_Project'!$A$250:$A$285, 0)),BV20-1,0))))), "")</f>
        <v/>
      </c>
      <c r="DK20" s="925" t="str">
        <f>IFERROR(IF(CB20&lt;&gt;"OK","",CO20*'DATA TABLES_Project'!$C$250),"")</f>
        <v/>
      </c>
      <c r="DL20" s="925" t="str">
        <f t="shared" ref="DL20" si="21">IFERROR(IF(CB20&lt;&gt;"OK","",CO20*DA20*0.92),"")</f>
        <v/>
      </c>
      <c r="DM20" s="925" t="str">
        <f>IFERROR(IF(CB20&lt;&gt;"OK","",CO20*'DATA TABLES_Project'!$C$250*DA20*0.92),"")</f>
        <v/>
      </c>
      <c r="DN20" s="925" t="str">
        <f t="shared" ref="DN20" si="22">IFERROR(IF(CB20&lt;&gt;"OK","",CO20*BV20),IF(BX20="Dual",(CO20*BW20)+((BZ20-AP20)*(BV20-BW20)),""))</f>
        <v/>
      </c>
      <c r="DO20" s="925" t="str">
        <f ca="1">IFERROR(IF(CB20&lt;&gt;"OK","",CO20*BV20*AVERAGE('DATA TABLES_Project'!$C$250:OFFSET('DATA TABLES_Project'!$C$250,BV20,0))),IF(BX20="Dual",(CO20*BW20*AVERAGE('DATA TABLES_Project'!$C$251:$C$259))+((BZ20-AP20)*(BV20-BW20)*AVERAGE('DATA TABLES_Project'!$C$260:$C$279)),""))</f>
        <v/>
      </c>
      <c r="DP20" s="925" t="str">
        <f t="shared" ref="DP20" si="23">IFERROR(IF(CB20&lt;&gt;"OK","",IF(BX20="Dual",((CO20*BW20)+(BZ20-AP20)*(BV20-BW20))*DA20*0.92,CO20*BV20*DA20*0.92)),"")</f>
        <v/>
      </c>
      <c r="DQ20" s="925" t="str">
        <f ca="1">IFERROR(IF(CB20&lt;&gt;"OK","",IF(BX20="Dual",(0.92*DA20*CO20*BW20*AVERAGE('DATA TABLES_Project'!$C$251:$C$259))+(0.92*DA20*(BZ20-AP20)*(BV20-BW20)*AVERAGE('DATA TABLES_Project'!$C$260:$C$279)),0.92*DA20*CO20*BV20*AVERAGE('DATA TABLES_Project'!$C$250:OFFSET('DATA TABLES_Project'!$C$250,BV20,0)))),"")</f>
        <v/>
      </c>
      <c r="DR20" s="980" t="str">
        <f>IFERROR(IF($CB20&lt;&gt;"OK","",CM20*'DATA TABLES_Project'!$B$290+IF(CO20&lt;0,0,CO20*'DATA TABLES_Project'!$B$291)),"")</f>
        <v/>
      </c>
      <c r="DS20" s="980" t="str">
        <f>IFERROR(IF($CB20&lt;&gt;"OK","",DD20*'DATA TABLES_Project'!$B$290+IF(DK20&lt;0,0,DK20*'DATA TABLES_Project'!$B$291)),"")</f>
        <v/>
      </c>
      <c r="DT20" s="980" t="str">
        <f>IFERROR(IF($CB20&lt;&gt;"OK","",DE20*'DATA TABLES_Project'!$B$290+IF(DL20&lt;0,0,DL20*'DATA TABLES_Project'!$B$291)),"")</f>
        <v/>
      </c>
      <c r="DU20" s="980" t="str">
        <f>IFERROR(IF($CB20&lt;&gt;"OK","",DF20*'DATA TABLES_Project'!$B$290+IF(DM20&lt;0,0,DM20*'DATA TABLES_Project'!$B$291)),"")</f>
        <v/>
      </c>
      <c r="DV20" s="980" t="str">
        <f>IFERROR(IF($CB20&lt;&gt;"OK","",DG20*'DATA TABLES_Project'!$B$290+IF(DN20&lt;0,0,DN20*'DATA TABLES_Project'!$B$291)),"")</f>
        <v/>
      </c>
      <c r="DW20" s="980" t="str">
        <f>IFERROR(IF($CB20&lt;&gt;"OK","",DH20*'DATA TABLES_Project'!$B$290+IF(DO20&lt;0,0,DO20*'DATA TABLES_Project'!$B$291)),"")</f>
        <v/>
      </c>
      <c r="DX20" s="980" t="str">
        <f>IFERROR(IF($CB20&lt;&gt;"OK","",DI20*'DATA TABLES_Project'!$B$290+IF(DP20&lt;0,0,DP20*'DATA TABLES_Project'!$B$291)),"")</f>
        <v/>
      </c>
      <c r="DY20" s="925" t="str">
        <f>IFERROR(IF($CB20&lt;&gt;"OK","",DJ20*'DATA TABLES_Project'!$B$290+IF(DQ20&lt;0,0,DQ20*'DATA TABLES_Project'!$B$291)),"")</f>
        <v/>
      </c>
      <c r="DZ20" s="925" t="str">
        <f t="shared" ref="DZ20" si="24">IFERROR(IF($CB20&lt;&gt;"OK","",AS20),"")</f>
        <v/>
      </c>
      <c r="EA20" s="925" t="str">
        <f>IFERROR(IF(CB20&lt;&gt;"OK","",CN20*'DATA TABLES_Project'!$B$250*CZ20*1.03),"")</f>
        <v/>
      </c>
      <c r="EB20" s="925" t="str">
        <f t="shared" ref="EB20" si="25">IFERROR(IF(CB20&lt;&gt;"OK","",CN20*CZ20*1.03),"")</f>
        <v/>
      </c>
      <c r="EC20" s="925" t="str">
        <f>IFERROR(IF(CB20&lt;&gt;"OK","",CZ20*DZ20*'DATA TABLES_Project'!$C$250*0.92),"")</f>
        <v/>
      </c>
      <c r="ED20" s="925" t="str">
        <f>IFERROR(IF(CB20&lt;&gt;"OK","",CZ20*DZ20*'DATA TABLES_Project'!$C$250*0.92),"")</f>
        <v/>
      </c>
      <c r="EE20" s="925" t="str">
        <f t="shared" ref="EE20" si="26">IFERROR(IF(CB20&lt;&gt;"OK","",CZ20*DZ20*0.92),"")</f>
        <v/>
      </c>
      <c r="EF20" s="925" t="str">
        <f t="shared" ref="EF20" si="27">IFERROR(IF(CB20&lt;&gt;"OK","",CZ20*DZ20*0.92),"")</f>
        <v/>
      </c>
      <c r="EG20" s="925" t="str">
        <f>IFERROR(IF($CB20&lt;&gt;"OK","",CM20*'DATA TABLES_Project'!$B$290+CO20*'DATA TABLES_Project'!$B$291),"")</f>
        <v/>
      </c>
      <c r="EH20" s="925" t="str">
        <f>IFERROR(IF($CB20&lt;&gt;"OK","",DD20*'DATA TABLES_Project'!$B$290+DK20*'DATA TABLES_Project'!$B$291),"")</f>
        <v/>
      </c>
      <c r="EI20" s="925" t="str">
        <f>IFERROR(IF($CB20&lt;&gt;"OK","",DE20*'DATA TABLES_Project'!$B$290+DL20*'DATA TABLES_Project'!$B$291),"")</f>
        <v/>
      </c>
      <c r="EJ20" s="925" t="str">
        <f>IFERROR(IF($CB20&lt;&gt;"OK","",DF20*'DATA TABLES_Project'!$B$290+DM20*'DATA TABLES_Project'!$B$291),"")</f>
        <v/>
      </c>
      <c r="EK20" s="925" t="str">
        <f>IFERROR(IF($CB20&lt;&gt;"OK","",DG20*'DATA TABLES_Project'!$B$290+DN20*'DATA TABLES_Project'!$B$291),"")</f>
        <v/>
      </c>
      <c r="EL20" s="925" t="str">
        <f>IFERROR(IF($CB20&lt;&gt;"OK","",DH20*'DATA TABLES_Project'!$B$290+DO20*'DATA TABLES_Project'!$B$291),"")</f>
        <v/>
      </c>
      <c r="EM20" s="925" t="str">
        <f>IFERROR(IF($CB20&lt;&gt;"OK","",DI20*'DATA TABLES_Project'!$B$290+DP20*'DATA TABLES_Project'!$B$291),"")</f>
        <v/>
      </c>
      <c r="EN20" s="925" t="str">
        <f>IFERROR(IF($CB20&lt;&gt;"OK","",DJ20*'DATA TABLES_Project'!$B$290+DQ20*'DATA TABLES_Project'!$B$291),"")</f>
        <v/>
      </c>
    </row>
    <row r="21" spans="1:144" ht="16.350000000000001" customHeight="1">
      <c r="A21" s="462"/>
      <c r="B21" s="994"/>
      <c r="C21" s="998"/>
      <c r="D21" s="999"/>
      <c r="E21" s="1000"/>
      <c r="F21" s="964"/>
      <c r="G21" s="965"/>
      <c r="H21" s="965"/>
      <c r="I21" s="965"/>
      <c r="J21" s="965"/>
      <c r="K21" s="966"/>
      <c r="L21" s="964"/>
      <c r="M21" s="965"/>
      <c r="N21" s="965"/>
      <c r="O21" s="965"/>
      <c r="P21" s="965"/>
      <c r="Q21" s="966"/>
      <c r="R21" s="1044"/>
      <c r="S21" s="1044"/>
      <c r="T21" s="1044"/>
      <c r="U21" s="1044"/>
      <c r="V21" s="1044"/>
      <c r="W21" s="1044"/>
      <c r="X21" s="1045"/>
      <c r="Y21" s="1045"/>
      <c r="Z21" s="1045"/>
      <c r="AA21" s="1045"/>
      <c r="AB21" s="1045"/>
      <c r="AC21" s="1045"/>
      <c r="AD21" s="964"/>
      <c r="AE21" s="965"/>
      <c r="AF21" s="965"/>
      <c r="AG21" s="965"/>
      <c r="AH21" s="965"/>
      <c r="AI21" s="966"/>
      <c r="AJ21" s="952"/>
      <c r="AK21" s="953"/>
      <c r="AL21" s="954"/>
      <c r="AM21" s="952"/>
      <c r="AN21" s="953"/>
      <c r="AO21" s="954"/>
      <c r="AP21" s="958"/>
      <c r="AQ21" s="959"/>
      <c r="AR21" s="960"/>
      <c r="AS21" s="958"/>
      <c r="AT21" s="959"/>
      <c r="AU21" s="960"/>
      <c r="AV21" s="968"/>
      <c r="AW21" s="969"/>
      <c r="AX21" s="969"/>
      <c r="AY21" s="969"/>
      <c r="AZ21" s="969"/>
      <c r="BA21" s="970"/>
      <c r="BB21" s="947"/>
      <c r="BC21" s="948"/>
      <c r="BD21" s="947"/>
      <c r="BE21" s="948"/>
      <c r="BF21" s="931"/>
      <c r="BG21" s="932"/>
      <c r="BH21" s="974"/>
      <c r="BI21" s="975"/>
      <c r="BJ21" s="976"/>
      <c r="BK21" s="936"/>
      <c r="BL21" s="937"/>
      <c r="BM21" s="938"/>
      <c r="BN21" s="942"/>
      <c r="BO21" s="943"/>
      <c r="BP21" s="944"/>
      <c r="BQ21"/>
      <c r="BR21"/>
      <c r="BS21" s="967"/>
      <c r="BT21" s="967"/>
      <c r="BV21" s="926"/>
      <c r="BW21" s="926"/>
      <c r="BX21" s="926"/>
      <c r="BY21" s="927"/>
      <c r="BZ21" s="928"/>
      <c r="CB21" s="986"/>
      <c r="CC21" s="925"/>
      <c r="CD21" s="925"/>
      <c r="CE21" s="925"/>
      <c r="CF21" s="925"/>
      <c r="CG21" s="925"/>
      <c r="CH21" s="925"/>
      <c r="CI21" s="925"/>
      <c r="CJ21" s="977"/>
      <c r="CK21" s="977"/>
      <c r="CL21" s="977"/>
      <c r="CM21" s="977"/>
      <c r="CN21" s="977"/>
      <c r="CO21" s="977"/>
      <c r="CP21" s="977"/>
      <c r="CQ21" s="977"/>
      <c r="CR21" s="977"/>
      <c r="CS21" s="983"/>
      <c r="CT21" s="1056"/>
      <c r="CU21" s="979"/>
      <c r="CV21" s="925"/>
      <c r="CW21" s="925"/>
      <c r="CX21" s="925"/>
      <c r="CY21" s="925"/>
      <c r="CZ21" s="925"/>
      <c r="DA21" s="925"/>
      <c r="DD21" s="981"/>
      <c r="DE21" s="925"/>
      <c r="DF21" s="981"/>
      <c r="DG21" s="925"/>
      <c r="DH21" s="925"/>
      <c r="DI21" s="925"/>
      <c r="DJ21" s="925"/>
      <c r="DK21" s="925"/>
      <c r="DL21" s="925"/>
      <c r="DM21" s="925"/>
      <c r="DN21" s="925"/>
      <c r="DO21" s="925"/>
      <c r="DP21" s="925"/>
      <c r="DQ21" s="925"/>
      <c r="DR21" s="981"/>
      <c r="DS21" s="981"/>
      <c r="DT21" s="981"/>
      <c r="DU21" s="981"/>
      <c r="DV21" s="981"/>
      <c r="DW21" s="981"/>
      <c r="DX21" s="981"/>
      <c r="DY21" s="925"/>
      <c r="DZ21" s="925"/>
      <c r="EA21" s="925"/>
      <c r="EB21" s="925"/>
      <c r="EC21" s="925"/>
      <c r="ED21" s="925"/>
      <c r="EE21" s="925"/>
      <c r="EF21" s="925"/>
      <c r="EG21" s="925"/>
      <c r="EH21" s="925"/>
      <c r="EI21" s="925"/>
      <c r="EJ21" s="925"/>
      <c r="EK21" s="925"/>
      <c r="EL21" s="925"/>
      <c r="EM21" s="925"/>
      <c r="EN21" s="925"/>
    </row>
    <row r="22" spans="1:144" ht="16.350000000000001" customHeight="1">
      <c r="A22" s="462"/>
      <c r="B22" s="994">
        <v>3</v>
      </c>
      <c r="C22" s="995"/>
      <c r="D22" s="996"/>
      <c r="E22" s="997"/>
      <c r="F22" s="961"/>
      <c r="G22" s="962"/>
      <c r="H22" s="962"/>
      <c r="I22" s="962"/>
      <c r="J22" s="962"/>
      <c r="K22" s="963"/>
      <c r="L22" s="961"/>
      <c r="M22" s="962"/>
      <c r="N22" s="962"/>
      <c r="O22" s="962"/>
      <c r="P22" s="962"/>
      <c r="Q22" s="963"/>
      <c r="R22" s="1044"/>
      <c r="S22" s="1044"/>
      <c r="T22" s="1044"/>
      <c r="U22" s="1044"/>
      <c r="V22" s="1044"/>
      <c r="W22" s="1044"/>
      <c r="X22" s="1045"/>
      <c r="Y22" s="1045"/>
      <c r="Z22" s="1045"/>
      <c r="AA22" s="1045"/>
      <c r="AB22" s="1045"/>
      <c r="AC22" s="1045"/>
      <c r="AD22" s="961"/>
      <c r="AE22" s="962"/>
      <c r="AF22" s="962"/>
      <c r="AG22" s="962"/>
      <c r="AH22" s="962"/>
      <c r="AI22" s="963"/>
      <c r="AJ22" s="949"/>
      <c r="AK22" s="950"/>
      <c r="AL22" s="951"/>
      <c r="AM22" s="949"/>
      <c r="AN22" s="950"/>
      <c r="AO22" s="951"/>
      <c r="AP22" s="955"/>
      <c r="AQ22" s="956"/>
      <c r="AR22" s="957"/>
      <c r="AS22" s="955"/>
      <c r="AT22" s="956"/>
      <c r="AU22" s="957"/>
      <c r="AV22" s="968"/>
      <c r="AW22" s="969"/>
      <c r="AX22" s="970"/>
      <c r="AY22" s="968"/>
      <c r="AZ22" s="969"/>
      <c r="BA22" s="970"/>
      <c r="BB22" s="945"/>
      <c r="BC22" s="946"/>
      <c r="BD22" s="945"/>
      <c r="BE22" s="946"/>
      <c r="BF22" s="929" t="str">
        <f t="shared" ref="BF22" si="28">IF(CB22="OK",ROUND(BB22+BD22,2),"")</f>
        <v/>
      </c>
      <c r="BG22" s="930"/>
      <c r="BH22" s="971" t="str">
        <f t="shared" ref="BH22" si="29">IFERROR(IF(AND($CB22="OK",$CU22="OK"),$CI22,IF($CB22&lt;&gt;"OK",$CB22,$CU22)),"")</f>
        <v/>
      </c>
      <c r="BI22" s="972"/>
      <c r="BJ22" s="973"/>
      <c r="BK22" s="933" t="str">
        <f t="shared" ref="BK22" si="30">IF($CB22="OK",CM22,"")</f>
        <v/>
      </c>
      <c r="BL22" s="934"/>
      <c r="BM22" s="935"/>
      <c r="BN22" s="939" t="str">
        <f t="shared" ref="BN22" si="31">IF($CB22="OK",$CR22,"")</f>
        <v/>
      </c>
      <c r="BO22" s="940"/>
      <c r="BP22" s="941"/>
      <c r="BQ22"/>
      <c r="BR22"/>
      <c r="BS22" s="967"/>
      <c r="BT22" s="967"/>
      <c r="BV22" s="926" t="str">
        <f t="shared" ref="BV22" si="32">IFERROR(ROUND(IF(AND(CB22="OK",CU22="OK"),CT22,""),0),"")</f>
        <v/>
      </c>
      <c r="BW22" s="926" t="str">
        <f t="shared" ref="BW22" si="33">IFERROR(ROUND(IF(AND(CB22="OK",CU22="OK"),BV22/3,""),0),"")</f>
        <v/>
      </c>
      <c r="BX22" s="926"/>
      <c r="BY22" s="927"/>
      <c r="BZ22" s="928"/>
      <c r="CB22" s="986" t="str">
        <f>IF(AND(C22="",F22="",R22="",AD22="",U22="",X22="",L22="",AJ22="",AV22="",AM22="",AP22="",AY22="",AV23="",BB22="",BD22="",AA22="",AS22=""),"",
IF(OR(C22="",F22="",R22="",AD22="",U22="",X22="",L22="",AJ22="",AV22="",AM22="",AP22="",AY22="",AV23="",BB22="",BD22="",AA22="",AS22=""),"Missing Fields",
IF(AND(M02S04F04disp="Required",M02S04F04=""),"TA Info Incomplete",
"OK")))</f>
        <v/>
      </c>
      <c r="CC22" s="925" t="str">
        <f>IF(AND(CB22="OK",CU22="OK"),INDEX(Tbl_Cust_Ag[Measure Number], MATCH(F22,Tbl_Cust_Ag[Proj Desc 1],0)),"")</f>
        <v/>
      </c>
      <c r="CD22" s="925"/>
      <c r="CE22" s="925" t="str">
        <f t="shared" ref="CE22" si="34">IF(CB22="OK","Measure","")</f>
        <v/>
      </c>
      <c r="CF22" s="925" t="str">
        <f t="shared" ref="CF22" si="35">IF(CB22="OK",1,"")</f>
        <v/>
      </c>
      <c r="CG22" s="978" t="str">
        <f t="shared" ref="CG22" si="36">IFERROR(CI22/CF22,"")</f>
        <v/>
      </c>
      <c r="CH22" s="978" t="str">
        <f>IF(CB22="OK", IF(F22="Agriculture Lighting", IF(CM22&gt;0, CM22*Lighting_Only_rate, 0) + IF(CO22&gt;0, CO22*Lighting_Only_rate, 0), IF(CM22&gt;0, CM22*Incent_Rate_kWh, 0) + IF(CO22&gt;0, CO22*Incent_Rate_thm, 0)), "")</f>
        <v/>
      </c>
      <c r="CI22" s="978" t="str">
        <f>IFERROR(IF($CB22="OK",IF(INCENTTOCOST_CUST&gt;CostCap_Cust,
CH22*CostCap_Cust/INCENTTOCOST_CUST,CH22),""),"")</f>
        <v/>
      </c>
      <c r="CJ22" s="977">
        <f t="shared" ref="CJ22" si="37">CM22</f>
        <v>0</v>
      </c>
      <c r="CK22" s="977">
        <f t="shared" ref="CK22" si="38">CN22</f>
        <v>0</v>
      </c>
      <c r="CL22" s="977">
        <f t="shared" ref="CL22" si="39">CO22</f>
        <v>0</v>
      </c>
      <c r="CM22" s="977">
        <f>R22-AJ22</f>
        <v>0</v>
      </c>
      <c r="CN22" s="977">
        <f>U22-AM22</f>
        <v>0</v>
      </c>
      <c r="CO22" s="977">
        <f t="shared" ref="CO22" si="40">IF(CR22&gt;0,CR22,0)</f>
        <v>0</v>
      </c>
      <c r="CP22" s="977">
        <f t="shared" ref="CP22" si="41">CM22</f>
        <v>0</v>
      </c>
      <c r="CQ22" s="977">
        <f t="shared" ref="CQ22" si="42">CN22</f>
        <v>0</v>
      </c>
      <c r="CR22" s="977">
        <f>X22-AP22</f>
        <v>0</v>
      </c>
      <c r="CS22" s="983"/>
      <c r="CT22" s="1056" t="str">
        <f>IF(CB22="OK",INDEX(Tbl_Cust_Ag[EUL], MATCH(F22,Tbl_Cust_Ag[Proj Desc 1],0)),"")</f>
        <v/>
      </c>
      <c r="CU22" s="979" t="str">
        <f t="shared" ref="CU22" si="43">IFERROR(IF(AND($CM22&lt;=0,$CN22&lt;=0,$CO22&lt;=0),"No Savings","OK"),"")</f>
        <v>No Savings</v>
      </c>
      <c r="CV22" s="925" t="str">
        <f t="shared" ref="CV22" si="44">IF(AND(CB22="OK",CU22="OK"),"1","")</f>
        <v/>
      </c>
      <c r="CW22" s="925" t="str">
        <f>IFERROR(IF($CB22="OK",ROUND($AQ$14*SUM(BB22:BE23)/SUM($BF$18:$BG$37),2),""),"")</f>
        <v/>
      </c>
      <c r="CX22" s="925" t="str">
        <f>IFERROR(IF(M02S04F04="Customer/Self-Installed",CW22,IF($CB22="OK",CW22+BD22,"")),"")</f>
        <v/>
      </c>
      <c r="CY22" s="925" t="str">
        <f>IFERROR(IF($CB22="OK",CX22+BB22,""),"")</f>
        <v/>
      </c>
      <c r="CZ22" s="925" t="str">
        <f>IF(CB22="OK",INDEX(MEASURES3_M!$O$40:$O$42, MATCH(F22,MEASURES3_M!$C$40:$C$42,0)),"")</f>
        <v/>
      </c>
      <c r="DA22" s="925" t="str">
        <f>IF(CB22="OK",INDEX(MEASURES3_M!$P$40:$P$42, MATCH(F22,MEASURES3_M!$C$40:$C$42,0)),"")</f>
        <v/>
      </c>
      <c r="DD22" s="980" t="str">
        <f>IFERROR(IF(CB22&lt;&gt;"OK","",CM22*VLOOKUP('DATA TABLES_Project'!$C$247,'DATA TABLES_Project'!$A$250:$B$285,2,FALSE)),"")</f>
        <v/>
      </c>
      <c r="DE22" s="925" t="str">
        <f t="shared" ref="DE22" si="45">IFERROR(IF(CB22&lt;&gt;"OK","",CM22*CZ22*0.92),"")</f>
        <v/>
      </c>
      <c r="DF22" s="980" t="str">
        <f>IFERROR(IF(CB22&lt;&gt;"OK","",CM22*CZ22*0.92*VLOOKUP('DATA TABLES_Project'!$C$247,'DATA TABLES_Project'!$A$250:$B$285,2,FALSE)),"")</f>
        <v/>
      </c>
      <c r="DG22" s="925" t="str">
        <f t="shared" ref="DG22" si="46">IFERROR(IF(CB22&lt;&gt;"OK","",CM22*BV22),IF(BX22="Dual",(CM22*BW22)+((BY22-AJ22)*(BV22-BW22)),""))</f>
        <v/>
      </c>
      <c r="DH22" s="925" t="str">
        <f ca="1">IFERROR(IF(CB22&lt;&gt;"OK","",IF(OR(BX22="Single",BX22=""), CM22*BV22*AVERAGE(INDEX('DATA TABLES_Project'!$B$250:$B$285, MATCH('DATA TABLES_Project'!$C$247,'DATA TABLES_Project'!$A$250:$A$285, 0)):OFFSET(INDEX('DATA TABLES_Project'!$B$250:$B$285, MATCH('DATA TABLES_Project'!$C$247,'DATA TABLES_Project'!$A$250:$A$285, 0)),BV22-1,0)),CM22*BW22*AVERAGE(INDEX('DATA TABLES_Project'!$B$250:$B$285, MATCH('DATA TABLES_Project'!$C$247,'DATA TABLES_Project'!$A$250:$A$285, 0)):OFFSET(INDEX('DATA TABLES_Project'!$B$250:$B$285, MATCH('DATA TABLES_Project'!$C$247,'DATA TABLES_Project'!$A$250:$A$285, 0)),BW22-1,0)) + ((BY22-AJ22)*(BV22-BW22)*AVERAGE(OFFSET(INDEX('DATA TABLES_Project'!$B$250:$B$285, MATCH('DATA TABLES_Project'!$C$247,'DATA TABLES_Project'!$A$250:$A$285, 0)),BW22,0):OFFSET(INDEX('DATA TABLES_Project'!$B$250:$B$285, MATCH('DATA TABLES_Project'!$C$247,'DATA TABLES_Project'!$A$250:$A$285, 0)),BV22-1,0))))), "")</f>
        <v/>
      </c>
      <c r="DI22" s="925" t="str">
        <f t="shared" ref="DI22" si="47">IFERROR(IF(CB22&lt;&gt;"OK","",IF(BX22="Dual",(CM22*BW22)+((BY22-AJ22)*(BV22-BW22))*CZ22*0.92,CM22*CZ22*BV22*0.92)),"")</f>
        <v/>
      </c>
      <c r="DJ22" s="925" t="str">
        <f ca="1">IFERROR(IF(CB22&lt;&gt;"OK","",IF(OR(BX22="Single",BX22=""),0.92*CZ22*CM22*BV22*AVERAGE(INDEX('DATA TABLES_Project'!$B$250:$B$285, MATCH('DATA TABLES_Project'!$C$247,'DATA TABLES_Project'!$A$250:$A$285, 0)):OFFSET(INDEX('DATA TABLES_Project'!$B$250:$B$285, MATCH('DATA TABLES_Project'!$C$247,'DATA TABLES_Project'!$A$250:$A$285, 0)),BV22-1,0)),0.92*CZ22*CM22*BW22*AVERAGE(INDEX('DATA TABLES_Project'!$B$250:$B$285, MATCH('DATA TABLES_Project'!$C$247,'DATA TABLES_Project'!$A$250:$A$285, 0)):OFFSET(INDEX('DATA TABLES_Project'!$B$250:$B$285, MATCH('DATA TABLES_Project'!$C$247,'DATA TABLES_Project'!$A$250:$A$285, 0)),BW22-1,0)) + (0.92*CZ22*(BY22-AJ22)*(BV22-BW22)*AVERAGE(OFFSET(INDEX('DATA TABLES_Project'!$B$250:$B$285, MATCH('DATA TABLES_Project'!$C$247,'DATA TABLES_Project'!$A$250:$A$285, 0)),BW22,0):OFFSET(INDEX('DATA TABLES_Project'!$B$250:$B$285, MATCH('DATA TABLES_Project'!$C$247,'DATA TABLES_Project'!$A$250:$A$285, 0)),BV22-1,0))))), "")</f>
        <v/>
      </c>
      <c r="DK22" s="925" t="str">
        <f>IFERROR(IF(CB22&lt;&gt;"OK","",CO22*'DATA TABLES_Project'!$C$250),"")</f>
        <v/>
      </c>
      <c r="DL22" s="925" t="str">
        <f t="shared" ref="DL22" si="48">IFERROR(IF(CB22&lt;&gt;"OK","",CO22*DA22*0.92),"")</f>
        <v/>
      </c>
      <c r="DM22" s="925" t="str">
        <f>IFERROR(IF(CB22&lt;&gt;"OK","",CO22*'DATA TABLES_Project'!$C$250*DA22*0.92),"")</f>
        <v/>
      </c>
      <c r="DN22" s="925" t="str">
        <f t="shared" ref="DN22" si="49">IFERROR(IF(CB22&lt;&gt;"OK","",CO22*BV22),IF(BX22="Dual",(CO22*BW22)+((BZ22-AP22)*(BV22-BW22)),""))</f>
        <v/>
      </c>
      <c r="DO22" s="925" t="str">
        <f ca="1">IFERROR(IF(CB22&lt;&gt;"OK","",CO22*BV22*AVERAGE('DATA TABLES_Project'!$C$250:OFFSET('DATA TABLES_Project'!$C$250,BV22,0))),IF(BX22="Dual",(CO22*BW22*AVERAGE('DATA TABLES_Project'!$C$251:$C$259))+((BZ22-AP22)*(BV22-BW22)*AVERAGE('DATA TABLES_Project'!$C$260:$C$279)),""))</f>
        <v/>
      </c>
      <c r="DP22" s="925" t="str">
        <f t="shared" ref="DP22" si="50">IFERROR(IF(CB22&lt;&gt;"OK","",IF(BX22="Dual",((CO22*BW22)+(BZ22-AP22)*(BV22-BW22))*DA22*0.92,CO22*BV22*DA22*0.92)),"")</f>
        <v/>
      </c>
      <c r="DQ22" s="925" t="str">
        <f ca="1">IFERROR(IF(CB22&lt;&gt;"OK","",IF(BX22="Dual",(0.92*DA22*CO22*BW22*AVERAGE('DATA TABLES_Project'!$C$251:$C$259))+(0.92*DA22*(BZ22-AP22)*(BV22-BW22)*AVERAGE('DATA TABLES_Project'!$C$260:$C$279)),0.92*DA22*CO22*BV22*AVERAGE('DATA TABLES_Project'!$C$250:OFFSET('DATA TABLES_Project'!$C$250,BV22,0)))),"")</f>
        <v/>
      </c>
      <c r="DR22" s="980" t="str">
        <f>IFERROR(IF($CB22&lt;&gt;"OK","",CM22*'DATA TABLES_Project'!$B$290+IF(CO22&lt;0,0,CO22*'DATA TABLES_Project'!$B$291)),"")</f>
        <v/>
      </c>
      <c r="DS22" s="980" t="str">
        <f>IFERROR(IF($CB22&lt;&gt;"OK","",DD22*'DATA TABLES_Project'!$B$290+IF(DK22&lt;0,0,DK22*'DATA TABLES_Project'!$B$291)),"")</f>
        <v/>
      </c>
      <c r="DT22" s="980" t="str">
        <f>IFERROR(IF($CB22&lt;&gt;"OK","",DE22*'DATA TABLES_Project'!$B$290+IF(DL22&lt;0,0,DL22*'DATA TABLES_Project'!$B$291)),"")</f>
        <v/>
      </c>
      <c r="DU22" s="980" t="str">
        <f>IFERROR(IF($CB22&lt;&gt;"OK","",DF22*'DATA TABLES_Project'!$B$290+IF(DM22&lt;0,0,DM22*'DATA TABLES_Project'!$B$291)),"")</f>
        <v/>
      </c>
      <c r="DV22" s="980" t="str">
        <f>IFERROR(IF($CB22&lt;&gt;"OK","",DG22*'DATA TABLES_Project'!$B$290+IF(DN22&lt;0,0,DN22*'DATA TABLES_Project'!$B$291)),"")</f>
        <v/>
      </c>
      <c r="DW22" s="980" t="str">
        <f>IFERROR(IF($CB22&lt;&gt;"OK","",DH22*'DATA TABLES_Project'!$B$290+IF(DO22&lt;0,0,DO22*'DATA TABLES_Project'!$B$291)),"")</f>
        <v/>
      </c>
      <c r="DX22" s="980" t="str">
        <f>IFERROR(IF($CB22&lt;&gt;"OK","",DI22*'DATA TABLES_Project'!$B$290+IF(DP22&lt;0,0,DP22*'DATA TABLES_Project'!$B$291)),"")</f>
        <v/>
      </c>
      <c r="DY22" s="925" t="str">
        <f>IFERROR(IF($CB22&lt;&gt;"OK","",DJ22*'DATA TABLES_Project'!$B$290+IF(DQ22&lt;0,0,DQ22*'DATA TABLES_Project'!$B$291)),"")</f>
        <v/>
      </c>
      <c r="DZ22" s="925" t="str">
        <f t="shared" ref="DZ22" si="51">IFERROR(IF($CB22&lt;&gt;"OK","",AS22),"")</f>
        <v/>
      </c>
      <c r="EA22" s="925" t="str">
        <f>IFERROR(IF(CB22&lt;&gt;"OK","",CN22*'DATA TABLES_Project'!$B$250*CZ22*1.03),"")</f>
        <v/>
      </c>
      <c r="EB22" s="925" t="str">
        <f t="shared" ref="EB22" si="52">IFERROR(IF(CB22&lt;&gt;"OK","",CN22*CZ22*1.03),"")</f>
        <v/>
      </c>
      <c r="EC22" s="925" t="str">
        <f>IFERROR(IF(CB22&lt;&gt;"OK","",CZ22*DZ22*'DATA TABLES_Project'!$C$250*0.92),"")</f>
        <v/>
      </c>
      <c r="ED22" s="925" t="str">
        <f>IFERROR(IF(CB22&lt;&gt;"OK","",CZ22*DZ22*'DATA TABLES_Project'!$C$250*0.92),"")</f>
        <v/>
      </c>
      <c r="EE22" s="925" t="str">
        <f t="shared" ref="EE22" si="53">IFERROR(IF(CB22&lt;&gt;"OK","",CZ22*DZ22*0.92),"")</f>
        <v/>
      </c>
      <c r="EF22" s="925" t="str">
        <f t="shared" ref="EF22" si="54">IFERROR(IF(CB22&lt;&gt;"OK","",CZ22*DZ22*0.92),"")</f>
        <v/>
      </c>
      <c r="EG22" s="925" t="str">
        <f>IFERROR(IF($CB22&lt;&gt;"OK","",CM22*'DATA TABLES_Project'!$B$290+CO22*'DATA TABLES_Project'!$B$291),"")</f>
        <v/>
      </c>
      <c r="EH22" s="925" t="str">
        <f>IFERROR(IF($CB22&lt;&gt;"OK","",DD22*'DATA TABLES_Project'!$B$290+DK22*'DATA TABLES_Project'!$B$291),"")</f>
        <v/>
      </c>
      <c r="EI22" s="925" t="str">
        <f>IFERROR(IF($CB22&lt;&gt;"OK","",DE22*'DATA TABLES_Project'!$B$290+DL22*'DATA TABLES_Project'!$B$291),"")</f>
        <v/>
      </c>
      <c r="EJ22" s="925" t="str">
        <f>IFERROR(IF($CB22&lt;&gt;"OK","",DF22*'DATA TABLES_Project'!$B$290+DM22*'DATA TABLES_Project'!$B$291),"")</f>
        <v/>
      </c>
      <c r="EK22" s="925" t="str">
        <f>IFERROR(IF($CB22&lt;&gt;"OK","",DG22*'DATA TABLES_Project'!$B$290+DN22*'DATA TABLES_Project'!$B$291),"")</f>
        <v/>
      </c>
      <c r="EL22" s="925" t="str">
        <f>IFERROR(IF($CB22&lt;&gt;"OK","",DH22*'DATA TABLES_Project'!$B$290+DO22*'DATA TABLES_Project'!$B$291),"")</f>
        <v/>
      </c>
      <c r="EM22" s="925" t="str">
        <f>IFERROR(IF($CB22&lt;&gt;"OK","",DI22*'DATA TABLES_Project'!$B$290+DP22*'DATA TABLES_Project'!$B$291),"")</f>
        <v/>
      </c>
      <c r="EN22" s="925" t="str">
        <f>IFERROR(IF($CB22&lt;&gt;"OK","",DJ22*'DATA TABLES_Project'!$B$290+DQ22*'DATA TABLES_Project'!$B$291),"")</f>
        <v/>
      </c>
    </row>
    <row r="23" spans="1:144" ht="16.350000000000001" customHeight="1">
      <c r="A23" s="462"/>
      <c r="B23" s="994"/>
      <c r="C23" s="998"/>
      <c r="D23" s="999"/>
      <c r="E23" s="1000"/>
      <c r="F23" s="964"/>
      <c r="G23" s="965"/>
      <c r="H23" s="965"/>
      <c r="I23" s="965"/>
      <c r="J23" s="965"/>
      <c r="K23" s="966"/>
      <c r="L23" s="964"/>
      <c r="M23" s="965"/>
      <c r="N23" s="965"/>
      <c r="O23" s="965"/>
      <c r="P23" s="965"/>
      <c r="Q23" s="966"/>
      <c r="R23" s="1044"/>
      <c r="S23" s="1044"/>
      <c r="T23" s="1044"/>
      <c r="U23" s="1044"/>
      <c r="V23" s="1044"/>
      <c r="W23" s="1044"/>
      <c r="X23" s="1045"/>
      <c r="Y23" s="1045"/>
      <c r="Z23" s="1045"/>
      <c r="AA23" s="1045"/>
      <c r="AB23" s="1045"/>
      <c r="AC23" s="1045"/>
      <c r="AD23" s="964"/>
      <c r="AE23" s="965"/>
      <c r="AF23" s="965"/>
      <c r="AG23" s="965"/>
      <c r="AH23" s="965"/>
      <c r="AI23" s="966"/>
      <c r="AJ23" s="952"/>
      <c r="AK23" s="953"/>
      <c r="AL23" s="954"/>
      <c r="AM23" s="952"/>
      <c r="AN23" s="953"/>
      <c r="AO23" s="954"/>
      <c r="AP23" s="958"/>
      <c r="AQ23" s="959"/>
      <c r="AR23" s="960"/>
      <c r="AS23" s="958"/>
      <c r="AT23" s="959"/>
      <c r="AU23" s="960"/>
      <c r="AV23" s="968"/>
      <c r="AW23" s="969"/>
      <c r="AX23" s="969"/>
      <c r="AY23" s="969"/>
      <c r="AZ23" s="969"/>
      <c r="BA23" s="970"/>
      <c r="BB23" s="947"/>
      <c r="BC23" s="948"/>
      <c r="BD23" s="947"/>
      <c r="BE23" s="948"/>
      <c r="BF23" s="931"/>
      <c r="BG23" s="932"/>
      <c r="BH23" s="974"/>
      <c r="BI23" s="975"/>
      <c r="BJ23" s="976"/>
      <c r="BK23" s="936"/>
      <c r="BL23" s="937"/>
      <c r="BM23" s="938"/>
      <c r="BN23" s="942"/>
      <c r="BO23" s="943"/>
      <c r="BP23" s="944"/>
      <c r="BQ23"/>
      <c r="BR23"/>
      <c r="BS23" s="967"/>
      <c r="BT23" s="967"/>
      <c r="BV23" s="926"/>
      <c r="BW23" s="926"/>
      <c r="BX23" s="926"/>
      <c r="BY23" s="927"/>
      <c r="BZ23" s="928"/>
      <c r="CB23" s="986"/>
      <c r="CC23" s="925"/>
      <c r="CD23" s="925"/>
      <c r="CE23" s="925"/>
      <c r="CF23" s="925"/>
      <c r="CG23" s="925"/>
      <c r="CH23" s="925"/>
      <c r="CI23" s="925"/>
      <c r="CJ23" s="977"/>
      <c r="CK23" s="977"/>
      <c r="CL23" s="977"/>
      <c r="CM23" s="977"/>
      <c r="CN23" s="977"/>
      <c r="CO23" s="977"/>
      <c r="CP23" s="977"/>
      <c r="CQ23" s="977"/>
      <c r="CR23" s="977"/>
      <c r="CS23" s="983"/>
      <c r="CT23" s="1056"/>
      <c r="CU23" s="979"/>
      <c r="CV23" s="925"/>
      <c r="CW23" s="925"/>
      <c r="CX23" s="925"/>
      <c r="CY23" s="925"/>
      <c r="CZ23" s="925"/>
      <c r="DA23" s="925"/>
      <c r="DD23" s="981"/>
      <c r="DE23" s="925"/>
      <c r="DF23" s="981"/>
      <c r="DG23" s="925"/>
      <c r="DH23" s="925"/>
      <c r="DI23" s="925"/>
      <c r="DJ23" s="925"/>
      <c r="DK23" s="925"/>
      <c r="DL23" s="925"/>
      <c r="DM23" s="925"/>
      <c r="DN23" s="925"/>
      <c r="DO23" s="925"/>
      <c r="DP23" s="925"/>
      <c r="DQ23" s="925"/>
      <c r="DR23" s="981"/>
      <c r="DS23" s="981"/>
      <c r="DT23" s="981"/>
      <c r="DU23" s="981"/>
      <c r="DV23" s="981"/>
      <c r="DW23" s="981"/>
      <c r="DX23" s="981"/>
      <c r="DY23" s="925"/>
      <c r="DZ23" s="925"/>
      <c r="EA23" s="925"/>
      <c r="EB23" s="925"/>
      <c r="EC23" s="925"/>
      <c r="ED23" s="925"/>
      <c r="EE23" s="925"/>
      <c r="EF23" s="925"/>
      <c r="EG23" s="925"/>
      <c r="EH23" s="925"/>
      <c r="EI23" s="925"/>
      <c r="EJ23" s="925"/>
      <c r="EK23" s="925"/>
      <c r="EL23" s="925"/>
      <c r="EM23" s="925"/>
      <c r="EN23" s="925"/>
    </row>
    <row r="24" spans="1:144" ht="16.350000000000001" customHeight="1">
      <c r="A24" s="462"/>
      <c r="B24" s="994">
        <v>4</v>
      </c>
      <c r="C24" s="995"/>
      <c r="D24" s="996"/>
      <c r="E24" s="997"/>
      <c r="F24" s="961"/>
      <c r="G24" s="962"/>
      <c r="H24" s="962"/>
      <c r="I24" s="962"/>
      <c r="J24" s="962"/>
      <c r="K24" s="963"/>
      <c r="L24" s="961"/>
      <c r="M24" s="962"/>
      <c r="N24" s="962"/>
      <c r="O24" s="962"/>
      <c r="P24" s="962"/>
      <c r="Q24" s="963"/>
      <c r="R24" s="1044"/>
      <c r="S24" s="1044"/>
      <c r="T24" s="1044"/>
      <c r="U24" s="1044"/>
      <c r="V24" s="1044"/>
      <c r="W24" s="1044"/>
      <c r="X24" s="1045"/>
      <c r="Y24" s="1045"/>
      <c r="Z24" s="1045"/>
      <c r="AA24" s="1045"/>
      <c r="AB24" s="1045"/>
      <c r="AC24" s="1045"/>
      <c r="AD24" s="961"/>
      <c r="AE24" s="962"/>
      <c r="AF24" s="962"/>
      <c r="AG24" s="962"/>
      <c r="AH24" s="962"/>
      <c r="AI24" s="963"/>
      <c r="AJ24" s="949"/>
      <c r="AK24" s="950"/>
      <c r="AL24" s="951"/>
      <c r="AM24" s="949"/>
      <c r="AN24" s="950"/>
      <c r="AO24" s="951"/>
      <c r="AP24" s="955"/>
      <c r="AQ24" s="956"/>
      <c r="AR24" s="957"/>
      <c r="AS24" s="955"/>
      <c r="AT24" s="956"/>
      <c r="AU24" s="957"/>
      <c r="AV24" s="968"/>
      <c r="AW24" s="969"/>
      <c r="AX24" s="970"/>
      <c r="AY24" s="968"/>
      <c r="AZ24" s="969"/>
      <c r="BA24" s="970"/>
      <c r="BB24" s="945"/>
      <c r="BC24" s="946"/>
      <c r="BD24" s="945"/>
      <c r="BE24" s="946"/>
      <c r="BF24" s="929" t="str">
        <f t="shared" ref="BF24" si="55">IF(CB24="OK",ROUND(BB24+BD24,2),"")</f>
        <v/>
      </c>
      <c r="BG24" s="930"/>
      <c r="BH24" s="971" t="str">
        <f t="shared" ref="BH24" si="56">IFERROR(IF(AND($CB24="OK",$CU24="OK"),$CI24,IF($CB24&lt;&gt;"OK",$CB24,$CU24)),"")</f>
        <v/>
      </c>
      <c r="BI24" s="972"/>
      <c r="BJ24" s="973"/>
      <c r="BK24" s="933" t="str">
        <f t="shared" ref="BK24" si="57">IF($CB24="OK",CM24,"")</f>
        <v/>
      </c>
      <c r="BL24" s="934"/>
      <c r="BM24" s="935"/>
      <c r="BN24" s="939" t="str">
        <f t="shared" ref="BN24" si="58">IF($CB24="OK",$CR24,"")</f>
        <v/>
      </c>
      <c r="BO24" s="940"/>
      <c r="BP24" s="941"/>
      <c r="BQ24"/>
      <c r="BR24"/>
      <c r="BS24" s="967"/>
      <c r="BT24" s="967"/>
      <c r="BV24" s="926" t="str">
        <f t="shared" ref="BV24" si="59">IFERROR(ROUND(IF(AND(CB24="OK",CU24="OK"),CT24,""),0),"")</f>
        <v/>
      </c>
      <c r="BW24" s="926" t="str">
        <f t="shared" ref="BW24" si="60">IFERROR(ROUND(IF(AND(CB24="OK",CU24="OK"),BV24/3,""),0),"")</f>
        <v/>
      </c>
      <c r="BX24" s="926"/>
      <c r="BY24" s="927"/>
      <c r="BZ24" s="928"/>
      <c r="CB24" s="986" t="str">
        <f>IF(AND(C24="",F24="",R24="",AD24="",U24="",X24="",L24="",AJ24="",AV24="",AM24="",AP24="",AY24="",AV25="",BB24="",BD24="",AA24="",AS24=""),"",
IF(OR(C24="",F24="",R24="",AD24="",U24="",X24="",L24="",AJ24="",AV24="",AM24="",AP24="",AY24="",AV25="",BB24="",BD24="",AA24="",AS24=""),"Missing Fields",
IF(AND(M02S04F04disp="Required",M02S04F04=""),"TA Info Incomplete",
"OK")))</f>
        <v/>
      </c>
      <c r="CC24" s="925" t="str">
        <f>IF(AND(CB24="OK",CU24="OK"),INDEX(Tbl_Cust_Ag[Measure Number], MATCH(F24,Tbl_Cust_Ag[Proj Desc 1],0)),"")</f>
        <v/>
      </c>
      <c r="CD24" s="925"/>
      <c r="CE24" s="925" t="str">
        <f t="shared" ref="CE24" si="61">IF(CB24="OK","Measure","")</f>
        <v/>
      </c>
      <c r="CF24" s="925" t="str">
        <f t="shared" ref="CF24" si="62">IF(CB24="OK",1,"")</f>
        <v/>
      </c>
      <c r="CG24" s="978" t="str">
        <f t="shared" ref="CG24" si="63">IFERROR(CI24/CF24,"")</f>
        <v/>
      </c>
      <c r="CH24" s="978" t="str">
        <f>IF(CB24="OK", IF(F24="Agriculture Lighting", IF(CM24&gt;0, CM24*Lighting_Only_rate, 0) + IF(CO24&gt;0, CO24*Lighting_Only_rate, 0), IF(CM24&gt;0, CM24*Incent_Rate_kWh, 0) + IF(CO24&gt;0, CO24*Incent_Rate_thm, 0)), "")</f>
        <v/>
      </c>
      <c r="CI24" s="978" t="str">
        <f>IFERROR(IF($CB24="OK",IF(INCENTTOCOST_CUST&gt;CostCap_Cust,
CH24*CostCap_Cust/INCENTTOCOST_CUST,CH24),""),"")</f>
        <v/>
      </c>
      <c r="CJ24" s="977">
        <f t="shared" ref="CJ24" si="64">CM24</f>
        <v>0</v>
      </c>
      <c r="CK24" s="977">
        <f t="shared" ref="CK24" si="65">CN24</f>
        <v>0</v>
      </c>
      <c r="CL24" s="977">
        <f t="shared" ref="CL24" si="66">CO24</f>
        <v>0</v>
      </c>
      <c r="CM24" s="977">
        <f>R24-AJ24</f>
        <v>0</v>
      </c>
      <c r="CN24" s="977">
        <f>U24-AM24</f>
        <v>0</v>
      </c>
      <c r="CO24" s="977">
        <f t="shared" ref="CO24" si="67">IF(CR24&gt;0,CR24,0)</f>
        <v>0</v>
      </c>
      <c r="CP24" s="977">
        <f t="shared" ref="CP24" si="68">CM24</f>
        <v>0</v>
      </c>
      <c r="CQ24" s="977">
        <f t="shared" ref="CQ24" si="69">CN24</f>
        <v>0</v>
      </c>
      <c r="CR24" s="977">
        <f>X24-AP24</f>
        <v>0</v>
      </c>
      <c r="CS24" s="983"/>
      <c r="CT24" s="1056" t="str">
        <f>IF(CB24="OK",INDEX(Tbl_Cust_Ag[EUL], MATCH(F24,Tbl_Cust_Ag[Proj Desc 1],0)),"")</f>
        <v/>
      </c>
      <c r="CU24" s="979" t="str">
        <f t="shared" ref="CU24" si="70">IFERROR(IF(AND($CM24&lt;=0,$CN24&lt;=0,$CO24&lt;=0),"No Savings","OK"),"")</f>
        <v>No Savings</v>
      </c>
      <c r="CV24" s="925" t="str">
        <f t="shared" ref="CV24" si="71">IF(AND(CB24="OK",CU24="OK"),"1","")</f>
        <v/>
      </c>
      <c r="CW24" s="925" t="str">
        <f>IFERROR(IF($CB24="OK",ROUND($AQ$14*SUM(BB24:BE25)/SUM($BF$18:$BG$37),2),""),"")</f>
        <v/>
      </c>
      <c r="CX24" s="925" t="str">
        <f>IFERROR(IF(M02S04F04="Customer/Self-Installed",CW24,IF($CB24="OK",CW24+BD24,"")),"")</f>
        <v/>
      </c>
      <c r="CY24" s="925" t="str">
        <f>IFERROR(IF($CB24="OK",CX24+BB24,""),"")</f>
        <v/>
      </c>
      <c r="CZ24" s="925" t="str">
        <f>IF(CB24="OK",INDEX(MEASURES3_M!$O$40:$O$42, MATCH(F24,MEASURES3_M!$C$40:$C$42,0)),"")</f>
        <v/>
      </c>
      <c r="DA24" s="925" t="str">
        <f>IF(CB24="OK",INDEX(MEASURES3_M!$P$40:$P$42, MATCH(F24,MEASURES3_M!$C$40:$C$42,0)),"")</f>
        <v/>
      </c>
      <c r="DD24" s="980" t="str">
        <f>IFERROR(IF(CB24&lt;&gt;"OK","",CM24*VLOOKUP('DATA TABLES_Project'!$C$247,'DATA TABLES_Project'!$A$250:$B$285,2,FALSE)),"")</f>
        <v/>
      </c>
      <c r="DE24" s="925" t="str">
        <f t="shared" ref="DE24" si="72">IFERROR(IF(CB24&lt;&gt;"OK","",CM24*CZ24*0.92),"")</f>
        <v/>
      </c>
      <c r="DF24" s="980" t="str">
        <f>IFERROR(IF(CB24&lt;&gt;"OK","",CM24*CZ24*0.92*VLOOKUP('DATA TABLES_Project'!$C$247,'DATA TABLES_Project'!$A$250:$B$285,2,FALSE)),"")</f>
        <v/>
      </c>
      <c r="DG24" s="925" t="str">
        <f t="shared" ref="DG24" si="73">IFERROR(IF(CB24&lt;&gt;"OK","",CM24*BV24),IF(BX24="Dual",(CM24*BW24)+((BY24-AJ24)*(BV24-BW24)),""))</f>
        <v/>
      </c>
      <c r="DH24" s="925" t="str">
        <f ca="1">IFERROR(IF(CB24&lt;&gt;"OK","",IF(OR(BX24="Single",BX24=""), CM24*BV24*AVERAGE(INDEX('DATA TABLES_Project'!$B$250:$B$285, MATCH('DATA TABLES_Project'!$C$247,'DATA TABLES_Project'!$A$250:$A$285, 0)):OFFSET(INDEX('DATA TABLES_Project'!$B$250:$B$285, MATCH('DATA TABLES_Project'!$C$247,'DATA TABLES_Project'!$A$250:$A$285, 0)),BV24-1,0)),CM24*BW24*AVERAGE(INDEX('DATA TABLES_Project'!$B$250:$B$285, MATCH('DATA TABLES_Project'!$C$247,'DATA TABLES_Project'!$A$250:$A$285, 0)):OFFSET(INDEX('DATA TABLES_Project'!$B$250:$B$285, MATCH('DATA TABLES_Project'!$C$247,'DATA TABLES_Project'!$A$250:$A$285, 0)),BW24-1,0)) + ((BY24-AJ24)*(BV24-BW24)*AVERAGE(OFFSET(INDEX('DATA TABLES_Project'!$B$250:$B$285, MATCH('DATA TABLES_Project'!$C$247,'DATA TABLES_Project'!$A$250:$A$285, 0)),BW24,0):OFFSET(INDEX('DATA TABLES_Project'!$B$250:$B$285, MATCH('DATA TABLES_Project'!$C$247,'DATA TABLES_Project'!$A$250:$A$285, 0)),BV24-1,0))))), "")</f>
        <v/>
      </c>
      <c r="DI24" s="925" t="str">
        <f t="shared" ref="DI24" si="74">IFERROR(IF(CB24&lt;&gt;"OK","",IF(BX24="Dual",(CM24*BW24)+((BY24-AJ24)*(BV24-BW24))*CZ24*0.92,CM24*CZ24*BV24*0.92)),"")</f>
        <v/>
      </c>
      <c r="DJ24" s="925" t="str">
        <f ca="1">IFERROR(IF(CB24&lt;&gt;"OK","",IF(OR(BX24="Single",BX24=""),0.92*CZ24*CM24*BV24*AVERAGE(INDEX('DATA TABLES_Project'!$B$250:$B$285, MATCH('DATA TABLES_Project'!$C$247,'DATA TABLES_Project'!$A$250:$A$285, 0)):OFFSET(INDEX('DATA TABLES_Project'!$B$250:$B$285, MATCH('DATA TABLES_Project'!$C$247,'DATA TABLES_Project'!$A$250:$A$285, 0)),BV24-1,0)),0.92*CZ24*CM24*BW24*AVERAGE(INDEX('DATA TABLES_Project'!$B$250:$B$285, MATCH('DATA TABLES_Project'!$C$247,'DATA TABLES_Project'!$A$250:$A$285, 0)):OFFSET(INDEX('DATA TABLES_Project'!$B$250:$B$285, MATCH('DATA TABLES_Project'!$C$247,'DATA TABLES_Project'!$A$250:$A$285, 0)),BW24-1,0)) + (0.92*CZ24*(BY24-AJ24)*(BV24-BW24)*AVERAGE(OFFSET(INDEX('DATA TABLES_Project'!$B$250:$B$285, MATCH('DATA TABLES_Project'!$C$247,'DATA TABLES_Project'!$A$250:$A$285, 0)),BW24,0):OFFSET(INDEX('DATA TABLES_Project'!$B$250:$B$285, MATCH('DATA TABLES_Project'!$C$247,'DATA TABLES_Project'!$A$250:$A$285, 0)),BV24-1,0))))), "")</f>
        <v/>
      </c>
      <c r="DK24" s="925" t="str">
        <f>IFERROR(IF(CB24&lt;&gt;"OK","",CO24*'DATA TABLES_Project'!$C$250),"")</f>
        <v/>
      </c>
      <c r="DL24" s="925" t="str">
        <f t="shared" ref="DL24" si="75">IFERROR(IF(CB24&lt;&gt;"OK","",CO24*DA24*0.92),"")</f>
        <v/>
      </c>
      <c r="DM24" s="925" t="str">
        <f>IFERROR(IF(CB24&lt;&gt;"OK","",CO24*'DATA TABLES_Project'!$C$250*DA24*0.92),"")</f>
        <v/>
      </c>
      <c r="DN24" s="925" t="str">
        <f t="shared" ref="DN24" si="76">IFERROR(IF(CB24&lt;&gt;"OK","",CO24*BV24),IF(BX24="Dual",(CO24*BW24)+((BZ24-AP24)*(BV24-BW24)),""))</f>
        <v/>
      </c>
      <c r="DO24" s="925" t="str">
        <f ca="1">IFERROR(IF(CB24&lt;&gt;"OK","",CO24*BV24*AVERAGE('DATA TABLES_Project'!$C$250:OFFSET('DATA TABLES_Project'!$C$250,BV24,0))),IF(BX24="Dual",(CO24*BW24*AVERAGE('DATA TABLES_Project'!$C$251:$C$259))+((BZ24-AP24)*(BV24-BW24)*AVERAGE('DATA TABLES_Project'!$C$260:$C$279)),""))</f>
        <v/>
      </c>
      <c r="DP24" s="925" t="str">
        <f t="shared" ref="DP24" si="77">IFERROR(IF(CB24&lt;&gt;"OK","",IF(BX24="Dual",((CO24*BW24)+(BZ24-AP24)*(BV24-BW24))*DA24*0.92,CO24*BV24*DA24*0.92)),"")</f>
        <v/>
      </c>
      <c r="DQ24" s="925" t="str">
        <f ca="1">IFERROR(IF(CB24&lt;&gt;"OK","",IF(BX24="Dual",(0.92*DA24*CO24*BW24*AVERAGE('DATA TABLES_Project'!$C$251:$C$259))+(0.92*DA24*(BZ24-AP24)*(BV24-BW24)*AVERAGE('DATA TABLES_Project'!$C$260:$C$279)),0.92*DA24*CO24*BV24*AVERAGE('DATA TABLES_Project'!$C$250:OFFSET('DATA TABLES_Project'!$C$250,BV24,0)))),"")</f>
        <v/>
      </c>
      <c r="DR24" s="980" t="str">
        <f>IFERROR(IF($CB24&lt;&gt;"OK","",CM24*'DATA TABLES_Project'!$B$290+IF(CO24&lt;0,0,CO24*'DATA TABLES_Project'!$B$291)),"")</f>
        <v/>
      </c>
      <c r="DS24" s="980" t="str">
        <f>IFERROR(IF($CB24&lt;&gt;"OK","",DD24*'DATA TABLES_Project'!$B$290+IF(DK24&lt;0,0,DK24*'DATA TABLES_Project'!$B$291)),"")</f>
        <v/>
      </c>
      <c r="DT24" s="980" t="str">
        <f>IFERROR(IF($CB24&lt;&gt;"OK","",DE24*'DATA TABLES_Project'!$B$290+IF(DL24&lt;0,0,DL24*'DATA TABLES_Project'!$B$291)),"")</f>
        <v/>
      </c>
      <c r="DU24" s="980" t="str">
        <f>IFERROR(IF($CB24&lt;&gt;"OK","",DF24*'DATA TABLES_Project'!$B$290+IF(DM24&lt;0,0,DM24*'DATA TABLES_Project'!$B$291)),"")</f>
        <v/>
      </c>
      <c r="DV24" s="980" t="str">
        <f>IFERROR(IF($CB24&lt;&gt;"OK","",DG24*'DATA TABLES_Project'!$B$290+IF(DN24&lt;0,0,DN24*'DATA TABLES_Project'!$B$291)),"")</f>
        <v/>
      </c>
      <c r="DW24" s="980" t="str">
        <f>IFERROR(IF($CB24&lt;&gt;"OK","",DH24*'DATA TABLES_Project'!$B$290+IF(DO24&lt;0,0,DO24*'DATA TABLES_Project'!$B$291)),"")</f>
        <v/>
      </c>
      <c r="DX24" s="980" t="str">
        <f>IFERROR(IF($CB24&lt;&gt;"OK","",DI24*'DATA TABLES_Project'!$B$290+IF(DP24&lt;0,0,DP24*'DATA TABLES_Project'!$B$291)),"")</f>
        <v/>
      </c>
      <c r="DY24" s="925" t="str">
        <f>IFERROR(IF($CB24&lt;&gt;"OK","",DJ24*'DATA TABLES_Project'!$B$290+IF(DQ24&lt;0,0,DQ24*'DATA TABLES_Project'!$B$291)),"")</f>
        <v/>
      </c>
      <c r="DZ24" s="925" t="str">
        <f t="shared" ref="DZ24" si="78">IFERROR(IF($CB24&lt;&gt;"OK","",AS24),"")</f>
        <v/>
      </c>
      <c r="EA24" s="925" t="str">
        <f>IFERROR(IF(CB24&lt;&gt;"OK","",CN24*'DATA TABLES_Project'!$B$250*CZ24*1.03),"")</f>
        <v/>
      </c>
      <c r="EB24" s="925" t="str">
        <f t="shared" ref="EB24" si="79">IFERROR(IF(CB24&lt;&gt;"OK","",CN24*CZ24*1.03),"")</f>
        <v/>
      </c>
      <c r="EC24" s="925" t="str">
        <f>IFERROR(IF(CB24&lt;&gt;"OK","",CZ24*DZ24*'DATA TABLES_Project'!$C$250*0.92),"")</f>
        <v/>
      </c>
      <c r="ED24" s="925" t="str">
        <f>IFERROR(IF(CB24&lt;&gt;"OK","",CZ24*DZ24*'DATA TABLES_Project'!$C$250*0.92),"")</f>
        <v/>
      </c>
      <c r="EE24" s="925" t="str">
        <f t="shared" ref="EE24" si="80">IFERROR(IF(CB24&lt;&gt;"OK","",CZ24*DZ24*0.92),"")</f>
        <v/>
      </c>
      <c r="EF24" s="925" t="str">
        <f t="shared" ref="EF24" si="81">IFERROR(IF(CB24&lt;&gt;"OK","",CZ24*DZ24*0.92),"")</f>
        <v/>
      </c>
      <c r="EG24" s="925" t="str">
        <f>IFERROR(IF($CB24&lt;&gt;"OK","",CM24*'DATA TABLES_Project'!$B$290+CO24*'DATA TABLES_Project'!$B$291),"")</f>
        <v/>
      </c>
      <c r="EH24" s="925" t="str">
        <f>IFERROR(IF($CB24&lt;&gt;"OK","",DD24*'DATA TABLES_Project'!$B$290+DK24*'DATA TABLES_Project'!$B$291),"")</f>
        <v/>
      </c>
      <c r="EI24" s="925" t="str">
        <f>IFERROR(IF($CB24&lt;&gt;"OK","",DE24*'DATA TABLES_Project'!$B$290+DL24*'DATA TABLES_Project'!$B$291),"")</f>
        <v/>
      </c>
      <c r="EJ24" s="925" t="str">
        <f>IFERROR(IF($CB24&lt;&gt;"OK","",DF24*'DATA TABLES_Project'!$B$290+DM24*'DATA TABLES_Project'!$B$291),"")</f>
        <v/>
      </c>
      <c r="EK24" s="925" t="str">
        <f>IFERROR(IF($CB24&lt;&gt;"OK","",DG24*'DATA TABLES_Project'!$B$290+DN24*'DATA TABLES_Project'!$B$291),"")</f>
        <v/>
      </c>
      <c r="EL24" s="925" t="str">
        <f>IFERROR(IF($CB24&lt;&gt;"OK","",DH24*'DATA TABLES_Project'!$B$290+DO24*'DATA TABLES_Project'!$B$291),"")</f>
        <v/>
      </c>
      <c r="EM24" s="925" t="str">
        <f>IFERROR(IF($CB24&lt;&gt;"OK","",DI24*'DATA TABLES_Project'!$B$290+DP24*'DATA TABLES_Project'!$B$291),"")</f>
        <v/>
      </c>
      <c r="EN24" s="925" t="str">
        <f>IFERROR(IF($CB24&lt;&gt;"OK","",DJ24*'DATA TABLES_Project'!$B$290+DQ24*'DATA TABLES_Project'!$B$291),"")</f>
        <v/>
      </c>
    </row>
    <row r="25" spans="1:144" ht="16.350000000000001" customHeight="1">
      <c r="A25" s="462"/>
      <c r="B25" s="994"/>
      <c r="C25" s="998"/>
      <c r="D25" s="999"/>
      <c r="E25" s="1000"/>
      <c r="F25" s="964"/>
      <c r="G25" s="965"/>
      <c r="H25" s="965"/>
      <c r="I25" s="965"/>
      <c r="J25" s="965"/>
      <c r="K25" s="966"/>
      <c r="L25" s="964"/>
      <c r="M25" s="965"/>
      <c r="N25" s="965"/>
      <c r="O25" s="965"/>
      <c r="P25" s="965"/>
      <c r="Q25" s="966"/>
      <c r="R25" s="1044"/>
      <c r="S25" s="1044"/>
      <c r="T25" s="1044"/>
      <c r="U25" s="1044"/>
      <c r="V25" s="1044"/>
      <c r="W25" s="1044"/>
      <c r="X25" s="1045"/>
      <c r="Y25" s="1045"/>
      <c r="Z25" s="1045"/>
      <c r="AA25" s="1045"/>
      <c r="AB25" s="1045"/>
      <c r="AC25" s="1045"/>
      <c r="AD25" s="964"/>
      <c r="AE25" s="965"/>
      <c r="AF25" s="965"/>
      <c r="AG25" s="965"/>
      <c r="AH25" s="965"/>
      <c r="AI25" s="966"/>
      <c r="AJ25" s="952"/>
      <c r="AK25" s="953"/>
      <c r="AL25" s="954"/>
      <c r="AM25" s="952"/>
      <c r="AN25" s="953"/>
      <c r="AO25" s="954"/>
      <c r="AP25" s="958"/>
      <c r="AQ25" s="959"/>
      <c r="AR25" s="960"/>
      <c r="AS25" s="958"/>
      <c r="AT25" s="959"/>
      <c r="AU25" s="960"/>
      <c r="AV25" s="968"/>
      <c r="AW25" s="969"/>
      <c r="AX25" s="969"/>
      <c r="AY25" s="969"/>
      <c r="AZ25" s="969"/>
      <c r="BA25" s="970"/>
      <c r="BB25" s="947"/>
      <c r="BC25" s="948"/>
      <c r="BD25" s="947"/>
      <c r="BE25" s="948"/>
      <c r="BF25" s="931"/>
      <c r="BG25" s="932"/>
      <c r="BH25" s="974"/>
      <c r="BI25" s="975"/>
      <c r="BJ25" s="976"/>
      <c r="BK25" s="936"/>
      <c r="BL25" s="937"/>
      <c r="BM25" s="938"/>
      <c r="BN25" s="942"/>
      <c r="BO25" s="943"/>
      <c r="BP25" s="944"/>
      <c r="BQ25"/>
      <c r="BR25"/>
      <c r="BS25" s="967"/>
      <c r="BT25" s="967"/>
      <c r="BV25" s="926"/>
      <c r="BW25" s="926"/>
      <c r="BX25" s="926"/>
      <c r="BY25" s="927"/>
      <c r="BZ25" s="928"/>
      <c r="CB25" s="986"/>
      <c r="CC25" s="925"/>
      <c r="CD25" s="925"/>
      <c r="CE25" s="925"/>
      <c r="CF25" s="925"/>
      <c r="CG25" s="925"/>
      <c r="CH25" s="925"/>
      <c r="CI25" s="925"/>
      <c r="CJ25" s="977"/>
      <c r="CK25" s="977"/>
      <c r="CL25" s="977"/>
      <c r="CM25" s="977"/>
      <c r="CN25" s="977"/>
      <c r="CO25" s="977"/>
      <c r="CP25" s="977"/>
      <c r="CQ25" s="977"/>
      <c r="CR25" s="977"/>
      <c r="CS25" s="983"/>
      <c r="CT25" s="1056"/>
      <c r="CU25" s="979"/>
      <c r="CV25" s="925"/>
      <c r="CW25" s="925"/>
      <c r="CX25" s="925"/>
      <c r="CY25" s="925"/>
      <c r="CZ25" s="925"/>
      <c r="DA25" s="925"/>
      <c r="DD25" s="981"/>
      <c r="DE25" s="925"/>
      <c r="DF25" s="981"/>
      <c r="DG25" s="925"/>
      <c r="DH25" s="925"/>
      <c r="DI25" s="925"/>
      <c r="DJ25" s="925"/>
      <c r="DK25" s="925"/>
      <c r="DL25" s="925"/>
      <c r="DM25" s="925"/>
      <c r="DN25" s="925"/>
      <c r="DO25" s="925"/>
      <c r="DP25" s="925"/>
      <c r="DQ25" s="925"/>
      <c r="DR25" s="981"/>
      <c r="DS25" s="981"/>
      <c r="DT25" s="981"/>
      <c r="DU25" s="981"/>
      <c r="DV25" s="981"/>
      <c r="DW25" s="981"/>
      <c r="DX25" s="981"/>
      <c r="DY25" s="925"/>
      <c r="DZ25" s="925"/>
      <c r="EA25" s="925"/>
      <c r="EB25" s="925"/>
      <c r="EC25" s="925"/>
      <c r="ED25" s="925"/>
      <c r="EE25" s="925"/>
      <c r="EF25" s="925"/>
      <c r="EG25" s="925"/>
      <c r="EH25" s="925"/>
      <c r="EI25" s="925"/>
      <c r="EJ25" s="925"/>
      <c r="EK25" s="925"/>
      <c r="EL25" s="925"/>
      <c r="EM25" s="925"/>
      <c r="EN25" s="925"/>
    </row>
    <row r="26" spans="1:144" ht="16.350000000000001" customHeight="1">
      <c r="A26" s="462"/>
      <c r="B26" s="994">
        <v>5</v>
      </c>
      <c r="C26" s="995"/>
      <c r="D26" s="996"/>
      <c r="E26" s="997"/>
      <c r="F26" s="961"/>
      <c r="G26" s="962"/>
      <c r="H26" s="962"/>
      <c r="I26" s="962"/>
      <c r="J26" s="962"/>
      <c r="K26" s="963"/>
      <c r="L26" s="961"/>
      <c r="M26" s="962"/>
      <c r="N26" s="962"/>
      <c r="O26" s="962"/>
      <c r="P26" s="962"/>
      <c r="Q26" s="963"/>
      <c r="R26" s="1044"/>
      <c r="S26" s="1044"/>
      <c r="T26" s="1044"/>
      <c r="U26" s="1044"/>
      <c r="V26" s="1044"/>
      <c r="W26" s="1044"/>
      <c r="X26" s="1045"/>
      <c r="Y26" s="1045"/>
      <c r="Z26" s="1045"/>
      <c r="AA26" s="1045"/>
      <c r="AB26" s="1045"/>
      <c r="AC26" s="1045"/>
      <c r="AD26" s="961"/>
      <c r="AE26" s="962"/>
      <c r="AF26" s="962"/>
      <c r="AG26" s="962"/>
      <c r="AH26" s="962"/>
      <c r="AI26" s="963"/>
      <c r="AJ26" s="949"/>
      <c r="AK26" s="950"/>
      <c r="AL26" s="951"/>
      <c r="AM26" s="949"/>
      <c r="AN26" s="950"/>
      <c r="AO26" s="951"/>
      <c r="AP26" s="955"/>
      <c r="AQ26" s="956"/>
      <c r="AR26" s="957"/>
      <c r="AS26" s="955"/>
      <c r="AT26" s="956"/>
      <c r="AU26" s="957"/>
      <c r="AV26" s="968"/>
      <c r="AW26" s="969"/>
      <c r="AX26" s="970"/>
      <c r="AY26" s="968"/>
      <c r="AZ26" s="969"/>
      <c r="BA26" s="970"/>
      <c r="BB26" s="945"/>
      <c r="BC26" s="946"/>
      <c r="BD26" s="945"/>
      <c r="BE26" s="946"/>
      <c r="BF26" s="929" t="str">
        <f t="shared" ref="BF26" si="82">IF(CB26="OK",ROUND(BB26+BD26,2),"")</f>
        <v/>
      </c>
      <c r="BG26" s="930"/>
      <c r="BH26" s="971" t="str">
        <f t="shared" ref="BH26" si="83">IFERROR(IF(AND($CB26="OK",$CU26="OK"),$CI26,IF($CB26&lt;&gt;"OK",$CB26,$CU26)),"")</f>
        <v/>
      </c>
      <c r="BI26" s="972"/>
      <c r="BJ26" s="973"/>
      <c r="BK26" s="933" t="str">
        <f t="shared" ref="BK26" si="84">IF($CB26="OK",CM26,"")</f>
        <v/>
      </c>
      <c r="BL26" s="934"/>
      <c r="BM26" s="935"/>
      <c r="BN26" s="939" t="str">
        <f t="shared" ref="BN26" si="85">IF($CB26="OK",$CR26,"")</f>
        <v/>
      </c>
      <c r="BO26" s="940"/>
      <c r="BP26" s="941"/>
      <c r="BQ26"/>
      <c r="BR26"/>
      <c r="BS26" s="967"/>
      <c r="BT26" s="967"/>
      <c r="BV26" s="926" t="str">
        <f t="shared" ref="BV26" si="86">IFERROR(ROUND(IF(AND(CB26="OK",CU26="OK"),CT26,""),0),"")</f>
        <v/>
      </c>
      <c r="BW26" s="926" t="str">
        <f t="shared" ref="BW26" si="87">IFERROR(ROUND(IF(AND(CB26="OK",CU26="OK"),BV26/3,""),0),"")</f>
        <v/>
      </c>
      <c r="BX26" s="926"/>
      <c r="BY26" s="927"/>
      <c r="BZ26" s="928"/>
      <c r="CB26" s="986" t="str">
        <f>IF(AND(C26="",F26="",R26="",AD26="",U26="",X26="",L26="",AJ26="",AV26="",AM26="",AP26="",AY26="",AV27="",BB26="",BD26="",AA26="",AS26=""),"",
IF(OR(C26="",F26="",R26="",AD26="",U26="",X26="",L26="",AJ26="",AV26="",AM26="",AP26="",AY26="",AV27="",BB26="",BD26="",AA26="",AS26=""),"Missing Fields",
IF(AND(M02S04F04disp="Required",M02S04F04=""),"TA Info Incomplete",
"OK")))</f>
        <v/>
      </c>
      <c r="CC26" s="925" t="str">
        <f>IF(AND(CB26="OK",CU26="OK"),INDEX(Tbl_Cust_Ag[Measure Number], MATCH(F26,Tbl_Cust_Ag[Proj Desc 1],0)),"")</f>
        <v/>
      </c>
      <c r="CD26" s="925"/>
      <c r="CE26" s="925" t="str">
        <f t="shared" ref="CE26" si="88">IF(CB26="OK","Measure","")</f>
        <v/>
      </c>
      <c r="CF26" s="925" t="str">
        <f t="shared" ref="CF26" si="89">IF(CB26="OK",1,"")</f>
        <v/>
      </c>
      <c r="CG26" s="978" t="str">
        <f t="shared" ref="CG26" si="90">IFERROR(CI26/CF26,"")</f>
        <v/>
      </c>
      <c r="CH26" s="978" t="str">
        <f>IF(CB26="OK", IF(F26="Agriculture Lighting", IF(CM26&gt;0, CM26*Lighting_Only_rate, 0) + IF(CO26&gt;0, CO26*Lighting_Only_rate, 0), IF(CM26&gt;0, CM26*Incent_Rate_kWh, 0) + IF(CO26&gt;0, CO26*Incent_Rate_thm, 0)), "")</f>
        <v/>
      </c>
      <c r="CI26" s="978" t="str">
        <f>IFERROR(IF($CB26="OK",IF(INCENTTOCOST_CUST&gt;CostCap_Cust,
CH26*CostCap_Cust/INCENTTOCOST_CUST,CH26),""),"")</f>
        <v/>
      </c>
      <c r="CJ26" s="977">
        <f t="shared" ref="CJ26" si="91">CM26</f>
        <v>0</v>
      </c>
      <c r="CK26" s="977">
        <f t="shared" ref="CK26" si="92">CN26</f>
        <v>0</v>
      </c>
      <c r="CL26" s="977">
        <f t="shared" ref="CL26" si="93">CO26</f>
        <v>0</v>
      </c>
      <c r="CM26" s="977">
        <f>R26-AJ26</f>
        <v>0</v>
      </c>
      <c r="CN26" s="977">
        <f>U26-AM26</f>
        <v>0</v>
      </c>
      <c r="CO26" s="977">
        <f t="shared" ref="CO26" si="94">IF(CR26&gt;0,CR26,0)</f>
        <v>0</v>
      </c>
      <c r="CP26" s="977">
        <f t="shared" ref="CP26" si="95">CM26</f>
        <v>0</v>
      </c>
      <c r="CQ26" s="977">
        <f t="shared" ref="CQ26" si="96">CN26</f>
        <v>0</v>
      </c>
      <c r="CR26" s="977">
        <f>X26-AP26</f>
        <v>0</v>
      </c>
      <c r="CS26" s="983"/>
      <c r="CT26" s="1056" t="str">
        <f>IF(CB26="OK",INDEX(Tbl_Cust_Ag[EUL], MATCH(F26,Tbl_Cust_Ag[Proj Desc 1],0)),"")</f>
        <v/>
      </c>
      <c r="CU26" s="979" t="str">
        <f t="shared" ref="CU26" si="97">IFERROR(IF(AND($CM26&lt;=0,$CN26&lt;=0,$CO26&lt;=0),"No Savings","OK"),"")</f>
        <v>No Savings</v>
      </c>
      <c r="CV26" s="925" t="str">
        <f t="shared" ref="CV26" si="98">IF(AND(CB26="OK",CU26="OK"),"1","")</f>
        <v/>
      </c>
      <c r="CW26" s="925" t="str">
        <f>IFERROR(IF($CB26="OK",ROUND($AQ$14*SUM(BB26:BE27)/SUM($BF$18:$BG$37),2),""),"")</f>
        <v/>
      </c>
      <c r="CX26" s="925" t="str">
        <f>IFERROR(IF(M02S04F04="Customer/Self-Installed",CW26,IF($CB26="OK",CW26+BD26,"")),"")</f>
        <v/>
      </c>
      <c r="CY26" s="925" t="str">
        <f>IFERROR(IF($CB26="OK",CX26+BB26,""),"")</f>
        <v/>
      </c>
      <c r="CZ26" s="925" t="str">
        <f>IF(CB26="OK",INDEX(MEASURES3_M!$O$40:$O$42, MATCH(F26,MEASURES3_M!$C$40:$C$42,0)),"")</f>
        <v/>
      </c>
      <c r="DA26" s="925" t="str">
        <f>IF(CB26="OK",INDEX(MEASURES3_M!$P$40:$P$42, MATCH(F26,MEASURES3_M!$C$40:$C$42,0)),"")</f>
        <v/>
      </c>
      <c r="DD26" s="980" t="str">
        <f>IFERROR(IF(CB26&lt;&gt;"OK","",CM26*VLOOKUP('DATA TABLES_Project'!$C$247,'DATA TABLES_Project'!$A$250:$B$285,2,FALSE)),"")</f>
        <v/>
      </c>
      <c r="DE26" s="925" t="str">
        <f t="shared" ref="DE26" si="99">IFERROR(IF(CB26&lt;&gt;"OK","",CM26*CZ26*0.92),"")</f>
        <v/>
      </c>
      <c r="DF26" s="980" t="str">
        <f>IFERROR(IF(CB26&lt;&gt;"OK","",CM26*CZ26*0.92*VLOOKUP('DATA TABLES_Project'!$C$247,'DATA TABLES_Project'!$A$250:$B$285,2,FALSE)),"")</f>
        <v/>
      </c>
      <c r="DG26" s="925" t="str">
        <f t="shared" ref="DG26" si="100">IFERROR(IF(CB26&lt;&gt;"OK","",CM26*BV26),IF(BX26="Dual",(CM26*BW26)+((BY26-AJ26)*(BV26-BW26)),""))</f>
        <v/>
      </c>
      <c r="DH26" s="925" t="str">
        <f ca="1">IFERROR(IF(CB26&lt;&gt;"OK","",IF(OR(BX26="Single",BX26=""), CM26*BV26*AVERAGE(INDEX('DATA TABLES_Project'!$B$250:$B$285, MATCH('DATA TABLES_Project'!$C$247,'DATA TABLES_Project'!$A$250:$A$285, 0)):OFFSET(INDEX('DATA TABLES_Project'!$B$250:$B$285, MATCH('DATA TABLES_Project'!$C$247,'DATA TABLES_Project'!$A$250:$A$285, 0)),BV26-1,0)),CM26*BW26*AVERAGE(INDEX('DATA TABLES_Project'!$B$250:$B$285, MATCH('DATA TABLES_Project'!$C$247,'DATA TABLES_Project'!$A$250:$A$285, 0)):OFFSET(INDEX('DATA TABLES_Project'!$B$250:$B$285, MATCH('DATA TABLES_Project'!$C$247,'DATA TABLES_Project'!$A$250:$A$285, 0)),BW26-1,0)) + ((BY26-AJ26)*(BV26-BW26)*AVERAGE(OFFSET(INDEX('DATA TABLES_Project'!$B$250:$B$285, MATCH('DATA TABLES_Project'!$C$247,'DATA TABLES_Project'!$A$250:$A$285, 0)),BW26,0):OFFSET(INDEX('DATA TABLES_Project'!$B$250:$B$285, MATCH('DATA TABLES_Project'!$C$247,'DATA TABLES_Project'!$A$250:$A$285, 0)),BV26-1,0))))), "")</f>
        <v/>
      </c>
      <c r="DI26" s="925" t="str">
        <f t="shared" ref="DI26" si="101">IFERROR(IF(CB26&lt;&gt;"OK","",IF(BX26="Dual",(CM26*BW26)+((BY26-AJ26)*(BV26-BW26))*CZ26*0.92,CM26*CZ26*BV26*0.92)),"")</f>
        <v/>
      </c>
      <c r="DJ26" s="925" t="str">
        <f ca="1">IFERROR(IF(CB26&lt;&gt;"OK","",IF(OR(BX26="Single",BX26=""),0.92*CZ26*CM26*BV26*AVERAGE(INDEX('DATA TABLES_Project'!$B$250:$B$285, MATCH('DATA TABLES_Project'!$C$247,'DATA TABLES_Project'!$A$250:$A$285, 0)):OFFSET(INDEX('DATA TABLES_Project'!$B$250:$B$285, MATCH('DATA TABLES_Project'!$C$247,'DATA TABLES_Project'!$A$250:$A$285, 0)),BV26-1,0)),0.92*CZ26*CM26*BW26*AVERAGE(INDEX('DATA TABLES_Project'!$B$250:$B$285, MATCH('DATA TABLES_Project'!$C$247,'DATA TABLES_Project'!$A$250:$A$285, 0)):OFFSET(INDEX('DATA TABLES_Project'!$B$250:$B$285, MATCH('DATA TABLES_Project'!$C$247,'DATA TABLES_Project'!$A$250:$A$285, 0)),BW26-1,0)) + (0.92*CZ26*(BY26-AJ26)*(BV26-BW26)*AVERAGE(OFFSET(INDEX('DATA TABLES_Project'!$B$250:$B$285, MATCH('DATA TABLES_Project'!$C$247,'DATA TABLES_Project'!$A$250:$A$285, 0)),BW26,0):OFFSET(INDEX('DATA TABLES_Project'!$B$250:$B$285, MATCH('DATA TABLES_Project'!$C$247,'DATA TABLES_Project'!$A$250:$A$285, 0)),BV26-1,0))))), "")</f>
        <v/>
      </c>
      <c r="DK26" s="925" t="str">
        <f>IFERROR(IF(CB26&lt;&gt;"OK","",CO26*'DATA TABLES_Project'!$C$250),"")</f>
        <v/>
      </c>
      <c r="DL26" s="925" t="str">
        <f t="shared" ref="DL26" si="102">IFERROR(IF(CB26&lt;&gt;"OK","",CO26*DA26*0.92),"")</f>
        <v/>
      </c>
      <c r="DM26" s="925" t="str">
        <f>IFERROR(IF(CB26&lt;&gt;"OK","",CO26*'DATA TABLES_Project'!$C$250*DA26*0.92),"")</f>
        <v/>
      </c>
      <c r="DN26" s="925" t="str">
        <f t="shared" ref="DN26" si="103">IFERROR(IF(CB26&lt;&gt;"OK","",CO26*BV26),IF(BX26="Dual",(CO26*BW26)+((BZ26-AP26)*(BV26-BW26)),""))</f>
        <v/>
      </c>
      <c r="DO26" s="925" t="str">
        <f ca="1">IFERROR(IF(CB26&lt;&gt;"OK","",CO26*BV26*AVERAGE('DATA TABLES_Project'!$C$250:OFFSET('DATA TABLES_Project'!$C$250,BV26,0))),IF(BX26="Dual",(CO26*BW26*AVERAGE('DATA TABLES_Project'!$C$251:$C$259))+((BZ26-AP26)*(BV26-BW26)*AVERAGE('DATA TABLES_Project'!$C$260:$C$279)),""))</f>
        <v/>
      </c>
      <c r="DP26" s="925" t="str">
        <f t="shared" ref="DP26" si="104">IFERROR(IF(CB26&lt;&gt;"OK","",IF(BX26="Dual",((CO26*BW26)+(BZ26-AP26)*(BV26-BW26))*DA26*0.92,CO26*BV26*DA26*0.92)),"")</f>
        <v/>
      </c>
      <c r="DQ26" s="925" t="str">
        <f ca="1">IFERROR(IF(CB26&lt;&gt;"OK","",IF(BX26="Dual",(0.92*DA26*CO26*BW26*AVERAGE('DATA TABLES_Project'!$C$251:$C$259))+(0.92*DA26*(BZ26-AP26)*(BV26-BW26)*AVERAGE('DATA TABLES_Project'!$C$260:$C$279)),0.92*DA26*CO26*BV26*AVERAGE('DATA TABLES_Project'!$C$250:OFFSET('DATA TABLES_Project'!$C$250,BV26,0)))),"")</f>
        <v/>
      </c>
      <c r="DR26" s="980" t="str">
        <f>IFERROR(IF($CB26&lt;&gt;"OK","",CM26*'DATA TABLES_Project'!$B$290+IF(CO26&lt;0,0,CO26*'DATA TABLES_Project'!$B$291)),"")</f>
        <v/>
      </c>
      <c r="DS26" s="980" t="str">
        <f>IFERROR(IF($CB26&lt;&gt;"OK","",DD26*'DATA TABLES_Project'!$B$290+IF(DK26&lt;0,0,DK26*'DATA TABLES_Project'!$B$291)),"")</f>
        <v/>
      </c>
      <c r="DT26" s="980" t="str">
        <f>IFERROR(IF($CB26&lt;&gt;"OK","",DE26*'DATA TABLES_Project'!$B$290+IF(DL26&lt;0,0,DL26*'DATA TABLES_Project'!$B$291)),"")</f>
        <v/>
      </c>
      <c r="DU26" s="980" t="str">
        <f>IFERROR(IF($CB26&lt;&gt;"OK","",DF26*'DATA TABLES_Project'!$B$290+IF(DM26&lt;0,0,DM26*'DATA TABLES_Project'!$B$291)),"")</f>
        <v/>
      </c>
      <c r="DV26" s="980" t="str">
        <f>IFERROR(IF($CB26&lt;&gt;"OK","",DG26*'DATA TABLES_Project'!$B$290+IF(DN26&lt;0,0,DN26*'DATA TABLES_Project'!$B$291)),"")</f>
        <v/>
      </c>
      <c r="DW26" s="980" t="str">
        <f>IFERROR(IF($CB26&lt;&gt;"OK","",DH26*'DATA TABLES_Project'!$B$290+IF(DO26&lt;0,0,DO26*'DATA TABLES_Project'!$B$291)),"")</f>
        <v/>
      </c>
      <c r="DX26" s="980" t="str">
        <f>IFERROR(IF($CB26&lt;&gt;"OK","",DI26*'DATA TABLES_Project'!$B$290+IF(DP26&lt;0,0,DP26*'DATA TABLES_Project'!$B$291)),"")</f>
        <v/>
      </c>
      <c r="DY26" s="925" t="str">
        <f>IFERROR(IF($CB26&lt;&gt;"OK","",DJ26*'DATA TABLES_Project'!$B$290+IF(DQ26&lt;0,0,DQ26*'DATA TABLES_Project'!$B$291)),"")</f>
        <v/>
      </c>
      <c r="DZ26" s="925" t="str">
        <f t="shared" ref="DZ26" si="105">IFERROR(IF($CB26&lt;&gt;"OK","",AS26),"")</f>
        <v/>
      </c>
      <c r="EA26" s="925" t="str">
        <f>IFERROR(IF(CB26&lt;&gt;"OK","",CN26*'DATA TABLES_Project'!$B$250*CZ26*1.03),"")</f>
        <v/>
      </c>
      <c r="EB26" s="925" t="str">
        <f t="shared" ref="EB26" si="106">IFERROR(IF(CB26&lt;&gt;"OK","",CN26*CZ26*1.03),"")</f>
        <v/>
      </c>
      <c r="EC26" s="925" t="str">
        <f>IFERROR(IF(CB26&lt;&gt;"OK","",CZ26*DZ26*'DATA TABLES_Project'!$C$250*0.92),"")</f>
        <v/>
      </c>
      <c r="ED26" s="925" t="str">
        <f>IFERROR(IF(CB26&lt;&gt;"OK","",CZ26*DZ26*'DATA TABLES_Project'!$C$250*0.92),"")</f>
        <v/>
      </c>
      <c r="EE26" s="925" t="str">
        <f t="shared" ref="EE26" si="107">IFERROR(IF(CB26&lt;&gt;"OK","",CZ26*DZ26*0.92),"")</f>
        <v/>
      </c>
      <c r="EF26" s="925" t="str">
        <f t="shared" ref="EF26" si="108">IFERROR(IF(CB26&lt;&gt;"OK","",CZ26*DZ26*0.92),"")</f>
        <v/>
      </c>
      <c r="EG26" s="925" t="str">
        <f>IFERROR(IF($CB26&lt;&gt;"OK","",CM26*'DATA TABLES_Project'!$B$290+CO26*'DATA TABLES_Project'!$B$291),"")</f>
        <v/>
      </c>
      <c r="EH26" s="925" t="str">
        <f>IFERROR(IF($CB26&lt;&gt;"OK","",DD26*'DATA TABLES_Project'!$B$290+DK26*'DATA TABLES_Project'!$B$291),"")</f>
        <v/>
      </c>
      <c r="EI26" s="925" t="str">
        <f>IFERROR(IF($CB26&lt;&gt;"OK","",DE26*'DATA TABLES_Project'!$B$290+DL26*'DATA TABLES_Project'!$B$291),"")</f>
        <v/>
      </c>
      <c r="EJ26" s="925" t="str">
        <f>IFERROR(IF($CB26&lt;&gt;"OK","",DF26*'DATA TABLES_Project'!$B$290+DM26*'DATA TABLES_Project'!$B$291),"")</f>
        <v/>
      </c>
      <c r="EK26" s="925" t="str">
        <f>IFERROR(IF($CB26&lt;&gt;"OK","",DG26*'DATA TABLES_Project'!$B$290+DN26*'DATA TABLES_Project'!$B$291),"")</f>
        <v/>
      </c>
      <c r="EL26" s="925" t="str">
        <f>IFERROR(IF($CB26&lt;&gt;"OK","",DH26*'DATA TABLES_Project'!$B$290+DO26*'DATA TABLES_Project'!$B$291),"")</f>
        <v/>
      </c>
      <c r="EM26" s="925" t="str">
        <f>IFERROR(IF($CB26&lt;&gt;"OK","",DI26*'DATA TABLES_Project'!$B$290+DP26*'DATA TABLES_Project'!$B$291),"")</f>
        <v/>
      </c>
      <c r="EN26" s="925" t="str">
        <f>IFERROR(IF($CB26&lt;&gt;"OK","",DJ26*'DATA TABLES_Project'!$B$290+DQ26*'DATA TABLES_Project'!$B$291),"")</f>
        <v/>
      </c>
    </row>
    <row r="27" spans="1:144" ht="16.350000000000001" customHeight="1">
      <c r="A27" s="462"/>
      <c r="B27" s="994"/>
      <c r="C27" s="998"/>
      <c r="D27" s="999"/>
      <c r="E27" s="1000"/>
      <c r="F27" s="964"/>
      <c r="G27" s="965"/>
      <c r="H27" s="965"/>
      <c r="I27" s="965"/>
      <c r="J27" s="965"/>
      <c r="K27" s="966"/>
      <c r="L27" s="964"/>
      <c r="M27" s="965"/>
      <c r="N27" s="965"/>
      <c r="O27" s="965"/>
      <c r="P27" s="965"/>
      <c r="Q27" s="966"/>
      <c r="R27" s="1044"/>
      <c r="S27" s="1044"/>
      <c r="T27" s="1044"/>
      <c r="U27" s="1044"/>
      <c r="V27" s="1044"/>
      <c r="W27" s="1044"/>
      <c r="X27" s="1045"/>
      <c r="Y27" s="1045"/>
      <c r="Z27" s="1045"/>
      <c r="AA27" s="1045"/>
      <c r="AB27" s="1045"/>
      <c r="AC27" s="1045"/>
      <c r="AD27" s="964"/>
      <c r="AE27" s="965"/>
      <c r="AF27" s="965"/>
      <c r="AG27" s="965"/>
      <c r="AH27" s="965"/>
      <c r="AI27" s="966"/>
      <c r="AJ27" s="952"/>
      <c r="AK27" s="953"/>
      <c r="AL27" s="954"/>
      <c r="AM27" s="952"/>
      <c r="AN27" s="953"/>
      <c r="AO27" s="954"/>
      <c r="AP27" s="958"/>
      <c r="AQ27" s="959"/>
      <c r="AR27" s="960"/>
      <c r="AS27" s="958"/>
      <c r="AT27" s="959"/>
      <c r="AU27" s="960"/>
      <c r="AV27" s="968"/>
      <c r="AW27" s="969"/>
      <c r="AX27" s="969"/>
      <c r="AY27" s="969"/>
      <c r="AZ27" s="969"/>
      <c r="BA27" s="970"/>
      <c r="BB27" s="947"/>
      <c r="BC27" s="948"/>
      <c r="BD27" s="947"/>
      <c r="BE27" s="948"/>
      <c r="BF27" s="931"/>
      <c r="BG27" s="932"/>
      <c r="BH27" s="974"/>
      <c r="BI27" s="975"/>
      <c r="BJ27" s="976"/>
      <c r="BK27" s="936"/>
      <c r="BL27" s="937"/>
      <c r="BM27" s="938"/>
      <c r="BN27" s="942"/>
      <c r="BO27" s="943"/>
      <c r="BP27" s="944"/>
      <c r="BQ27"/>
      <c r="BR27"/>
      <c r="BS27" s="967"/>
      <c r="BT27" s="967"/>
      <c r="BV27" s="926"/>
      <c r="BW27" s="926"/>
      <c r="BX27" s="926"/>
      <c r="BY27" s="927"/>
      <c r="BZ27" s="928"/>
      <c r="CB27" s="986"/>
      <c r="CC27" s="925"/>
      <c r="CD27" s="925"/>
      <c r="CE27" s="925"/>
      <c r="CF27" s="925"/>
      <c r="CG27" s="925"/>
      <c r="CH27" s="925"/>
      <c r="CI27" s="925"/>
      <c r="CJ27" s="977"/>
      <c r="CK27" s="977"/>
      <c r="CL27" s="977"/>
      <c r="CM27" s="977"/>
      <c r="CN27" s="977"/>
      <c r="CO27" s="977"/>
      <c r="CP27" s="977"/>
      <c r="CQ27" s="977"/>
      <c r="CR27" s="977"/>
      <c r="CS27" s="983"/>
      <c r="CT27" s="1056"/>
      <c r="CU27" s="979"/>
      <c r="CV27" s="925"/>
      <c r="CW27" s="925"/>
      <c r="CX27" s="925"/>
      <c r="CY27" s="925"/>
      <c r="CZ27" s="925"/>
      <c r="DA27" s="925"/>
      <c r="DD27" s="981"/>
      <c r="DE27" s="925"/>
      <c r="DF27" s="981"/>
      <c r="DG27" s="925"/>
      <c r="DH27" s="925"/>
      <c r="DI27" s="925"/>
      <c r="DJ27" s="925"/>
      <c r="DK27" s="925"/>
      <c r="DL27" s="925"/>
      <c r="DM27" s="925"/>
      <c r="DN27" s="925"/>
      <c r="DO27" s="925"/>
      <c r="DP27" s="925"/>
      <c r="DQ27" s="925"/>
      <c r="DR27" s="981"/>
      <c r="DS27" s="981"/>
      <c r="DT27" s="981"/>
      <c r="DU27" s="981"/>
      <c r="DV27" s="981"/>
      <c r="DW27" s="981"/>
      <c r="DX27" s="981"/>
      <c r="DY27" s="925"/>
      <c r="DZ27" s="925"/>
      <c r="EA27" s="925"/>
      <c r="EB27" s="925"/>
      <c r="EC27" s="925"/>
      <c r="ED27" s="925"/>
      <c r="EE27" s="925"/>
      <c r="EF27" s="925"/>
      <c r="EG27" s="925"/>
      <c r="EH27" s="925"/>
      <c r="EI27" s="925"/>
      <c r="EJ27" s="925"/>
      <c r="EK27" s="925"/>
      <c r="EL27" s="925"/>
      <c r="EM27" s="925"/>
      <c r="EN27" s="925"/>
    </row>
    <row r="28" spans="1:144" ht="16.350000000000001" customHeight="1">
      <c r="A28" s="462"/>
      <c r="B28" s="994">
        <v>6</v>
      </c>
      <c r="C28" s="995"/>
      <c r="D28" s="996"/>
      <c r="E28" s="997"/>
      <c r="F28" s="961"/>
      <c r="G28" s="962"/>
      <c r="H28" s="962"/>
      <c r="I28" s="962"/>
      <c r="J28" s="962"/>
      <c r="K28" s="963"/>
      <c r="L28" s="961"/>
      <c r="M28" s="962"/>
      <c r="N28" s="962"/>
      <c r="O28" s="962"/>
      <c r="P28" s="962"/>
      <c r="Q28" s="963"/>
      <c r="R28" s="1044"/>
      <c r="S28" s="1044"/>
      <c r="T28" s="1044"/>
      <c r="U28" s="1044"/>
      <c r="V28" s="1044"/>
      <c r="W28" s="1044"/>
      <c r="X28" s="1045"/>
      <c r="Y28" s="1045"/>
      <c r="Z28" s="1045"/>
      <c r="AA28" s="1045"/>
      <c r="AB28" s="1045"/>
      <c r="AC28" s="1045"/>
      <c r="AD28" s="961"/>
      <c r="AE28" s="962"/>
      <c r="AF28" s="962"/>
      <c r="AG28" s="962"/>
      <c r="AH28" s="962"/>
      <c r="AI28" s="963"/>
      <c r="AJ28" s="949"/>
      <c r="AK28" s="950"/>
      <c r="AL28" s="951"/>
      <c r="AM28" s="949"/>
      <c r="AN28" s="950"/>
      <c r="AO28" s="951"/>
      <c r="AP28" s="955"/>
      <c r="AQ28" s="956"/>
      <c r="AR28" s="957"/>
      <c r="AS28" s="955"/>
      <c r="AT28" s="956"/>
      <c r="AU28" s="957"/>
      <c r="AV28" s="968"/>
      <c r="AW28" s="969"/>
      <c r="AX28" s="970"/>
      <c r="AY28" s="968"/>
      <c r="AZ28" s="969"/>
      <c r="BA28" s="970"/>
      <c r="BB28" s="945"/>
      <c r="BC28" s="946"/>
      <c r="BD28" s="945"/>
      <c r="BE28" s="946"/>
      <c r="BF28" s="929" t="str">
        <f t="shared" ref="BF28" si="109">IF(CB28="OK",ROUND(BB28+BD28,2),"")</f>
        <v/>
      </c>
      <c r="BG28" s="930"/>
      <c r="BH28" s="971" t="str">
        <f t="shared" ref="BH28" si="110">IFERROR(IF(AND($CB28="OK",$CU28="OK"),$CI28,IF($CB28&lt;&gt;"OK",$CB28,$CU28)),"")</f>
        <v/>
      </c>
      <c r="BI28" s="972"/>
      <c r="BJ28" s="973"/>
      <c r="BK28" s="933" t="str">
        <f t="shared" ref="BK28" si="111">IF($CB28="OK",CM28,"")</f>
        <v/>
      </c>
      <c r="BL28" s="934"/>
      <c r="BM28" s="935"/>
      <c r="BN28" s="939" t="str">
        <f t="shared" ref="BN28" si="112">IF($CB28="OK",$CR28,"")</f>
        <v/>
      </c>
      <c r="BO28" s="940"/>
      <c r="BP28" s="941"/>
      <c r="BQ28"/>
      <c r="BR28"/>
      <c r="BS28" s="967"/>
      <c r="BT28" s="967"/>
      <c r="BV28" s="926" t="str">
        <f t="shared" ref="BV28" si="113">IFERROR(ROUND(IF(AND(CB28="OK",CU28="OK"),CT28,""),0),"")</f>
        <v/>
      </c>
      <c r="BW28" s="926" t="str">
        <f t="shared" ref="BW28" si="114">IFERROR(ROUND(IF(AND(CB28="OK",CU28="OK"),BV28/3,""),0),"")</f>
        <v/>
      </c>
      <c r="BX28" s="926"/>
      <c r="BY28" s="927"/>
      <c r="BZ28" s="928"/>
      <c r="CB28" s="986" t="str">
        <f>IF(AND(C28="",F28="",R28="",AD28="",U28="",X28="",L28="",AJ28="",AV28="",AM28="",AP28="",AY28="",AV29="",BB28="",BD28="",AA28="",AS28=""),"",
IF(OR(C28="",F28="",R28="",AD28="",U28="",X28="",L28="",AJ28="",AV28="",AM28="",AP28="",AY28="",AV29="",BB28="",BD28="",AA28="",AS28=""),"Missing Fields",
IF(AND(M02S04F04disp="Required",M02S04F04=""),"TA Info Incomplete",
"OK")))</f>
        <v/>
      </c>
      <c r="CC28" s="925" t="str">
        <f>IF(AND(CB28="OK",CU28="OK"),INDEX(Tbl_Cust_Ag[Measure Number], MATCH(F28,Tbl_Cust_Ag[Proj Desc 1],0)),"")</f>
        <v/>
      </c>
      <c r="CD28" s="925"/>
      <c r="CE28" s="925" t="str">
        <f t="shared" ref="CE28" si="115">IF(CB28="OK","Measure","")</f>
        <v/>
      </c>
      <c r="CF28" s="925" t="str">
        <f t="shared" ref="CF28" si="116">IF(CB28="OK",1,"")</f>
        <v/>
      </c>
      <c r="CG28" s="978" t="str">
        <f t="shared" ref="CG28" si="117">IFERROR(CI28/CF28,"")</f>
        <v/>
      </c>
      <c r="CH28" s="978" t="str">
        <f>IF(CB28="OK", IF(F28="Agriculture Lighting", IF(CM28&gt;0, CM28*Lighting_Only_rate, 0) + IF(CO28&gt;0, CO28*Lighting_Only_rate, 0), IF(CM28&gt;0, CM28*Incent_Rate_kWh, 0) + IF(CO28&gt;0, CO28*Incent_Rate_thm, 0)), "")</f>
        <v/>
      </c>
      <c r="CI28" s="978" t="str">
        <f>IFERROR(IF($CB28="OK",IF(INCENTTOCOST_CUST&gt;CostCap_Cust,
CH28*CostCap_Cust/INCENTTOCOST_CUST,CH28),""),"")</f>
        <v/>
      </c>
      <c r="CJ28" s="977">
        <f t="shared" ref="CJ28" si="118">CM28</f>
        <v>0</v>
      </c>
      <c r="CK28" s="977">
        <f t="shared" ref="CK28" si="119">CN28</f>
        <v>0</v>
      </c>
      <c r="CL28" s="977">
        <f t="shared" ref="CL28" si="120">CO28</f>
        <v>0</v>
      </c>
      <c r="CM28" s="977">
        <f>R28-AJ28</f>
        <v>0</v>
      </c>
      <c r="CN28" s="977">
        <f>U28-AM28</f>
        <v>0</v>
      </c>
      <c r="CO28" s="977">
        <f t="shared" ref="CO28" si="121">IF(CR28&gt;0,CR28,0)</f>
        <v>0</v>
      </c>
      <c r="CP28" s="977">
        <f t="shared" ref="CP28" si="122">CM28</f>
        <v>0</v>
      </c>
      <c r="CQ28" s="977">
        <f t="shared" ref="CQ28" si="123">CN28</f>
        <v>0</v>
      </c>
      <c r="CR28" s="977">
        <f>X28-AP28</f>
        <v>0</v>
      </c>
      <c r="CS28" s="983"/>
      <c r="CT28" s="1056" t="str">
        <f>IF(CB28="OK",INDEX(Tbl_Cust_Ag[EUL], MATCH(F28,Tbl_Cust_Ag[Proj Desc 1],0)),"")</f>
        <v/>
      </c>
      <c r="CU28" s="979" t="str">
        <f t="shared" ref="CU28" si="124">IFERROR(IF(AND($CM28&lt;=0,$CN28&lt;=0,$CO28&lt;=0),"No Savings","OK"),"")</f>
        <v>No Savings</v>
      </c>
      <c r="CV28" s="925" t="str">
        <f t="shared" ref="CV28" si="125">IF(AND(CB28="OK",CU28="OK"),"1","")</f>
        <v/>
      </c>
      <c r="CW28" s="925" t="str">
        <f>IFERROR(IF($CB28="OK",ROUND($AQ$14*SUM(BB28:BE29)/SUM($BF$18:$BG$37),2),""),"")</f>
        <v/>
      </c>
      <c r="CX28" s="925" t="str">
        <f>IFERROR(IF(M02S04F04="Customer/Self-Installed",CW28,IF($CB28="OK",CW28+BD28,"")),"")</f>
        <v/>
      </c>
      <c r="CY28" s="925" t="str">
        <f>IFERROR(IF($CB28="OK",CX28+BB28,""),"")</f>
        <v/>
      </c>
      <c r="CZ28" s="925" t="str">
        <f>IF(CB28="OK",INDEX(MEASURES3_M!$O$40:$O$42, MATCH(F28,MEASURES3_M!$C$40:$C$42,0)),"")</f>
        <v/>
      </c>
      <c r="DA28" s="925" t="str">
        <f>IF(CB28="OK",INDEX(MEASURES3_M!$P$40:$P$42, MATCH(F28,MEASURES3_M!$C$40:$C$42,0)),"")</f>
        <v/>
      </c>
      <c r="DD28" s="980" t="str">
        <f>IFERROR(IF(CB28&lt;&gt;"OK","",CM28*VLOOKUP('DATA TABLES_Project'!$C$247,'DATA TABLES_Project'!$A$250:$B$285,2,FALSE)),"")</f>
        <v/>
      </c>
      <c r="DE28" s="925" t="str">
        <f t="shared" ref="DE28" si="126">IFERROR(IF(CB28&lt;&gt;"OK","",CM28*CZ28*0.92),"")</f>
        <v/>
      </c>
      <c r="DF28" s="980" t="str">
        <f>IFERROR(IF(CB28&lt;&gt;"OK","",CM28*CZ28*0.92*VLOOKUP('DATA TABLES_Project'!$C$247,'DATA TABLES_Project'!$A$250:$B$285,2,FALSE)),"")</f>
        <v/>
      </c>
      <c r="DG28" s="925" t="str">
        <f t="shared" ref="DG28" si="127">IFERROR(IF(CB28&lt;&gt;"OK","",CM28*BV28),IF(BX28="Dual",(CM28*BW28)+((BY28-AJ28)*(BV28-BW28)),""))</f>
        <v/>
      </c>
      <c r="DH28" s="925" t="str">
        <f ca="1">IFERROR(IF(CB28&lt;&gt;"OK","",IF(OR(BX28="Single",BX28=""), CM28*BV28*AVERAGE(INDEX('DATA TABLES_Project'!$B$250:$B$285, MATCH('DATA TABLES_Project'!$C$247,'DATA TABLES_Project'!$A$250:$A$285, 0)):OFFSET(INDEX('DATA TABLES_Project'!$B$250:$B$285, MATCH('DATA TABLES_Project'!$C$247,'DATA TABLES_Project'!$A$250:$A$285, 0)),BV28-1,0)),CM28*BW28*AVERAGE(INDEX('DATA TABLES_Project'!$B$250:$B$285, MATCH('DATA TABLES_Project'!$C$247,'DATA TABLES_Project'!$A$250:$A$285, 0)):OFFSET(INDEX('DATA TABLES_Project'!$B$250:$B$285, MATCH('DATA TABLES_Project'!$C$247,'DATA TABLES_Project'!$A$250:$A$285, 0)),BW28-1,0)) + ((BY28-AJ28)*(BV28-BW28)*AVERAGE(OFFSET(INDEX('DATA TABLES_Project'!$B$250:$B$285, MATCH('DATA TABLES_Project'!$C$247,'DATA TABLES_Project'!$A$250:$A$285, 0)),BW28,0):OFFSET(INDEX('DATA TABLES_Project'!$B$250:$B$285, MATCH('DATA TABLES_Project'!$C$247,'DATA TABLES_Project'!$A$250:$A$285, 0)),BV28-1,0))))), "")</f>
        <v/>
      </c>
      <c r="DI28" s="925" t="str">
        <f t="shared" ref="DI28" si="128">IFERROR(IF(CB28&lt;&gt;"OK","",IF(BX28="Dual",(CM28*BW28)+((BY28-AJ28)*(BV28-BW28))*CZ28*0.92,CM28*CZ28*BV28*0.92)),"")</f>
        <v/>
      </c>
      <c r="DJ28" s="925" t="str">
        <f ca="1">IFERROR(IF(CB28&lt;&gt;"OK","",IF(OR(BX28="Single",BX28=""),0.92*CZ28*CM28*BV28*AVERAGE(INDEX('DATA TABLES_Project'!$B$250:$B$285, MATCH('DATA TABLES_Project'!$C$247,'DATA TABLES_Project'!$A$250:$A$285, 0)):OFFSET(INDEX('DATA TABLES_Project'!$B$250:$B$285, MATCH('DATA TABLES_Project'!$C$247,'DATA TABLES_Project'!$A$250:$A$285, 0)),BV28-1,0)),0.92*CZ28*CM28*BW28*AVERAGE(INDEX('DATA TABLES_Project'!$B$250:$B$285, MATCH('DATA TABLES_Project'!$C$247,'DATA TABLES_Project'!$A$250:$A$285, 0)):OFFSET(INDEX('DATA TABLES_Project'!$B$250:$B$285, MATCH('DATA TABLES_Project'!$C$247,'DATA TABLES_Project'!$A$250:$A$285, 0)),BW28-1,0)) + (0.92*CZ28*(BY28-AJ28)*(BV28-BW28)*AVERAGE(OFFSET(INDEX('DATA TABLES_Project'!$B$250:$B$285, MATCH('DATA TABLES_Project'!$C$247,'DATA TABLES_Project'!$A$250:$A$285, 0)),BW28,0):OFFSET(INDEX('DATA TABLES_Project'!$B$250:$B$285, MATCH('DATA TABLES_Project'!$C$247,'DATA TABLES_Project'!$A$250:$A$285, 0)),BV28-1,0))))), "")</f>
        <v/>
      </c>
      <c r="DK28" s="925" t="str">
        <f>IFERROR(IF(CB28&lt;&gt;"OK","",CO28*'DATA TABLES_Project'!$C$250),"")</f>
        <v/>
      </c>
      <c r="DL28" s="925" t="str">
        <f t="shared" ref="DL28" si="129">IFERROR(IF(CB28&lt;&gt;"OK","",CO28*DA28*0.92),"")</f>
        <v/>
      </c>
      <c r="DM28" s="925" t="str">
        <f>IFERROR(IF(CB28&lt;&gt;"OK","",CO28*'DATA TABLES_Project'!$C$250*DA28*0.92),"")</f>
        <v/>
      </c>
      <c r="DN28" s="925" t="str">
        <f t="shared" ref="DN28" si="130">IFERROR(IF(CB28&lt;&gt;"OK","",CO28*BV28),IF(BX28="Dual",(CO28*BW28)+((BZ28-AP28)*(BV28-BW28)),""))</f>
        <v/>
      </c>
      <c r="DO28" s="925" t="str">
        <f ca="1">IFERROR(IF(CB28&lt;&gt;"OK","",CO28*BV28*AVERAGE('DATA TABLES_Project'!$C$250:OFFSET('DATA TABLES_Project'!$C$250,BV28,0))),IF(BX28="Dual",(CO28*BW28*AVERAGE('DATA TABLES_Project'!$C$251:$C$259))+((BZ28-AP28)*(BV28-BW28)*AVERAGE('DATA TABLES_Project'!$C$260:$C$279)),""))</f>
        <v/>
      </c>
      <c r="DP28" s="925" t="str">
        <f t="shared" ref="DP28" si="131">IFERROR(IF(CB28&lt;&gt;"OK","",IF(BX28="Dual",((CO28*BW28)+(BZ28-AP28)*(BV28-BW28))*DA28*0.92,CO28*BV28*DA28*0.92)),"")</f>
        <v/>
      </c>
      <c r="DQ28" s="925" t="str">
        <f ca="1">IFERROR(IF(CB28&lt;&gt;"OK","",IF(BX28="Dual",(0.92*DA28*CO28*BW28*AVERAGE('DATA TABLES_Project'!$C$251:$C$259))+(0.92*DA28*(BZ28-AP28)*(BV28-BW28)*AVERAGE('DATA TABLES_Project'!$C$260:$C$279)),0.92*DA28*CO28*BV28*AVERAGE('DATA TABLES_Project'!$C$250:OFFSET('DATA TABLES_Project'!$C$250,BV28,0)))),"")</f>
        <v/>
      </c>
      <c r="DR28" s="980" t="str">
        <f>IFERROR(IF($CB28&lt;&gt;"OK","",CM28*'DATA TABLES_Project'!$B$290+IF(CO28&lt;0,0,CO28*'DATA TABLES_Project'!$B$291)),"")</f>
        <v/>
      </c>
      <c r="DS28" s="980" t="str">
        <f>IFERROR(IF($CB28&lt;&gt;"OK","",DD28*'DATA TABLES_Project'!$B$290+IF(DK28&lt;0,0,DK28*'DATA TABLES_Project'!$B$291)),"")</f>
        <v/>
      </c>
      <c r="DT28" s="980" t="str">
        <f>IFERROR(IF($CB28&lt;&gt;"OK","",DE28*'DATA TABLES_Project'!$B$290+IF(DL28&lt;0,0,DL28*'DATA TABLES_Project'!$B$291)),"")</f>
        <v/>
      </c>
      <c r="DU28" s="980" t="str">
        <f>IFERROR(IF($CB28&lt;&gt;"OK","",DF28*'DATA TABLES_Project'!$B$290+IF(DM28&lt;0,0,DM28*'DATA TABLES_Project'!$B$291)),"")</f>
        <v/>
      </c>
      <c r="DV28" s="980" t="str">
        <f>IFERROR(IF($CB28&lt;&gt;"OK","",DG28*'DATA TABLES_Project'!$B$290+IF(DN28&lt;0,0,DN28*'DATA TABLES_Project'!$B$291)),"")</f>
        <v/>
      </c>
      <c r="DW28" s="980" t="str">
        <f>IFERROR(IF($CB28&lt;&gt;"OK","",DH28*'DATA TABLES_Project'!$B$290+IF(DO28&lt;0,0,DO28*'DATA TABLES_Project'!$B$291)),"")</f>
        <v/>
      </c>
      <c r="DX28" s="980" t="str">
        <f>IFERROR(IF($CB28&lt;&gt;"OK","",DI28*'DATA TABLES_Project'!$B$290+IF(DP28&lt;0,0,DP28*'DATA TABLES_Project'!$B$291)),"")</f>
        <v/>
      </c>
      <c r="DY28" s="925" t="str">
        <f>IFERROR(IF($CB28&lt;&gt;"OK","",DJ28*'DATA TABLES_Project'!$B$290+IF(DQ28&lt;0,0,DQ28*'DATA TABLES_Project'!$B$291)),"")</f>
        <v/>
      </c>
      <c r="DZ28" s="925" t="str">
        <f t="shared" ref="DZ28" si="132">IFERROR(IF($CB28&lt;&gt;"OK","",AS28),"")</f>
        <v/>
      </c>
      <c r="EA28" s="925" t="str">
        <f>IFERROR(IF(CB28&lt;&gt;"OK","",CN28*'DATA TABLES_Project'!$B$250*CZ28*1.03),"")</f>
        <v/>
      </c>
      <c r="EB28" s="925" t="str">
        <f t="shared" ref="EB28" si="133">IFERROR(IF(CB28&lt;&gt;"OK","",CN28*CZ28*1.03),"")</f>
        <v/>
      </c>
      <c r="EC28" s="925" t="str">
        <f>IFERROR(IF(CB28&lt;&gt;"OK","",CZ28*DZ28*'DATA TABLES_Project'!$C$250*0.92),"")</f>
        <v/>
      </c>
      <c r="ED28" s="925" t="str">
        <f>IFERROR(IF(CB28&lt;&gt;"OK","",CZ28*DZ28*'DATA TABLES_Project'!$C$250*0.92),"")</f>
        <v/>
      </c>
      <c r="EE28" s="925" t="str">
        <f t="shared" ref="EE28" si="134">IFERROR(IF(CB28&lt;&gt;"OK","",CZ28*DZ28*0.92),"")</f>
        <v/>
      </c>
      <c r="EF28" s="925" t="str">
        <f t="shared" ref="EF28" si="135">IFERROR(IF(CB28&lt;&gt;"OK","",CZ28*DZ28*0.92),"")</f>
        <v/>
      </c>
      <c r="EG28" s="925" t="str">
        <f>IFERROR(IF($CB28&lt;&gt;"OK","",CM28*'DATA TABLES_Project'!$B$290+CO28*'DATA TABLES_Project'!$B$291),"")</f>
        <v/>
      </c>
      <c r="EH28" s="925" t="str">
        <f>IFERROR(IF($CB28&lt;&gt;"OK","",DD28*'DATA TABLES_Project'!$B$290+DK28*'DATA TABLES_Project'!$B$291),"")</f>
        <v/>
      </c>
      <c r="EI28" s="925" t="str">
        <f>IFERROR(IF($CB28&lt;&gt;"OK","",DE28*'DATA TABLES_Project'!$B$290+DL28*'DATA TABLES_Project'!$B$291),"")</f>
        <v/>
      </c>
      <c r="EJ28" s="925" t="str">
        <f>IFERROR(IF($CB28&lt;&gt;"OK","",DF28*'DATA TABLES_Project'!$B$290+DM28*'DATA TABLES_Project'!$B$291),"")</f>
        <v/>
      </c>
      <c r="EK28" s="925" t="str">
        <f>IFERROR(IF($CB28&lt;&gt;"OK","",DG28*'DATA TABLES_Project'!$B$290+DN28*'DATA TABLES_Project'!$B$291),"")</f>
        <v/>
      </c>
      <c r="EL28" s="925" t="str">
        <f>IFERROR(IF($CB28&lt;&gt;"OK","",DH28*'DATA TABLES_Project'!$B$290+DO28*'DATA TABLES_Project'!$B$291),"")</f>
        <v/>
      </c>
      <c r="EM28" s="925" t="str">
        <f>IFERROR(IF($CB28&lt;&gt;"OK","",DI28*'DATA TABLES_Project'!$B$290+DP28*'DATA TABLES_Project'!$B$291),"")</f>
        <v/>
      </c>
      <c r="EN28" s="925" t="str">
        <f>IFERROR(IF($CB28&lt;&gt;"OK","",DJ28*'DATA TABLES_Project'!$B$290+DQ28*'DATA TABLES_Project'!$B$291),"")</f>
        <v/>
      </c>
    </row>
    <row r="29" spans="1:144" ht="16.350000000000001" customHeight="1">
      <c r="A29" s="462"/>
      <c r="B29" s="994"/>
      <c r="C29" s="998"/>
      <c r="D29" s="999"/>
      <c r="E29" s="1000"/>
      <c r="F29" s="964"/>
      <c r="G29" s="965"/>
      <c r="H29" s="965"/>
      <c r="I29" s="965"/>
      <c r="J29" s="965"/>
      <c r="K29" s="966"/>
      <c r="L29" s="964"/>
      <c r="M29" s="965"/>
      <c r="N29" s="965"/>
      <c r="O29" s="965"/>
      <c r="P29" s="965"/>
      <c r="Q29" s="966"/>
      <c r="R29" s="1044"/>
      <c r="S29" s="1044"/>
      <c r="T29" s="1044"/>
      <c r="U29" s="1044"/>
      <c r="V29" s="1044"/>
      <c r="W29" s="1044"/>
      <c r="X29" s="1045"/>
      <c r="Y29" s="1045"/>
      <c r="Z29" s="1045"/>
      <c r="AA29" s="1045"/>
      <c r="AB29" s="1045"/>
      <c r="AC29" s="1045"/>
      <c r="AD29" s="964"/>
      <c r="AE29" s="965"/>
      <c r="AF29" s="965"/>
      <c r="AG29" s="965"/>
      <c r="AH29" s="965"/>
      <c r="AI29" s="966"/>
      <c r="AJ29" s="952"/>
      <c r="AK29" s="953"/>
      <c r="AL29" s="954"/>
      <c r="AM29" s="952"/>
      <c r="AN29" s="953"/>
      <c r="AO29" s="954"/>
      <c r="AP29" s="958"/>
      <c r="AQ29" s="959"/>
      <c r="AR29" s="960"/>
      <c r="AS29" s="958"/>
      <c r="AT29" s="959"/>
      <c r="AU29" s="960"/>
      <c r="AV29" s="968"/>
      <c r="AW29" s="969"/>
      <c r="AX29" s="969"/>
      <c r="AY29" s="969"/>
      <c r="AZ29" s="969"/>
      <c r="BA29" s="970"/>
      <c r="BB29" s="947"/>
      <c r="BC29" s="948"/>
      <c r="BD29" s="947"/>
      <c r="BE29" s="948"/>
      <c r="BF29" s="931"/>
      <c r="BG29" s="932"/>
      <c r="BH29" s="974"/>
      <c r="BI29" s="975"/>
      <c r="BJ29" s="976"/>
      <c r="BK29" s="936"/>
      <c r="BL29" s="937"/>
      <c r="BM29" s="938"/>
      <c r="BN29" s="942"/>
      <c r="BO29" s="943"/>
      <c r="BP29" s="944"/>
      <c r="BQ29"/>
      <c r="BR29"/>
      <c r="BS29" s="967"/>
      <c r="BT29" s="967"/>
      <c r="BV29" s="926"/>
      <c r="BW29" s="926"/>
      <c r="BX29" s="926"/>
      <c r="BY29" s="927"/>
      <c r="BZ29" s="928"/>
      <c r="CB29" s="986"/>
      <c r="CC29" s="925"/>
      <c r="CD29" s="925"/>
      <c r="CE29" s="925"/>
      <c r="CF29" s="925"/>
      <c r="CG29" s="925"/>
      <c r="CH29" s="925"/>
      <c r="CI29" s="925"/>
      <c r="CJ29" s="977"/>
      <c r="CK29" s="977"/>
      <c r="CL29" s="977"/>
      <c r="CM29" s="977"/>
      <c r="CN29" s="977"/>
      <c r="CO29" s="977"/>
      <c r="CP29" s="977"/>
      <c r="CQ29" s="977"/>
      <c r="CR29" s="977"/>
      <c r="CS29" s="983"/>
      <c r="CT29" s="1056"/>
      <c r="CU29" s="979"/>
      <c r="CV29" s="925"/>
      <c r="CW29" s="925"/>
      <c r="CX29" s="925"/>
      <c r="CY29" s="925"/>
      <c r="CZ29" s="925"/>
      <c r="DA29" s="925"/>
      <c r="DD29" s="981"/>
      <c r="DE29" s="925"/>
      <c r="DF29" s="981"/>
      <c r="DG29" s="925"/>
      <c r="DH29" s="925"/>
      <c r="DI29" s="925"/>
      <c r="DJ29" s="925"/>
      <c r="DK29" s="925"/>
      <c r="DL29" s="925"/>
      <c r="DM29" s="925"/>
      <c r="DN29" s="925"/>
      <c r="DO29" s="925"/>
      <c r="DP29" s="925"/>
      <c r="DQ29" s="925"/>
      <c r="DR29" s="981"/>
      <c r="DS29" s="981"/>
      <c r="DT29" s="981"/>
      <c r="DU29" s="981"/>
      <c r="DV29" s="981"/>
      <c r="DW29" s="981"/>
      <c r="DX29" s="981"/>
      <c r="DY29" s="925"/>
      <c r="DZ29" s="925"/>
      <c r="EA29" s="925"/>
      <c r="EB29" s="925"/>
      <c r="EC29" s="925"/>
      <c r="ED29" s="925"/>
      <c r="EE29" s="925"/>
      <c r="EF29" s="925"/>
      <c r="EG29" s="925"/>
      <c r="EH29" s="925"/>
      <c r="EI29" s="925"/>
      <c r="EJ29" s="925"/>
      <c r="EK29" s="925"/>
      <c r="EL29" s="925"/>
      <c r="EM29" s="925"/>
      <c r="EN29" s="925"/>
    </row>
    <row r="30" spans="1:144" ht="16.350000000000001" customHeight="1">
      <c r="A30" s="462"/>
      <c r="B30" s="994">
        <v>7</v>
      </c>
      <c r="C30" s="995"/>
      <c r="D30" s="996"/>
      <c r="E30" s="997"/>
      <c r="F30" s="961"/>
      <c r="G30" s="962"/>
      <c r="H30" s="962"/>
      <c r="I30" s="962"/>
      <c r="J30" s="962"/>
      <c r="K30" s="963"/>
      <c r="L30" s="961"/>
      <c r="M30" s="962"/>
      <c r="N30" s="962"/>
      <c r="O30" s="962"/>
      <c r="P30" s="962"/>
      <c r="Q30" s="963"/>
      <c r="R30" s="1044"/>
      <c r="S30" s="1044"/>
      <c r="T30" s="1044"/>
      <c r="U30" s="1044"/>
      <c r="V30" s="1044"/>
      <c r="W30" s="1044"/>
      <c r="X30" s="1045"/>
      <c r="Y30" s="1045"/>
      <c r="Z30" s="1045"/>
      <c r="AA30" s="1045"/>
      <c r="AB30" s="1045"/>
      <c r="AC30" s="1045"/>
      <c r="AD30" s="961"/>
      <c r="AE30" s="962"/>
      <c r="AF30" s="962"/>
      <c r="AG30" s="962"/>
      <c r="AH30" s="962"/>
      <c r="AI30" s="963"/>
      <c r="AJ30" s="949"/>
      <c r="AK30" s="950"/>
      <c r="AL30" s="951"/>
      <c r="AM30" s="949"/>
      <c r="AN30" s="950"/>
      <c r="AO30" s="951"/>
      <c r="AP30" s="955"/>
      <c r="AQ30" s="956"/>
      <c r="AR30" s="957"/>
      <c r="AS30" s="955"/>
      <c r="AT30" s="956"/>
      <c r="AU30" s="957"/>
      <c r="AV30" s="968"/>
      <c r="AW30" s="969"/>
      <c r="AX30" s="970"/>
      <c r="AY30" s="968"/>
      <c r="AZ30" s="969"/>
      <c r="BA30" s="970"/>
      <c r="BB30" s="945"/>
      <c r="BC30" s="946"/>
      <c r="BD30" s="945"/>
      <c r="BE30" s="946"/>
      <c r="BF30" s="929" t="str">
        <f t="shared" ref="BF30" si="136">IF(CB30="OK",ROUND(BB30+BD30,2),"")</f>
        <v/>
      </c>
      <c r="BG30" s="930"/>
      <c r="BH30" s="971" t="str">
        <f t="shared" ref="BH30" si="137">IFERROR(IF(AND($CB30="OK",$CU30="OK"),$CI30,IF($CB30&lt;&gt;"OK",$CB30,$CU30)),"")</f>
        <v/>
      </c>
      <c r="BI30" s="972"/>
      <c r="BJ30" s="973"/>
      <c r="BK30" s="933" t="str">
        <f t="shared" ref="BK30" si="138">IF($CB30="OK",CM30,"")</f>
        <v/>
      </c>
      <c r="BL30" s="934"/>
      <c r="BM30" s="935"/>
      <c r="BN30" s="939" t="str">
        <f t="shared" ref="BN30" si="139">IF($CB30="OK",$CR30,"")</f>
        <v/>
      </c>
      <c r="BO30" s="940"/>
      <c r="BP30" s="941"/>
      <c r="BQ30"/>
      <c r="BR30"/>
      <c r="BS30" s="967"/>
      <c r="BT30" s="967"/>
      <c r="BV30" s="926" t="str">
        <f t="shared" ref="BV30" si="140">IFERROR(ROUND(IF(AND(CB30="OK",CU30="OK"),CT30,""),0),"")</f>
        <v/>
      </c>
      <c r="BW30" s="926" t="str">
        <f t="shared" ref="BW30" si="141">IFERROR(ROUND(IF(AND(CB30="OK",CU30="OK"),BV30/3,""),0),"")</f>
        <v/>
      </c>
      <c r="BX30" s="926"/>
      <c r="BY30" s="927"/>
      <c r="BZ30" s="928"/>
      <c r="CB30" s="986" t="str">
        <f>IF(AND(C30="",F30="",R30="",AD30="",U30="",X30="",L30="",AJ30="",AV30="",AM30="",AP30="",AY30="",AV31="",BB30="",BD30="",AA30="",AS30=""),"",
IF(OR(C30="",F30="",R30="",AD30="",U30="",X30="",L30="",AJ30="",AV30="",AM30="",AP30="",AY30="",AV31="",BB30="",BD30="",AA30="",AS30=""),"Missing Fields",
IF(AND(M02S04F04disp="Required",M02S04F04=""),"TA Info Incomplete",
"OK")))</f>
        <v/>
      </c>
      <c r="CC30" s="925" t="str">
        <f>IF(AND(CB30="OK",CU30="OK"),INDEX(Tbl_Cust_Ag[Measure Number], MATCH(F30,Tbl_Cust_Ag[Proj Desc 1],0)),"")</f>
        <v/>
      </c>
      <c r="CD30" s="925"/>
      <c r="CE30" s="925" t="str">
        <f t="shared" ref="CE30" si="142">IF(CB30="OK","Measure","")</f>
        <v/>
      </c>
      <c r="CF30" s="925" t="str">
        <f t="shared" ref="CF30" si="143">IF(CB30="OK",1,"")</f>
        <v/>
      </c>
      <c r="CG30" s="978" t="str">
        <f t="shared" ref="CG30" si="144">IFERROR(CI30/CF30,"")</f>
        <v/>
      </c>
      <c r="CH30" s="978" t="str">
        <f>IF(CB30="OK", IF(F30="Agriculture Lighting", IF(CM30&gt;0, CM30*Lighting_Only_rate, 0) + IF(CO30&gt;0, CO30*Lighting_Only_rate, 0), IF(CM30&gt;0, CM30*Incent_Rate_kWh, 0) + IF(CO30&gt;0, CO30*Incent_Rate_thm, 0)), "")</f>
        <v/>
      </c>
      <c r="CI30" s="978" t="str">
        <f>IFERROR(IF($CB30="OK",IF(INCENTTOCOST_CUST&gt;CostCap_Cust,
CH30*CostCap_Cust/INCENTTOCOST_CUST,CH30),""),"")</f>
        <v/>
      </c>
      <c r="CJ30" s="977">
        <f t="shared" ref="CJ30" si="145">CM30</f>
        <v>0</v>
      </c>
      <c r="CK30" s="977">
        <f t="shared" ref="CK30" si="146">CN30</f>
        <v>0</v>
      </c>
      <c r="CL30" s="977">
        <f t="shared" ref="CL30" si="147">CO30</f>
        <v>0</v>
      </c>
      <c r="CM30" s="977">
        <f>R30-AJ30</f>
        <v>0</v>
      </c>
      <c r="CN30" s="977">
        <f>U30-AM30</f>
        <v>0</v>
      </c>
      <c r="CO30" s="977">
        <f t="shared" ref="CO30" si="148">IF(CR30&gt;0,CR30,0)</f>
        <v>0</v>
      </c>
      <c r="CP30" s="977">
        <f t="shared" ref="CP30" si="149">CM30</f>
        <v>0</v>
      </c>
      <c r="CQ30" s="977">
        <f t="shared" ref="CQ30" si="150">CN30</f>
        <v>0</v>
      </c>
      <c r="CR30" s="977">
        <f>X30-AP30</f>
        <v>0</v>
      </c>
      <c r="CS30" s="983"/>
      <c r="CT30" s="1056" t="str">
        <f>IF(CB30="OK",INDEX(Tbl_Cust_Ag[EUL], MATCH(F30,Tbl_Cust_Ag[Proj Desc 1],0)),"")</f>
        <v/>
      </c>
      <c r="CU30" s="979" t="str">
        <f t="shared" ref="CU30" si="151">IFERROR(IF(AND($CM30&lt;=0,$CN30&lt;=0,$CO30&lt;=0),"No Savings","OK"),"")</f>
        <v>No Savings</v>
      </c>
      <c r="CV30" s="925" t="str">
        <f t="shared" ref="CV30" si="152">IF(AND(CB30="OK",CU30="OK"),"1","")</f>
        <v/>
      </c>
      <c r="CW30" s="925" t="str">
        <f>IFERROR(IF($CB30="OK",ROUND($AQ$14*SUM(BB30:BE31)/SUM($BF$18:$BG$37),2),""),"")</f>
        <v/>
      </c>
      <c r="CX30" s="925" t="str">
        <f>IFERROR(IF(M02S04F04="Customer/Self-Installed",CW30,IF($CB30="OK",CW30+BD30,"")),"")</f>
        <v/>
      </c>
      <c r="CY30" s="925" t="str">
        <f>IFERROR(IF($CB30="OK",CX30+BB30,""),"")</f>
        <v/>
      </c>
      <c r="CZ30" s="925" t="str">
        <f>IF(CB30="OK",INDEX(MEASURES3_M!$O$40:$O$42, MATCH(F30,MEASURES3_M!$C$40:$C$42,0)),"")</f>
        <v/>
      </c>
      <c r="DA30" s="925" t="str">
        <f>IF(CB30="OK",INDEX(MEASURES3_M!$P$40:$P$42, MATCH(F30,MEASURES3_M!$C$40:$C$42,0)),"")</f>
        <v/>
      </c>
      <c r="DD30" s="980" t="str">
        <f>IFERROR(IF(CB30&lt;&gt;"OK","",CM30*VLOOKUP('DATA TABLES_Project'!$C$247,'DATA TABLES_Project'!$A$250:$B$285,2,FALSE)),"")</f>
        <v/>
      </c>
      <c r="DE30" s="925" t="str">
        <f t="shared" ref="DE30" si="153">IFERROR(IF(CB30&lt;&gt;"OK","",CM30*CZ30*0.92),"")</f>
        <v/>
      </c>
      <c r="DF30" s="980" t="str">
        <f>IFERROR(IF(CB30&lt;&gt;"OK","",CM30*CZ30*0.92*VLOOKUP('DATA TABLES_Project'!$C$247,'DATA TABLES_Project'!$A$250:$B$285,2,FALSE)),"")</f>
        <v/>
      </c>
      <c r="DG30" s="925" t="str">
        <f t="shared" ref="DG30" si="154">IFERROR(IF(CB30&lt;&gt;"OK","",CM30*BV30),IF(BX30="Dual",(CM30*BW30)+((BY30-AJ30)*(BV30-BW30)),""))</f>
        <v/>
      </c>
      <c r="DH30" s="925" t="str">
        <f ca="1">IFERROR(IF(CB30&lt;&gt;"OK","",IF(OR(BX30="Single",BX30=""), CM30*BV30*AVERAGE(INDEX('DATA TABLES_Project'!$B$250:$B$285, MATCH('DATA TABLES_Project'!$C$247,'DATA TABLES_Project'!$A$250:$A$285, 0)):OFFSET(INDEX('DATA TABLES_Project'!$B$250:$B$285, MATCH('DATA TABLES_Project'!$C$247,'DATA TABLES_Project'!$A$250:$A$285, 0)),BV30-1,0)),CM30*BW30*AVERAGE(INDEX('DATA TABLES_Project'!$B$250:$B$285, MATCH('DATA TABLES_Project'!$C$247,'DATA TABLES_Project'!$A$250:$A$285, 0)):OFFSET(INDEX('DATA TABLES_Project'!$B$250:$B$285, MATCH('DATA TABLES_Project'!$C$247,'DATA TABLES_Project'!$A$250:$A$285, 0)),BW30-1,0)) + ((BY30-AJ30)*(BV30-BW30)*AVERAGE(OFFSET(INDEX('DATA TABLES_Project'!$B$250:$B$285, MATCH('DATA TABLES_Project'!$C$247,'DATA TABLES_Project'!$A$250:$A$285, 0)),BW30,0):OFFSET(INDEX('DATA TABLES_Project'!$B$250:$B$285, MATCH('DATA TABLES_Project'!$C$247,'DATA TABLES_Project'!$A$250:$A$285, 0)),BV30-1,0))))), "")</f>
        <v/>
      </c>
      <c r="DI30" s="925" t="str">
        <f t="shared" ref="DI30" si="155">IFERROR(IF(CB30&lt;&gt;"OK","",IF(BX30="Dual",(CM30*BW30)+((BY30-AJ30)*(BV30-BW30))*CZ30*0.92,CM30*CZ30*BV30*0.92)),"")</f>
        <v/>
      </c>
      <c r="DJ30" s="925" t="str">
        <f ca="1">IFERROR(IF(CB30&lt;&gt;"OK","",IF(OR(BX30="Single",BX30=""),0.92*CZ30*CM30*BV30*AVERAGE(INDEX('DATA TABLES_Project'!$B$250:$B$285, MATCH('DATA TABLES_Project'!$C$247,'DATA TABLES_Project'!$A$250:$A$285, 0)):OFFSET(INDEX('DATA TABLES_Project'!$B$250:$B$285, MATCH('DATA TABLES_Project'!$C$247,'DATA TABLES_Project'!$A$250:$A$285, 0)),BV30-1,0)),0.92*CZ30*CM30*BW30*AVERAGE(INDEX('DATA TABLES_Project'!$B$250:$B$285, MATCH('DATA TABLES_Project'!$C$247,'DATA TABLES_Project'!$A$250:$A$285, 0)):OFFSET(INDEX('DATA TABLES_Project'!$B$250:$B$285, MATCH('DATA TABLES_Project'!$C$247,'DATA TABLES_Project'!$A$250:$A$285, 0)),BW30-1,0)) + (0.92*CZ30*(BY30-AJ30)*(BV30-BW30)*AVERAGE(OFFSET(INDEX('DATA TABLES_Project'!$B$250:$B$285, MATCH('DATA TABLES_Project'!$C$247,'DATA TABLES_Project'!$A$250:$A$285, 0)),BW30,0):OFFSET(INDEX('DATA TABLES_Project'!$B$250:$B$285, MATCH('DATA TABLES_Project'!$C$247,'DATA TABLES_Project'!$A$250:$A$285, 0)),BV30-1,0))))), "")</f>
        <v/>
      </c>
      <c r="DK30" s="925" t="str">
        <f>IFERROR(IF(CB30&lt;&gt;"OK","",CO30*'DATA TABLES_Project'!$C$250),"")</f>
        <v/>
      </c>
      <c r="DL30" s="925" t="str">
        <f t="shared" ref="DL30" si="156">IFERROR(IF(CB30&lt;&gt;"OK","",CO30*DA30*0.92),"")</f>
        <v/>
      </c>
      <c r="DM30" s="925" t="str">
        <f>IFERROR(IF(CB30&lt;&gt;"OK","",CO30*'DATA TABLES_Project'!$C$250*DA30*0.92),"")</f>
        <v/>
      </c>
      <c r="DN30" s="925" t="str">
        <f t="shared" ref="DN30" si="157">IFERROR(IF(CB30&lt;&gt;"OK","",CO30*BV30),IF(BX30="Dual",(CO30*BW30)+((BZ30-AP30)*(BV30-BW30)),""))</f>
        <v/>
      </c>
      <c r="DO30" s="925" t="str">
        <f ca="1">IFERROR(IF(CB30&lt;&gt;"OK","",CO30*BV30*AVERAGE('DATA TABLES_Project'!$C$250:OFFSET('DATA TABLES_Project'!$C$250,BV30,0))),IF(BX30="Dual",(CO30*BW30*AVERAGE('DATA TABLES_Project'!$C$251:$C$259))+((BZ30-AP30)*(BV30-BW30)*AVERAGE('DATA TABLES_Project'!$C$260:$C$279)),""))</f>
        <v/>
      </c>
      <c r="DP30" s="925" t="str">
        <f t="shared" ref="DP30" si="158">IFERROR(IF(CB30&lt;&gt;"OK","",IF(BX30="Dual",((CO30*BW30)+(BZ30-AP30)*(BV30-BW30))*DA30*0.92,CO30*BV30*DA30*0.92)),"")</f>
        <v/>
      </c>
      <c r="DQ30" s="925" t="str">
        <f ca="1">IFERROR(IF(CB30&lt;&gt;"OK","",IF(BX30="Dual",(0.92*DA30*CO30*BW30*AVERAGE('DATA TABLES_Project'!$C$251:$C$259))+(0.92*DA30*(BZ30-AP30)*(BV30-BW30)*AVERAGE('DATA TABLES_Project'!$C$260:$C$279)),0.92*DA30*CO30*BV30*AVERAGE('DATA TABLES_Project'!$C$250:OFFSET('DATA TABLES_Project'!$C$250,BV30,0)))),"")</f>
        <v/>
      </c>
      <c r="DR30" s="980" t="str">
        <f>IFERROR(IF($CB30&lt;&gt;"OK","",CM30*'DATA TABLES_Project'!$B$290+IF(CO30&lt;0,0,CO30*'DATA TABLES_Project'!$B$291)),"")</f>
        <v/>
      </c>
      <c r="DS30" s="980" t="str">
        <f>IFERROR(IF($CB30&lt;&gt;"OK","",DD30*'DATA TABLES_Project'!$B$290+IF(DK30&lt;0,0,DK30*'DATA TABLES_Project'!$B$291)),"")</f>
        <v/>
      </c>
      <c r="DT30" s="980" t="str">
        <f>IFERROR(IF($CB30&lt;&gt;"OK","",DE30*'DATA TABLES_Project'!$B$290+IF(DL30&lt;0,0,DL30*'DATA TABLES_Project'!$B$291)),"")</f>
        <v/>
      </c>
      <c r="DU30" s="980" t="str">
        <f>IFERROR(IF($CB30&lt;&gt;"OK","",DF30*'DATA TABLES_Project'!$B$290+IF(DM30&lt;0,0,DM30*'DATA TABLES_Project'!$B$291)),"")</f>
        <v/>
      </c>
      <c r="DV30" s="980" t="str">
        <f>IFERROR(IF($CB30&lt;&gt;"OK","",DG30*'DATA TABLES_Project'!$B$290+IF(DN30&lt;0,0,DN30*'DATA TABLES_Project'!$B$291)),"")</f>
        <v/>
      </c>
      <c r="DW30" s="980" t="str">
        <f>IFERROR(IF($CB30&lt;&gt;"OK","",DH30*'DATA TABLES_Project'!$B$290+IF(DO30&lt;0,0,DO30*'DATA TABLES_Project'!$B$291)),"")</f>
        <v/>
      </c>
      <c r="DX30" s="980" t="str">
        <f>IFERROR(IF($CB30&lt;&gt;"OK","",DI30*'DATA TABLES_Project'!$B$290+IF(DP30&lt;0,0,DP30*'DATA TABLES_Project'!$B$291)),"")</f>
        <v/>
      </c>
      <c r="DY30" s="925" t="str">
        <f>IFERROR(IF($CB30&lt;&gt;"OK","",DJ30*'DATA TABLES_Project'!$B$290+IF(DQ30&lt;0,0,DQ30*'DATA TABLES_Project'!$B$291)),"")</f>
        <v/>
      </c>
      <c r="DZ30" s="925" t="str">
        <f t="shared" ref="DZ30" si="159">IFERROR(IF($CB30&lt;&gt;"OK","",AS30),"")</f>
        <v/>
      </c>
      <c r="EA30" s="925" t="str">
        <f>IFERROR(IF(CB30&lt;&gt;"OK","",CN30*'DATA TABLES_Project'!$B$250*CZ30*1.03),"")</f>
        <v/>
      </c>
      <c r="EB30" s="925" t="str">
        <f t="shared" ref="EB30" si="160">IFERROR(IF(CB30&lt;&gt;"OK","",CN30*CZ30*1.03),"")</f>
        <v/>
      </c>
      <c r="EC30" s="925" t="str">
        <f>IFERROR(IF(CB30&lt;&gt;"OK","",CZ30*DZ30*'DATA TABLES_Project'!$C$250*0.92),"")</f>
        <v/>
      </c>
      <c r="ED30" s="925" t="str">
        <f>IFERROR(IF(CB30&lt;&gt;"OK","",CZ30*DZ30*'DATA TABLES_Project'!$C$250*0.92),"")</f>
        <v/>
      </c>
      <c r="EE30" s="925" t="str">
        <f t="shared" ref="EE30" si="161">IFERROR(IF(CB30&lt;&gt;"OK","",CZ30*DZ30*0.92),"")</f>
        <v/>
      </c>
      <c r="EF30" s="925" t="str">
        <f t="shared" ref="EF30" si="162">IFERROR(IF(CB30&lt;&gt;"OK","",CZ30*DZ30*0.92),"")</f>
        <v/>
      </c>
      <c r="EG30" s="925" t="str">
        <f>IFERROR(IF($CB30&lt;&gt;"OK","",CM30*'DATA TABLES_Project'!$B$290+CO30*'DATA TABLES_Project'!$B$291),"")</f>
        <v/>
      </c>
      <c r="EH30" s="925" t="str">
        <f>IFERROR(IF($CB30&lt;&gt;"OK","",DD30*'DATA TABLES_Project'!$B$290+DK30*'DATA TABLES_Project'!$B$291),"")</f>
        <v/>
      </c>
      <c r="EI30" s="925" t="str">
        <f>IFERROR(IF($CB30&lt;&gt;"OK","",DE30*'DATA TABLES_Project'!$B$290+DL30*'DATA TABLES_Project'!$B$291),"")</f>
        <v/>
      </c>
      <c r="EJ30" s="925" t="str">
        <f>IFERROR(IF($CB30&lt;&gt;"OK","",DF30*'DATA TABLES_Project'!$B$290+DM30*'DATA TABLES_Project'!$B$291),"")</f>
        <v/>
      </c>
      <c r="EK30" s="925" t="str">
        <f>IFERROR(IF($CB30&lt;&gt;"OK","",DG30*'DATA TABLES_Project'!$B$290+DN30*'DATA TABLES_Project'!$B$291),"")</f>
        <v/>
      </c>
      <c r="EL30" s="925" t="str">
        <f>IFERROR(IF($CB30&lt;&gt;"OK","",DH30*'DATA TABLES_Project'!$B$290+DO30*'DATA TABLES_Project'!$B$291),"")</f>
        <v/>
      </c>
      <c r="EM30" s="925" t="str">
        <f>IFERROR(IF($CB30&lt;&gt;"OK","",DI30*'DATA TABLES_Project'!$B$290+DP30*'DATA TABLES_Project'!$B$291),"")</f>
        <v/>
      </c>
      <c r="EN30" s="925" t="str">
        <f>IFERROR(IF($CB30&lt;&gt;"OK","",DJ30*'DATA TABLES_Project'!$B$290+DQ30*'DATA TABLES_Project'!$B$291),"")</f>
        <v/>
      </c>
    </row>
    <row r="31" spans="1:144" ht="16.350000000000001" customHeight="1">
      <c r="A31" s="462"/>
      <c r="B31" s="994"/>
      <c r="C31" s="998"/>
      <c r="D31" s="999"/>
      <c r="E31" s="1000"/>
      <c r="F31" s="964"/>
      <c r="G31" s="965"/>
      <c r="H31" s="965"/>
      <c r="I31" s="965"/>
      <c r="J31" s="965"/>
      <c r="K31" s="966"/>
      <c r="L31" s="964"/>
      <c r="M31" s="965"/>
      <c r="N31" s="965"/>
      <c r="O31" s="965"/>
      <c r="P31" s="965"/>
      <c r="Q31" s="966"/>
      <c r="R31" s="1044"/>
      <c r="S31" s="1044"/>
      <c r="T31" s="1044"/>
      <c r="U31" s="1044"/>
      <c r="V31" s="1044"/>
      <c r="W31" s="1044"/>
      <c r="X31" s="1045"/>
      <c r="Y31" s="1045"/>
      <c r="Z31" s="1045"/>
      <c r="AA31" s="1045"/>
      <c r="AB31" s="1045"/>
      <c r="AC31" s="1045"/>
      <c r="AD31" s="964"/>
      <c r="AE31" s="965"/>
      <c r="AF31" s="965"/>
      <c r="AG31" s="965"/>
      <c r="AH31" s="965"/>
      <c r="AI31" s="966"/>
      <c r="AJ31" s="952"/>
      <c r="AK31" s="953"/>
      <c r="AL31" s="954"/>
      <c r="AM31" s="952"/>
      <c r="AN31" s="953"/>
      <c r="AO31" s="954"/>
      <c r="AP31" s="958"/>
      <c r="AQ31" s="959"/>
      <c r="AR31" s="960"/>
      <c r="AS31" s="958"/>
      <c r="AT31" s="959"/>
      <c r="AU31" s="960"/>
      <c r="AV31" s="968"/>
      <c r="AW31" s="969"/>
      <c r="AX31" s="969"/>
      <c r="AY31" s="969"/>
      <c r="AZ31" s="969"/>
      <c r="BA31" s="970"/>
      <c r="BB31" s="947"/>
      <c r="BC31" s="948"/>
      <c r="BD31" s="947"/>
      <c r="BE31" s="948"/>
      <c r="BF31" s="931"/>
      <c r="BG31" s="932"/>
      <c r="BH31" s="974"/>
      <c r="BI31" s="975"/>
      <c r="BJ31" s="976"/>
      <c r="BK31" s="936"/>
      <c r="BL31" s="937"/>
      <c r="BM31" s="938"/>
      <c r="BN31" s="942"/>
      <c r="BO31" s="943"/>
      <c r="BP31" s="944"/>
      <c r="BQ31"/>
      <c r="BR31"/>
      <c r="BS31" s="967"/>
      <c r="BT31" s="967"/>
      <c r="BV31" s="926"/>
      <c r="BW31" s="926"/>
      <c r="BX31" s="926"/>
      <c r="BY31" s="927"/>
      <c r="BZ31" s="928"/>
      <c r="CB31" s="986"/>
      <c r="CC31" s="925"/>
      <c r="CD31" s="925"/>
      <c r="CE31" s="925"/>
      <c r="CF31" s="925"/>
      <c r="CG31" s="925"/>
      <c r="CH31" s="925"/>
      <c r="CI31" s="925"/>
      <c r="CJ31" s="977"/>
      <c r="CK31" s="977"/>
      <c r="CL31" s="977"/>
      <c r="CM31" s="977"/>
      <c r="CN31" s="977"/>
      <c r="CO31" s="977"/>
      <c r="CP31" s="977"/>
      <c r="CQ31" s="977"/>
      <c r="CR31" s="977"/>
      <c r="CS31" s="983"/>
      <c r="CT31" s="1056"/>
      <c r="CU31" s="979"/>
      <c r="CV31" s="925"/>
      <c r="CW31" s="925"/>
      <c r="CX31" s="925"/>
      <c r="CY31" s="925"/>
      <c r="CZ31" s="925"/>
      <c r="DA31" s="925"/>
      <c r="DD31" s="981"/>
      <c r="DE31" s="925"/>
      <c r="DF31" s="981"/>
      <c r="DG31" s="925"/>
      <c r="DH31" s="925"/>
      <c r="DI31" s="925"/>
      <c r="DJ31" s="925"/>
      <c r="DK31" s="925"/>
      <c r="DL31" s="925"/>
      <c r="DM31" s="925"/>
      <c r="DN31" s="925"/>
      <c r="DO31" s="925"/>
      <c r="DP31" s="925"/>
      <c r="DQ31" s="925"/>
      <c r="DR31" s="981"/>
      <c r="DS31" s="981"/>
      <c r="DT31" s="981"/>
      <c r="DU31" s="981"/>
      <c r="DV31" s="981"/>
      <c r="DW31" s="981"/>
      <c r="DX31" s="981"/>
      <c r="DY31" s="925"/>
      <c r="DZ31" s="925"/>
      <c r="EA31" s="925"/>
      <c r="EB31" s="925"/>
      <c r="EC31" s="925"/>
      <c r="ED31" s="925"/>
      <c r="EE31" s="925"/>
      <c r="EF31" s="925"/>
      <c r="EG31" s="925"/>
      <c r="EH31" s="925"/>
      <c r="EI31" s="925"/>
      <c r="EJ31" s="925"/>
      <c r="EK31" s="925"/>
      <c r="EL31" s="925"/>
      <c r="EM31" s="925"/>
      <c r="EN31" s="925"/>
    </row>
    <row r="32" spans="1:144" ht="16.350000000000001" customHeight="1">
      <c r="A32" s="462"/>
      <c r="B32" s="994">
        <v>8</v>
      </c>
      <c r="C32" s="995"/>
      <c r="D32" s="996"/>
      <c r="E32" s="997"/>
      <c r="F32" s="961"/>
      <c r="G32" s="962"/>
      <c r="H32" s="962"/>
      <c r="I32" s="962"/>
      <c r="J32" s="962"/>
      <c r="K32" s="963"/>
      <c r="L32" s="961"/>
      <c r="M32" s="962"/>
      <c r="N32" s="962"/>
      <c r="O32" s="962"/>
      <c r="P32" s="962"/>
      <c r="Q32" s="963"/>
      <c r="R32" s="1044"/>
      <c r="S32" s="1044"/>
      <c r="T32" s="1044"/>
      <c r="U32" s="1044"/>
      <c r="V32" s="1044"/>
      <c r="W32" s="1044"/>
      <c r="X32" s="1045"/>
      <c r="Y32" s="1045"/>
      <c r="Z32" s="1045"/>
      <c r="AA32" s="1045"/>
      <c r="AB32" s="1045"/>
      <c r="AC32" s="1045"/>
      <c r="AD32" s="961"/>
      <c r="AE32" s="962"/>
      <c r="AF32" s="962"/>
      <c r="AG32" s="962"/>
      <c r="AH32" s="962"/>
      <c r="AI32" s="963"/>
      <c r="AJ32" s="949"/>
      <c r="AK32" s="950"/>
      <c r="AL32" s="951"/>
      <c r="AM32" s="949"/>
      <c r="AN32" s="950"/>
      <c r="AO32" s="951"/>
      <c r="AP32" s="955"/>
      <c r="AQ32" s="956"/>
      <c r="AR32" s="957"/>
      <c r="AS32" s="955"/>
      <c r="AT32" s="956"/>
      <c r="AU32" s="957"/>
      <c r="AV32" s="968"/>
      <c r="AW32" s="969"/>
      <c r="AX32" s="970"/>
      <c r="AY32" s="968"/>
      <c r="AZ32" s="969"/>
      <c r="BA32" s="970"/>
      <c r="BB32" s="945"/>
      <c r="BC32" s="946"/>
      <c r="BD32" s="945"/>
      <c r="BE32" s="946"/>
      <c r="BF32" s="929" t="str">
        <f t="shared" ref="BF32" si="163">IF(CB32="OK",ROUND(BB32+BD32,2),"")</f>
        <v/>
      </c>
      <c r="BG32" s="930"/>
      <c r="BH32" s="971" t="str">
        <f t="shared" ref="BH32" si="164">IFERROR(IF(AND($CB32="OK",$CU32="OK"),$CI32,IF($CB32&lt;&gt;"OK",$CB32,$CU32)),"")</f>
        <v/>
      </c>
      <c r="BI32" s="972"/>
      <c r="BJ32" s="973"/>
      <c r="BK32" s="933" t="str">
        <f t="shared" ref="BK32" si="165">IF($CB32="OK",CM32,"")</f>
        <v/>
      </c>
      <c r="BL32" s="934"/>
      <c r="BM32" s="935"/>
      <c r="BN32" s="939" t="str">
        <f t="shared" ref="BN32" si="166">IF($CB32="OK",$CR32,"")</f>
        <v/>
      </c>
      <c r="BO32" s="940"/>
      <c r="BP32" s="941"/>
      <c r="BQ32"/>
      <c r="BR32"/>
      <c r="BS32" s="967"/>
      <c r="BT32" s="967"/>
      <c r="BV32" s="926" t="str">
        <f t="shared" ref="BV32" si="167">IFERROR(ROUND(IF(AND(CB32="OK",CU32="OK"),CT32,""),0),"")</f>
        <v/>
      </c>
      <c r="BW32" s="926" t="str">
        <f t="shared" ref="BW32" si="168">IFERROR(ROUND(IF(AND(CB32="OK",CU32="OK"),BV32/3,""),0),"")</f>
        <v/>
      </c>
      <c r="BX32" s="926"/>
      <c r="BY32" s="927"/>
      <c r="BZ32" s="928"/>
      <c r="CB32" s="986" t="str">
        <f>IF(AND(C32="",F32="",R32="",AD32="",U32="",X32="",L32="",AJ32="",AV32="",AM32="",AP32="",AY32="",AV33="",BB32="",BD32="",AA32="",AS32=""),"",
IF(OR(C32="",F32="",R32="",AD32="",U32="",X32="",L32="",AJ32="",AV32="",AM32="",AP32="",AY32="",AV33="",BB32="",BD32="",AA32="",AS32=""),"Missing Fields",
IF(AND(M02S04F04disp="Required",M02S04F04=""),"TA Info Incomplete",
"OK")))</f>
        <v/>
      </c>
      <c r="CC32" s="925" t="str">
        <f>IF(AND(CB32="OK",CU32="OK"),INDEX(Tbl_Cust_Ag[Measure Number], MATCH(F32,Tbl_Cust_Ag[Proj Desc 1],0)),"")</f>
        <v/>
      </c>
      <c r="CD32" s="925"/>
      <c r="CE32" s="925" t="str">
        <f t="shared" ref="CE32" si="169">IF(CB32="OK","Measure","")</f>
        <v/>
      </c>
      <c r="CF32" s="925" t="str">
        <f t="shared" ref="CF32" si="170">IF(CB32="OK",1,"")</f>
        <v/>
      </c>
      <c r="CG32" s="978" t="str">
        <f t="shared" ref="CG32" si="171">IFERROR(CI32/CF32,"")</f>
        <v/>
      </c>
      <c r="CH32" s="978" t="str">
        <f>IF(CB32="OK", IF(F32="Agriculture Lighting", IF(CM32&gt;0, CM32*Lighting_Only_rate, 0) + IF(CO32&gt;0, CO32*Lighting_Only_rate, 0), IF(CM32&gt;0, CM32*Incent_Rate_kWh, 0) + IF(CO32&gt;0, CO32*Incent_Rate_thm, 0)), "")</f>
        <v/>
      </c>
      <c r="CI32" s="978" t="str">
        <f>IFERROR(IF($CB32="OK",IF(INCENTTOCOST_CUST&gt;CostCap_Cust,
CH32*CostCap_Cust/INCENTTOCOST_CUST,CH32),""),"")</f>
        <v/>
      </c>
      <c r="CJ32" s="977">
        <f t="shared" ref="CJ32" si="172">CM32</f>
        <v>0</v>
      </c>
      <c r="CK32" s="977">
        <f t="shared" ref="CK32" si="173">CN32</f>
        <v>0</v>
      </c>
      <c r="CL32" s="977">
        <f t="shared" ref="CL32" si="174">CO32</f>
        <v>0</v>
      </c>
      <c r="CM32" s="977">
        <f>R32-AJ32</f>
        <v>0</v>
      </c>
      <c r="CN32" s="977">
        <f>U32-AM32</f>
        <v>0</v>
      </c>
      <c r="CO32" s="977">
        <f t="shared" ref="CO32" si="175">IF(CR32&gt;0,CR32,0)</f>
        <v>0</v>
      </c>
      <c r="CP32" s="977">
        <f t="shared" ref="CP32" si="176">CM32</f>
        <v>0</v>
      </c>
      <c r="CQ32" s="977">
        <f t="shared" ref="CQ32" si="177">CN32</f>
        <v>0</v>
      </c>
      <c r="CR32" s="977">
        <f>X32-AP32</f>
        <v>0</v>
      </c>
      <c r="CS32" s="983"/>
      <c r="CT32" s="1056" t="str">
        <f>IF(CB32="OK",INDEX(Tbl_Cust_Ag[EUL], MATCH(F32,Tbl_Cust_Ag[Proj Desc 1],0)),"")</f>
        <v/>
      </c>
      <c r="CU32" s="979" t="str">
        <f t="shared" ref="CU32" si="178">IFERROR(IF(AND($CM32&lt;=0,$CN32&lt;=0,$CO32&lt;=0),"No Savings","OK"),"")</f>
        <v>No Savings</v>
      </c>
      <c r="CV32" s="925" t="str">
        <f t="shared" ref="CV32" si="179">IF(AND(CB32="OK",CU32="OK"),"1","")</f>
        <v/>
      </c>
      <c r="CW32" s="925" t="str">
        <f>IFERROR(IF($CB32="OK",ROUND($AQ$14*SUM(BB32:BE33)/SUM($BF$18:$BG$37),2),""),"")</f>
        <v/>
      </c>
      <c r="CX32" s="925" t="str">
        <f>IFERROR(IF(M02S04F04="Customer/Self-Installed",CW32,IF($CB32="OK",CW32+BD32,"")),"")</f>
        <v/>
      </c>
      <c r="CY32" s="925" t="str">
        <f>IFERROR(IF($CB32="OK",CX32+BB32,""),"")</f>
        <v/>
      </c>
      <c r="CZ32" s="925" t="str">
        <f>IF(CB32="OK",INDEX(MEASURES3_M!$O$40:$O$42, MATCH(F32,MEASURES3_M!$C$40:$C$42,0)),"")</f>
        <v/>
      </c>
      <c r="DA32" s="925" t="str">
        <f>IF(CB32="OK",INDEX(MEASURES3_M!$P$40:$P$42, MATCH(F32,MEASURES3_M!$C$40:$C$42,0)),"")</f>
        <v/>
      </c>
      <c r="DD32" s="980" t="str">
        <f>IFERROR(IF(CB32&lt;&gt;"OK","",CM32*VLOOKUP('DATA TABLES_Project'!$C$247,'DATA TABLES_Project'!$A$250:$B$285,2,FALSE)),"")</f>
        <v/>
      </c>
      <c r="DE32" s="925" t="str">
        <f t="shared" ref="DE32" si="180">IFERROR(IF(CB32&lt;&gt;"OK","",CM32*CZ32*0.92),"")</f>
        <v/>
      </c>
      <c r="DF32" s="980" t="str">
        <f>IFERROR(IF(CB32&lt;&gt;"OK","",CM32*CZ32*0.92*VLOOKUP('DATA TABLES_Project'!$C$247,'DATA TABLES_Project'!$A$250:$B$285,2,FALSE)),"")</f>
        <v/>
      </c>
      <c r="DG32" s="925" t="str">
        <f t="shared" ref="DG32" si="181">IFERROR(IF(CB32&lt;&gt;"OK","",CM32*BV32),IF(BX32="Dual",(CM32*BW32)+((BY32-AJ32)*(BV32-BW32)),""))</f>
        <v/>
      </c>
      <c r="DH32" s="925" t="str">
        <f ca="1">IFERROR(IF(CB32&lt;&gt;"OK","",IF(OR(BX32="Single",BX32=""), CM32*BV32*AVERAGE(INDEX('DATA TABLES_Project'!$B$250:$B$285, MATCH('DATA TABLES_Project'!$C$247,'DATA TABLES_Project'!$A$250:$A$285, 0)):OFFSET(INDEX('DATA TABLES_Project'!$B$250:$B$285, MATCH('DATA TABLES_Project'!$C$247,'DATA TABLES_Project'!$A$250:$A$285, 0)),BV32-1,0)),CM32*BW32*AVERAGE(INDEX('DATA TABLES_Project'!$B$250:$B$285, MATCH('DATA TABLES_Project'!$C$247,'DATA TABLES_Project'!$A$250:$A$285, 0)):OFFSET(INDEX('DATA TABLES_Project'!$B$250:$B$285, MATCH('DATA TABLES_Project'!$C$247,'DATA TABLES_Project'!$A$250:$A$285, 0)),BW32-1,0)) + ((BY32-AJ32)*(BV32-BW32)*AVERAGE(OFFSET(INDEX('DATA TABLES_Project'!$B$250:$B$285, MATCH('DATA TABLES_Project'!$C$247,'DATA TABLES_Project'!$A$250:$A$285, 0)),BW32,0):OFFSET(INDEX('DATA TABLES_Project'!$B$250:$B$285, MATCH('DATA TABLES_Project'!$C$247,'DATA TABLES_Project'!$A$250:$A$285, 0)),BV32-1,0))))), "")</f>
        <v/>
      </c>
      <c r="DI32" s="925" t="str">
        <f t="shared" ref="DI32" si="182">IFERROR(IF(CB32&lt;&gt;"OK","",IF(BX32="Dual",(CM32*BW32)+((BY32-AJ32)*(BV32-BW32))*CZ32*0.92,CM32*CZ32*BV32*0.92)),"")</f>
        <v/>
      </c>
      <c r="DJ32" s="925" t="str">
        <f ca="1">IFERROR(IF(CB32&lt;&gt;"OK","",IF(OR(BX32="Single",BX32=""),0.92*CZ32*CM32*BV32*AVERAGE(INDEX('DATA TABLES_Project'!$B$250:$B$285, MATCH('DATA TABLES_Project'!$C$247,'DATA TABLES_Project'!$A$250:$A$285, 0)):OFFSET(INDEX('DATA TABLES_Project'!$B$250:$B$285, MATCH('DATA TABLES_Project'!$C$247,'DATA TABLES_Project'!$A$250:$A$285, 0)),BV32-1,0)),0.92*CZ32*CM32*BW32*AVERAGE(INDEX('DATA TABLES_Project'!$B$250:$B$285, MATCH('DATA TABLES_Project'!$C$247,'DATA TABLES_Project'!$A$250:$A$285, 0)):OFFSET(INDEX('DATA TABLES_Project'!$B$250:$B$285, MATCH('DATA TABLES_Project'!$C$247,'DATA TABLES_Project'!$A$250:$A$285, 0)),BW32-1,0)) + (0.92*CZ32*(BY32-AJ32)*(BV32-BW32)*AVERAGE(OFFSET(INDEX('DATA TABLES_Project'!$B$250:$B$285, MATCH('DATA TABLES_Project'!$C$247,'DATA TABLES_Project'!$A$250:$A$285, 0)),BW32,0):OFFSET(INDEX('DATA TABLES_Project'!$B$250:$B$285, MATCH('DATA TABLES_Project'!$C$247,'DATA TABLES_Project'!$A$250:$A$285, 0)),BV32-1,0))))), "")</f>
        <v/>
      </c>
      <c r="DK32" s="925" t="str">
        <f>IFERROR(IF(CB32&lt;&gt;"OK","",CO32*'DATA TABLES_Project'!$C$250),"")</f>
        <v/>
      </c>
      <c r="DL32" s="925" t="str">
        <f t="shared" ref="DL32" si="183">IFERROR(IF(CB32&lt;&gt;"OK","",CO32*DA32*0.92),"")</f>
        <v/>
      </c>
      <c r="DM32" s="925" t="str">
        <f>IFERROR(IF(CB32&lt;&gt;"OK","",CO32*'DATA TABLES_Project'!$C$250*DA32*0.92),"")</f>
        <v/>
      </c>
      <c r="DN32" s="925" t="str">
        <f t="shared" ref="DN32" si="184">IFERROR(IF(CB32&lt;&gt;"OK","",CO32*BV32),IF(BX32="Dual",(CO32*BW32)+((BZ32-AP32)*(BV32-BW32)),""))</f>
        <v/>
      </c>
      <c r="DO32" s="925" t="str">
        <f ca="1">IFERROR(IF(CB32&lt;&gt;"OK","",CO32*BV32*AVERAGE('DATA TABLES_Project'!$C$250:OFFSET('DATA TABLES_Project'!$C$250,BV32,0))),IF(BX32="Dual",(CO32*BW32*AVERAGE('DATA TABLES_Project'!$C$251:$C$259))+((BZ32-AP32)*(BV32-BW32)*AVERAGE('DATA TABLES_Project'!$C$260:$C$279)),""))</f>
        <v/>
      </c>
      <c r="DP32" s="925" t="str">
        <f t="shared" ref="DP32" si="185">IFERROR(IF(CB32&lt;&gt;"OK","",IF(BX32="Dual",((CO32*BW32)+(BZ32-AP32)*(BV32-BW32))*DA32*0.92,CO32*BV32*DA32*0.92)),"")</f>
        <v/>
      </c>
      <c r="DQ32" s="925" t="str">
        <f ca="1">IFERROR(IF(CB32&lt;&gt;"OK","",IF(BX32="Dual",(0.92*DA32*CO32*BW32*AVERAGE('DATA TABLES_Project'!$C$251:$C$259))+(0.92*DA32*(BZ32-AP32)*(BV32-BW32)*AVERAGE('DATA TABLES_Project'!$C$260:$C$279)),0.92*DA32*CO32*BV32*AVERAGE('DATA TABLES_Project'!$C$250:OFFSET('DATA TABLES_Project'!$C$250,BV32,0)))),"")</f>
        <v/>
      </c>
      <c r="DR32" s="980" t="str">
        <f>IFERROR(IF($CB32&lt;&gt;"OK","",CM32*'DATA TABLES_Project'!$B$290+IF(CO32&lt;0,0,CO32*'DATA TABLES_Project'!$B$291)),"")</f>
        <v/>
      </c>
      <c r="DS32" s="980" t="str">
        <f>IFERROR(IF($CB32&lt;&gt;"OK","",DD32*'DATA TABLES_Project'!$B$290+IF(DK32&lt;0,0,DK32*'DATA TABLES_Project'!$B$291)),"")</f>
        <v/>
      </c>
      <c r="DT32" s="980" t="str">
        <f>IFERROR(IF($CB32&lt;&gt;"OK","",DE32*'DATA TABLES_Project'!$B$290+IF(DL32&lt;0,0,DL32*'DATA TABLES_Project'!$B$291)),"")</f>
        <v/>
      </c>
      <c r="DU32" s="980" t="str">
        <f>IFERROR(IF($CB32&lt;&gt;"OK","",DF32*'DATA TABLES_Project'!$B$290+IF(DM32&lt;0,0,DM32*'DATA TABLES_Project'!$B$291)),"")</f>
        <v/>
      </c>
      <c r="DV32" s="980" t="str">
        <f>IFERROR(IF($CB32&lt;&gt;"OK","",DG32*'DATA TABLES_Project'!$B$290+IF(DN32&lt;0,0,DN32*'DATA TABLES_Project'!$B$291)),"")</f>
        <v/>
      </c>
      <c r="DW32" s="980" t="str">
        <f>IFERROR(IF($CB32&lt;&gt;"OK","",DH32*'DATA TABLES_Project'!$B$290+IF(DO32&lt;0,0,DO32*'DATA TABLES_Project'!$B$291)),"")</f>
        <v/>
      </c>
      <c r="DX32" s="980" t="str">
        <f>IFERROR(IF($CB32&lt;&gt;"OK","",DI32*'DATA TABLES_Project'!$B$290+IF(DP32&lt;0,0,DP32*'DATA TABLES_Project'!$B$291)),"")</f>
        <v/>
      </c>
      <c r="DY32" s="925" t="str">
        <f>IFERROR(IF($CB32&lt;&gt;"OK","",DJ32*'DATA TABLES_Project'!$B$290+IF(DQ32&lt;0,0,DQ32*'DATA TABLES_Project'!$B$291)),"")</f>
        <v/>
      </c>
      <c r="DZ32" s="925" t="str">
        <f t="shared" ref="DZ32" si="186">IFERROR(IF($CB32&lt;&gt;"OK","",AS32),"")</f>
        <v/>
      </c>
      <c r="EA32" s="925" t="str">
        <f>IFERROR(IF(CB32&lt;&gt;"OK","",CN32*'DATA TABLES_Project'!$B$250*CZ32*1.03),"")</f>
        <v/>
      </c>
      <c r="EB32" s="925" t="str">
        <f t="shared" ref="EB32" si="187">IFERROR(IF(CB32&lt;&gt;"OK","",CN32*CZ32*1.03),"")</f>
        <v/>
      </c>
      <c r="EC32" s="925" t="str">
        <f>IFERROR(IF(CB32&lt;&gt;"OK","",CZ32*DZ32*'DATA TABLES_Project'!$C$250*0.92),"")</f>
        <v/>
      </c>
      <c r="ED32" s="925" t="str">
        <f>IFERROR(IF(CB32&lt;&gt;"OK","",CZ32*DZ32*'DATA TABLES_Project'!$C$250*0.92),"")</f>
        <v/>
      </c>
      <c r="EE32" s="925" t="str">
        <f t="shared" ref="EE32" si="188">IFERROR(IF(CB32&lt;&gt;"OK","",CZ32*DZ32*0.92),"")</f>
        <v/>
      </c>
      <c r="EF32" s="925" t="str">
        <f t="shared" ref="EF32" si="189">IFERROR(IF(CB32&lt;&gt;"OK","",CZ32*DZ32*0.92),"")</f>
        <v/>
      </c>
      <c r="EG32" s="925" t="str">
        <f>IFERROR(IF($CB32&lt;&gt;"OK","",CM32*'DATA TABLES_Project'!$B$290+CO32*'DATA TABLES_Project'!$B$291),"")</f>
        <v/>
      </c>
      <c r="EH32" s="925" t="str">
        <f>IFERROR(IF($CB32&lt;&gt;"OK","",DD32*'DATA TABLES_Project'!$B$290+DK32*'DATA TABLES_Project'!$B$291),"")</f>
        <v/>
      </c>
      <c r="EI32" s="925" t="str">
        <f>IFERROR(IF($CB32&lt;&gt;"OK","",DE32*'DATA TABLES_Project'!$B$290+DL32*'DATA TABLES_Project'!$B$291),"")</f>
        <v/>
      </c>
      <c r="EJ32" s="925" t="str">
        <f>IFERROR(IF($CB32&lt;&gt;"OK","",DF32*'DATA TABLES_Project'!$B$290+DM32*'DATA TABLES_Project'!$B$291),"")</f>
        <v/>
      </c>
      <c r="EK32" s="925" t="str">
        <f>IFERROR(IF($CB32&lt;&gt;"OK","",DG32*'DATA TABLES_Project'!$B$290+DN32*'DATA TABLES_Project'!$B$291),"")</f>
        <v/>
      </c>
      <c r="EL32" s="925" t="str">
        <f>IFERROR(IF($CB32&lt;&gt;"OK","",DH32*'DATA TABLES_Project'!$B$290+DO32*'DATA TABLES_Project'!$B$291),"")</f>
        <v/>
      </c>
      <c r="EM32" s="925" t="str">
        <f>IFERROR(IF($CB32&lt;&gt;"OK","",DI32*'DATA TABLES_Project'!$B$290+DP32*'DATA TABLES_Project'!$B$291),"")</f>
        <v/>
      </c>
      <c r="EN32" s="925" t="str">
        <f>IFERROR(IF($CB32&lt;&gt;"OK","",DJ32*'DATA TABLES_Project'!$B$290+DQ32*'DATA TABLES_Project'!$B$291),"")</f>
        <v/>
      </c>
    </row>
    <row r="33" spans="1:144" ht="16.350000000000001" customHeight="1">
      <c r="A33" s="462"/>
      <c r="B33" s="994"/>
      <c r="C33" s="998"/>
      <c r="D33" s="999"/>
      <c r="E33" s="1000"/>
      <c r="F33" s="964"/>
      <c r="G33" s="965"/>
      <c r="H33" s="965"/>
      <c r="I33" s="965"/>
      <c r="J33" s="965"/>
      <c r="K33" s="966"/>
      <c r="L33" s="964"/>
      <c r="M33" s="965"/>
      <c r="N33" s="965"/>
      <c r="O33" s="965"/>
      <c r="P33" s="965"/>
      <c r="Q33" s="966"/>
      <c r="R33" s="1044"/>
      <c r="S33" s="1044"/>
      <c r="T33" s="1044"/>
      <c r="U33" s="1044"/>
      <c r="V33" s="1044"/>
      <c r="W33" s="1044"/>
      <c r="X33" s="1045"/>
      <c r="Y33" s="1045"/>
      <c r="Z33" s="1045"/>
      <c r="AA33" s="1045"/>
      <c r="AB33" s="1045"/>
      <c r="AC33" s="1045"/>
      <c r="AD33" s="964"/>
      <c r="AE33" s="965"/>
      <c r="AF33" s="965"/>
      <c r="AG33" s="965"/>
      <c r="AH33" s="965"/>
      <c r="AI33" s="966"/>
      <c r="AJ33" s="952"/>
      <c r="AK33" s="953"/>
      <c r="AL33" s="954"/>
      <c r="AM33" s="952"/>
      <c r="AN33" s="953"/>
      <c r="AO33" s="954"/>
      <c r="AP33" s="958"/>
      <c r="AQ33" s="959"/>
      <c r="AR33" s="960"/>
      <c r="AS33" s="958"/>
      <c r="AT33" s="959"/>
      <c r="AU33" s="960"/>
      <c r="AV33" s="968"/>
      <c r="AW33" s="969"/>
      <c r="AX33" s="969"/>
      <c r="AY33" s="969"/>
      <c r="AZ33" s="969"/>
      <c r="BA33" s="970"/>
      <c r="BB33" s="947"/>
      <c r="BC33" s="948"/>
      <c r="BD33" s="947"/>
      <c r="BE33" s="948"/>
      <c r="BF33" s="931"/>
      <c r="BG33" s="932"/>
      <c r="BH33" s="974"/>
      <c r="BI33" s="975"/>
      <c r="BJ33" s="976"/>
      <c r="BK33" s="936"/>
      <c r="BL33" s="937"/>
      <c r="BM33" s="938"/>
      <c r="BN33" s="942"/>
      <c r="BO33" s="943"/>
      <c r="BP33" s="944"/>
      <c r="BQ33"/>
      <c r="BR33"/>
      <c r="BS33" s="967"/>
      <c r="BT33" s="967"/>
      <c r="BV33" s="926"/>
      <c r="BW33" s="926"/>
      <c r="BX33" s="926"/>
      <c r="BY33" s="927"/>
      <c r="BZ33" s="928"/>
      <c r="CB33" s="986"/>
      <c r="CC33" s="925"/>
      <c r="CD33" s="925"/>
      <c r="CE33" s="925"/>
      <c r="CF33" s="925"/>
      <c r="CG33" s="925"/>
      <c r="CH33" s="925"/>
      <c r="CI33" s="925"/>
      <c r="CJ33" s="977"/>
      <c r="CK33" s="977"/>
      <c r="CL33" s="977"/>
      <c r="CM33" s="977"/>
      <c r="CN33" s="977"/>
      <c r="CO33" s="977"/>
      <c r="CP33" s="977"/>
      <c r="CQ33" s="977"/>
      <c r="CR33" s="977"/>
      <c r="CS33" s="983"/>
      <c r="CT33" s="1056"/>
      <c r="CU33" s="979"/>
      <c r="CV33" s="925"/>
      <c r="CW33" s="925"/>
      <c r="CX33" s="925"/>
      <c r="CY33" s="925"/>
      <c r="CZ33" s="925"/>
      <c r="DA33" s="925"/>
      <c r="DD33" s="981"/>
      <c r="DE33" s="925"/>
      <c r="DF33" s="981"/>
      <c r="DG33" s="925"/>
      <c r="DH33" s="925"/>
      <c r="DI33" s="925"/>
      <c r="DJ33" s="925"/>
      <c r="DK33" s="925"/>
      <c r="DL33" s="925"/>
      <c r="DM33" s="925"/>
      <c r="DN33" s="925"/>
      <c r="DO33" s="925"/>
      <c r="DP33" s="925"/>
      <c r="DQ33" s="925"/>
      <c r="DR33" s="981"/>
      <c r="DS33" s="981"/>
      <c r="DT33" s="981"/>
      <c r="DU33" s="981"/>
      <c r="DV33" s="981"/>
      <c r="DW33" s="981"/>
      <c r="DX33" s="981"/>
      <c r="DY33" s="925"/>
      <c r="DZ33" s="925"/>
      <c r="EA33" s="925"/>
      <c r="EB33" s="925"/>
      <c r="EC33" s="925"/>
      <c r="ED33" s="925"/>
      <c r="EE33" s="925"/>
      <c r="EF33" s="925"/>
      <c r="EG33" s="925"/>
      <c r="EH33" s="925"/>
      <c r="EI33" s="925"/>
      <c r="EJ33" s="925"/>
      <c r="EK33" s="925"/>
      <c r="EL33" s="925"/>
      <c r="EM33" s="925"/>
      <c r="EN33" s="925"/>
    </row>
    <row r="34" spans="1:144" ht="16.350000000000001" customHeight="1">
      <c r="A34" s="462"/>
      <c r="B34" s="994">
        <v>9</v>
      </c>
      <c r="C34" s="995"/>
      <c r="D34" s="996"/>
      <c r="E34" s="997"/>
      <c r="F34" s="961"/>
      <c r="G34" s="962"/>
      <c r="H34" s="962"/>
      <c r="I34" s="962"/>
      <c r="J34" s="962"/>
      <c r="K34" s="963"/>
      <c r="L34" s="961"/>
      <c r="M34" s="962"/>
      <c r="N34" s="962"/>
      <c r="O34" s="962"/>
      <c r="P34" s="962"/>
      <c r="Q34" s="963"/>
      <c r="R34" s="1044"/>
      <c r="S34" s="1044"/>
      <c r="T34" s="1044"/>
      <c r="U34" s="1044"/>
      <c r="V34" s="1044"/>
      <c r="W34" s="1044"/>
      <c r="X34" s="1045"/>
      <c r="Y34" s="1045"/>
      <c r="Z34" s="1045"/>
      <c r="AA34" s="1045"/>
      <c r="AB34" s="1045"/>
      <c r="AC34" s="1045"/>
      <c r="AD34" s="961"/>
      <c r="AE34" s="962"/>
      <c r="AF34" s="962"/>
      <c r="AG34" s="962"/>
      <c r="AH34" s="962"/>
      <c r="AI34" s="963"/>
      <c r="AJ34" s="949"/>
      <c r="AK34" s="950"/>
      <c r="AL34" s="951"/>
      <c r="AM34" s="949"/>
      <c r="AN34" s="950"/>
      <c r="AO34" s="951"/>
      <c r="AP34" s="955"/>
      <c r="AQ34" s="956"/>
      <c r="AR34" s="957"/>
      <c r="AS34" s="955"/>
      <c r="AT34" s="956"/>
      <c r="AU34" s="957"/>
      <c r="AV34" s="968"/>
      <c r="AW34" s="969"/>
      <c r="AX34" s="970"/>
      <c r="AY34" s="968"/>
      <c r="AZ34" s="969"/>
      <c r="BA34" s="970"/>
      <c r="BB34" s="945"/>
      <c r="BC34" s="946"/>
      <c r="BD34" s="945"/>
      <c r="BE34" s="946"/>
      <c r="BF34" s="929" t="str">
        <f t="shared" ref="BF34" si="190">IF(CB34="OK",ROUND(BB34+BD34,2),"")</f>
        <v/>
      </c>
      <c r="BG34" s="930"/>
      <c r="BH34" s="971" t="str">
        <f t="shared" ref="BH34" si="191">IFERROR(IF(AND($CB34="OK",$CU34="OK"),$CI34,IF($CB34&lt;&gt;"OK",$CB34,$CU34)),"")</f>
        <v/>
      </c>
      <c r="BI34" s="972"/>
      <c r="BJ34" s="973"/>
      <c r="BK34" s="933" t="str">
        <f t="shared" ref="BK34" si="192">IF($CB34="OK",CM34,"")</f>
        <v/>
      </c>
      <c r="BL34" s="934"/>
      <c r="BM34" s="935"/>
      <c r="BN34" s="939" t="str">
        <f t="shared" ref="BN34" si="193">IF($CB34="OK",$CR34,"")</f>
        <v/>
      </c>
      <c r="BO34" s="940"/>
      <c r="BP34" s="941"/>
      <c r="BQ34"/>
      <c r="BR34"/>
      <c r="BS34" s="967"/>
      <c r="BT34" s="967"/>
      <c r="BV34" s="926" t="str">
        <f t="shared" ref="BV34" si="194">IFERROR(ROUND(IF(AND(CB34="OK",CU34="OK"),CT34,""),0),"")</f>
        <v/>
      </c>
      <c r="BW34" s="926" t="str">
        <f t="shared" ref="BW34" si="195">IFERROR(ROUND(IF(AND(CB34="OK",CU34="OK"),BV34/3,""),0),"")</f>
        <v/>
      </c>
      <c r="BX34" s="926"/>
      <c r="BY34" s="927"/>
      <c r="BZ34" s="928"/>
      <c r="CB34" s="986" t="str">
        <f>IF(AND(C34="",F34="",R34="",AD34="",U34="",X34="",L34="",AJ34="",AV34="",AM34="",AP34="",AY34="",AV35="",BB34="",BD34="",AA34="",AS34=""),"",
IF(OR(C34="",F34="",R34="",AD34="",U34="",X34="",L34="",AJ34="",AV34="",AM34="",AP34="",AY34="",AV35="",BB34="",BD34="",AA34="",AS34=""),"Missing Fields",
IF(AND(M02S04F04disp="Required",M02S04F04=""),"TA Info Incomplete",
"OK")))</f>
        <v/>
      </c>
      <c r="CC34" s="925" t="str">
        <f>IF(AND(CB34="OK",CU34="OK"),INDEX(Tbl_Cust_Ag[Measure Number], MATCH(F34,Tbl_Cust_Ag[Proj Desc 1],0)),"")</f>
        <v/>
      </c>
      <c r="CD34" s="925"/>
      <c r="CE34" s="925" t="str">
        <f t="shared" ref="CE34" si="196">IF(CB34="OK","Measure","")</f>
        <v/>
      </c>
      <c r="CF34" s="925" t="str">
        <f t="shared" ref="CF34" si="197">IF(CB34="OK",1,"")</f>
        <v/>
      </c>
      <c r="CG34" s="978" t="str">
        <f t="shared" ref="CG34" si="198">IFERROR(CI34/CF34,"")</f>
        <v/>
      </c>
      <c r="CH34" s="978" t="str">
        <f>IF(CB34="OK", IF(F34="Agriculture Lighting", IF(CM34&gt;0, CM34*Lighting_Only_rate, 0) + IF(CO34&gt;0, CO34*Lighting_Only_rate, 0), IF(CM34&gt;0, CM34*Incent_Rate_kWh, 0) + IF(CO34&gt;0, CO34*Incent_Rate_thm, 0)), "")</f>
        <v/>
      </c>
      <c r="CI34" s="978" t="str">
        <f>IFERROR(IF($CB34="OK",IF(INCENTTOCOST_CUST&gt;CostCap_Cust,
CH34*CostCap_Cust/INCENTTOCOST_CUST,CH34),""),"")</f>
        <v/>
      </c>
      <c r="CJ34" s="977">
        <f t="shared" ref="CJ34" si="199">CM34</f>
        <v>0</v>
      </c>
      <c r="CK34" s="977">
        <f t="shared" ref="CK34" si="200">CN34</f>
        <v>0</v>
      </c>
      <c r="CL34" s="977">
        <f t="shared" ref="CL34" si="201">CO34</f>
        <v>0</v>
      </c>
      <c r="CM34" s="977">
        <f>R34-AJ34</f>
        <v>0</v>
      </c>
      <c r="CN34" s="977">
        <f>U34-AM34</f>
        <v>0</v>
      </c>
      <c r="CO34" s="977">
        <f t="shared" ref="CO34" si="202">IF(CR34&gt;0,CR34,0)</f>
        <v>0</v>
      </c>
      <c r="CP34" s="977">
        <f t="shared" ref="CP34" si="203">CM34</f>
        <v>0</v>
      </c>
      <c r="CQ34" s="977">
        <f t="shared" ref="CQ34" si="204">CN34</f>
        <v>0</v>
      </c>
      <c r="CR34" s="977">
        <f>X34-AP34</f>
        <v>0</v>
      </c>
      <c r="CS34" s="983"/>
      <c r="CT34" s="1056" t="str">
        <f>IF(CB34="OK",INDEX(Tbl_Cust_Ag[EUL], MATCH(F34,Tbl_Cust_Ag[Proj Desc 1],0)),"")</f>
        <v/>
      </c>
      <c r="CU34" s="979" t="str">
        <f t="shared" ref="CU34" si="205">IFERROR(IF(AND($CM34&lt;=0,$CN34&lt;=0,$CO34&lt;=0),"No Savings","OK"),"")</f>
        <v>No Savings</v>
      </c>
      <c r="CV34" s="925" t="str">
        <f t="shared" ref="CV34" si="206">IF(AND(CB34="OK",CU34="OK"),"1","")</f>
        <v/>
      </c>
      <c r="CW34" s="925" t="str">
        <f>IFERROR(IF($CB34="OK",ROUND($AQ$14*SUM(BB34:BE35)/SUM($BF$18:$BG$37),2),""),"")</f>
        <v/>
      </c>
      <c r="CX34" s="925" t="str">
        <f>IFERROR(IF(M02S04F04="Customer/Self-Installed",CW34,IF($CB34="OK",CW34+BD34,"")),"")</f>
        <v/>
      </c>
      <c r="CY34" s="925" t="str">
        <f>IFERROR(IF($CB34="OK",CX34+BB34,""),"")</f>
        <v/>
      </c>
      <c r="CZ34" s="925" t="str">
        <f>IF(CB34="OK",INDEX(MEASURES3_M!$O$40:$O$42, MATCH(F34,MEASURES3_M!$C$40:$C$42,0)),"")</f>
        <v/>
      </c>
      <c r="DA34" s="925" t="str">
        <f>IF(CB34="OK",INDEX(MEASURES3_M!$P$40:$P$42, MATCH(F34,MEASURES3_M!$C$40:$C$42,0)),"")</f>
        <v/>
      </c>
      <c r="DD34" s="980" t="str">
        <f>IFERROR(IF(CB34&lt;&gt;"OK","",CM34*VLOOKUP('DATA TABLES_Project'!$C$247,'DATA TABLES_Project'!$A$250:$B$285,2,FALSE)),"")</f>
        <v/>
      </c>
      <c r="DE34" s="925" t="str">
        <f t="shared" ref="DE34" si="207">IFERROR(IF(CB34&lt;&gt;"OK","",CM34*CZ34*0.92),"")</f>
        <v/>
      </c>
      <c r="DF34" s="980" t="str">
        <f>IFERROR(IF(CB34&lt;&gt;"OK","",CM34*CZ34*0.92*VLOOKUP('DATA TABLES_Project'!$C$247,'DATA TABLES_Project'!$A$250:$B$285,2,FALSE)),"")</f>
        <v/>
      </c>
      <c r="DG34" s="925" t="str">
        <f t="shared" ref="DG34" si="208">IFERROR(IF(CB34&lt;&gt;"OK","",CM34*BV34),IF(BX34="Dual",(CM34*BW34)+((BY34-AJ34)*(BV34-BW34)),""))</f>
        <v/>
      </c>
      <c r="DH34" s="925" t="str">
        <f ca="1">IFERROR(IF(CB34&lt;&gt;"OK","",IF(OR(BX34="Single",BX34=""), CM34*BV34*AVERAGE(INDEX('DATA TABLES_Project'!$B$250:$B$285, MATCH('DATA TABLES_Project'!$C$247,'DATA TABLES_Project'!$A$250:$A$285, 0)):OFFSET(INDEX('DATA TABLES_Project'!$B$250:$B$285, MATCH('DATA TABLES_Project'!$C$247,'DATA TABLES_Project'!$A$250:$A$285, 0)),BV34-1,0)),CM34*BW34*AVERAGE(INDEX('DATA TABLES_Project'!$B$250:$B$285, MATCH('DATA TABLES_Project'!$C$247,'DATA TABLES_Project'!$A$250:$A$285, 0)):OFFSET(INDEX('DATA TABLES_Project'!$B$250:$B$285, MATCH('DATA TABLES_Project'!$C$247,'DATA TABLES_Project'!$A$250:$A$285, 0)),BW34-1,0)) + ((BY34-AJ34)*(BV34-BW34)*AVERAGE(OFFSET(INDEX('DATA TABLES_Project'!$B$250:$B$285, MATCH('DATA TABLES_Project'!$C$247,'DATA TABLES_Project'!$A$250:$A$285, 0)),BW34,0):OFFSET(INDEX('DATA TABLES_Project'!$B$250:$B$285, MATCH('DATA TABLES_Project'!$C$247,'DATA TABLES_Project'!$A$250:$A$285, 0)),BV34-1,0))))), "")</f>
        <v/>
      </c>
      <c r="DI34" s="925" t="str">
        <f t="shared" ref="DI34" si="209">IFERROR(IF(CB34&lt;&gt;"OK","",IF(BX34="Dual",(CM34*BW34)+((BY34-AJ34)*(BV34-BW34))*CZ34*0.92,CM34*CZ34*BV34*0.92)),"")</f>
        <v/>
      </c>
      <c r="DJ34" s="925" t="str">
        <f ca="1">IFERROR(IF(CB34&lt;&gt;"OK","",IF(OR(BX34="Single",BX34=""),0.92*CZ34*CM34*BV34*AVERAGE(INDEX('DATA TABLES_Project'!$B$250:$B$285, MATCH('DATA TABLES_Project'!$C$247,'DATA TABLES_Project'!$A$250:$A$285, 0)):OFFSET(INDEX('DATA TABLES_Project'!$B$250:$B$285, MATCH('DATA TABLES_Project'!$C$247,'DATA TABLES_Project'!$A$250:$A$285, 0)),BV34-1,0)),0.92*CZ34*CM34*BW34*AVERAGE(INDEX('DATA TABLES_Project'!$B$250:$B$285, MATCH('DATA TABLES_Project'!$C$247,'DATA TABLES_Project'!$A$250:$A$285, 0)):OFFSET(INDEX('DATA TABLES_Project'!$B$250:$B$285, MATCH('DATA TABLES_Project'!$C$247,'DATA TABLES_Project'!$A$250:$A$285, 0)),BW34-1,0)) + (0.92*CZ34*(BY34-AJ34)*(BV34-BW34)*AVERAGE(OFFSET(INDEX('DATA TABLES_Project'!$B$250:$B$285, MATCH('DATA TABLES_Project'!$C$247,'DATA TABLES_Project'!$A$250:$A$285, 0)),BW34,0):OFFSET(INDEX('DATA TABLES_Project'!$B$250:$B$285, MATCH('DATA TABLES_Project'!$C$247,'DATA TABLES_Project'!$A$250:$A$285, 0)),BV34-1,0))))), "")</f>
        <v/>
      </c>
      <c r="DK34" s="925" t="str">
        <f>IFERROR(IF(CB34&lt;&gt;"OK","",CO34*'DATA TABLES_Project'!$C$250),"")</f>
        <v/>
      </c>
      <c r="DL34" s="925" t="str">
        <f t="shared" ref="DL34" si="210">IFERROR(IF(CB34&lt;&gt;"OK","",CO34*DA34*0.92),"")</f>
        <v/>
      </c>
      <c r="DM34" s="925" t="str">
        <f>IFERROR(IF(CB34&lt;&gt;"OK","",CO34*'DATA TABLES_Project'!$C$250*DA34*0.92),"")</f>
        <v/>
      </c>
      <c r="DN34" s="925" t="str">
        <f t="shared" ref="DN34" si="211">IFERROR(IF(CB34&lt;&gt;"OK","",CO34*BV34),IF(BX34="Dual",(CO34*BW34)+((BZ34-AP34)*(BV34-BW34)),""))</f>
        <v/>
      </c>
      <c r="DO34" s="925" t="str">
        <f ca="1">IFERROR(IF(CB34&lt;&gt;"OK","",CO34*BV34*AVERAGE('DATA TABLES_Project'!$C$250:OFFSET('DATA TABLES_Project'!$C$250,BV34,0))),IF(BX34="Dual",(CO34*BW34*AVERAGE('DATA TABLES_Project'!$C$251:$C$259))+((BZ34-AP34)*(BV34-BW34)*AVERAGE('DATA TABLES_Project'!$C$260:$C$279)),""))</f>
        <v/>
      </c>
      <c r="DP34" s="925" t="str">
        <f t="shared" ref="DP34" si="212">IFERROR(IF(CB34&lt;&gt;"OK","",IF(BX34="Dual",((CO34*BW34)+(BZ34-AP34)*(BV34-BW34))*DA34*0.92,CO34*BV34*DA34*0.92)),"")</f>
        <v/>
      </c>
      <c r="DQ34" s="925" t="str">
        <f ca="1">IFERROR(IF(CB34&lt;&gt;"OK","",IF(BX34="Dual",(0.92*DA34*CO34*BW34*AVERAGE('DATA TABLES_Project'!$C$251:$C$259))+(0.92*DA34*(BZ34-AP34)*(BV34-BW34)*AVERAGE('DATA TABLES_Project'!$C$260:$C$279)),0.92*DA34*CO34*BV34*AVERAGE('DATA TABLES_Project'!$C$250:OFFSET('DATA TABLES_Project'!$C$250,BV34,0)))),"")</f>
        <v/>
      </c>
      <c r="DR34" s="980" t="str">
        <f>IFERROR(IF($CB34&lt;&gt;"OK","",CM34*'DATA TABLES_Project'!$B$290+IF(CO34&lt;0,0,CO34*'DATA TABLES_Project'!$B$291)),"")</f>
        <v/>
      </c>
      <c r="DS34" s="980" t="str">
        <f>IFERROR(IF($CB34&lt;&gt;"OK","",DD34*'DATA TABLES_Project'!$B$290+IF(DK34&lt;0,0,DK34*'DATA TABLES_Project'!$B$291)),"")</f>
        <v/>
      </c>
      <c r="DT34" s="980" t="str">
        <f>IFERROR(IF($CB34&lt;&gt;"OK","",DE34*'DATA TABLES_Project'!$B$290+IF(DL34&lt;0,0,DL34*'DATA TABLES_Project'!$B$291)),"")</f>
        <v/>
      </c>
      <c r="DU34" s="980" t="str">
        <f>IFERROR(IF($CB34&lt;&gt;"OK","",DF34*'DATA TABLES_Project'!$B$290+IF(DM34&lt;0,0,DM34*'DATA TABLES_Project'!$B$291)),"")</f>
        <v/>
      </c>
      <c r="DV34" s="980" t="str">
        <f>IFERROR(IF($CB34&lt;&gt;"OK","",DG34*'DATA TABLES_Project'!$B$290+IF(DN34&lt;0,0,DN34*'DATA TABLES_Project'!$B$291)),"")</f>
        <v/>
      </c>
      <c r="DW34" s="980" t="str">
        <f>IFERROR(IF($CB34&lt;&gt;"OK","",DH34*'DATA TABLES_Project'!$B$290+IF(DO34&lt;0,0,DO34*'DATA TABLES_Project'!$B$291)),"")</f>
        <v/>
      </c>
      <c r="DX34" s="980" t="str">
        <f>IFERROR(IF($CB34&lt;&gt;"OK","",DI34*'DATA TABLES_Project'!$B$290+IF(DP34&lt;0,0,DP34*'DATA TABLES_Project'!$B$291)),"")</f>
        <v/>
      </c>
      <c r="DY34" s="925" t="str">
        <f>IFERROR(IF($CB34&lt;&gt;"OK","",DJ34*'DATA TABLES_Project'!$B$290+IF(DQ34&lt;0,0,DQ34*'DATA TABLES_Project'!$B$291)),"")</f>
        <v/>
      </c>
      <c r="DZ34" s="925" t="str">
        <f t="shared" ref="DZ34" si="213">IFERROR(IF($CB34&lt;&gt;"OK","",AS34),"")</f>
        <v/>
      </c>
      <c r="EA34" s="925" t="str">
        <f>IFERROR(IF(CB34&lt;&gt;"OK","",CN34*'DATA TABLES_Project'!$B$250*CZ34*1.03),"")</f>
        <v/>
      </c>
      <c r="EB34" s="925" t="str">
        <f t="shared" ref="EB34" si="214">IFERROR(IF(CB34&lt;&gt;"OK","",CN34*CZ34*1.03),"")</f>
        <v/>
      </c>
      <c r="EC34" s="925" t="str">
        <f>IFERROR(IF(CB34&lt;&gt;"OK","",CZ34*DZ34*'DATA TABLES_Project'!$C$250*0.92),"")</f>
        <v/>
      </c>
      <c r="ED34" s="925" t="str">
        <f>IFERROR(IF(CB34&lt;&gt;"OK","",CZ34*DZ34*'DATA TABLES_Project'!$C$250*0.92),"")</f>
        <v/>
      </c>
      <c r="EE34" s="925" t="str">
        <f t="shared" ref="EE34" si="215">IFERROR(IF(CB34&lt;&gt;"OK","",CZ34*DZ34*0.92),"")</f>
        <v/>
      </c>
      <c r="EF34" s="925" t="str">
        <f t="shared" ref="EF34" si="216">IFERROR(IF(CB34&lt;&gt;"OK","",CZ34*DZ34*0.92),"")</f>
        <v/>
      </c>
      <c r="EG34" s="925" t="str">
        <f>IFERROR(IF($CB34&lt;&gt;"OK","",CM34*'DATA TABLES_Project'!$B$290+CO34*'DATA TABLES_Project'!$B$291),"")</f>
        <v/>
      </c>
      <c r="EH34" s="925" t="str">
        <f>IFERROR(IF($CB34&lt;&gt;"OK","",DD34*'DATA TABLES_Project'!$B$290+DK34*'DATA TABLES_Project'!$B$291),"")</f>
        <v/>
      </c>
      <c r="EI34" s="925" t="str">
        <f>IFERROR(IF($CB34&lt;&gt;"OK","",DE34*'DATA TABLES_Project'!$B$290+DL34*'DATA TABLES_Project'!$B$291),"")</f>
        <v/>
      </c>
      <c r="EJ34" s="925" t="str">
        <f>IFERROR(IF($CB34&lt;&gt;"OK","",DF34*'DATA TABLES_Project'!$B$290+DM34*'DATA TABLES_Project'!$B$291),"")</f>
        <v/>
      </c>
      <c r="EK34" s="925" t="str">
        <f>IFERROR(IF($CB34&lt;&gt;"OK","",DG34*'DATA TABLES_Project'!$B$290+DN34*'DATA TABLES_Project'!$B$291),"")</f>
        <v/>
      </c>
      <c r="EL34" s="925" t="str">
        <f>IFERROR(IF($CB34&lt;&gt;"OK","",DH34*'DATA TABLES_Project'!$B$290+DO34*'DATA TABLES_Project'!$B$291),"")</f>
        <v/>
      </c>
      <c r="EM34" s="925" t="str">
        <f>IFERROR(IF($CB34&lt;&gt;"OK","",DI34*'DATA TABLES_Project'!$B$290+DP34*'DATA TABLES_Project'!$B$291),"")</f>
        <v/>
      </c>
      <c r="EN34" s="925" t="str">
        <f>IFERROR(IF($CB34&lt;&gt;"OK","",DJ34*'DATA TABLES_Project'!$B$290+DQ34*'DATA TABLES_Project'!$B$291),"")</f>
        <v/>
      </c>
    </row>
    <row r="35" spans="1:144" ht="16.350000000000001" customHeight="1">
      <c r="A35" s="462"/>
      <c r="B35" s="994"/>
      <c r="C35" s="998"/>
      <c r="D35" s="999"/>
      <c r="E35" s="1000"/>
      <c r="F35" s="964"/>
      <c r="G35" s="965"/>
      <c r="H35" s="965"/>
      <c r="I35" s="965"/>
      <c r="J35" s="965"/>
      <c r="K35" s="966"/>
      <c r="L35" s="964"/>
      <c r="M35" s="965"/>
      <c r="N35" s="965"/>
      <c r="O35" s="965"/>
      <c r="P35" s="965"/>
      <c r="Q35" s="966"/>
      <c r="R35" s="1044"/>
      <c r="S35" s="1044"/>
      <c r="T35" s="1044"/>
      <c r="U35" s="1044"/>
      <c r="V35" s="1044"/>
      <c r="W35" s="1044"/>
      <c r="X35" s="1045"/>
      <c r="Y35" s="1045"/>
      <c r="Z35" s="1045"/>
      <c r="AA35" s="1045"/>
      <c r="AB35" s="1045"/>
      <c r="AC35" s="1045"/>
      <c r="AD35" s="964"/>
      <c r="AE35" s="965"/>
      <c r="AF35" s="965"/>
      <c r="AG35" s="965"/>
      <c r="AH35" s="965"/>
      <c r="AI35" s="966"/>
      <c r="AJ35" s="952"/>
      <c r="AK35" s="953"/>
      <c r="AL35" s="954"/>
      <c r="AM35" s="952"/>
      <c r="AN35" s="953"/>
      <c r="AO35" s="954"/>
      <c r="AP35" s="958"/>
      <c r="AQ35" s="959"/>
      <c r="AR35" s="960"/>
      <c r="AS35" s="958"/>
      <c r="AT35" s="959"/>
      <c r="AU35" s="960"/>
      <c r="AV35" s="968"/>
      <c r="AW35" s="969"/>
      <c r="AX35" s="969"/>
      <c r="AY35" s="969"/>
      <c r="AZ35" s="969"/>
      <c r="BA35" s="970"/>
      <c r="BB35" s="947"/>
      <c r="BC35" s="948"/>
      <c r="BD35" s="947"/>
      <c r="BE35" s="948"/>
      <c r="BF35" s="931"/>
      <c r="BG35" s="932"/>
      <c r="BH35" s="974"/>
      <c r="BI35" s="975"/>
      <c r="BJ35" s="976"/>
      <c r="BK35" s="936"/>
      <c r="BL35" s="937"/>
      <c r="BM35" s="938"/>
      <c r="BN35" s="942"/>
      <c r="BO35" s="943"/>
      <c r="BP35" s="944"/>
      <c r="BQ35"/>
      <c r="BR35"/>
      <c r="BS35" s="967"/>
      <c r="BT35" s="967"/>
      <c r="BV35" s="926"/>
      <c r="BW35" s="926"/>
      <c r="BX35" s="926"/>
      <c r="BY35" s="927"/>
      <c r="BZ35" s="928"/>
      <c r="CB35" s="986"/>
      <c r="CC35" s="925"/>
      <c r="CD35" s="925"/>
      <c r="CE35" s="925"/>
      <c r="CF35" s="925"/>
      <c r="CG35" s="925"/>
      <c r="CH35" s="925"/>
      <c r="CI35" s="925"/>
      <c r="CJ35" s="977"/>
      <c r="CK35" s="977"/>
      <c r="CL35" s="977"/>
      <c r="CM35" s="977"/>
      <c r="CN35" s="977"/>
      <c r="CO35" s="977"/>
      <c r="CP35" s="977"/>
      <c r="CQ35" s="977"/>
      <c r="CR35" s="977"/>
      <c r="CS35" s="983"/>
      <c r="CT35" s="1056"/>
      <c r="CU35" s="979"/>
      <c r="CV35" s="925"/>
      <c r="CW35" s="925"/>
      <c r="CX35" s="925"/>
      <c r="CY35" s="925"/>
      <c r="CZ35" s="925"/>
      <c r="DA35" s="925"/>
      <c r="DD35" s="981"/>
      <c r="DE35" s="925"/>
      <c r="DF35" s="981"/>
      <c r="DG35" s="925"/>
      <c r="DH35" s="925"/>
      <c r="DI35" s="925"/>
      <c r="DJ35" s="925"/>
      <c r="DK35" s="925"/>
      <c r="DL35" s="925"/>
      <c r="DM35" s="925"/>
      <c r="DN35" s="925"/>
      <c r="DO35" s="925"/>
      <c r="DP35" s="925"/>
      <c r="DQ35" s="925"/>
      <c r="DR35" s="981"/>
      <c r="DS35" s="981"/>
      <c r="DT35" s="981"/>
      <c r="DU35" s="981"/>
      <c r="DV35" s="981"/>
      <c r="DW35" s="981"/>
      <c r="DX35" s="981"/>
      <c r="DY35" s="925"/>
      <c r="DZ35" s="925"/>
      <c r="EA35" s="925"/>
      <c r="EB35" s="925"/>
      <c r="EC35" s="925"/>
      <c r="ED35" s="925"/>
      <c r="EE35" s="925"/>
      <c r="EF35" s="925"/>
      <c r="EG35" s="925"/>
      <c r="EH35" s="925"/>
      <c r="EI35" s="925"/>
      <c r="EJ35" s="925"/>
      <c r="EK35" s="925"/>
      <c r="EL35" s="925"/>
      <c r="EM35" s="925"/>
      <c r="EN35" s="925"/>
    </row>
    <row r="36" spans="1:144" ht="16.350000000000001" customHeight="1">
      <c r="A36" s="462"/>
      <c r="B36" s="994">
        <v>10</v>
      </c>
      <c r="C36" s="995"/>
      <c r="D36" s="996"/>
      <c r="E36" s="997"/>
      <c r="F36" s="961"/>
      <c r="G36" s="962"/>
      <c r="H36" s="962"/>
      <c r="I36" s="962"/>
      <c r="J36" s="962"/>
      <c r="K36" s="963"/>
      <c r="L36" s="961"/>
      <c r="M36" s="962"/>
      <c r="N36" s="962"/>
      <c r="O36" s="962"/>
      <c r="P36" s="962"/>
      <c r="Q36" s="963"/>
      <c r="R36" s="1044"/>
      <c r="S36" s="1044"/>
      <c r="T36" s="1044"/>
      <c r="U36" s="1044"/>
      <c r="V36" s="1044"/>
      <c r="W36" s="1044"/>
      <c r="X36" s="1045"/>
      <c r="Y36" s="1045"/>
      <c r="Z36" s="1045"/>
      <c r="AA36" s="1045"/>
      <c r="AB36" s="1045"/>
      <c r="AC36" s="1045"/>
      <c r="AD36" s="961"/>
      <c r="AE36" s="962"/>
      <c r="AF36" s="962"/>
      <c r="AG36" s="962"/>
      <c r="AH36" s="962"/>
      <c r="AI36" s="963"/>
      <c r="AJ36" s="949"/>
      <c r="AK36" s="950"/>
      <c r="AL36" s="951"/>
      <c r="AM36" s="949"/>
      <c r="AN36" s="950"/>
      <c r="AO36" s="951"/>
      <c r="AP36" s="955"/>
      <c r="AQ36" s="956"/>
      <c r="AR36" s="957"/>
      <c r="AS36" s="955"/>
      <c r="AT36" s="956"/>
      <c r="AU36" s="957"/>
      <c r="AV36" s="968"/>
      <c r="AW36" s="969"/>
      <c r="AX36" s="970"/>
      <c r="AY36" s="968"/>
      <c r="AZ36" s="969"/>
      <c r="BA36" s="970"/>
      <c r="BB36" s="945"/>
      <c r="BC36" s="946"/>
      <c r="BD36" s="945"/>
      <c r="BE36" s="946"/>
      <c r="BF36" s="929" t="str">
        <f t="shared" ref="BF36" si="217">IF(CB36="OK",ROUND(BB36+BD36,2),"")</f>
        <v/>
      </c>
      <c r="BG36" s="930"/>
      <c r="BH36" s="971" t="str">
        <f t="shared" ref="BH36" si="218">IFERROR(IF(AND($CB36="OK",$CU36="OK"),$CI36,IF($CB36&lt;&gt;"OK",$CB36,$CU36)),"")</f>
        <v/>
      </c>
      <c r="BI36" s="972"/>
      <c r="BJ36" s="973"/>
      <c r="BK36" s="933" t="str">
        <f t="shared" ref="BK36" si="219">IF($CB36="OK",CM36,"")</f>
        <v/>
      </c>
      <c r="BL36" s="934"/>
      <c r="BM36" s="935"/>
      <c r="BN36" s="939" t="str">
        <f t="shared" ref="BN36" si="220">IF($CB36="OK",$CR36,"")</f>
        <v/>
      </c>
      <c r="BO36" s="940"/>
      <c r="BP36" s="941"/>
      <c r="BQ36"/>
      <c r="BR36"/>
      <c r="BS36" s="967"/>
      <c r="BT36" s="967"/>
      <c r="BV36" s="926" t="str">
        <f t="shared" ref="BV36" si="221">IFERROR(ROUND(IF(AND(CB36="OK",CU36="OK"),CT36,""),0),"")</f>
        <v/>
      </c>
      <c r="BW36" s="926" t="str">
        <f t="shared" ref="BW36" si="222">IFERROR(ROUND(IF(AND(CB36="OK",CU36="OK"),BV36/3,""),0),"")</f>
        <v/>
      </c>
      <c r="BX36" s="926"/>
      <c r="BY36" s="927"/>
      <c r="BZ36" s="928"/>
      <c r="CB36" s="986" t="str">
        <f>IF(AND(C36="",F36="",R36="",AD36="",U36="",X36="",L36="",AJ36="",AV36="",AM36="",AP36="",AY36="",AV37="",BB36="",BD36="",AA36="",AS36=""),"",
IF(OR(C36="",F36="",R36="",AD36="",U36="",X36="",L36="",AJ36="",AV36="",AM36="",AP36="",AY36="",AV37="",BB36="",BD36="",AA36="",AS36=""),"Missing Fields",
IF(AND(M02S04F04disp="Required",M02S04F04=""),"TA Info Incomplete",
"OK")))</f>
        <v/>
      </c>
      <c r="CC36" s="925" t="str">
        <f>IF(AND(CB36="OK",CU36="OK"),INDEX(Tbl_Cust_Ag[Measure Number], MATCH(F36,Tbl_Cust_Ag[Proj Desc 1],0)),"")</f>
        <v/>
      </c>
      <c r="CD36" s="925"/>
      <c r="CE36" s="925" t="str">
        <f t="shared" ref="CE36" si="223">IF(CB36="OK","Measure","")</f>
        <v/>
      </c>
      <c r="CF36" s="925" t="str">
        <f t="shared" ref="CF36" si="224">IF(CB36="OK",1,"")</f>
        <v/>
      </c>
      <c r="CG36" s="978" t="str">
        <f t="shared" ref="CG36" si="225">IFERROR(CI36/CF36,"")</f>
        <v/>
      </c>
      <c r="CH36" s="978" t="str">
        <f>IF(CB36="OK", IF(F36="Agriculture Lighting", IF(CM36&gt;0, CM36*Lighting_Only_rate, 0) + IF(CO36&gt;0, CO36*Lighting_Only_rate, 0), IF(CM36&gt;0, CM36*Incent_Rate_kWh, 0) + IF(CO36&gt;0, CO36*Incent_Rate_thm, 0)), "")</f>
        <v/>
      </c>
      <c r="CI36" s="978" t="str">
        <f>IFERROR(IF($CB36="OK",IF(INCENTTOCOST_CUST&gt;CostCap_Cust,
CH36*CostCap_Cust/INCENTTOCOST_CUST,CH36),""),"")</f>
        <v/>
      </c>
      <c r="CJ36" s="977">
        <f t="shared" ref="CJ36" si="226">CM36</f>
        <v>0</v>
      </c>
      <c r="CK36" s="977">
        <f t="shared" ref="CK36" si="227">CN36</f>
        <v>0</v>
      </c>
      <c r="CL36" s="977">
        <f t="shared" ref="CL36" si="228">CO36</f>
        <v>0</v>
      </c>
      <c r="CM36" s="977">
        <f>R36-AJ36</f>
        <v>0</v>
      </c>
      <c r="CN36" s="977">
        <f>U36-AM36</f>
        <v>0</v>
      </c>
      <c r="CO36" s="977">
        <f t="shared" ref="CO36" si="229">IF(CR36&gt;0,CR36,0)</f>
        <v>0</v>
      </c>
      <c r="CP36" s="977">
        <f t="shared" ref="CP36" si="230">CM36</f>
        <v>0</v>
      </c>
      <c r="CQ36" s="977">
        <f t="shared" ref="CQ36" si="231">CN36</f>
        <v>0</v>
      </c>
      <c r="CR36" s="977">
        <f>X36-AP36</f>
        <v>0</v>
      </c>
      <c r="CS36" s="983"/>
      <c r="CT36" s="1056" t="str">
        <f>IF(CB36="OK",INDEX(Tbl_Cust_Ag[EUL], MATCH(F36,Tbl_Cust_Ag[Proj Desc 1],0)),"")</f>
        <v/>
      </c>
      <c r="CU36" s="979" t="str">
        <f t="shared" ref="CU36" si="232">IFERROR(IF(AND($CM36&lt;=0,$CN36&lt;=0,$CO36&lt;=0),"No Savings","OK"),"")</f>
        <v>No Savings</v>
      </c>
      <c r="CV36" s="925" t="str">
        <f t="shared" ref="CV36" si="233">IF(AND(CB36="OK",CU36="OK"),"1","")</f>
        <v/>
      </c>
      <c r="CW36" s="925" t="str">
        <f>IFERROR(IF($CB36="OK",ROUND($AQ$14*SUM(BB36:BE37)/SUM($BF$18:$BG$37),2),""),"")</f>
        <v/>
      </c>
      <c r="CX36" s="925" t="str">
        <f>IFERROR(IF(M02S04F04="Customer/Self-Installed",CW36,IF($CB36="OK",CW36+BD36,"")),"")</f>
        <v/>
      </c>
      <c r="CY36" s="925" t="str">
        <f>IFERROR(IF($CB36="OK",CX36+BB36,""),"")</f>
        <v/>
      </c>
      <c r="CZ36" s="925" t="str">
        <f>IF(CB36="OK",INDEX(MEASURES3_M!$O$40:$O$42, MATCH(F36,MEASURES3_M!$C$40:$C$42,0)),"")</f>
        <v/>
      </c>
      <c r="DA36" s="925" t="str">
        <f>IF(CB36="OK",INDEX(MEASURES3_M!$P$40:$P$42, MATCH(F36,MEASURES3_M!$C$40:$C$42,0)),"")</f>
        <v/>
      </c>
      <c r="DD36" s="980" t="str">
        <f>IFERROR(IF(CB36&lt;&gt;"OK","",CM36*VLOOKUP('DATA TABLES_Project'!$C$247,'DATA TABLES_Project'!$A$250:$B$285,2,FALSE)),"")</f>
        <v/>
      </c>
      <c r="DE36" s="925" t="str">
        <f t="shared" ref="DE36" si="234">IFERROR(IF(CB36&lt;&gt;"OK","",CM36*CZ36*0.92),"")</f>
        <v/>
      </c>
      <c r="DF36" s="980" t="str">
        <f>IFERROR(IF(CB36&lt;&gt;"OK","",CM36*CZ36*0.92*VLOOKUP('DATA TABLES_Project'!$C$247,'DATA TABLES_Project'!$A$250:$B$285,2,FALSE)),"")</f>
        <v/>
      </c>
      <c r="DG36" s="925" t="str">
        <f t="shared" ref="DG36" si="235">IFERROR(IF(CB36&lt;&gt;"OK","",CM36*BV36),IF(BX36="Dual",(CM36*BW36)+((BY36-AJ36)*(BV36-BW36)),""))</f>
        <v/>
      </c>
      <c r="DH36" s="925" t="str">
        <f ca="1">IFERROR(IF(CB36&lt;&gt;"OK","",IF(OR(BX36="Single",BX36=""), CM36*BV36*AVERAGE(INDEX('DATA TABLES_Project'!$B$250:$B$285, MATCH('DATA TABLES_Project'!$C$247,'DATA TABLES_Project'!$A$250:$A$285, 0)):OFFSET(INDEX('DATA TABLES_Project'!$B$250:$B$285, MATCH('DATA TABLES_Project'!$C$247,'DATA TABLES_Project'!$A$250:$A$285, 0)),BV36-1,0)),CM36*BW36*AVERAGE(INDEX('DATA TABLES_Project'!$B$250:$B$285, MATCH('DATA TABLES_Project'!$C$247,'DATA TABLES_Project'!$A$250:$A$285, 0)):OFFSET(INDEX('DATA TABLES_Project'!$B$250:$B$285, MATCH('DATA TABLES_Project'!$C$247,'DATA TABLES_Project'!$A$250:$A$285, 0)),BW36-1,0)) + ((BY36-AJ36)*(BV36-BW36)*AVERAGE(OFFSET(INDEX('DATA TABLES_Project'!$B$250:$B$285, MATCH('DATA TABLES_Project'!$C$247,'DATA TABLES_Project'!$A$250:$A$285, 0)),BW36,0):OFFSET(INDEX('DATA TABLES_Project'!$B$250:$B$285, MATCH('DATA TABLES_Project'!$C$247,'DATA TABLES_Project'!$A$250:$A$285, 0)),BV36-1,0))))), "")</f>
        <v/>
      </c>
      <c r="DI36" s="925" t="str">
        <f t="shared" ref="DI36" si="236">IFERROR(IF(CB36&lt;&gt;"OK","",IF(BX36="Dual",(CM36*BW36)+((BY36-AJ36)*(BV36-BW36))*CZ36*0.92,CM36*CZ36*BV36*0.92)),"")</f>
        <v/>
      </c>
      <c r="DJ36" s="925" t="str">
        <f ca="1">IFERROR(IF(CB36&lt;&gt;"OK","",IF(OR(BX36="Single",BX36=""),0.92*CZ36*CM36*BV36*AVERAGE(INDEX('DATA TABLES_Project'!$B$250:$B$285, MATCH('DATA TABLES_Project'!$C$247,'DATA TABLES_Project'!$A$250:$A$285, 0)):OFFSET(INDEX('DATA TABLES_Project'!$B$250:$B$285, MATCH('DATA TABLES_Project'!$C$247,'DATA TABLES_Project'!$A$250:$A$285, 0)),BV36-1,0)),0.92*CZ36*CM36*BW36*AVERAGE(INDEX('DATA TABLES_Project'!$B$250:$B$285, MATCH('DATA TABLES_Project'!$C$247,'DATA TABLES_Project'!$A$250:$A$285, 0)):OFFSET(INDEX('DATA TABLES_Project'!$B$250:$B$285, MATCH('DATA TABLES_Project'!$C$247,'DATA TABLES_Project'!$A$250:$A$285, 0)),BW36-1,0)) + (0.92*CZ36*(BY36-AJ36)*(BV36-BW36)*AVERAGE(OFFSET(INDEX('DATA TABLES_Project'!$B$250:$B$285, MATCH('DATA TABLES_Project'!$C$247,'DATA TABLES_Project'!$A$250:$A$285, 0)),BW36,0):OFFSET(INDEX('DATA TABLES_Project'!$B$250:$B$285, MATCH('DATA TABLES_Project'!$C$247,'DATA TABLES_Project'!$A$250:$A$285, 0)),BV36-1,0))))), "")</f>
        <v/>
      </c>
      <c r="DK36" s="925" t="str">
        <f>IFERROR(IF(CB36&lt;&gt;"OK","",CO36*'DATA TABLES_Project'!$C$250),"")</f>
        <v/>
      </c>
      <c r="DL36" s="925" t="str">
        <f t="shared" ref="DL36" si="237">IFERROR(IF(CB36&lt;&gt;"OK","",CO36*DA36*0.92),"")</f>
        <v/>
      </c>
      <c r="DM36" s="925" t="str">
        <f>IFERROR(IF(CB36&lt;&gt;"OK","",CO36*'DATA TABLES_Project'!$C$250*DA36*0.92),"")</f>
        <v/>
      </c>
      <c r="DN36" s="925" t="str">
        <f t="shared" ref="DN36" si="238">IFERROR(IF(CB36&lt;&gt;"OK","",CO36*BV36),IF(BX36="Dual",(CO36*BW36)+((BZ36-AP36)*(BV36-BW36)),""))</f>
        <v/>
      </c>
      <c r="DO36" s="925" t="str">
        <f ca="1">IFERROR(IF(CB36&lt;&gt;"OK","",CO36*BV36*AVERAGE('DATA TABLES_Project'!$C$250:OFFSET('DATA TABLES_Project'!$C$250,BV36,0))),IF(BX36="Dual",(CO36*BW36*AVERAGE('DATA TABLES_Project'!$C$251:$C$259))+((BZ36-AP36)*(BV36-BW36)*AVERAGE('DATA TABLES_Project'!$C$260:$C$279)),""))</f>
        <v/>
      </c>
      <c r="DP36" s="925" t="str">
        <f t="shared" ref="DP36" si="239">IFERROR(IF(CB36&lt;&gt;"OK","",IF(BX36="Dual",((CO36*BW36)+(BZ36-AP36)*(BV36-BW36))*DA36*0.92,CO36*BV36*DA36*0.92)),"")</f>
        <v/>
      </c>
      <c r="DQ36" s="925" t="str">
        <f ca="1">IFERROR(IF(CB36&lt;&gt;"OK","",IF(BX36="Dual",(0.92*DA36*CO36*BW36*AVERAGE('DATA TABLES_Project'!$C$251:$C$259))+(0.92*DA36*(BZ36-AP36)*(BV36-BW36)*AVERAGE('DATA TABLES_Project'!$C$260:$C$279)),0.92*DA36*CO36*BV36*AVERAGE('DATA TABLES_Project'!$C$250:OFFSET('DATA TABLES_Project'!$C$250,BV36,0)))),"")</f>
        <v/>
      </c>
      <c r="DR36" s="980" t="str">
        <f>IFERROR(IF($CB36&lt;&gt;"OK","",CM36*'DATA TABLES_Project'!$B$290+IF(CO36&lt;0,0,CO36*'DATA TABLES_Project'!$B$291)),"")</f>
        <v/>
      </c>
      <c r="DS36" s="980" t="str">
        <f>IFERROR(IF($CB36&lt;&gt;"OK","",DD36*'DATA TABLES_Project'!$B$290+IF(DK36&lt;0,0,DK36*'DATA TABLES_Project'!$B$291)),"")</f>
        <v/>
      </c>
      <c r="DT36" s="980" t="str">
        <f>IFERROR(IF($CB36&lt;&gt;"OK","",DE36*'DATA TABLES_Project'!$B$290+IF(DL36&lt;0,0,DL36*'DATA TABLES_Project'!$B$291)),"")</f>
        <v/>
      </c>
      <c r="DU36" s="980" t="str">
        <f>IFERROR(IF($CB36&lt;&gt;"OK","",DF36*'DATA TABLES_Project'!$B$290+IF(DM36&lt;0,0,DM36*'DATA TABLES_Project'!$B$291)),"")</f>
        <v/>
      </c>
      <c r="DV36" s="980" t="str">
        <f>IFERROR(IF($CB36&lt;&gt;"OK","",DG36*'DATA TABLES_Project'!$B$290+IF(DN36&lt;0,0,DN36*'DATA TABLES_Project'!$B$291)),"")</f>
        <v/>
      </c>
      <c r="DW36" s="980" t="str">
        <f>IFERROR(IF($CB36&lt;&gt;"OK","",DH36*'DATA TABLES_Project'!$B$290+IF(DO36&lt;0,0,DO36*'DATA TABLES_Project'!$B$291)),"")</f>
        <v/>
      </c>
      <c r="DX36" s="980" t="str">
        <f>IFERROR(IF($CB36&lt;&gt;"OK","",DI36*'DATA TABLES_Project'!$B$290+IF(DP36&lt;0,0,DP36*'DATA TABLES_Project'!$B$291)),"")</f>
        <v/>
      </c>
      <c r="DY36" s="925" t="str">
        <f>IFERROR(IF($CB36&lt;&gt;"OK","",DJ36*'DATA TABLES_Project'!$B$290+IF(DQ36&lt;0,0,DQ36*'DATA TABLES_Project'!$B$291)),"")</f>
        <v/>
      </c>
      <c r="DZ36" s="925" t="str">
        <f t="shared" ref="DZ36" si="240">IFERROR(IF($CB36&lt;&gt;"OK","",AS36),"")</f>
        <v/>
      </c>
      <c r="EA36" s="925" t="str">
        <f>IFERROR(IF(CB36&lt;&gt;"OK","",CN36*'DATA TABLES_Project'!$B$250*CZ36*1.03),"")</f>
        <v/>
      </c>
      <c r="EB36" s="925" t="str">
        <f t="shared" ref="EB36" si="241">IFERROR(IF(CB36&lt;&gt;"OK","",CN36*CZ36*1.03),"")</f>
        <v/>
      </c>
      <c r="EC36" s="925" t="str">
        <f>IFERROR(IF(CB36&lt;&gt;"OK","",CZ36*DZ36*'DATA TABLES_Project'!$C$250*0.92),"")</f>
        <v/>
      </c>
      <c r="ED36" s="925" t="str">
        <f>IFERROR(IF(CB36&lt;&gt;"OK","",CZ36*DZ36*'DATA TABLES_Project'!$C$250*0.92),"")</f>
        <v/>
      </c>
      <c r="EE36" s="925" t="str">
        <f t="shared" ref="EE36" si="242">IFERROR(IF(CB36&lt;&gt;"OK","",CZ36*DZ36*0.92),"")</f>
        <v/>
      </c>
      <c r="EF36" s="925" t="str">
        <f t="shared" ref="EF36" si="243">IFERROR(IF(CB36&lt;&gt;"OK","",CZ36*DZ36*0.92),"")</f>
        <v/>
      </c>
      <c r="EG36" s="925" t="str">
        <f>IFERROR(IF($CB36&lt;&gt;"OK","",CM36*'DATA TABLES_Project'!$B$290+CO36*'DATA TABLES_Project'!$B$291),"")</f>
        <v/>
      </c>
      <c r="EH36" s="925" t="str">
        <f>IFERROR(IF($CB36&lt;&gt;"OK","",DD36*'DATA TABLES_Project'!$B$290+DK36*'DATA TABLES_Project'!$B$291),"")</f>
        <v/>
      </c>
      <c r="EI36" s="925" t="str">
        <f>IFERROR(IF($CB36&lt;&gt;"OK","",DE36*'DATA TABLES_Project'!$B$290+DL36*'DATA TABLES_Project'!$B$291),"")</f>
        <v/>
      </c>
      <c r="EJ36" s="925" t="str">
        <f>IFERROR(IF($CB36&lt;&gt;"OK","",DF36*'DATA TABLES_Project'!$B$290+DM36*'DATA TABLES_Project'!$B$291),"")</f>
        <v/>
      </c>
      <c r="EK36" s="925" t="str">
        <f>IFERROR(IF($CB36&lt;&gt;"OK","",DG36*'DATA TABLES_Project'!$B$290+DN36*'DATA TABLES_Project'!$B$291),"")</f>
        <v/>
      </c>
      <c r="EL36" s="925" t="str">
        <f>IFERROR(IF($CB36&lt;&gt;"OK","",DH36*'DATA TABLES_Project'!$B$290+DO36*'DATA TABLES_Project'!$B$291),"")</f>
        <v/>
      </c>
      <c r="EM36" s="925" t="str">
        <f>IFERROR(IF($CB36&lt;&gt;"OK","",DI36*'DATA TABLES_Project'!$B$290+DP36*'DATA TABLES_Project'!$B$291),"")</f>
        <v/>
      </c>
      <c r="EN36" s="925" t="str">
        <f>IFERROR(IF($CB36&lt;&gt;"OK","",DJ36*'DATA TABLES_Project'!$B$290+DQ36*'DATA TABLES_Project'!$B$291),"")</f>
        <v/>
      </c>
    </row>
    <row r="37" spans="1:144" ht="16.350000000000001" customHeight="1">
      <c r="A37" s="462"/>
      <c r="B37" s="994"/>
      <c r="C37" s="998"/>
      <c r="D37" s="999"/>
      <c r="E37" s="1000"/>
      <c r="F37" s="964"/>
      <c r="G37" s="965"/>
      <c r="H37" s="965"/>
      <c r="I37" s="965"/>
      <c r="J37" s="965"/>
      <c r="K37" s="966"/>
      <c r="L37" s="964"/>
      <c r="M37" s="965"/>
      <c r="N37" s="965"/>
      <c r="O37" s="965"/>
      <c r="P37" s="965"/>
      <c r="Q37" s="966"/>
      <c r="R37" s="1044"/>
      <c r="S37" s="1044"/>
      <c r="T37" s="1044"/>
      <c r="U37" s="1044"/>
      <c r="V37" s="1044"/>
      <c r="W37" s="1044"/>
      <c r="X37" s="1045"/>
      <c r="Y37" s="1045"/>
      <c r="Z37" s="1045"/>
      <c r="AA37" s="1045"/>
      <c r="AB37" s="1045"/>
      <c r="AC37" s="1045"/>
      <c r="AD37" s="964"/>
      <c r="AE37" s="965"/>
      <c r="AF37" s="965"/>
      <c r="AG37" s="965"/>
      <c r="AH37" s="965"/>
      <c r="AI37" s="966"/>
      <c r="AJ37" s="952"/>
      <c r="AK37" s="953"/>
      <c r="AL37" s="954"/>
      <c r="AM37" s="952"/>
      <c r="AN37" s="953"/>
      <c r="AO37" s="954"/>
      <c r="AP37" s="958"/>
      <c r="AQ37" s="959"/>
      <c r="AR37" s="960"/>
      <c r="AS37" s="958"/>
      <c r="AT37" s="959"/>
      <c r="AU37" s="960"/>
      <c r="AV37" s="968"/>
      <c r="AW37" s="969"/>
      <c r="AX37" s="969"/>
      <c r="AY37" s="969"/>
      <c r="AZ37" s="969"/>
      <c r="BA37" s="970"/>
      <c r="BB37" s="947"/>
      <c r="BC37" s="948"/>
      <c r="BD37" s="947"/>
      <c r="BE37" s="948"/>
      <c r="BF37" s="931"/>
      <c r="BG37" s="932"/>
      <c r="BH37" s="974"/>
      <c r="BI37" s="975"/>
      <c r="BJ37" s="976"/>
      <c r="BK37" s="936"/>
      <c r="BL37" s="937"/>
      <c r="BM37" s="938"/>
      <c r="BN37" s="942"/>
      <c r="BO37" s="943"/>
      <c r="BP37" s="944"/>
      <c r="BQ37"/>
      <c r="BR37"/>
      <c r="BS37" s="967"/>
      <c r="BT37" s="967"/>
      <c r="BV37" s="926"/>
      <c r="BW37" s="926"/>
      <c r="BX37" s="926"/>
      <c r="BY37" s="927"/>
      <c r="BZ37" s="928"/>
      <c r="CB37" s="986"/>
      <c r="CC37" s="925"/>
      <c r="CD37" s="925"/>
      <c r="CE37" s="925"/>
      <c r="CF37" s="925"/>
      <c r="CG37" s="925"/>
      <c r="CH37" s="925"/>
      <c r="CI37" s="925"/>
      <c r="CJ37" s="977"/>
      <c r="CK37" s="977"/>
      <c r="CL37" s="977"/>
      <c r="CM37" s="977"/>
      <c r="CN37" s="977"/>
      <c r="CO37" s="977"/>
      <c r="CP37" s="977"/>
      <c r="CQ37" s="977"/>
      <c r="CR37" s="977"/>
      <c r="CS37" s="983"/>
      <c r="CT37" s="1056"/>
      <c r="CU37" s="979"/>
      <c r="CV37" s="925"/>
      <c r="CW37" s="925"/>
      <c r="CX37" s="925"/>
      <c r="CY37" s="925"/>
      <c r="CZ37" s="925"/>
      <c r="DA37" s="925"/>
      <c r="DD37" s="981"/>
      <c r="DE37" s="925"/>
      <c r="DF37" s="981"/>
      <c r="DG37" s="925"/>
      <c r="DH37" s="925"/>
      <c r="DI37" s="925"/>
      <c r="DJ37" s="925"/>
      <c r="DK37" s="925"/>
      <c r="DL37" s="925"/>
      <c r="DM37" s="925"/>
      <c r="DN37" s="925"/>
      <c r="DO37" s="925"/>
      <c r="DP37" s="925"/>
      <c r="DQ37" s="925"/>
      <c r="DR37" s="981"/>
      <c r="DS37" s="981"/>
      <c r="DT37" s="981"/>
      <c r="DU37" s="981"/>
      <c r="DV37" s="981"/>
      <c r="DW37" s="981"/>
      <c r="DX37" s="981"/>
      <c r="DY37" s="925"/>
      <c r="DZ37" s="925"/>
      <c r="EA37" s="925"/>
      <c r="EB37" s="925"/>
      <c r="EC37" s="925"/>
      <c r="ED37" s="925"/>
      <c r="EE37" s="925"/>
      <c r="EF37" s="925"/>
      <c r="EG37" s="925"/>
      <c r="EH37" s="925"/>
      <c r="EI37" s="925"/>
      <c r="EJ37" s="925"/>
      <c r="EK37" s="925"/>
      <c r="EL37" s="925"/>
      <c r="EM37" s="925"/>
      <c r="EN37" s="925"/>
    </row>
    <row r="38" spans="1:144" ht="16.350000000000001" customHeight="1">
      <c r="A38" s="462"/>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462"/>
      <c r="BD38" s="462"/>
      <c r="BE38" s="462"/>
      <c r="BF38" s="462"/>
      <c r="BG38" s="462"/>
      <c r="BH38" s="462"/>
      <c r="BI38" s="462"/>
      <c r="BJ38" s="462"/>
      <c r="BK38"/>
      <c r="BL38"/>
      <c r="BM38"/>
      <c r="BN38"/>
      <c r="BO38"/>
      <c r="BP38"/>
      <c r="BQ38"/>
      <c r="BR38"/>
    </row>
    <row r="39" spans="1:144" ht="16.350000000000001" hidden="1"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row>
    <row r="40" spans="1:144" ht="16.350000000000001" hidden="1"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row>
    <row r="41" spans="1:144" ht="16.350000000000001" hidden="1"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row>
    <row r="42" spans="1:144" ht="16.350000000000001"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row>
    <row r="43" spans="1:144" ht="16.350000000000001"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row>
    <row r="44" spans="1:144" ht="16.350000000000001"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row>
    <row r="45" spans="1:144" ht="16.350000000000001"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row>
    <row r="46" spans="1:144" ht="16.350000000000001"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row>
    <row r="47" spans="1:144" ht="16.350000000000001"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row>
    <row r="48" spans="1:144" ht="16.350000000000001"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s="16"/>
      <c r="AZ48" s="20"/>
      <c r="BA48"/>
      <c r="BB48"/>
      <c r="BC48" s="20"/>
      <c r="BD48" s="20"/>
      <c r="BE48"/>
      <c r="BF48"/>
      <c r="BG48"/>
      <c r="BH48"/>
      <c r="BI48"/>
      <c r="BJ48"/>
      <c r="BK48"/>
      <c r="BL48"/>
      <c r="BM48"/>
      <c r="BN48"/>
      <c r="BO48"/>
      <c r="BP48"/>
      <c r="BQ48"/>
      <c r="BR48"/>
    </row>
    <row r="49" spans="51:56" customFormat="1" ht="16.350000000000001" hidden="1" customHeight="1">
      <c r="AY49" s="16"/>
      <c r="AZ49" s="20"/>
      <c r="BC49" s="20"/>
      <c r="BD49" s="20"/>
    </row>
    <row r="50" spans="51:56" customFormat="1" ht="16.350000000000001" hidden="1" customHeight="1">
      <c r="AY50" s="16"/>
      <c r="AZ50" s="20"/>
      <c r="BC50" s="20"/>
      <c r="BD50" s="20"/>
    </row>
    <row r="51" spans="51:56" customFormat="1" ht="16.350000000000001" hidden="1" customHeight="1">
      <c r="AY51" s="16"/>
      <c r="AZ51" s="20"/>
      <c r="BC51" s="20"/>
      <c r="BD51" s="20"/>
    </row>
    <row r="52" spans="51:56" customFormat="1" ht="16.350000000000001" hidden="1" customHeight="1">
      <c r="AY52" s="16"/>
      <c r="AZ52" s="20"/>
      <c r="BC52" s="20"/>
      <c r="BD52" s="20"/>
    </row>
    <row r="53" spans="51:56" customFormat="1" ht="16.350000000000001" hidden="1" customHeight="1">
      <c r="AY53" s="16"/>
      <c r="AZ53" s="20"/>
      <c r="BC53" s="20"/>
      <c r="BD53" s="20"/>
    </row>
    <row r="54" spans="51:56" customFormat="1" ht="16.350000000000001" hidden="1" customHeight="1">
      <c r="AY54" s="16"/>
      <c r="AZ54" s="20"/>
      <c r="BC54" s="20"/>
      <c r="BD54" s="20"/>
    </row>
    <row r="55" spans="51:56" customFormat="1" ht="16.350000000000001" hidden="1" customHeight="1">
      <c r="AY55" s="16"/>
      <c r="AZ55" s="20"/>
      <c r="BC55" s="20"/>
      <c r="BD55" s="20"/>
    </row>
    <row r="56" spans="51:56" customFormat="1" ht="16.350000000000001" hidden="1" customHeight="1">
      <c r="AY56" s="16"/>
      <c r="AZ56" s="20"/>
      <c r="BC56" s="20"/>
      <c r="BD56" s="20"/>
    </row>
    <row r="57" spans="51:56" customFormat="1" ht="16.350000000000001" hidden="1" customHeight="1">
      <c r="AY57" s="16"/>
      <c r="AZ57" s="20"/>
      <c r="BC57" s="20"/>
      <c r="BD57" s="20"/>
    </row>
    <row r="58" spans="51:56" customFormat="1" ht="16.350000000000001" hidden="1" customHeight="1">
      <c r="AY58" s="16"/>
      <c r="AZ58" s="20"/>
      <c r="BC58" s="20"/>
      <c r="BD58" s="20"/>
    </row>
    <row r="59" spans="51:56" customFormat="1" ht="16.350000000000001" hidden="1" customHeight="1">
      <c r="AY59" s="16"/>
      <c r="AZ59" s="20"/>
      <c r="BC59" s="20"/>
      <c r="BD59" s="20"/>
    </row>
    <row r="60" spans="51:56" customFormat="1" ht="16.350000000000001" hidden="1" customHeight="1">
      <c r="AY60" s="16"/>
      <c r="AZ60" s="20"/>
      <c r="BC60" s="20"/>
      <c r="BD60" s="20"/>
    </row>
    <row r="61" spans="51:56" customFormat="1" ht="16.350000000000001" hidden="1" customHeight="1">
      <c r="AY61" s="16"/>
      <c r="AZ61" s="20"/>
      <c r="BC61" s="20"/>
      <c r="BD61" s="20"/>
    </row>
    <row r="62" spans="51:56" customFormat="1" ht="16.350000000000001" hidden="1" customHeight="1">
      <c r="AY62" s="16"/>
      <c r="AZ62" s="20"/>
      <c r="BC62" s="20"/>
      <c r="BD62" s="20"/>
    </row>
    <row r="63" spans="51:56" customFormat="1" ht="16.350000000000001" hidden="1" customHeight="1">
      <c r="AY63" s="16"/>
      <c r="AZ63" s="20"/>
      <c r="BC63" s="20"/>
      <c r="BD63" s="20"/>
    </row>
    <row r="64" spans="51:56" customFormat="1" ht="16.350000000000001" hidden="1" customHeight="1">
      <c r="AY64" s="16"/>
      <c r="AZ64" s="20"/>
      <c r="BC64" s="20"/>
      <c r="BD64" s="20"/>
    </row>
    <row r="65" spans="51:56" customFormat="1" ht="16.350000000000001" hidden="1" customHeight="1">
      <c r="AY65" s="16"/>
      <c r="AZ65" s="20"/>
      <c r="BC65" s="20"/>
      <c r="BD65" s="20"/>
    </row>
    <row r="66" spans="51:56" customFormat="1" ht="16.350000000000001" hidden="1" customHeight="1">
      <c r="AY66" s="16"/>
      <c r="AZ66" s="20"/>
      <c r="BC66" s="20"/>
      <c r="BD66" s="20"/>
    </row>
    <row r="67" spans="51:56" customFormat="1" ht="16.350000000000001" hidden="1" customHeight="1">
      <c r="AY67" s="16"/>
      <c r="AZ67" s="20"/>
      <c r="BC67" s="20"/>
      <c r="BD67" s="20"/>
    </row>
    <row r="68" spans="51:56" customFormat="1" ht="16.350000000000001" hidden="1" customHeight="1">
      <c r="AY68" s="16"/>
      <c r="AZ68" s="20"/>
      <c r="BC68" s="20"/>
      <c r="BD68" s="20"/>
    </row>
    <row r="69" spans="51:56" customFormat="1" ht="16.350000000000001" hidden="1" customHeight="1">
      <c r="AY69" s="16"/>
      <c r="AZ69" s="20"/>
      <c r="BC69" s="20"/>
      <c r="BD69" s="20"/>
    </row>
    <row r="70" spans="51:56" customFormat="1" ht="16.350000000000001" hidden="1" customHeight="1">
      <c r="AY70" s="16"/>
      <c r="AZ70" s="20"/>
      <c r="BC70" s="20"/>
      <c r="BD70" s="20"/>
    </row>
    <row r="71" spans="51:56" customFormat="1" ht="16.350000000000001" hidden="1" customHeight="1">
      <c r="AY71" s="16"/>
      <c r="AZ71" s="20"/>
      <c r="BC71" s="20"/>
      <c r="BD71" s="20"/>
    </row>
    <row r="72" spans="51:56" customFormat="1" ht="16.350000000000001" hidden="1" customHeight="1">
      <c r="AY72" s="16"/>
      <c r="AZ72" s="20"/>
      <c r="BC72" s="20"/>
      <c r="BD72" s="20"/>
    </row>
    <row r="73" spans="51:56" customFormat="1" ht="16.350000000000001" hidden="1" customHeight="1">
      <c r="AY73" s="16"/>
      <c r="AZ73" s="20"/>
      <c r="BC73" s="20"/>
      <c r="BD73" s="20"/>
    </row>
    <row r="74" spans="51:56" customFormat="1" ht="16.350000000000001" hidden="1" customHeight="1">
      <c r="AY74" s="16"/>
      <c r="AZ74" s="20"/>
      <c r="BC74" s="20"/>
      <c r="BD74" s="20"/>
    </row>
    <row r="75" spans="51:56" customFormat="1" ht="16.350000000000001" hidden="1" customHeight="1">
      <c r="AY75" s="16"/>
      <c r="AZ75" s="20"/>
      <c r="BC75" s="20"/>
      <c r="BD75" s="20"/>
    </row>
    <row r="76" spans="51:56" customFormat="1" ht="16.350000000000001" hidden="1" customHeight="1">
      <c r="AY76" s="16"/>
      <c r="AZ76" s="20"/>
      <c r="BC76" s="20"/>
      <c r="BD76" s="20"/>
    </row>
    <row r="77" spans="51:56" customFormat="1" ht="16.350000000000001" hidden="1" customHeight="1">
      <c r="AY77" s="16"/>
      <c r="AZ77" s="20"/>
      <c r="BC77" s="20"/>
      <c r="BD77" s="20"/>
    </row>
    <row r="78" spans="51:56" customFormat="1" ht="16.350000000000001" hidden="1" customHeight="1">
      <c r="AY78" s="16"/>
      <c r="AZ78" s="20"/>
      <c r="BC78" s="20"/>
      <c r="BD78" s="20"/>
    </row>
    <row r="79" spans="51:56" customFormat="1" ht="16.350000000000001" hidden="1" customHeight="1">
      <c r="AY79" s="16"/>
      <c r="AZ79" s="20"/>
      <c r="BC79" s="20"/>
      <c r="BD79" s="20"/>
    </row>
    <row r="80" spans="51:56" customFormat="1" ht="16.350000000000001" hidden="1" customHeight="1">
      <c r="AY80" s="16"/>
      <c r="AZ80" s="20"/>
      <c r="BC80" s="20"/>
      <c r="BD80" s="20"/>
    </row>
    <row r="81" spans="51:56" customFormat="1" ht="16.350000000000001" hidden="1" customHeight="1">
      <c r="AY81" s="16"/>
      <c r="AZ81" s="20"/>
      <c r="BC81" s="20"/>
      <c r="BD81" s="20"/>
    </row>
    <row r="82" spans="51:56" customFormat="1" ht="16.350000000000001" hidden="1" customHeight="1">
      <c r="AY82" s="16"/>
      <c r="AZ82" s="20"/>
      <c r="BC82" s="20"/>
      <c r="BD82" s="20"/>
    </row>
    <row r="83" spans="51:56" customFormat="1" ht="16.350000000000001" hidden="1" customHeight="1">
      <c r="AY83" s="16"/>
      <c r="AZ83" s="20"/>
      <c r="BC83" s="20"/>
      <c r="BD83" s="20"/>
    </row>
    <row r="84" spans="51:56" customFormat="1" ht="16.350000000000001" hidden="1" customHeight="1">
      <c r="AY84" s="16"/>
      <c r="AZ84" s="20"/>
      <c r="BC84" s="20"/>
      <c r="BD84" s="20"/>
    </row>
    <row r="85" spans="51:56" customFormat="1" ht="16.350000000000001" hidden="1" customHeight="1">
      <c r="AY85" s="16"/>
      <c r="AZ85" s="20"/>
      <c r="BC85" s="20"/>
      <c r="BD85" s="20"/>
    </row>
    <row r="86" spans="51:56" customFormat="1" ht="16.350000000000001" hidden="1" customHeight="1">
      <c r="AY86" s="16"/>
      <c r="AZ86" s="20"/>
      <c r="BC86" s="20"/>
      <c r="BD86" s="20"/>
    </row>
    <row r="87" spans="51:56" customFormat="1" ht="16.350000000000001" hidden="1" customHeight="1">
      <c r="AY87" s="16"/>
      <c r="AZ87" s="20"/>
      <c r="BC87" s="20"/>
      <c r="BD87" s="20"/>
    </row>
    <row r="88" spans="51:56" customFormat="1" ht="16.350000000000001" hidden="1" customHeight="1">
      <c r="AY88" s="16"/>
      <c r="AZ88" s="20"/>
      <c r="BC88" s="20"/>
      <c r="BD88" s="20"/>
    </row>
    <row r="89" spans="51:56" customFormat="1" ht="16.350000000000001" hidden="1" customHeight="1">
      <c r="AY89" s="16"/>
      <c r="AZ89" s="20"/>
      <c r="BC89" s="20"/>
      <c r="BD89" s="20"/>
    </row>
    <row r="90" spans="51:56" customFormat="1" ht="16.350000000000001" hidden="1" customHeight="1">
      <c r="AY90" s="16"/>
      <c r="AZ90" s="20"/>
      <c r="BC90" s="20"/>
      <c r="BD90" s="20"/>
    </row>
    <row r="91" spans="51:56" customFormat="1" ht="16.350000000000001" hidden="1" customHeight="1">
      <c r="AY91" s="16"/>
      <c r="AZ91" s="20"/>
      <c r="BC91" s="20"/>
      <c r="BD91" s="20"/>
    </row>
    <row r="92" spans="51:56" customFormat="1" ht="16.350000000000001" hidden="1" customHeight="1">
      <c r="AY92" s="16"/>
      <c r="AZ92" s="20"/>
      <c r="BC92" s="20"/>
      <c r="BD92" s="20"/>
    </row>
    <row r="93" spans="51:56" customFormat="1" ht="16.350000000000001" hidden="1" customHeight="1">
      <c r="AY93" s="16"/>
      <c r="AZ93" s="20"/>
      <c r="BC93" s="20"/>
      <c r="BD93" s="20"/>
    </row>
    <row r="94" spans="51:56" customFormat="1" ht="16.350000000000001" hidden="1" customHeight="1">
      <c r="AY94" s="16"/>
      <c r="AZ94" s="20"/>
      <c r="BC94" s="20"/>
      <c r="BD94" s="20"/>
    </row>
    <row r="95" spans="51:56" customFormat="1" ht="16.350000000000001" hidden="1" customHeight="1">
      <c r="AY95" s="16"/>
      <c r="AZ95" s="20"/>
      <c r="BC95" s="20"/>
      <c r="BD95" s="20"/>
    </row>
    <row r="96" spans="51:56" customFormat="1" ht="16.350000000000001" hidden="1" customHeight="1">
      <c r="AY96" s="16"/>
      <c r="AZ96" s="20"/>
      <c r="BC96" s="20"/>
      <c r="BD96" s="20"/>
    </row>
    <row r="97" spans="51:56" customFormat="1" ht="16.350000000000001" hidden="1" customHeight="1">
      <c r="AY97" s="16"/>
      <c r="AZ97" s="20"/>
      <c r="BC97" s="20"/>
      <c r="BD97" s="20"/>
    </row>
    <row r="98" spans="51:56" customFormat="1" ht="16.350000000000001" hidden="1" customHeight="1">
      <c r="AY98" s="16"/>
      <c r="AZ98" s="20"/>
      <c r="BC98" s="20"/>
      <c r="BD98" s="20"/>
    </row>
    <row r="99" spans="51:56" customFormat="1" ht="16.350000000000001" hidden="1" customHeight="1">
      <c r="AY99" s="16"/>
      <c r="AZ99" s="20"/>
      <c r="BC99" s="20"/>
      <c r="BD99" s="20"/>
    </row>
    <row r="100" spans="51:56" customFormat="1" ht="16.350000000000001" hidden="1" customHeight="1">
      <c r="AY100" s="16"/>
      <c r="AZ100" s="20"/>
      <c r="BC100" s="20"/>
      <c r="BD100" s="20"/>
    </row>
    <row r="101" spans="51:56" customFormat="1" ht="16.350000000000001" hidden="1" customHeight="1">
      <c r="AY101" s="16"/>
      <c r="AZ101" s="20"/>
      <c r="BC101" s="20"/>
      <c r="BD101" s="20"/>
    </row>
    <row r="102" spans="51:56" customFormat="1" ht="16.350000000000001" hidden="1" customHeight="1">
      <c r="AY102" s="16"/>
      <c r="AZ102" s="20"/>
      <c r="BC102" s="20"/>
      <c r="BD102" s="20"/>
    </row>
    <row r="103" spans="51:56" customFormat="1" ht="16.350000000000001" hidden="1" customHeight="1">
      <c r="AY103" s="16"/>
      <c r="AZ103" s="20"/>
      <c r="BC103" s="20"/>
      <c r="BD103" s="20"/>
    </row>
    <row r="104" spans="51:56" customFormat="1" ht="16.350000000000001" hidden="1" customHeight="1">
      <c r="AY104" s="16"/>
      <c r="AZ104" s="20"/>
      <c r="BC104" s="20"/>
      <c r="BD104" s="20"/>
    </row>
    <row r="105" spans="51:56" customFormat="1" ht="16.350000000000001" hidden="1" customHeight="1">
      <c r="AY105" s="16"/>
      <c r="AZ105" s="20"/>
      <c r="BC105" s="20"/>
      <c r="BD105" s="20"/>
    </row>
    <row r="106" spans="51:56" customFormat="1" ht="16.350000000000001" hidden="1" customHeight="1">
      <c r="AY106" s="16"/>
      <c r="AZ106" s="20"/>
      <c r="BC106" s="20"/>
      <c r="BD106" s="20"/>
    </row>
    <row r="107" spans="51:56" customFormat="1" ht="16.350000000000001" hidden="1" customHeight="1">
      <c r="AY107" s="16"/>
      <c r="AZ107" s="20"/>
      <c r="BC107" s="20"/>
      <c r="BD107" s="20"/>
    </row>
    <row r="108" spans="51:56" customFormat="1" ht="16.350000000000001" hidden="1" customHeight="1">
      <c r="AY108" s="16"/>
      <c r="AZ108" s="20"/>
      <c r="BC108" s="20"/>
      <c r="BD108" s="20"/>
    </row>
    <row r="109" spans="51:56" customFormat="1" ht="16.350000000000001" hidden="1" customHeight="1">
      <c r="AY109" s="16"/>
      <c r="AZ109" s="20"/>
      <c r="BC109" s="20"/>
      <c r="BD109" s="20"/>
    </row>
    <row r="110" spans="51:56" customFormat="1" ht="16.350000000000001" hidden="1" customHeight="1">
      <c r="AY110" s="16"/>
      <c r="AZ110" s="20"/>
      <c r="BC110" s="20"/>
      <c r="BD110" s="20"/>
    </row>
    <row r="111" spans="51:56" customFormat="1" ht="16.350000000000001" hidden="1" customHeight="1">
      <c r="AY111" s="16"/>
      <c r="AZ111" s="20"/>
      <c r="BC111" s="20"/>
      <c r="BD111" s="20"/>
    </row>
    <row r="112" spans="51:56" customFormat="1" ht="16.350000000000001" hidden="1" customHeight="1">
      <c r="AY112" s="16"/>
      <c r="AZ112" s="20"/>
      <c r="BC112" s="20"/>
      <c r="BD112" s="20"/>
    </row>
    <row r="113" spans="51:56" customFormat="1" ht="16.350000000000001" hidden="1" customHeight="1">
      <c r="AY113" s="16"/>
      <c r="AZ113" s="20"/>
      <c r="BC113" s="20"/>
      <c r="BD113" s="20"/>
    </row>
    <row r="114" spans="51:56" customFormat="1" ht="16.350000000000001" hidden="1" customHeight="1">
      <c r="AY114" s="16"/>
      <c r="AZ114" s="20"/>
      <c r="BC114" s="20"/>
      <c r="BD114" s="20"/>
    </row>
    <row r="115" spans="51:56" customFormat="1" ht="16.350000000000001" hidden="1" customHeight="1">
      <c r="AY115" s="16"/>
      <c r="AZ115" s="20"/>
      <c r="BC115" s="20"/>
      <c r="BD115" s="20"/>
    </row>
    <row r="116" spans="51:56" customFormat="1" ht="16.350000000000001" hidden="1" customHeight="1">
      <c r="AY116" s="16"/>
      <c r="AZ116" s="20"/>
      <c r="BC116" s="20"/>
      <c r="BD116" s="20"/>
    </row>
    <row r="117" spans="51:56" customFormat="1" ht="16.350000000000001" hidden="1" customHeight="1">
      <c r="AY117" s="16"/>
      <c r="AZ117" s="20"/>
      <c r="BC117" s="20"/>
      <c r="BD117" s="20"/>
    </row>
    <row r="118" spans="51:56" customFormat="1" ht="16.350000000000001" hidden="1" customHeight="1">
      <c r="AY118" s="16"/>
      <c r="AZ118" s="20"/>
      <c r="BC118" s="20"/>
      <c r="BD118" s="20"/>
    </row>
    <row r="119" spans="51:56" customFormat="1" ht="16.350000000000001" hidden="1" customHeight="1">
      <c r="AY119" s="16"/>
      <c r="AZ119" s="20"/>
      <c r="BC119" s="20"/>
      <c r="BD119" s="20"/>
    </row>
    <row r="120" spans="51:56" customFormat="1" ht="16.350000000000001" hidden="1" customHeight="1">
      <c r="AY120" s="16"/>
      <c r="AZ120" s="20"/>
      <c r="BC120" s="20"/>
      <c r="BD120" s="20"/>
    </row>
    <row r="121" spans="51:56" customFormat="1" ht="16.350000000000001" hidden="1" customHeight="1">
      <c r="AY121" s="16"/>
      <c r="AZ121" s="20"/>
      <c r="BC121" s="20"/>
      <c r="BD121" s="20"/>
    </row>
    <row r="122" spans="51:56" customFormat="1" ht="16.350000000000001" hidden="1" customHeight="1">
      <c r="AY122" s="16"/>
      <c r="AZ122" s="20"/>
      <c r="BC122" s="20"/>
      <c r="BD122" s="20"/>
    </row>
    <row r="123" spans="51:56" customFormat="1" ht="16.350000000000001" hidden="1" customHeight="1">
      <c r="AY123" s="16"/>
      <c r="AZ123" s="20"/>
      <c r="BC123" s="20"/>
      <c r="BD123" s="20"/>
    </row>
    <row r="124" spans="51:56" customFormat="1" ht="16.350000000000001" hidden="1" customHeight="1">
      <c r="AY124" s="16"/>
      <c r="AZ124" s="20"/>
      <c r="BC124" s="20"/>
      <c r="BD124" s="20"/>
    </row>
    <row r="125" spans="51:56" customFormat="1" ht="16.350000000000001" hidden="1" customHeight="1">
      <c r="AY125" s="16"/>
      <c r="AZ125" s="20"/>
      <c r="BC125" s="20"/>
      <c r="BD125" s="20"/>
    </row>
    <row r="126" spans="51:56" customFormat="1" ht="16.350000000000001" hidden="1" customHeight="1">
      <c r="AY126" s="16"/>
      <c r="AZ126" s="20"/>
      <c r="BC126" s="20"/>
      <c r="BD126" s="20"/>
    </row>
    <row r="127" spans="51:56" customFormat="1" ht="16.350000000000001" hidden="1" customHeight="1">
      <c r="AY127" s="16"/>
      <c r="AZ127" s="20"/>
      <c r="BC127" s="20"/>
      <c r="BD127" s="20"/>
    </row>
    <row r="128" spans="51:56" customFormat="1" ht="16.350000000000001" hidden="1" customHeight="1">
      <c r="AY128" s="16"/>
      <c r="AZ128" s="20"/>
      <c r="BC128" s="20"/>
      <c r="BD128" s="20"/>
    </row>
    <row r="129" spans="51:56" customFormat="1" ht="16.350000000000001" hidden="1" customHeight="1">
      <c r="AY129" s="16"/>
      <c r="AZ129" s="20"/>
      <c r="BC129" s="20"/>
      <c r="BD129" s="20"/>
    </row>
    <row r="130" spans="51:56" customFormat="1" ht="16.350000000000001" hidden="1" customHeight="1">
      <c r="AY130" s="16"/>
      <c r="AZ130" s="20"/>
      <c r="BC130" s="20"/>
      <c r="BD130" s="20"/>
    </row>
    <row r="131" spans="51:56" customFormat="1" ht="16.350000000000001" hidden="1" customHeight="1">
      <c r="AY131" s="16"/>
      <c r="AZ131" s="20"/>
      <c r="BC131" s="20"/>
      <c r="BD131" s="20"/>
    </row>
    <row r="132" spans="51:56" customFormat="1" ht="16.350000000000001" hidden="1" customHeight="1">
      <c r="AY132" s="16"/>
      <c r="AZ132" s="20"/>
      <c r="BC132" s="20"/>
      <c r="BD132" s="20"/>
    </row>
    <row r="133" spans="51:56" customFormat="1" ht="16.350000000000001" hidden="1" customHeight="1">
      <c r="AY133" s="16"/>
      <c r="AZ133" s="20"/>
      <c r="BC133" s="20"/>
      <c r="BD133" s="20"/>
    </row>
    <row r="134" spans="51:56" customFormat="1" ht="16.350000000000001" hidden="1" customHeight="1">
      <c r="AY134" s="16"/>
      <c r="AZ134" s="20"/>
      <c r="BC134" s="20"/>
      <c r="BD134" s="20"/>
    </row>
    <row r="135" spans="51:56" customFormat="1" ht="16.350000000000001" hidden="1" customHeight="1">
      <c r="AY135" s="16"/>
      <c r="AZ135" s="20"/>
      <c r="BC135" s="20"/>
      <c r="BD135" s="20"/>
    </row>
    <row r="136" spans="51:56" customFormat="1" ht="16.350000000000001" hidden="1" customHeight="1">
      <c r="AY136" s="16"/>
      <c r="AZ136" s="20"/>
      <c r="BC136" s="20"/>
      <c r="BD136" s="20"/>
    </row>
    <row r="137" spans="51:56" customFormat="1" ht="16.350000000000001" hidden="1" customHeight="1">
      <c r="AY137" s="16"/>
      <c r="AZ137" s="20"/>
      <c r="BC137" s="20"/>
      <c r="BD137" s="20"/>
    </row>
    <row r="138" spans="51:56" customFormat="1" ht="16.350000000000001" hidden="1" customHeight="1">
      <c r="AY138" s="16"/>
      <c r="AZ138" s="20"/>
      <c r="BC138" s="20"/>
      <c r="BD138" s="20"/>
    </row>
    <row r="139" spans="51:56" customFormat="1" ht="16.350000000000001" hidden="1" customHeight="1">
      <c r="AY139" s="16"/>
      <c r="AZ139" s="20"/>
      <c r="BC139" s="20"/>
      <c r="BD139" s="20"/>
    </row>
    <row r="140" spans="51:56" customFormat="1" ht="16.350000000000001" hidden="1" customHeight="1">
      <c r="AY140" s="16"/>
      <c r="AZ140" s="20"/>
      <c r="BC140" s="20"/>
      <c r="BD140" s="20"/>
    </row>
    <row r="141" spans="51:56" customFormat="1" ht="16.350000000000001" hidden="1" customHeight="1">
      <c r="AY141" s="16"/>
      <c r="AZ141" s="20"/>
      <c r="BC141" s="20"/>
      <c r="BD141" s="20"/>
    </row>
    <row r="142" spans="51:56" customFormat="1" ht="16.350000000000001" hidden="1" customHeight="1">
      <c r="AY142" s="16"/>
      <c r="AZ142" s="20"/>
      <c r="BC142" s="20"/>
      <c r="BD142" s="20"/>
    </row>
    <row r="143" spans="51:56" customFormat="1" ht="16.350000000000001" hidden="1" customHeight="1">
      <c r="AY143" s="16"/>
      <c r="AZ143" s="20"/>
      <c r="BC143" s="20"/>
      <c r="BD143" s="20"/>
    </row>
    <row r="144" spans="51:56" customFormat="1" ht="16.350000000000001" hidden="1" customHeight="1">
      <c r="AY144" s="16"/>
      <c r="AZ144" s="20"/>
      <c r="BC144" s="20"/>
      <c r="BD144" s="20"/>
    </row>
    <row r="145" spans="51:56" customFormat="1" ht="16.350000000000001" hidden="1" customHeight="1">
      <c r="AY145" s="16"/>
      <c r="AZ145" s="20"/>
      <c r="BC145" s="20"/>
      <c r="BD145" s="20"/>
    </row>
    <row r="146" spans="51:56" customFormat="1" ht="16.350000000000001" hidden="1" customHeight="1">
      <c r="AY146" s="16"/>
      <c r="AZ146" s="20"/>
      <c r="BC146" s="20"/>
      <c r="BD146" s="20"/>
    </row>
    <row r="147" spans="51:56" customFormat="1" ht="16.350000000000001" hidden="1" customHeight="1">
      <c r="AY147" s="16"/>
      <c r="AZ147" s="20"/>
      <c r="BC147" s="20"/>
      <c r="BD147" s="20"/>
    </row>
    <row r="148" spans="51:56" customFormat="1" ht="16.350000000000001" hidden="1" customHeight="1">
      <c r="AY148" s="16"/>
      <c r="AZ148" s="20"/>
      <c r="BC148" s="20"/>
      <c r="BD148" s="20"/>
    </row>
    <row r="149" spans="51:56" customFormat="1" ht="16.350000000000001" hidden="1" customHeight="1">
      <c r="AY149" s="16"/>
      <c r="AZ149" s="20"/>
      <c r="BC149" s="20"/>
      <c r="BD149" s="20"/>
    </row>
    <row r="150" spans="51:56" customFormat="1" ht="16.350000000000001" hidden="1" customHeight="1">
      <c r="AY150" s="16"/>
      <c r="AZ150" s="20"/>
      <c r="BC150" s="20"/>
      <c r="BD150" s="20"/>
    </row>
    <row r="151" spans="51:56" customFormat="1" ht="16.350000000000001" hidden="1" customHeight="1">
      <c r="AY151" s="16"/>
      <c r="AZ151" s="20"/>
      <c r="BC151" s="20"/>
      <c r="BD151" s="20"/>
    </row>
    <row r="152" spans="51:56" customFormat="1" ht="16.350000000000001" hidden="1" customHeight="1">
      <c r="AY152" s="16"/>
      <c r="AZ152" s="20"/>
      <c r="BC152" s="20"/>
      <c r="BD152" s="20"/>
    </row>
    <row r="153" spans="51:56" customFormat="1" ht="16.350000000000001" hidden="1" customHeight="1">
      <c r="AY153" s="16"/>
      <c r="AZ153" s="20"/>
      <c r="BC153" s="20"/>
      <c r="BD153" s="20"/>
    </row>
    <row r="154" spans="51:56" customFormat="1" ht="16.350000000000001" hidden="1" customHeight="1">
      <c r="AY154" s="16"/>
      <c r="AZ154" s="20"/>
      <c r="BC154" s="20"/>
      <c r="BD154" s="20"/>
    </row>
    <row r="155" spans="51:56" customFormat="1" ht="16.350000000000001" hidden="1" customHeight="1">
      <c r="AY155" s="16"/>
      <c r="AZ155" s="20"/>
      <c r="BC155" s="20"/>
      <c r="BD155" s="20"/>
    </row>
    <row r="156" spans="51:56" customFormat="1" ht="16.350000000000001" hidden="1" customHeight="1">
      <c r="AY156" s="16"/>
      <c r="AZ156" s="20"/>
      <c r="BC156" s="20"/>
      <c r="BD156" s="20"/>
    </row>
    <row r="157" spans="51:56" customFormat="1" ht="16.350000000000001" hidden="1" customHeight="1">
      <c r="AY157" s="16"/>
      <c r="AZ157" s="20"/>
      <c r="BC157" s="20"/>
      <c r="BD157" s="20"/>
    </row>
    <row r="158" spans="51:56" customFormat="1" ht="16.350000000000001" hidden="1" customHeight="1">
      <c r="AY158" s="16"/>
      <c r="AZ158" s="20"/>
      <c r="BC158" s="20"/>
      <c r="BD158" s="20"/>
    </row>
    <row r="159" spans="51:56" customFormat="1" ht="16.350000000000001" hidden="1" customHeight="1">
      <c r="AY159" s="16"/>
      <c r="AZ159" s="20"/>
      <c r="BC159" s="20"/>
      <c r="BD159" s="20"/>
    </row>
    <row r="160" spans="51:56" customFormat="1" ht="16.350000000000001" hidden="1" customHeight="1">
      <c r="AY160" s="16"/>
      <c r="AZ160" s="20"/>
      <c r="BC160" s="20"/>
      <c r="BD160" s="20"/>
    </row>
    <row r="161" spans="51:56" customFormat="1" ht="16.350000000000001" hidden="1" customHeight="1">
      <c r="AY161" s="16"/>
      <c r="AZ161" s="20"/>
      <c r="BC161" s="20"/>
      <c r="BD161" s="20"/>
    </row>
    <row r="162" spans="51:56" customFormat="1" ht="16.350000000000001" hidden="1" customHeight="1">
      <c r="AY162" s="16"/>
      <c r="AZ162" s="20"/>
      <c r="BC162" s="20"/>
      <c r="BD162" s="20"/>
    </row>
    <row r="163" spans="51:56" customFormat="1" ht="16.350000000000001" hidden="1" customHeight="1">
      <c r="AY163" s="16"/>
      <c r="AZ163" s="20"/>
      <c r="BC163" s="20"/>
      <c r="BD163" s="20"/>
    </row>
    <row r="164" spans="51:56" customFormat="1" ht="16.350000000000001" hidden="1" customHeight="1">
      <c r="AY164" s="16"/>
      <c r="AZ164" s="20"/>
      <c r="BC164" s="20"/>
      <c r="BD164" s="20"/>
    </row>
    <row r="165" spans="51:56" customFormat="1" ht="16.350000000000001" hidden="1" customHeight="1">
      <c r="AY165" s="16"/>
      <c r="AZ165" s="20"/>
      <c r="BC165" s="20"/>
      <c r="BD165" s="20"/>
    </row>
    <row r="166" spans="51:56" customFormat="1" ht="16.350000000000001" hidden="1" customHeight="1">
      <c r="AY166" s="16"/>
      <c r="AZ166" s="20"/>
      <c r="BC166" s="20"/>
      <c r="BD166" s="20"/>
    </row>
    <row r="167" spans="51:56" customFormat="1" ht="16.350000000000001" hidden="1" customHeight="1">
      <c r="AY167" s="16"/>
      <c r="AZ167" s="20"/>
      <c r="BC167" s="20"/>
      <c r="BD167" s="20"/>
    </row>
    <row r="168" spans="51:56" customFormat="1" ht="16.350000000000001" hidden="1" customHeight="1">
      <c r="AY168" s="16"/>
      <c r="AZ168" s="20"/>
      <c r="BC168" s="20"/>
      <c r="BD168" s="20"/>
    </row>
    <row r="169" spans="51:56" customFormat="1" ht="16.350000000000001" hidden="1" customHeight="1">
      <c r="AY169" s="16"/>
      <c r="AZ169" s="20"/>
      <c r="BC169" s="20"/>
      <c r="BD169" s="20"/>
    </row>
    <row r="170" spans="51:56" customFormat="1" ht="16.350000000000001" hidden="1" customHeight="1">
      <c r="AY170" s="16"/>
      <c r="AZ170" s="20"/>
      <c r="BC170" s="20"/>
      <c r="BD170" s="20"/>
    </row>
    <row r="171" spans="51:56" customFormat="1" ht="16.350000000000001" hidden="1" customHeight="1">
      <c r="AY171" s="16"/>
      <c r="AZ171" s="20"/>
      <c r="BC171" s="20"/>
      <c r="BD171" s="20"/>
    </row>
    <row r="172" spans="51:56" customFormat="1" ht="16.350000000000001" hidden="1" customHeight="1">
      <c r="AY172" s="16"/>
      <c r="AZ172" s="20"/>
      <c r="BC172" s="20"/>
      <c r="BD172" s="20"/>
    </row>
    <row r="173" spans="51:56" customFormat="1" ht="16.350000000000001" hidden="1" customHeight="1">
      <c r="AY173" s="16"/>
      <c r="AZ173" s="20"/>
      <c r="BC173" s="20"/>
      <c r="BD173" s="20"/>
    </row>
    <row r="174" spans="51:56" customFormat="1" ht="16.350000000000001" hidden="1" customHeight="1">
      <c r="AY174" s="16"/>
      <c r="AZ174" s="20"/>
      <c r="BC174" s="20"/>
      <c r="BD174" s="20"/>
    </row>
    <row r="175" spans="51:56" customFormat="1" ht="16.350000000000001" hidden="1" customHeight="1">
      <c r="AY175" s="16"/>
      <c r="AZ175" s="20"/>
      <c r="BC175" s="20"/>
      <c r="BD175" s="20"/>
    </row>
    <row r="176" spans="51:56" customFormat="1" ht="16.350000000000001" hidden="1" customHeight="1">
      <c r="AY176" s="16"/>
      <c r="AZ176" s="20"/>
      <c r="BC176" s="20"/>
      <c r="BD176" s="20"/>
    </row>
    <row r="177" spans="51:56" customFormat="1" ht="16.350000000000001" hidden="1" customHeight="1">
      <c r="AY177" s="16"/>
      <c r="AZ177" s="20"/>
      <c r="BC177" s="20"/>
      <c r="BD177" s="20"/>
    </row>
    <row r="178" spans="51:56" customFormat="1" ht="16.350000000000001" hidden="1" customHeight="1">
      <c r="AY178" s="16"/>
      <c r="AZ178" s="20"/>
      <c r="BC178" s="20"/>
      <c r="BD178" s="20"/>
    </row>
    <row r="179" spans="51:56" customFormat="1" ht="16.350000000000001" hidden="1" customHeight="1">
      <c r="AY179" s="16"/>
      <c r="AZ179" s="20"/>
      <c r="BC179" s="20"/>
      <c r="BD179" s="20"/>
    </row>
    <row r="180" spans="51:56" customFormat="1" ht="16.350000000000001" hidden="1" customHeight="1">
      <c r="AY180" s="16"/>
      <c r="AZ180" s="20"/>
      <c r="BC180" s="20"/>
      <c r="BD180" s="20"/>
    </row>
    <row r="181" spans="51:56" customFormat="1" ht="16.350000000000001" hidden="1" customHeight="1">
      <c r="AY181" s="16"/>
      <c r="AZ181" s="20"/>
      <c r="BC181" s="20"/>
      <c r="BD181" s="20"/>
    </row>
    <row r="182" spans="51:56" customFormat="1" ht="16.350000000000001" hidden="1" customHeight="1">
      <c r="AY182" s="16"/>
      <c r="AZ182" s="20"/>
      <c r="BC182" s="20"/>
      <c r="BD182" s="20"/>
    </row>
    <row r="183" spans="51:56" customFormat="1" ht="16.350000000000001" hidden="1" customHeight="1">
      <c r="AY183" s="16"/>
      <c r="AZ183" s="20"/>
      <c r="BC183" s="20"/>
      <c r="BD183" s="20"/>
    </row>
    <row r="184" spans="51:56" customFormat="1" ht="16.350000000000001" hidden="1" customHeight="1">
      <c r="AY184" s="16"/>
      <c r="AZ184" s="20"/>
      <c r="BC184" s="20"/>
      <c r="BD184" s="20"/>
    </row>
    <row r="185" spans="51:56" customFormat="1" ht="16.350000000000001" hidden="1" customHeight="1">
      <c r="AY185" s="16"/>
      <c r="AZ185" s="20"/>
      <c r="BC185" s="20"/>
      <c r="BD185" s="20"/>
    </row>
    <row r="186" spans="51:56" customFormat="1" ht="16.350000000000001" hidden="1" customHeight="1">
      <c r="AY186" s="16"/>
      <c r="AZ186" s="20"/>
      <c r="BC186" s="20"/>
      <c r="BD186" s="20"/>
    </row>
    <row r="187" spans="51:56" customFormat="1" ht="16.350000000000001" hidden="1" customHeight="1">
      <c r="AY187" s="16"/>
      <c r="AZ187" s="20"/>
      <c r="BC187" s="20"/>
      <c r="BD187" s="20"/>
    </row>
    <row r="188" spans="51:56" customFormat="1" ht="16.350000000000001" hidden="1" customHeight="1">
      <c r="AY188" s="16"/>
      <c r="AZ188" s="20"/>
      <c r="BC188" s="20"/>
      <c r="BD188" s="20"/>
    </row>
    <row r="189" spans="51:56" customFormat="1" ht="16.350000000000001" hidden="1" customHeight="1">
      <c r="AY189" s="16"/>
      <c r="AZ189" s="20"/>
      <c r="BC189" s="20"/>
      <c r="BD189" s="20"/>
    </row>
    <row r="190" spans="51:56" customFormat="1" ht="16.350000000000001" hidden="1" customHeight="1">
      <c r="AY190" s="16"/>
      <c r="AZ190" s="20"/>
      <c r="BC190" s="20"/>
      <c r="BD190" s="20"/>
    </row>
    <row r="191" spans="51:56" customFormat="1" ht="16.350000000000001" hidden="1" customHeight="1">
      <c r="AY191" s="16"/>
      <c r="AZ191" s="20"/>
      <c r="BC191" s="20"/>
      <c r="BD191" s="20"/>
    </row>
    <row r="192" spans="51:56" customFormat="1" ht="16.350000000000001" hidden="1" customHeight="1">
      <c r="AY192" s="16"/>
      <c r="AZ192" s="20"/>
      <c r="BC192" s="20"/>
      <c r="BD192" s="20"/>
    </row>
    <row r="193" spans="1:70" ht="16.350000000000001" hidden="1" customHeigh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s="16"/>
      <c r="AZ193" s="20"/>
      <c r="BA193"/>
      <c r="BB193"/>
      <c r="BC193" s="20"/>
      <c r="BD193" s="20"/>
      <c r="BE193"/>
      <c r="BF193"/>
      <c r="BG193"/>
      <c r="BH193"/>
      <c r="BI193"/>
      <c r="BJ193"/>
      <c r="BK193"/>
      <c r="BL193"/>
      <c r="BM193"/>
      <c r="BN193"/>
      <c r="BO193"/>
      <c r="BP193"/>
      <c r="BQ193"/>
      <c r="BR193"/>
    </row>
    <row r="194" spans="1:70" ht="16.350000000000001" hidden="1" customHeigh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s="16"/>
      <c r="AZ194" s="20"/>
      <c r="BA194"/>
      <c r="BB194"/>
      <c r="BC194" s="20"/>
      <c r="BD194" s="20"/>
      <c r="BE194"/>
      <c r="BF194"/>
      <c r="BG194"/>
      <c r="BH194"/>
      <c r="BI194"/>
      <c r="BJ194"/>
      <c r="BK194"/>
      <c r="BL194"/>
      <c r="BM194"/>
      <c r="BN194"/>
      <c r="BO194"/>
      <c r="BP194"/>
      <c r="BQ194"/>
      <c r="BR194"/>
    </row>
    <row r="195" spans="1:70" ht="16.350000000000001" hidden="1"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s="16"/>
      <c r="AZ195" s="20"/>
      <c r="BA195"/>
      <c r="BB195"/>
      <c r="BC195" s="20"/>
      <c r="BD195" s="20"/>
      <c r="BE195"/>
      <c r="BF195"/>
      <c r="BG195"/>
      <c r="BH195"/>
      <c r="BI195"/>
      <c r="BJ195"/>
      <c r="BK195"/>
      <c r="BL195"/>
      <c r="BM195"/>
      <c r="BN195"/>
      <c r="BO195"/>
      <c r="BP195"/>
      <c r="BQ195"/>
      <c r="BR195"/>
    </row>
    <row r="196" spans="1:70" ht="16.350000000000001" hidden="1" customHeight="1">
      <c r="A196"/>
      <c r="B196"/>
      <c r="C196"/>
      <c r="D196"/>
      <c r="E196"/>
      <c r="F196"/>
      <c r="G196"/>
      <c r="H196"/>
      <c r="I196"/>
      <c r="J196"/>
      <c r="K196"/>
      <c r="L196"/>
      <c r="M196"/>
      <c r="N196"/>
      <c r="O196" s="919"/>
      <c r="P196" s="919"/>
      <c r="Q196" s="919"/>
      <c r="R196" s="919"/>
      <c r="S196" s="919"/>
      <c r="T196" s="919"/>
      <c r="U196" s="919"/>
      <c r="V196" s="919"/>
      <c r="W196" s="919"/>
      <c r="X196" s="919"/>
      <c r="Y196" s="919"/>
      <c r="Z196" s="919"/>
      <c r="AA196" s="919"/>
      <c r="AB196" s="919"/>
      <c r="AC196" s="919"/>
      <c r="AD196" s="919"/>
      <c r="AE196" s="919"/>
      <c r="AF196" s="919"/>
      <c r="AG196" s="919"/>
      <c r="AH196" s="919"/>
      <c r="AI196" s="919"/>
      <c r="AJ196" s="919"/>
      <c r="AK196" s="919"/>
      <c r="AL196" s="919"/>
      <c r="AM196" s="919"/>
      <c r="AN196" s="919"/>
      <c r="AO196" s="919"/>
      <c r="AP196" s="919"/>
      <c r="AQ196" s="919"/>
      <c r="AR196" s="919"/>
      <c r="AS196" s="919"/>
      <c r="AT196" s="919"/>
      <c r="AU196" s="919"/>
      <c r="AV196" s="919"/>
      <c r="AW196" s="919"/>
      <c r="AX196" s="919"/>
      <c r="AY196" s="919"/>
      <c r="AZ196"/>
      <c r="BA196"/>
      <c r="BB196"/>
      <c r="BC196"/>
      <c r="BD196"/>
      <c r="BE196"/>
      <c r="BF196"/>
      <c r="BG196"/>
      <c r="BH196"/>
      <c r="BI196"/>
      <c r="BJ196"/>
      <c r="BK196"/>
      <c r="BL196"/>
      <c r="BM196"/>
      <c r="BN196"/>
      <c r="BO196"/>
      <c r="BP196"/>
      <c r="BQ196"/>
      <c r="BR196"/>
    </row>
    <row r="197" spans="1:70" ht="16.350000000000001" hidden="1" customHeight="1">
      <c r="A197"/>
      <c r="B197"/>
      <c r="C197"/>
      <c r="D197"/>
      <c r="E197"/>
      <c r="F197"/>
      <c r="G197"/>
      <c r="H197"/>
      <c r="I197"/>
      <c r="J197"/>
      <c r="K197"/>
      <c r="L197"/>
      <c r="M197"/>
      <c r="N197"/>
      <c r="O197" s="919"/>
      <c r="P197" s="919"/>
      <c r="Q197" s="919"/>
      <c r="R197" s="919"/>
      <c r="S197" s="919"/>
      <c r="T197" s="919"/>
      <c r="U197" s="919"/>
      <c r="V197" s="919"/>
      <c r="W197" s="919"/>
      <c r="X197" s="919"/>
      <c r="Y197" s="919"/>
      <c r="Z197" s="919"/>
      <c r="AA197" s="919"/>
      <c r="AB197" s="919"/>
      <c r="AC197" s="919"/>
      <c r="AD197" s="919"/>
      <c r="AE197" s="919"/>
      <c r="AF197" s="919"/>
      <c r="AG197" s="919"/>
      <c r="AH197" s="919"/>
      <c r="AI197" s="919"/>
      <c r="AJ197" s="919"/>
      <c r="AK197" s="919"/>
      <c r="AL197" s="919"/>
      <c r="AM197" s="919"/>
      <c r="AN197" s="919"/>
      <c r="AO197" s="919"/>
      <c r="AP197" s="919"/>
      <c r="AQ197" s="919"/>
      <c r="AR197" s="919"/>
      <c r="AS197" s="919"/>
      <c r="AT197" s="919"/>
      <c r="AU197" s="919"/>
      <c r="AV197" s="919"/>
      <c r="AW197" s="919"/>
      <c r="AX197" s="919"/>
      <c r="AY197" s="919"/>
      <c r="AZ197"/>
      <c r="BA197"/>
      <c r="BB197"/>
      <c r="BC197"/>
      <c r="BD197"/>
      <c r="BE197"/>
      <c r="BF197"/>
      <c r="BG197"/>
      <c r="BH197"/>
      <c r="BI197"/>
      <c r="BJ197"/>
      <c r="BK197"/>
      <c r="BL197"/>
      <c r="BM197"/>
      <c r="BN197"/>
      <c r="BO197"/>
      <c r="BP197"/>
      <c r="BQ197"/>
      <c r="BR197"/>
    </row>
    <row r="198" spans="1:70" ht="16.350000000000001" hidden="1" customHeight="1">
      <c r="A198"/>
      <c r="B198"/>
      <c r="C198"/>
      <c r="D198"/>
      <c r="E198"/>
      <c r="F198"/>
      <c r="G198"/>
      <c r="H198"/>
      <c r="I198"/>
      <c r="J198"/>
      <c r="K198"/>
      <c r="L198"/>
      <c r="M198"/>
      <c r="N198"/>
      <c r="O198" s="919"/>
      <c r="P198" s="919"/>
      <c r="Q198" s="919"/>
      <c r="R198" s="919"/>
      <c r="S198" s="919"/>
      <c r="T198" s="919"/>
      <c r="U198" s="919"/>
      <c r="V198" s="919"/>
      <c r="W198" s="919"/>
      <c r="X198" s="919"/>
      <c r="Y198" s="919"/>
      <c r="Z198" s="919"/>
      <c r="AA198" s="919"/>
      <c r="AB198" s="919"/>
      <c r="AC198" s="919"/>
      <c r="AD198" s="919"/>
      <c r="AE198" s="919"/>
      <c r="AF198" s="919"/>
      <c r="AG198" s="919"/>
      <c r="AH198" s="919"/>
      <c r="AI198" s="919"/>
      <c r="AJ198" s="919"/>
      <c r="AK198" s="919"/>
      <c r="AL198" s="919"/>
      <c r="AM198" s="919"/>
      <c r="AN198" s="919"/>
      <c r="AO198" s="919"/>
      <c r="AP198" s="919"/>
      <c r="AQ198" s="919"/>
      <c r="AR198" s="919"/>
      <c r="AS198" s="919"/>
      <c r="AT198" s="919"/>
      <c r="AU198" s="919"/>
      <c r="AV198" s="919"/>
      <c r="AW198" s="919"/>
      <c r="AX198" s="919"/>
      <c r="AY198" s="919"/>
      <c r="AZ198" s="919"/>
      <c r="BA198"/>
      <c r="BB198"/>
      <c r="BC198"/>
      <c r="BD198"/>
      <c r="BE198"/>
      <c r="BF198"/>
      <c r="BG198"/>
      <c r="BH198"/>
      <c r="BI198"/>
      <c r="BJ198"/>
      <c r="BK198"/>
      <c r="BL198"/>
      <c r="BM198"/>
      <c r="BN198"/>
      <c r="BO198"/>
      <c r="BP198"/>
      <c r="BQ198"/>
      <c r="BR198"/>
    </row>
    <row r="199" spans="1:70" ht="16.350000000000001" hidden="1" customHeigh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s="16"/>
      <c r="AZ199" s="20"/>
      <c r="BA199"/>
      <c r="BB199"/>
      <c r="BC199" s="20"/>
      <c r="BD199" s="20"/>
      <c r="BE199"/>
      <c r="BF199"/>
      <c r="BG199"/>
      <c r="BH199"/>
      <c r="BI199"/>
      <c r="BJ199"/>
      <c r="BK199"/>
      <c r="BL199"/>
      <c r="BM199"/>
      <c r="BN199"/>
      <c r="BO199"/>
      <c r="BP199"/>
      <c r="BQ199"/>
      <c r="BR199"/>
    </row>
    <row r="200" spans="1:70"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03"/>
      <c r="BH200" s="503"/>
      <c r="BI200" s="503"/>
      <c r="BJ200" s="515"/>
    </row>
    <row r="201" spans="1:70"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03"/>
      <c r="BH201" s="503"/>
      <c r="BI201" s="503"/>
      <c r="BJ201" s="515"/>
    </row>
    <row r="202" spans="1:70"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03"/>
      <c r="BH202" s="503"/>
      <c r="BI202" s="503"/>
      <c r="BJ202" s="515"/>
    </row>
    <row r="203" spans="1:70" ht="16.350000000000001" hidden="1" customHeight="1"/>
    <row r="204" spans="1:70" ht="16.350000000000001" hidden="1" customHeight="1"/>
  </sheetData>
  <sheetProtection algorithmName="SHA-512" hashValue="2EVxVBYx/fUUTqH9Pb1lBx/4oHGgKcUniGImd32hbA3AgXWl3AyPeTBVudm6LVpg8xz+LBeiciHQGYdE4nf+AA==" saltValue="GyUWb4wX9QVnnKRZUOaEoA==" spinCount="100000" sheet="1" objects="1" scenarios="1" selectLockedCells="1"/>
  <mergeCells count="1014">
    <mergeCell ref="DV36:DV37"/>
    <mergeCell ref="DW36:DW37"/>
    <mergeCell ref="DX36:DX37"/>
    <mergeCell ref="DN34:DN35"/>
    <mergeCell ref="DO34:DO35"/>
    <mergeCell ref="DP34:DP35"/>
    <mergeCell ref="DQ34:DQ35"/>
    <mergeCell ref="DR34:DR35"/>
    <mergeCell ref="DE36:DE37"/>
    <mergeCell ref="DF36:DF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G34:DG35"/>
    <mergeCell ref="DH34:DH35"/>
    <mergeCell ref="DI34:DI35"/>
    <mergeCell ref="DJ34:DJ35"/>
    <mergeCell ref="DK34:DK35"/>
    <mergeCell ref="DL34:DL35"/>
    <mergeCell ref="DM34:DM35"/>
    <mergeCell ref="DW34:DW35"/>
    <mergeCell ref="DX30:DX31"/>
    <mergeCell ref="DV32:DV33"/>
    <mergeCell ref="DW32:DW33"/>
    <mergeCell ref="DX28:DX29"/>
    <mergeCell ref="DW30:DW31"/>
    <mergeCell ref="DU34:DU35"/>
    <mergeCell ref="DV34:DV35"/>
    <mergeCell ref="DE34:DE35"/>
    <mergeCell ref="DF34:DF35"/>
    <mergeCell ref="DX32:DX33"/>
    <mergeCell ref="DN30:DN31"/>
    <mergeCell ref="DO30:DO31"/>
    <mergeCell ref="DP30:DP31"/>
    <mergeCell ref="DX34:DX35"/>
    <mergeCell ref="DJ32:DJ33"/>
    <mergeCell ref="DK32:DK33"/>
    <mergeCell ref="DL32:DL33"/>
    <mergeCell ref="DM32:DM33"/>
    <mergeCell ref="DN32:DN33"/>
    <mergeCell ref="DO32:DO33"/>
    <mergeCell ref="DP32:DP33"/>
    <mergeCell ref="DQ32:DQ33"/>
    <mergeCell ref="DR32:DR33"/>
    <mergeCell ref="DS32:DS33"/>
    <mergeCell ref="DT32:DT33"/>
    <mergeCell ref="DU32:DU33"/>
    <mergeCell ref="DS34:DS35"/>
    <mergeCell ref="DT34:DT35"/>
    <mergeCell ref="DV28:DV29"/>
    <mergeCell ref="DW28:DW29"/>
    <mergeCell ref="DE28:DE29"/>
    <mergeCell ref="DE26:DE27"/>
    <mergeCell ref="DF26:DF27"/>
    <mergeCell ref="DG26:DG27"/>
    <mergeCell ref="DH26:DH27"/>
    <mergeCell ref="DI26:DI27"/>
    <mergeCell ref="DJ26:DJ27"/>
    <mergeCell ref="DK26:DK27"/>
    <mergeCell ref="DL26:DL27"/>
    <mergeCell ref="DQ30:DQ31"/>
    <mergeCell ref="DR30:DR31"/>
    <mergeCell ref="DS30:DS31"/>
    <mergeCell ref="DT30:DT31"/>
    <mergeCell ref="DU30:DU31"/>
    <mergeCell ref="DV30:DV31"/>
    <mergeCell ref="DE30:DE31"/>
    <mergeCell ref="DF30:DF31"/>
    <mergeCell ref="DG30:DG31"/>
    <mergeCell ref="DH30:DH31"/>
    <mergeCell ref="DI30:DI31"/>
    <mergeCell ref="DJ30:DJ31"/>
    <mergeCell ref="DK30:DK31"/>
    <mergeCell ref="DL30:DL31"/>
    <mergeCell ref="DM30:DM31"/>
    <mergeCell ref="DM26:DM27"/>
    <mergeCell ref="DR28:DR29"/>
    <mergeCell ref="DS28:DS29"/>
    <mergeCell ref="DT28:DT29"/>
    <mergeCell ref="DU28:DU29"/>
    <mergeCell ref="DN26:DN27"/>
    <mergeCell ref="DF28:DF29"/>
    <mergeCell ref="DG28:DG29"/>
    <mergeCell ref="DH28:DH29"/>
    <mergeCell ref="DR24:DR25"/>
    <mergeCell ref="DS24:DS25"/>
    <mergeCell ref="DT24:DT25"/>
    <mergeCell ref="DU24:DU25"/>
    <mergeCell ref="DO26:DO27"/>
    <mergeCell ref="DP26:DP27"/>
    <mergeCell ref="DQ26:DQ27"/>
    <mergeCell ref="DR26:DR27"/>
    <mergeCell ref="DS26:DS27"/>
    <mergeCell ref="DV24:DV25"/>
    <mergeCell ref="DW24:DW25"/>
    <mergeCell ref="DX24:DX25"/>
    <mergeCell ref="DM22:DM23"/>
    <mergeCell ref="DN22:DN23"/>
    <mergeCell ref="DO22:DO23"/>
    <mergeCell ref="DP22:DP23"/>
    <mergeCell ref="DQ22:DQ23"/>
    <mergeCell ref="DR22:DR23"/>
    <mergeCell ref="DS22:DS23"/>
    <mergeCell ref="DT22:DT23"/>
    <mergeCell ref="DU22:DU23"/>
    <mergeCell ref="DX26:DX27"/>
    <mergeCell ref="DW26:DW27"/>
    <mergeCell ref="DW22:DW23"/>
    <mergeCell ref="DX22:DX23"/>
    <mergeCell ref="DT26:DT27"/>
    <mergeCell ref="DU26:DU27"/>
    <mergeCell ref="DV26:DV27"/>
    <mergeCell ref="DI28:DI29"/>
    <mergeCell ref="DJ28:DJ29"/>
    <mergeCell ref="DK28:DK29"/>
    <mergeCell ref="DL28:DL29"/>
    <mergeCell ref="DM28:DM29"/>
    <mergeCell ref="DN28:DN29"/>
    <mergeCell ref="DO28:DO29"/>
    <mergeCell ref="DP28:DP29"/>
    <mergeCell ref="DQ28:DQ29"/>
    <mergeCell ref="CW13:CY14"/>
    <mergeCell ref="CY16:CY17"/>
    <mergeCell ref="CY18:CY19"/>
    <mergeCell ref="CY20:CY21"/>
    <mergeCell ref="CY22:CY23"/>
    <mergeCell ref="CZ16:CZ17"/>
    <mergeCell ref="DA16:DA17"/>
    <mergeCell ref="CY24:CY25"/>
    <mergeCell ref="CY26:CY27"/>
    <mergeCell ref="CY28:CY29"/>
    <mergeCell ref="DE24:DE25"/>
    <mergeCell ref="DF24:DF25"/>
    <mergeCell ref="DG24:DG25"/>
    <mergeCell ref="DH24:DH25"/>
    <mergeCell ref="DI24:DI25"/>
    <mergeCell ref="DJ24:DJ25"/>
    <mergeCell ref="DK24:DK25"/>
    <mergeCell ref="DL24:DL25"/>
    <mergeCell ref="DM24:DM25"/>
    <mergeCell ref="DN24:DN25"/>
    <mergeCell ref="DO24:DO25"/>
    <mergeCell ref="DP24:DP25"/>
    <mergeCell ref="DQ24:DQ25"/>
    <mergeCell ref="DW18:DW19"/>
    <mergeCell ref="DX18:DX19"/>
    <mergeCell ref="DE20:DE21"/>
    <mergeCell ref="DF20:DF21"/>
    <mergeCell ref="DG20:DG21"/>
    <mergeCell ref="DH20:DH21"/>
    <mergeCell ref="DI20:DI21"/>
    <mergeCell ref="DJ20:DJ21"/>
    <mergeCell ref="DK20:DK21"/>
    <mergeCell ref="DL20:DL21"/>
    <mergeCell ref="DM20:DM21"/>
    <mergeCell ref="DN20:DN21"/>
    <mergeCell ref="DO20:DO21"/>
    <mergeCell ref="DP20:DP21"/>
    <mergeCell ref="DQ20:DQ21"/>
    <mergeCell ref="DR20:DR21"/>
    <mergeCell ref="DS20:DS21"/>
    <mergeCell ref="DT20:DT21"/>
    <mergeCell ref="DU20:DU21"/>
    <mergeCell ref="DV20:DV21"/>
    <mergeCell ref="DW20:DW21"/>
    <mergeCell ref="DX20:DX21"/>
    <mergeCell ref="DG18:DG19"/>
    <mergeCell ref="CR18:CR19"/>
    <mergeCell ref="CS18:CS19"/>
    <mergeCell ref="CT18:CT19"/>
    <mergeCell ref="CS22:CS23"/>
    <mergeCell ref="CN22:CN23"/>
    <mergeCell ref="CO22:CO23"/>
    <mergeCell ref="CP22:CP23"/>
    <mergeCell ref="DG22:DG23"/>
    <mergeCell ref="DH22:DH23"/>
    <mergeCell ref="DI22:DI23"/>
    <mergeCell ref="DJ22:DJ23"/>
    <mergeCell ref="DK22:DK23"/>
    <mergeCell ref="DL22:DL23"/>
    <mergeCell ref="DV18:DV19"/>
    <mergeCell ref="DO18:DO19"/>
    <mergeCell ref="DP18:DP19"/>
    <mergeCell ref="DQ18:DQ19"/>
    <mergeCell ref="DR18:DR19"/>
    <mergeCell ref="DS18:DS19"/>
    <mergeCell ref="DT18:DT19"/>
    <mergeCell ref="DU18:DU19"/>
    <mergeCell ref="DV22:DV23"/>
    <mergeCell ref="DH18:DH19"/>
    <mergeCell ref="DI18:DI19"/>
    <mergeCell ref="DJ18:DJ19"/>
    <mergeCell ref="DK18:DK19"/>
    <mergeCell ref="DL18:DL19"/>
    <mergeCell ref="DE22:DE23"/>
    <mergeCell ref="DF22:DF23"/>
    <mergeCell ref="CT20:CT21"/>
    <mergeCell ref="CV22:CV23"/>
    <mergeCell ref="CY30:CY31"/>
    <mergeCell ref="CW36:CW37"/>
    <mergeCell ref="CX36:CX37"/>
    <mergeCell ref="DD18:DD19"/>
    <mergeCell ref="DD20:DD21"/>
    <mergeCell ref="DD22:DD23"/>
    <mergeCell ref="DD24:DD25"/>
    <mergeCell ref="DD26:DD27"/>
    <mergeCell ref="DD28:DD29"/>
    <mergeCell ref="DD30:DD31"/>
    <mergeCell ref="DD32:DD33"/>
    <mergeCell ref="DD34:DD35"/>
    <mergeCell ref="DD36:DD37"/>
    <mergeCell ref="CW26:CW27"/>
    <mergeCell ref="CX26:CX27"/>
    <mergeCell ref="CX34:CX35"/>
    <mergeCell ref="CZ18:CZ19"/>
    <mergeCell ref="DA18:DA19"/>
    <mergeCell ref="CZ20:CZ21"/>
    <mergeCell ref="CW22:CW23"/>
    <mergeCell ref="CX22:CX23"/>
    <mergeCell ref="C16:E17"/>
    <mergeCell ref="F16:K17"/>
    <mergeCell ref="L16:Q17"/>
    <mergeCell ref="K9:N11"/>
    <mergeCell ref="O9:R11"/>
    <mergeCell ref="S9:V11"/>
    <mergeCell ref="AF9:AJ11"/>
    <mergeCell ref="W9:Z11"/>
    <mergeCell ref="AA9:AE11"/>
    <mergeCell ref="AA16:AC17"/>
    <mergeCell ref="AD16:AI17"/>
    <mergeCell ref="L26:Q27"/>
    <mergeCell ref="C28:E29"/>
    <mergeCell ref="F28:K29"/>
    <mergeCell ref="L28:Q29"/>
    <mergeCell ref="C18:E19"/>
    <mergeCell ref="F18:K19"/>
    <mergeCell ref="L18:Q19"/>
    <mergeCell ref="C20:E21"/>
    <mergeCell ref="AD26:AI27"/>
    <mergeCell ref="AD28:AI29"/>
    <mergeCell ref="F22:K23"/>
    <mergeCell ref="U24:W25"/>
    <mergeCell ref="X24:Z25"/>
    <mergeCell ref="AA22:AC23"/>
    <mergeCell ref="AA24:AC25"/>
    <mergeCell ref="AP1:AS3"/>
    <mergeCell ref="BS22:BS23"/>
    <mergeCell ref="BT22:BT23"/>
    <mergeCell ref="BS24:BS25"/>
    <mergeCell ref="BT24:BT25"/>
    <mergeCell ref="BS26:BS27"/>
    <mergeCell ref="BT26:BT27"/>
    <mergeCell ref="BS28:BS29"/>
    <mergeCell ref="BT28:BT29"/>
    <mergeCell ref="BS30:BS31"/>
    <mergeCell ref="BT30:BT31"/>
    <mergeCell ref="BH20:BJ21"/>
    <mergeCell ref="BH26:BJ27"/>
    <mergeCell ref="BH32:BJ33"/>
    <mergeCell ref="AQ12:BA13"/>
    <mergeCell ref="AQ14:BA14"/>
    <mergeCell ref="BS34:BS35"/>
    <mergeCell ref="BT34:BT35"/>
    <mergeCell ref="BS20:BS21"/>
    <mergeCell ref="BT20:BT21"/>
    <mergeCell ref="BB1:BG3"/>
    <mergeCell ref="BB4:BF4"/>
    <mergeCell ref="BG4:BJ4"/>
    <mergeCell ref="BH1:BK3"/>
    <mergeCell ref="BF20:BG21"/>
    <mergeCell ref="BK20:BM21"/>
    <mergeCell ref="BB20:BC21"/>
    <mergeCell ref="BD20:BE21"/>
    <mergeCell ref="BF28:BG29"/>
    <mergeCell ref="BK28:BM29"/>
    <mergeCell ref="BN28:BP29"/>
    <mergeCell ref="AV34:AX34"/>
    <mergeCell ref="F1:I3"/>
    <mergeCell ref="L30:Q31"/>
    <mergeCell ref="C32:E33"/>
    <mergeCell ref="F32:K33"/>
    <mergeCell ref="L32:Q33"/>
    <mergeCell ref="C34:E35"/>
    <mergeCell ref="F34:K35"/>
    <mergeCell ref="L34:Q35"/>
    <mergeCell ref="AA36:AC37"/>
    <mergeCell ref="L15:Z15"/>
    <mergeCell ref="AA15:AU15"/>
    <mergeCell ref="AM16:AO17"/>
    <mergeCell ref="L20:Q21"/>
    <mergeCell ref="L22:Q23"/>
    <mergeCell ref="J1:M3"/>
    <mergeCell ref="AT1:AW3"/>
    <mergeCell ref="AX1:BA3"/>
    <mergeCell ref="AX4:BA4"/>
    <mergeCell ref="AA20:AC21"/>
    <mergeCell ref="AS18:AU19"/>
    <mergeCell ref="AP20:AR21"/>
    <mergeCell ref="AS20:AU21"/>
    <mergeCell ref="AD18:AI19"/>
    <mergeCell ref="AD20:AI21"/>
    <mergeCell ref="AV20:AX20"/>
    <mergeCell ref="AY20:BA20"/>
    <mergeCell ref="AV21:BA21"/>
    <mergeCell ref="AK9:AO11"/>
    <mergeCell ref="R18:T19"/>
    <mergeCell ref="C22:E23"/>
    <mergeCell ref="F36:K37"/>
    <mergeCell ref="L36:Q37"/>
    <mergeCell ref="CR16:CR17"/>
    <mergeCell ref="CS16:CS17"/>
    <mergeCell ref="CT16:CT17"/>
    <mergeCell ref="CL16:CL17"/>
    <mergeCell ref="CM16:CM17"/>
    <mergeCell ref="CN16:CN17"/>
    <mergeCell ref="CO16:CO17"/>
    <mergeCell ref="CP16:CP17"/>
    <mergeCell ref="CG16:CG17"/>
    <mergeCell ref="CH16:CH17"/>
    <mergeCell ref="CI16:CI17"/>
    <mergeCell ref="CJ16:CJ17"/>
    <mergeCell ref="CK16:CK17"/>
    <mergeCell ref="O196:AY197"/>
    <mergeCell ref="O198:AZ198"/>
    <mergeCell ref="BG5:BI7"/>
    <mergeCell ref="BG8:BI8"/>
    <mergeCell ref="AP9:AS11"/>
    <mergeCell ref="AT9:AW11"/>
    <mergeCell ref="AX9:BA11"/>
    <mergeCell ref="Y12:AB13"/>
    <mergeCell ref="AC12:AG13"/>
    <mergeCell ref="AH12:AK13"/>
    <mergeCell ref="AL12:AO13"/>
    <mergeCell ref="Y14:AB14"/>
    <mergeCell ref="AC14:AG14"/>
    <mergeCell ref="AH14:AK14"/>
    <mergeCell ref="AL14:AO14"/>
    <mergeCell ref="R16:T17"/>
    <mergeCell ref="U16:W17"/>
    <mergeCell ref="X16:Z17"/>
    <mergeCell ref="AJ16:AL17"/>
    <mergeCell ref="B18:B19"/>
    <mergeCell ref="BN18:BP19"/>
    <mergeCell ref="BV20:BV21"/>
    <mergeCell ref="BW20:BW21"/>
    <mergeCell ref="BX20:BX21"/>
    <mergeCell ref="CQ16:CQ17"/>
    <mergeCell ref="CB16:CB17"/>
    <mergeCell ref="CC16:CC17"/>
    <mergeCell ref="AM18:AO19"/>
    <mergeCell ref="CD16:CD17"/>
    <mergeCell ref="BS16:BS17"/>
    <mergeCell ref="BT16:BT17"/>
    <mergeCell ref="CE16:CE17"/>
    <mergeCell ref="CF16:CF17"/>
    <mergeCell ref="U18:W19"/>
    <mergeCell ref="X18:Z19"/>
    <mergeCell ref="AJ18:AL19"/>
    <mergeCell ref="AA18:AC19"/>
    <mergeCell ref="AP16:AR17"/>
    <mergeCell ref="AS16:AU17"/>
    <mergeCell ref="AP18:AR19"/>
    <mergeCell ref="AV16:AX16"/>
    <mergeCell ref="AY16:BA16"/>
    <mergeCell ref="AV17:BA17"/>
    <mergeCell ref="BB16:BE16"/>
    <mergeCell ref="BB17:BC17"/>
    <mergeCell ref="BD17:BE17"/>
    <mergeCell ref="BF16:BG17"/>
    <mergeCell ref="BH16:BJ17"/>
    <mergeCell ref="BK16:BM17"/>
    <mergeCell ref="BN16:BP17"/>
    <mergeCell ref="AV18:AX18"/>
    <mergeCell ref="AM20:AO21"/>
    <mergeCell ref="CM18:CM19"/>
    <mergeCell ref="CN18:CN19"/>
    <mergeCell ref="CO18:CO19"/>
    <mergeCell ref="CP18:CP19"/>
    <mergeCell ref="CQ18:CQ19"/>
    <mergeCell ref="CH18:CH19"/>
    <mergeCell ref="CI18:CI19"/>
    <mergeCell ref="CJ18:CJ19"/>
    <mergeCell ref="CB20:CB21"/>
    <mergeCell ref="CC20:CC21"/>
    <mergeCell ref="CD20:CD21"/>
    <mergeCell ref="CK18:CK19"/>
    <mergeCell ref="CL18:CL19"/>
    <mergeCell ref="CC18:CC19"/>
    <mergeCell ref="CD18:CD19"/>
    <mergeCell ref="CE18:CE19"/>
    <mergeCell ref="CF18:CF19"/>
    <mergeCell ref="CG18:CG19"/>
    <mergeCell ref="CB18:CB19"/>
    <mergeCell ref="BS18:BS19"/>
    <mergeCell ref="BT18:BT19"/>
    <mergeCell ref="AY18:BA18"/>
    <mergeCell ref="AV19:BA19"/>
    <mergeCell ref="BB18:BC19"/>
    <mergeCell ref="BD18:BE19"/>
    <mergeCell ref="BN20:BP21"/>
    <mergeCell ref="BY20:BY21"/>
    <mergeCell ref="BZ20:BZ21"/>
    <mergeCell ref="BF18:BG19"/>
    <mergeCell ref="BH18:BJ19"/>
    <mergeCell ref="BK18:BM19"/>
    <mergeCell ref="B22:B23"/>
    <mergeCell ref="R22:T23"/>
    <mergeCell ref="U22:W23"/>
    <mergeCell ref="X22:Z23"/>
    <mergeCell ref="AJ22:AL23"/>
    <mergeCell ref="AM22:AO23"/>
    <mergeCell ref="CO20:CO21"/>
    <mergeCell ref="CP20:CP21"/>
    <mergeCell ref="CQ20:CQ21"/>
    <mergeCell ref="CR20:CR21"/>
    <mergeCell ref="CS20:CS21"/>
    <mergeCell ref="CJ20:CJ21"/>
    <mergeCell ref="CK20:CK21"/>
    <mergeCell ref="CL20:CL21"/>
    <mergeCell ref="CM20:CM21"/>
    <mergeCell ref="CN20:CN21"/>
    <mergeCell ref="CE20:CE21"/>
    <mergeCell ref="CF20:CF21"/>
    <mergeCell ref="CG20:CG21"/>
    <mergeCell ref="CH20:CH21"/>
    <mergeCell ref="CI20:CI21"/>
    <mergeCell ref="F20:K21"/>
    <mergeCell ref="CQ22:CQ23"/>
    <mergeCell ref="CB22:CB23"/>
    <mergeCell ref="CC22:CC23"/>
    <mergeCell ref="CD22:CD23"/>
    <mergeCell ref="B20:B21"/>
    <mergeCell ref="R20:T21"/>
    <mergeCell ref="U20:W21"/>
    <mergeCell ref="X20:Z21"/>
    <mergeCell ref="AJ20:AL21"/>
    <mergeCell ref="CE22:CE23"/>
    <mergeCell ref="AP22:AR23"/>
    <mergeCell ref="AS22:AU23"/>
    <mergeCell ref="AP24:AR25"/>
    <mergeCell ref="CR22:CR23"/>
    <mergeCell ref="CR24:CR25"/>
    <mergeCell ref="AD22:AI23"/>
    <mergeCell ref="AD24:AI25"/>
    <mergeCell ref="AV22:AX22"/>
    <mergeCell ref="AY22:BA22"/>
    <mergeCell ref="AV23:BA23"/>
    <mergeCell ref="AV24:AX24"/>
    <mergeCell ref="AY24:BA24"/>
    <mergeCell ref="AV25:BA25"/>
    <mergeCell ref="BF22:BG23"/>
    <mergeCell ref="BK22:BM23"/>
    <mergeCell ref="F24:K25"/>
    <mergeCell ref="L24:Q25"/>
    <mergeCell ref="CG22:CG23"/>
    <mergeCell ref="CH22:CH23"/>
    <mergeCell ref="CI22:CI23"/>
    <mergeCell ref="CJ22:CJ23"/>
    <mergeCell ref="CK22:CK23"/>
    <mergeCell ref="BV22:BV23"/>
    <mergeCell ref="BW22:BW23"/>
    <mergeCell ref="BB22:BC23"/>
    <mergeCell ref="BD22:BE23"/>
    <mergeCell ref="BB24:BC25"/>
    <mergeCell ref="BD24:BE25"/>
    <mergeCell ref="B26:B27"/>
    <mergeCell ref="R26:T27"/>
    <mergeCell ref="U26:W27"/>
    <mergeCell ref="X26:Z27"/>
    <mergeCell ref="AJ26:AL27"/>
    <mergeCell ref="AM26:AO27"/>
    <mergeCell ref="CM24:CM25"/>
    <mergeCell ref="CN24:CN25"/>
    <mergeCell ref="CO24:CO25"/>
    <mergeCell ref="CP24:CP25"/>
    <mergeCell ref="CQ24:CQ25"/>
    <mergeCell ref="CH24:CH25"/>
    <mergeCell ref="CI24:CI25"/>
    <mergeCell ref="CJ24:CJ25"/>
    <mergeCell ref="CB26:CB27"/>
    <mergeCell ref="CC26:CC27"/>
    <mergeCell ref="CD26:CD27"/>
    <mergeCell ref="AJ24:AL25"/>
    <mergeCell ref="CK24:CK25"/>
    <mergeCell ref="B24:B25"/>
    <mergeCell ref="R24:T25"/>
    <mergeCell ref="C24:E25"/>
    <mergeCell ref="AA26:AC27"/>
    <mergeCell ref="AS24:AU25"/>
    <mergeCell ref="AP26:AR27"/>
    <mergeCell ref="AS26:AU27"/>
    <mergeCell ref="BH24:BJ25"/>
    <mergeCell ref="C26:E27"/>
    <mergeCell ref="F26:K27"/>
    <mergeCell ref="AM24:AO25"/>
    <mergeCell ref="AV26:AX26"/>
    <mergeCell ref="AY26:BA26"/>
    <mergeCell ref="AV27:BA27"/>
    <mergeCell ref="AV28:AX28"/>
    <mergeCell ref="AA28:AC29"/>
    <mergeCell ref="AA30:AC31"/>
    <mergeCell ref="AA32:AC33"/>
    <mergeCell ref="U30:W31"/>
    <mergeCell ref="X30:Z31"/>
    <mergeCell ref="CK28:CK29"/>
    <mergeCell ref="CB28:CB29"/>
    <mergeCell ref="CC28:CC29"/>
    <mergeCell ref="CD28:CD29"/>
    <mergeCell ref="CE28:CE29"/>
    <mergeCell ref="AP28:AR29"/>
    <mergeCell ref="AS28:AU29"/>
    <mergeCell ref="AP30:AR31"/>
    <mergeCell ref="AS30:AU31"/>
    <mergeCell ref="AP32:AR33"/>
    <mergeCell ref="AS32:AU33"/>
    <mergeCell ref="AJ30:AL31"/>
    <mergeCell ref="AY28:BA28"/>
    <mergeCell ref="AV29:BA29"/>
    <mergeCell ref="AV30:AX30"/>
    <mergeCell ref="AY30:BA30"/>
    <mergeCell ref="AV31:BA31"/>
    <mergeCell ref="BH30:BJ31"/>
    <mergeCell ref="BD28:BE29"/>
    <mergeCell ref="BB30:BC31"/>
    <mergeCell ref="BD30:BE31"/>
    <mergeCell ref="AV32:AX32"/>
    <mergeCell ref="BH28:BJ29"/>
    <mergeCell ref="BB26:BC27"/>
    <mergeCell ref="BD26:BE27"/>
    <mergeCell ref="AJ34:AL35"/>
    <mergeCell ref="AM34:AO35"/>
    <mergeCell ref="AP34:AR35"/>
    <mergeCell ref="AS34:AU35"/>
    <mergeCell ref="CR32:CR33"/>
    <mergeCell ref="CS32:CS33"/>
    <mergeCell ref="CJ32:CJ33"/>
    <mergeCell ref="B28:B29"/>
    <mergeCell ref="R28:T29"/>
    <mergeCell ref="U28:W29"/>
    <mergeCell ref="X28:Z29"/>
    <mergeCell ref="AJ28:AL29"/>
    <mergeCell ref="AM28:AO29"/>
    <mergeCell ref="AD30:AI31"/>
    <mergeCell ref="AD32:AI33"/>
    <mergeCell ref="B32:B33"/>
    <mergeCell ref="R32:T33"/>
    <mergeCell ref="U32:W33"/>
    <mergeCell ref="X32:Z33"/>
    <mergeCell ref="AJ32:AL33"/>
    <mergeCell ref="AM32:AO33"/>
    <mergeCell ref="B30:B31"/>
    <mergeCell ref="R30:T31"/>
    <mergeCell ref="AM30:AO31"/>
    <mergeCell ref="C30:E31"/>
    <mergeCell ref="F30:K31"/>
    <mergeCell ref="CG30:CG31"/>
    <mergeCell ref="CB30:CB31"/>
    <mergeCell ref="X34:Z35"/>
    <mergeCell ref="AA34:AC35"/>
    <mergeCell ref="B34:B35"/>
    <mergeCell ref="R34:T35"/>
    <mergeCell ref="U34:W35"/>
    <mergeCell ref="AD34:AI35"/>
    <mergeCell ref="B36:B37"/>
    <mergeCell ref="R36:T37"/>
    <mergeCell ref="CQ34:CQ35"/>
    <mergeCell ref="CR34:CR35"/>
    <mergeCell ref="CL34:CL35"/>
    <mergeCell ref="CM34:CM35"/>
    <mergeCell ref="CN34:CN35"/>
    <mergeCell ref="CO34:CO35"/>
    <mergeCell ref="CP34:CP35"/>
    <mergeCell ref="CG34:CG35"/>
    <mergeCell ref="CH34:CH35"/>
    <mergeCell ref="CI34:CI35"/>
    <mergeCell ref="CJ34:CJ35"/>
    <mergeCell ref="CK34:CK35"/>
    <mergeCell ref="CB34:CB35"/>
    <mergeCell ref="CC34:CC35"/>
    <mergeCell ref="CD34:CD35"/>
    <mergeCell ref="CE34:CE35"/>
    <mergeCell ref="AM36:AO37"/>
    <mergeCell ref="U36:W37"/>
    <mergeCell ref="X36:Z37"/>
    <mergeCell ref="AJ36:AL37"/>
    <mergeCell ref="CR36:CR37"/>
    <mergeCell ref="AD36:AI37"/>
    <mergeCell ref="BD34:BE35"/>
    <mergeCell ref="BF34:BG35"/>
    <mergeCell ref="BK34:BM35"/>
    <mergeCell ref="C36:E37"/>
    <mergeCell ref="BS36:BS37"/>
    <mergeCell ref="BT36:BT37"/>
    <mergeCell ref="AY36:BA36"/>
    <mergeCell ref="AV37:BA37"/>
    <mergeCell ref="BF36:BG37"/>
    <mergeCell ref="BH36:BJ37"/>
    <mergeCell ref="BK36:BM37"/>
    <mergeCell ref="BN36:BP37"/>
    <mergeCell ref="BB36:BC37"/>
    <mergeCell ref="BD36:BE37"/>
    <mergeCell ref="AV36:AX36"/>
    <mergeCell ref="CN32:CN33"/>
    <mergeCell ref="AP36:AR37"/>
    <mergeCell ref="AS36:AU37"/>
    <mergeCell ref="AY34:BA34"/>
    <mergeCell ref="AV35:BA35"/>
    <mergeCell ref="BB32:BC33"/>
    <mergeCell ref="BD32:BE33"/>
    <mergeCell ref="BB34:BC35"/>
    <mergeCell ref="CB32:CB33"/>
    <mergeCell ref="CC32:CC33"/>
    <mergeCell ref="CD32:CD33"/>
    <mergeCell ref="AY32:BA32"/>
    <mergeCell ref="AV33:BA33"/>
    <mergeCell ref="BN32:BP33"/>
    <mergeCell ref="CE32:CE33"/>
    <mergeCell ref="CF32:CF33"/>
    <mergeCell ref="CG32:CG33"/>
    <mergeCell ref="CH32:CH33"/>
    <mergeCell ref="CI32:CI33"/>
    <mergeCell ref="BT32:BT33"/>
    <mergeCell ref="BV32:BV33"/>
    <mergeCell ref="BS32:BS33"/>
    <mergeCell ref="CL32:CL33"/>
    <mergeCell ref="CU16:CU17"/>
    <mergeCell ref="CU18:CU19"/>
    <mergeCell ref="CU20:CU21"/>
    <mergeCell ref="CU22:CU23"/>
    <mergeCell ref="CU24:CU25"/>
    <mergeCell ref="CU26:CU27"/>
    <mergeCell ref="CU28:CU29"/>
    <mergeCell ref="CU30:CU31"/>
    <mergeCell ref="CU32:CU33"/>
    <mergeCell ref="CF34:CF35"/>
    <mergeCell ref="CT36:CT37"/>
    <mergeCell ref="CF36:CF37"/>
    <mergeCell ref="CT32:CT33"/>
    <mergeCell ref="CR30:CR31"/>
    <mergeCell ref="CS30:CS31"/>
    <mergeCell ref="CT30:CT31"/>
    <mergeCell ref="CP30:CP31"/>
    <mergeCell ref="CQ30:CQ31"/>
    <mergeCell ref="CK32:CK33"/>
    <mergeCell ref="CS34:CS35"/>
    <mergeCell ref="CT34:CT35"/>
    <mergeCell ref="CO26:CO27"/>
    <mergeCell ref="CP26:CP27"/>
    <mergeCell ref="CQ26:CQ27"/>
    <mergeCell ref="CR26:CR27"/>
    <mergeCell ref="CS26:CS27"/>
    <mergeCell ref="CJ26:CJ27"/>
    <mergeCell ref="CK26:CK27"/>
    <mergeCell ref="CL26:CL27"/>
    <mergeCell ref="CT28:CT29"/>
    <mergeCell ref="CS36:CS37"/>
    <mergeCell ref="CM36:CM37"/>
    <mergeCell ref="BB28:BC29"/>
    <mergeCell ref="BN22:BP23"/>
    <mergeCell ref="BF24:BG25"/>
    <mergeCell ref="BK24:BM25"/>
    <mergeCell ref="BN24:BP25"/>
    <mergeCell ref="BF26:BG27"/>
    <mergeCell ref="BK26:BM27"/>
    <mergeCell ref="BN26:BP27"/>
    <mergeCell ref="CV24:CV25"/>
    <mergeCell ref="CW24:CW25"/>
    <mergeCell ref="CX24:CX25"/>
    <mergeCell ref="CV26:CV27"/>
    <mergeCell ref="CQ28:CQ29"/>
    <mergeCell ref="CS24:CS25"/>
    <mergeCell ref="CT24:CT25"/>
    <mergeCell ref="CT26:CT27"/>
    <mergeCell ref="CF22:CF23"/>
    <mergeCell ref="BH22:BJ23"/>
    <mergeCell ref="BF30:BG31"/>
    <mergeCell ref="BK30:BM31"/>
    <mergeCell ref="BF32:BG33"/>
    <mergeCell ref="BK32:BM33"/>
    <mergeCell ref="BY22:BY23"/>
    <mergeCell ref="BZ22:BZ23"/>
    <mergeCell ref="BV24:BV25"/>
    <mergeCell ref="BW24:BW25"/>
    <mergeCell ref="BX24:BX25"/>
    <mergeCell ref="BY24:BY25"/>
    <mergeCell ref="BZ24:BZ25"/>
    <mergeCell ref="CL28:CL29"/>
    <mergeCell ref="CM28:CM29"/>
    <mergeCell ref="CN28:CN29"/>
    <mergeCell ref="CO28:CO29"/>
    <mergeCell ref="CP28:CP29"/>
    <mergeCell ref="CG28:CG29"/>
    <mergeCell ref="CH28:CH29"/>
    <mergeCell ref="CI28:CI29"/>
    <mergeCell ref="CJ28:CJ29"/>
    <mergeCell ref="CF28:CF29"/>
    <mergeCell ref="BX32:BX33"/>
    <mergeCell ref="BY32:BY33"/>
    <mergeCell ref="BZ32:BZ33"/>
    <mergeCell ref="CM26:CM27"/>
    <mergeCell ref="CN26:CN27"/>
    <mergeCell ref="BN30:BP31"/>
    <mergeCell ref="BX22:BX23"/>
    <mergeCell ref="CO30:CO31"/>
    <mergeCell ref="CH30:CH31"/>
    <mergeCell ref="CI30:CI31"/>
    <mergeCell ref="CJ30:CJ31"/>
    <mergeCell ref="BV30:BV31"/>
    <mergeCell ref="BW30:BW31"/>
    <mergeCell ref="BX30:BX31"/>
    <mergeCell ref="BV26:BV27"/>
    <mergeCell ref="BW26:BW27"/>
    <mergeCell ref="BX26:BX27"/>
    <mergeCell ref="BY26:BY27"/>
    <mergeCell ref="BZ26:BZ27"/>
    <mergeCell ref="BN34:BP35"/>
    <mergeCell ref="CV30:CV31"/>
    <mergeCell ref="CW30:CW31"/>
    <mergeCell ref="CX30:CX31"/>
    <mergeCell ref="CV32:CV33"/>
    <mergeCell ref="CW32:CW33"/>
    <mergeCell ref="CX32:CX33"/>
    <mergeCell ref="CU34:CU35"/>
    <mergeCell ref="CO32:CO33"/>
    <mergeCell ref="CK30:CK31"/>
    <mergeCell ref="CL30:CL31"/>
    <mergeCell ref="CC30:CC31"/>
    <mergeCell ref="CD30:CD31"/>
    <mergeCell ref="CE30:CE31"/>
    <mergeCell ref="CF30:CF31"/>
    <mergeCell ref="CM30:CM31"/>
    <mergeCell ref="CN30:CN31"/>
    <mergeCell ref="CP32:CP33"/>
    <mergeCell ref="CM32:CM33"/>
    <mergeCell ref="DY34:DY35"/>
    <mergeCell ref="DZ34:DZ35"/>
    <mergeCell ref="DY36:DY37"/>
    <mergeCell ref="DZ36:DZ37"/>
    <mergeCell ref="BW28:BW29"/>
    <mergeCell ref="BX28:BX29"/>
    <mergeCell ref="BY28:BY29"/>
    <mergeCell ref="BZ28:BZ29"/>
    <mergeCell ref="CU36:CU37"/>
    <mergeCell ref="CN36:CN37"/>
    <mergeCell ref="CO36:CO37"/>
    <mergeCell ref="CP36:CP37"/>
    <mergeCell ref="CQ36:CQ37"/>
    <mergeCell ref="CH36:CH37"/>
    <mergeCell ref="CI36:CI37"/>
    <mergeCell ref="CJ36:CJ37"/>
    <mergeCell ref="CK36:CK37"/>
    <mergeCell ref="CL36:CL37"/>
    <mergeCell ref="CC36:CC37"/>
    <mergeCell ref="CD36:CD37"/>
    <mergeCell ref="CE36:CE37"/>
    <mergeCell ref="CG36:CG37"/>
    <mergeCell ref="CB36:CB37"/>
    <mergeCell ref="BY30:BY31"/>
    <mergeCell ref="BZ30:BZ31"/>
    <mergeCell ref="CR28:CR29"/>
    <mergeCell ref="CS28:CS29"/>
    <mergeCell ref="DE32:DE33"/>
    <mergeCell ref="DF32:DF33"/>
    <mergeCell ref="DG32:DG33"/>
    <mergeCell ref="DH32:DH33"/>
    <mergeCell ref="DI32:DI33"/>
    <mergeCell ref="DZ18:DZ19"/>
    <mergeCell ref="DY20:DY21"/>
    <mergeCell ref="DZ20:DZ21"/>
    <mergeCell ref="DY22:DY23"/>
    <mergeCell ref="DZ22:DZ23"/>
    <mergeCell ref="DY24:DY25"/>
    <mergeCell ref="DZ24:DZ25"/>
    <mergeCell ref="DY26:DY27"/>
    <mergeCell ref="DZ26:DZ27"/>
    <mergeCell ref="DY18:DY19"/>
    <mergeCell ref="DY28:DY29"/>
    <mergeCell ref="CV36:CV37"/>
    <mergeCell ref="CV28:CV29"/>
    <mergeCell ref="CW28:CW29"/>
    <mergeCell ref="CX28:CX29"/>
    <mergeCell ref="CV18:CV19"/>
    <mergeCell ref="CW18:CW19"/>
    <mergeCell ref="CX18:CX19"/>
    <mergeCell ref="CV20:CV21"/>
    <mergeCell ref="CW20:CW21"/>
    <mergeCell ref="CX20:CX21"/>
    <mergeCell ref="CY32:CY33"/>
    <mergeCell ref="CY34:CY35"/>
    <mergeCell ref="CY36:CY37"/>
    <mergeCell ref="DM18:DM19"/>
    <mergeCell ref="DN18:DN19"/>
    <mergeCell ref="DE18:DE19"/>
    <mergeCell ref="DF18:DF19"/>
    <mergeCell ref="DA22:DA23"/>
    <mergeCell ref="CZ24:CZ25"/>
    <mergeCell ref="DA24:DA25"/>
    <mergeCell ref="CV34:CV35"/>
    <mergeCell ref="BV14:BZ15"/>
    <mergeCell ref="BV16:BV17"/>
    <mergeCell ref="BW16:BW17"/>
    <mergeCell ref="BX16:BX17"/>
    <mergeCell ref="BY16:BY17"/>
    <mergeCell ref="BZ16:BZ17"/>
    <mergeCell ref="BV18:BV19"/>
    <mergeCell ref="BW18:BW19"/>
    <mergeCell ref="BX18:BX19"/>
    <mergeCell ref="BY18:BY19"/>
    <mergeCell ref="BZ18:BZ19"/>
    <mergeCell ref="DZ28:DZ29"/>
    <mergeCell ref="DY30:DY31"/>
    <mergeCell ref="DZ30:DZ31"/>
    <mergeCell ref="DY32:DY33"/>
    <mergeCell ref="DZ32:DZ33"/>
    <mergeCell ref="CV16:CV17"/>
    <mergeCell ref="CW16:CW17"/>
    <mergeCell ref="CX16:CX17"/>
    <mergeCell ref="CI26:CI27"/>
    <mergeCell ref="CL24:CL25"/>
    <mergeCell ref="CC24:CC25"/>
    <mergeCell ref="CD24:CD25"/>
    <mergeCell ref="CE24:CE25"/>
    <mergeCell ref="CF24:CF25"/>
    <mergeCell ref="CG24:CG25"/>
    <mergeCell ref="CB24:CB25"/>
    <mergeCell ref="CT22:CT23"/>
    <mergeCell ref="CL22:CL23"/>
    <mergeCell ref="CM22:CM23"/>
    <mergeCell ref="DA20:DA21"/>
    <mergeCell ref="CZ22:CZ23"/>
    <mergeCell ref="R200:AR201"/>
    <mergeCell ref="CZ36:CZ37"/>
    <mergeCell ref="DA36:DA37"/>
    <mergeCell ref="CZ26:CZ27"/>
    <mergeCell ref="DA26:DA27"/>
    <mergeCell ref="CZ28:CZ29"/>
    <mergeCell ref="DA28:DA29"/>
    <mergeCell ref="CZ30:CZ31"/>
    <mergeCell ref="DA30:DA31"/>
    <mergeCell ref="CZ32:CZ33"/>
    <mergeCell ref="DA32:DA33"/>
    <mergeCell ref="CZ34:CZ35"/>
    <mergeCell ref="DA34:DA35"/>
    <mergeCell ref="BV34:BV35"/>
    <mergeCell ref="BW34:BW35"/>
    <mergeCell ref="BX34:BX35"/>
    <mergeCell ref="BY34:BY35"/>
    <mergeCell ref="BZ34:BZ35"/>
    <mergeCell ref="BV36:BV37"/>
    <mergeCell ref="BW36:BW37"/>
    <mergeCell ref="BX36:BX37"/>
    <mergeCell ref="BY36:BY37"/>
    <mergeCell ref="BZ36:BZ37"/>
    <mergeCell ref="BV28:BV29"/>
    <mergeCell ref="CW34:CW35"/>
    <mergeCell ref="BH34:BJ35"/>
    <mergeCell ref="BW32:BW33"/>
    <mergeCell ref="CE26:CE27"/>
    <mergeCell ref="CF26:CF27"/>
    <mergeCell ref="CG26:CG27"/>
    <mergeCell ref="CH26:CH27"/>
    <mergeCell ref="CQ32:CQ33"/>
    <mergeCell ref="EJ18:EJ19"/>
    <mergeCell ref="EK18:EK19"/>
    <mergeCell ref="EL18:EL19"/>
    <mergeCell ref="EM18:EM19"/>
    <mergeCell ref="EN18:EN19"/>
    <mergeCell ref="EA20:EA21"/>
    <mergeCell ref="EB20:EB21"/>
    <mergeCell ref="EC20:EC21"/>
    <mergeCell ref="ED20:ED21"/>
    <mergeCell ref="EE20:EE21"/>
    <mergeCell ref="EF20:EF21"/>
    <mergeCell ref="EG20:EG21"/>
    <mergeCell ref="EH20:EH21"/>
    <mergeCell ref="EI20:EI21"/>
    <mergeCell ref="EJ20:EJ21"/>
    <mergeCell ref="EK20:EK21"/>
    <mergeCell ref="EL20:EL21"/>
    <mergeCell ref="EM20:EM21"/>
    <mergeCell ref="EN20:EN21"/>
    <mergeCell ref="EA18:EA19"/>
    <mergeCell ref="EB18:EB19"/>
    <mergeCell ref="EC18:EC19"/>
    <mergeCell ref="ED18:ED19"/>
    <mergeCell ref="EE18:EE19"/>
    <mergeCell ref="EF18:EF19"/>
    <mergeCell ref="EG18:EG19"/>
    <mergeCell ref="EH18:EH19"/>
    <mergeCell ref="EI18:EI19"/>
    <mergeCell ref="EJ22:EJ23"/>
    <mergeCell ref="EK22:EK23"/>
    <mergeCell ref="EL22:EL23"/>
    <mergeCell ref="EM22:EM23"/>
    <mergeCell ref="EN22:EN23"/>
    <mergeCell ref="EA24:EA25"/>
    <mergeCell ref="EB24:EB25"/>
    <mergeCell ref="EC24:EC25"/>
    <mergeCell ref="ED24:ED25"/>
    <mergeCell ref="EE24:EE25"/>
    <mergeCell ref="EF24:EF25"/>
    <mergeCell ref="EG24:EG25"/>
    <mergeCell ref="EH24:EH25"/>
    <mergeCell ref="EI24:EI25"/>
    <mergeCell ref="EJ24:EJ25"/>
    <mergeCell ref="EK24:EK25"/>
    <mergeCell ref="EL24:EL25"/>
    <mergeCell ref="EM24:EM25"/>
    <mergeCell ref="EN24:EN25"/>
    <mergeCell ref="EA22:EA23"/>
    <mergeCell ref="EB22:EB23"/>
    <mergeCell ref="EC22:EC23"/>
    <mergeCell ref="ED22:ED23"/>
    <mergeCell ref="EE22:EE23"/>
    <mergeCell ref="EF22:EF23"/>
    <mergeCell ref="EG22:EG23"/>
    <mergeCell ref="EH22:EH23"/>
    <mergeCell ref="EI22:EI23"/>
    <mergeCell ref="EJ26:EJ27"/>
    <mergeCell ref="EK26:EK27"/>
    <mergeCell ref="EL26:EL27"/>
    <mergeCell ref="EM26:EM27"/>
    <mergeCell ref="EN26:EN27"/>
    <mergeCell ref="EA28:EA29"/>
    <mergeCell ref="EB28:EB29"/>
    <mergeCell ref="EC28:EC29"/>
    <mergeCell ref="ED28:ED29"/>
    <mergeCell ref="EE28:EE29"/>
    <mergeCell ref="EF28:EF29"/>
    <mergeCell ref="EG28:EG29"/>
    <mergeCell ref="EH28:EH29"/>
    <mergeCell ref="EI28:EI29"/>
    <mergeCell ref="EJ28:EJ29"/>
    <mergeCell ref="EK28:EK29"/>
    <mergeCell ref="EL28:EL29"/>
    <mergeCell ref="EM28:EM29"/>
    <mergeCell ref="EN28:EN29"/>
    <mergeCell ref="EA26:EA27"/>
    <mergeCell ref="EB26:EB27"/>
    <mergeCell ref="EC26:EC27"/>
    <mergeCell ref="ED26:ED27"/>
    <mergeCell ref="EE26:EE27"/>
    <mergeCell ref="EF26:EF27"/>
    <mergeCell ref="EG26:EG27"/>
    <mergeCell ref="EH26:EH27"/>
    <mergeCell ref="EI26:EI27"/>
    <mergeCell ref="EJ30:EJ31"/>
    <mergeCell ref="EK30:EK31"/>
    <mergeCell ref="EL30:EL31"/>
    <mergeCell ref="EM30:EM31"/>
    <mergeCell ref="EN30:EN31"/>
    <mergeCell ref="EA32:EA33"/>
    <mergeCell ref="EB32:EB33"/>
    <mergeCell ref="EC32:EC33"/>
    <mergeCell ref="ED32:ED33"/>
    <mergeCell ref="EE32:EE33"/>
    <mergeCell ref="EF32:EF33"/>
    <mergeCell ref="EG32:EG33"/>
    <mergeCell ref="EH32:EH33"/>
    <mergeCell ref="EI32:EI33"/>
    <mergeCell ref="EJ32:EJ33"/>
    <mergeCell ref="EK32:EK33"/>
    <mergeCell ref="EL32:EL33"/>
    <mergeCell ref="EM32:EM33"/>
    <mergeCell ref="EN32:EN33"/>
    <mergeCell ref="EA30:EA31"/>
    <mergeCell ref="EB30:EB31"/>
    <mergeCell ref="EC30:EC31"/>
    <mergeCell ref="ED30:ED31"/>
    <mergeCell ref="EE30:EE31"/>
    <mergeCell ref="EF30:EF31"/>
    <mergeCell ref="EG30:EG31"/>
    <mergeCell ref="EH30:EH31"/>
    <mergeCell ref="EI30:EI31"/>
    <mergeCell ref="EJ34:EJ35"/>
    <mergeCell ref="EK34:EK35"/>
    <mergeCell ref="EL34:EL35"/>
    <mergeCell ref="EM34:EM35"/>
    <mergeCell ref="EN34:EN35"/>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A34:EA35"/>
    <mergeCell ref="EB34:EB35"/>
    <mergeCell ref="EC34:EC35"/>
    <mergeCell ref="ED34:ED35"/>
    <mergeCell ref="EE34:EE35"/>
    <mergeCell ref="EF34:EF35"/>
    <mergeCell ref="EG34:EG35"/>
    <mergeCell ref="EH34:EH35"/>
    <mergeCell ref="EI34:EI35"/>
  </mergeCells>
  <phoneticPr fontId="78" type="noConversion"/>
  <conditionalFormatting sqref="C18 L18 AD18 AJ18 AM18 AP18 AY18 BB18 BD18 AV18:AV37 C20 L20 AD20 AJ20 AM20 AP20 AY20 BB20 BD20 C22 L22 AD22 AJ22 AM22 AP22 AY22 BB22 BD22 C24 L24 AD24 AJ24 AM24 AP24 AY24 BB24 BD24 C26 L26 AD26 AJ26 AM26 AP26 AY26 BB26 BD26 C28 L28 AD28 AJ28 AM28 AP28 AY28 BB28 BD28 C30 L30 AD30 AJ30 AM30 AP30 AY30 BB30 BD30 C32 L32 AD32 AJ32 AM32 AP32 AY32 BB32 BD32 C34 L34 AD34 AJ34 AM34 AP34 AY34 BB34 BD34 C36 L36 AD36 AJ36 AM36 AP36 AY36 BB36 BD36">
    <cfRule type="expression" dxfId="305" priority="11">
      <formula>AND(ISBLANK($F18)=FALSE,OR(ISBLANK(C18)=TRUE,C18=""))</formula>
    </cfRule>
  </conditionalFormatting>
  <conditionalFormatting sqref="R18:AC37">
    <cfRule type="expression" dxfId="304" priority="3">
      <formula>AND(ISBLANK($F18)=FALSE,OR(ISBLANK(R18)=TRUE,R18=""))</formula>
    </cfRule>
  </conditionalFormatting>
  <conditionalFormatting sqref="AS18 AS20 AS22 AS24 AS26 AS28 AS30 AS32 AS34 AS36">
    <cfRule type="expression" dxfId="303" priority="2">
      <formula>AND(ISBLANK($F18)=FALSE,OR(ISBLANK(AS18)=TRUE,AS18=""))</formula>
    </cfRule>
  </conditionalFormatting>
  <conditionalFormatting sqref="AV18 AY18 AV20 AY20 AV22 AY22 AV24 AY24 AV26 AY26 AV28 AY28 AV30 AY30 AV32 AY32 AV34 AY34 AV36 AY36">
    <cfRule type="expression" dxfId="302" priority="2100">
      <formula>AND($F18&lt;&gt;"",$P18&lt;&gt;"",AV18="")</formula>
    </cfRule>
  </conditionalFormatting>
  <conditionalFormatting sqref="AV19 AV21 AV23 AV25 AV27 AV29 AV31 AV33 AV35 AV37">
    <cfRule type="expression" dxfId="301" priority="7">
      <formula>AND($F18&lt;&gt;"",AV19="")</formula>
    </cfRule>
  </conditionalFormatting>
  <conditionalFormatting sqref="BA8:BF8">
    <cfRule type="expression" dxfId="300" priority="4">
      <formula>IF($AO$8=PROJSTATMEASURE,FALSE,TRUE)</formula>
    </cfRule>
  </conditionalFormatting>
  <conditionalFormatting sqref="BH18 BH20 BH22 BH24 BH26 BH28 BH30 BH32 BH34 BH36">
    <cfRule type="expression" dxfId="299" priority="2228" stopIfTrue="1">
      <formula>ISNUMBER($BH18)=FALSE</formula>
    </cfRule>
    <cfRule type="expression" dxfId="298" priority="2229">
      <formula>$BH18 &lt;&gt; #REF!</formula>
    </cfRule>
  </conditionalFormatting>
  <conditionalFormatting sqref="BY18:BZ37">
    <cfRule type="expression" dxfId="297" priority="1">
      <formula>$BX18&lt;&gt;"Dual"</formula>
    </cfRule>
  </conditionalFormatting>
  <dataValidations count="20">
    <dataValidation allowBlank="1" showInputMessage="1" showErrorMessage="1" prompt="Enter the Serial number as it appears in technical documents and invoices." sqref="AV19 AV21 AV23 AV25 AV27 AV29 AV31 AV33 AV35 AV37" xr:uid="{9D12B2ED-5600-4DF8-BF1E-65E249CEB543}"/>
    <dataValidation allowBlank="1" showInputMessage="1" showErrorMessage="1" prompt="Provide a brief description of the Existing Equipment." sqref="L18 L32 L20 L22 L24 L26 L28 L30 L34 L36" xr:uid="{8EAE39AC-2183-4CA6-9485-FB83836FB67B}"/>
    <dataValidation allowBlank="1" showInputMessage="1" showErrorMessage="1" prompt="Enter the Model number as it appears in technical documents and invoices." sqref="AY18 AY20 AY22 AY24 AY26 AY28 AY30 AY32 AY34 AY36" xr:uid="{B6CB6258-A79C-4162-BFA3-3E312B5DB4AE}"/>
    <dataValidation allowBlank="1" showInputMessage="1" showErrorMessage="1" prompt="Enter the Manufacturer name as it appears in technical documents and invoices." sqref="AV18 AV20 AV22 AV24 AV26 AV28 AV30 AV32 AV34 AV36" xr:uid="{CD341BAA-3F72-4D99-9E86-49E82020E982}"/>
    <dataValidation allowBlank="1" showInputMessage="1" showErrorMessage="1" prompt="Install Location should describe the area where the equipment is installed. (e.g. Room 201, Garage, Mechanical Room)." sqref="C18 C32 C20 C22 C24 C26 C28 C30 C34 C36" xr:uid="{6ACCB1A9-47A9-408A-AC67-47DE82C5BE35}"/>
    <dataValidation type="decimal" allowBlank="1" showInputMessage="1" showErrorMessage="1" prompt="This is the TOTAL Material Cost of the measure, NOT a per unit basis." sqref="BB18 BB20 BB22 BB24 BB26 BB28 BB30 BB32 BB34 BB36" xr:uid="{FF41FCAD-5912-4124-9A92-521ED81D2B75}">
      <formula1>0</formula1>
      <formula2>999999999</formula2>
    </dataValidation>
    <dataValidation type="decimal" allowBlank="1" showInputMessage="1" showErrorMessage="1" prompt="This is the TOTAL Labor Cost of the measure, NOT a per unit basis." sqref="BD18 BD20 BD22 BD24 BD26 BD28 BD30 BD32 BD34 BD36" xr:uid="{51E49D2D-A577-4A55-8710-578D532A8E14}">
      <formula1>0</formula1>
      <formula2>999999999</formula2>
    </dataValidation>
    <dataValidation type="list" allowBlank="1" showInputMessage="1" showErrorMessage="1" prompt="Select Custom Measure Category." sqref="F18 F32 F20 F22 F24 F26 F28 F30 F34 F36" xr:uid="{8B3A5217-5E29-4550-A364-96BC9AEEF59A}">
      <formula1>List_Cust_Ag</formula1>
    </dataValidation>
    <dataValidation type="custom" operator="greaterThanOrEqual" allowBlank="1" showInputMessage="1" showErrorMessage="1" errorTitle="Invalid Entry" error="Please enter no more than 4 decimals." prompt="Enter the Total Annual kWh Usage for the Existing measure, NOT per unit." sqref="R18:T37" xr:uid="{70DA7440-4755-4549-919D-A4247DD994D1}">
      <formula1>AND(R18&gt;=0,R18=ROUND(R18,4))</formula1>
    </dataValidation>
    <dataValidation type="custom" operator="greaterThanOrEqual" allowBlank="1" showInputMessage="1" showErrorMessage="1" errorTitle="Invalid Entry" error="Please enter no more than 6 decimals." prompt="Enter the Total Annual kW Demand for the Existing measure, NOT per unit." sqref="U18:W37" xr:uid="{E0C08BF0-C6BB-4F7C-82AB-EBC2B0DA02F4}">
      <formula1>AND(U18&gt;=0,U18=ROUND(U18,6))</formula1>
    </dataValidation>
    <dataValidation type="custom" operator="greaterThanOrEqual" allowBlank="1" showInputMessage="1" showErrorMessage="1" errorTitle="Invalid Entry" error="Please enter no more than 4 decimals." prompt="Enter the Total Annual kWh Usage for the Proposed measure, NOT per unit." sqref="AJ18 AJ20 AJ22 AJ24 AJ26 AJ28 AJ30 AJ32 AJ34 AJ36" xr:uid="{E6318C06-1675-4C3F-BA5B-A8CDF4CE5E9D}">
      <formula1>AND(AJ18&gt;=0,AJ18=ROUND(AJ18,4))</formula1>
    </dataValidation>
    <dataValidation type="custom" operator="greaterThanOrEqual" allowBlank="1" showInputMessage="1" showErrorMessage="1" errorTitle="Invalid Entry" error="Please enter no more than 6 decimals." prompt="Enter the Total Annual kW Demand for the Proposed measure, NOT per unit." sqref="AM18 AM20 AM22 AM24 AM26 AM28 AM30 AM32 AM34 AM36" xr:uid="{F9CC8B35-C0FA-457C-808B-32F5EACD3155}">
      <formula1>AND(AM18&gt;=0,AM18=ROUND(AM18,6))</formula1>
    </dataValidation>
    <dataValidation type="textLength" errorStyle="warning" operator="lessThan" allowBlank="1" showInputMessage="1" showErrorMessage="1" errorTitle="*Important*" error="Text length must be less than 255 characters." prompt="Provide a brief description of the Proposed Equipment." sqref="AD18 AD20 AD22 AD24 AD26 AD28 AD30 AD32 AD34 AD36" xr:uid="{7CC99FFB-B130-4EEA-A1FB-29304DF4CC00}">
      <formula1>255</formula1>
    </dataValidation>
    <dataValidation type="custom" operator="greaterThanOrEqual" allowBlank="1" showInputMessage="1" showErrorMessage="1" errorTitle="Invalid Entry" error="Please enter no more than 6 decimals." prompt="Enter the Total Annual therm Usage for the Existing measure, NOT per unit." sqref="X18:Z37" xr:uid="{046BF5C3-EC82-4348-A18A-049A882C43C7}">
      <formula1>AND(X18&gt;=0,X18=ROUND(X18,6))</formula1>
    </dataValidation>
    <dataValidation type="custom" operator="greaterThanOrEqual" allowBlank="1" showInputMessage="1" showErrorMessage="1" errorTitle="Invalid Entry" error="Please enter no more than 6 decimals." prompt="Enter the Peak Day therm Usage for the Existing measure, NOT per unit." sqref="AA18:AC37" xr:uid="{C4B83573-3924-4F9E-8C72-B469609DCA0D}">
      <formula1>AND(AA18&gt;=0,AA18=ROUND(AA18,6))</formula1>
    </dataValidation>
    <dataValidation type="custom" operator="greaterThanOrEqual" allowBlank="1" showInputMessage="1" showErrorMessage="1" errorTitle="Invalid Entry" error="Please enter no more than 6 decimals." prompt="Enter the Total Annual therm Usage for the Proposed measure, NOT per unit." sqref="AP18:AR37" xr:uid="{FBD0E324-535E-4BD2-BF81-6BE4B56038C1}">
      <formula1>AND(AP18&gt;=0,AP18=ROUND(AP18,6))</formula1>
    </dataValidation>
    <dataValidation type="custom" operator="greaterThanOrEqual" allowBlank="1" showInputMessage="1" showErrorMessage="1" errorTitle="Invalid Entry" error="Please enter no more than 6 decimals." prompt="Enter the Peak Dayl therm Usage for the Proposed measure, NOT per unit." sqref="AS18:AU37" xr:uid="{4BA28C7F-B45B-4085-A633-25A910109493}">
      <formula1>AND(AS18&gt;=0,AS18=ROUND(AS18,6))</formula1>
    </dataValidation>
    <dataValidation type="custom" allowBlank="1" showInputMessage="1" showErrorMessage="1" sqref="BY18:BY37" xr:uid="{ABE707D2-DC7C-427B-9A21-EB0F5FAC619A}">
      <formula1>AND(BY18&gt;=0,BY18=ROUND(BY18,4))</formula1>
    </dataValidation>
    <dataValidation type="custom" allowBlank="1" showInputMessage="1" showErrorMessage="1" sqref="BZ18:BZ37" xr:uid="{40F1E531-04EB-4B47-B302-7DFE8E38173C}">
      <formula1>AND(BZ18&gt;=0,BZ18=ROUND(BZ18,6))</formula1>
    </dataValidation>
    <dataValidation type="whole" operator="greaterThan" allowBlank="1" showInputMessage="1" showErrorMessage="1" sqref="BV18:BW37" xr:uid="{6A8FE3CC-63E1-472E-8F6B-DE3A5F2741B5}">
      <formula1>0</formula1>
    </dataValidation>
  </dataValidations>
  <hyperlinks>
    <hyperlink ref="J1:M3" location="'M01-S02'!J1" tooltip="Instructions" display="'M01-S02'!J1" xr:uid="{82DE6864-D894-4150-902B-7CF33EC39825}"/>
    <hyperlink ref="AX1:BA3" location="'M05-S05'!AL1" tooltip=" " display="'M05-S05'!AL1" xr:uid="{F173CA8D-874B-4F32-8707-441B4212E171}"/>
    <hyperlink ref="BH1:BK3" location="'M01-S03'!AP1" tooltip="Contact" display="'M01-S03'!AP1" xr:uid="{E68883B3-82EC-43A1-B746-DE576869B8CC}"/>
    <hyperlink ref="AT1:AW3" location="'M05-S04'!AH1" tooltip=" " display="'M05-S04'!AH1" xr:uid="{EB18B9FC-4B2B-42F8-A2F8-AC2A525D87F0}"/>
    <hyperlink ref="AP1:AS3" location="'M05-S05'!AL1" tooltip=" " display="'M05-S05'!AL1" xr:uid="{ACBB34F3-A819-4EB3-9164-973713CD6292}"/>
    <hyperlink ref="W9:Z11" location="Custom_WH_Tax" tooltip="Refrigeration" display="Custom_WH_Tax" xr:uid="{E3C9FE82-DCC6-4F02-B858-246644945624}"/>
    <hyperlink ref="AP9:AS11" location="Custom_PL_Tax" tooltip="Motors and Drives" display="Custom_PL_Tax" xr:uid="{7DA73C64-DA95-45D3-B740-215EB749A971}"/>
    <hyperlink ref="K9:N11" location="Custom_Lighting_Tax" display="Custom_Lighting_Tax" xr:uid="{13CDB210-1221-4AB5-9F1C-A51AFDA3DA43}"/>
    <hyperlink ref="O9:R11" location="Custom_HVAC_Tax" display="Custom_HVAC_Tax" xr:uid="{69C26BE0-7F11-4154-9FAC-24A48F021231}"/>
    <hyperlink ref="S9:V11" location="Custom_Heating_Tax" display="Custom_Heating_Tax" xr:uid="{24417019-7CD3-4B0A-B102-AC577C42C268}"/>
    <hyperlink ref="AF9:AJ11" location="Custom_FS_Tax" display="Custom_FS_Tax" xr:uid="{89782AFF-97CC-438E-BCBC-9F1BC74FD627}"/>
    <hyperlink ref="AK9:AO11" location="Custom_AG_Tax" display="Custom_AG_Tax" xr:uid="{D42F1EFC-FE35-4518-A25F-4F7A242841D0}"/>
    <hyperlink ref="AT9:AW11" location="Custom_RA_Tax" display="Custom_RA_Tax" xr:uid="{FDD0B9D5-69C1-458D-AE2B-BC44029BD422}"/>
    <hyperlink ref="AX9:BA11" location="Custom_Misc_Tax" display="Custom_Misc_Tax" xr:uid="{095C0ECF-62AF-4B05-954E-E6207B6C1FF6}"/>
    <hyperlink ref="AA9:AE11" location="Custom_Refrig_Tax" display="Custom_Refrig_Tax" xr:uid="{058AC60B-17AF-43ED-BE50-8135401922C6}"/>
  </hyperlinks>
  <printOptions horizontalCentered="1"/>
  <pageMargins left="0" right="0" top="0.25" bottom="0.25" header="0.25" footer="0.25"/>
  <pageSetup scale="4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31C326-DD0C-47B5-8A69-46857F39C59D}">
          <x14:formula1>
            <xm:f>'DATA TABLES_Project'!$A$112:$A$113</xm:f>
          </x14:formula1>
          <xm:sqref>BX18:BX37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BH197"/>
  <sheetViews>
    <sheetView showGridLines="0" showRowColHeaders="0" tabSelected="1" zoomScale="90" zoomScaleNormal="90" workbookViewId="0"/>
  </sheetViews>
  <sheetFormatPr defaultColWidth="0" defaultRowHeight="0" customHeight="1" zeroHeight="1"/>
  <cols>
    <col min="1" max="58" width="4.5703125" style="504" customWidth="1"/>
    <col min="59" max="59" width="4.5703125" style="568" customWidth="1"/>
    <col min="60" max="16384" width="4.5703125" style="568" hidden="1"/>
  </cols>
  <sheetData>
    <row r="1" spans="1:60" customFormat="1" ht="16.350000000000001" customHeight="1">
      <c r="A1" s="12"/>
      <c r="B1" s="36"/>
      <c r="C1" s="36"/>
      <c r="D1" s="36"/>
      <c r="E1" s="36"/>
      <c r="F1" s="725" t="str">
        <f>M1S1</f>
        <v>WELCOME</v>
      </c>
      <c r="G1" s="725"/>
      <c r="H1" s="725"/>
      <c r="I1" s="725"/>
      <c r="J1" s="727" t="str">
        <f>M1S2</f>
        <v>INSTRUCTIONS</v>
      </c>
      <c r="K1" s="727"/>
      <c r="L1" s="727"/>
      <c r="M1" s="727"/>
      <c r="N1" s="166"/>
      <c r="O1" s="166"/>
      <c r="P1" s="166"/>
      <c r="Q1" s="166"/>
      <c r="R1" s="166"/>
      <c r="S1" s="166"/>
      <c r="T1" s="189"/>
      <c r="U1" s="190" t="s">
        <v>118</v>
      </c>
      <c r="V1" s="190"/>
      <c r="W1" s="190"/>
      <c r="X1" s="190"/>
      <c r="Y1" s="166"/>
      <c r="Z1" s="166"/>
      <c r="AA1" s="166"/>
      <c r="AB1" s="166"/>
      <c r="AC1" s="166"/>
      <c r="AD1" s="166"/>
      <c r="AE1" s="166"/>
      <c r="AF1" s="166"/>
      <c r="AL1" s="734" t="str">
        <f>IF(ACTIVEINSPECT="Yes","Complete "&amp;M5S4,"")</f>
        <v/>
      </c>
      <c r="AM1" s="734"/>
      <c r="AN1" s="734"/>
      <c r="AO1" s="734"/>
      <c r="AP1" s="730" t="str">
        <f>IF(ACTIVEOFFER="Yes","Sign "&amp;M5S6,"")</f>
        <v>Sign OBR: Repayment Agreement</v>
      </c>
      <c r="AQ1" s="730"/>
      <c r="AR1" s="730"/>
      <c r="AS1" s="730"/>
      <c r="AT1" s="730" t="str">
        <f>IF(ACTIVECOMPL="Yes","Sign "&amp;M5S5,"")</f>
        <v xml:space="preserve">Sign Project Completion Certification </v>
      </c>
      <c r="AU1" s="730"/>
      <c r="AV1" s="730"/>
      <c r="AW1" s="730"/>
      <c r="AX1" s="732" t="str">
        <f>M1S4</f>
        <v>INCENTIVE RATES &amp; REQUIREMENTS</v>
      </c>
      <c r="AY1" s="732"/>
      <c r="AZ1" s="732"/>
      <c r="BA1" s="732"/>
      <c r="BB1" s="732"/>
      <c r="BC1" s="732"/>
      <c r="BD1" s="722" t="s">
        <v>119</v>
      </c>
      <c r="BE1" s="723"/>
      <c r="BF1" s="723"/>
      <c r="BG1" s="723"/>
    </row>
    <row r="2" spans="1:60" customFormat="1" ht="16.350000000000001" customHeight="1">
      <c r="B2" s="36"/>
      <c r="C2" s="36"/>
      <c r="D2" s="36"/>
      <c r="E2" s="36"/>
      <c r="F2" s="725"/>
      <c r="G2" s="725"/>
      <c r="H2" s="725"/>
      <c r="I2" s="725"/>
      <c r="J2" s="728"/>
      <c r="K2" s="728"/>
      <c r="L2" s="728"/>
      <c r="M2" s="728"/>
      <c r="N2" s="166"/>
      <c r="O2" s="166"/>
      <c r="P2" s="166"/>
      <c r="Q2" s="166"/>
      <c r="R2" s="166"/>
      <c r="S2" s="166"/>
      <c r="T2" s="189"/>
      <c r="U2" s="190"/>
      <c r="V2" s="190"/>
      <c r="W2" s="190"/>
      <c r="X2" s="190"/>
      <c r="Y2" s="166"/>
      <c r="Z2" s="166"/>
      <c r="AA2" s="166"/>
      <c r="AB2" s="166"/>
      <c r="AC2" s="166"/>
      <c r="AD2" s="166"/>
      <c r="AE2" s="166"/>
      <c r="AF2" s="166"/>
      <c r="AL2" s="734"/>
      <c r="AM2" s="734"/>
      <c r="AN2" s="734"/>
      <c r="AO2" s="734"/>
      <c r="AP2" s="730"/>
      <c r="AQ2" s="730"/>
      <c r="AR2" s="730"/>
      <c r="AS2" s="730"/>
      <c r="AT2" s="730"/>
      <c r="AU2" s="730"/>
      <c r="AV2" s="730"/>
      <c r="AW2" s="730"/>
      <c r="AX2" s="732"/>
      <c r="AY2" s="732"/>
      <c r="AZ2" s="732"/>
      <c r="BA2" s="732"/>
      <c r="BB2" s="732"/>
      <c r="BC2" s="732"/>
      <c r="BD2" s="723"/>
      <c r="BE2" s="723"/>
      <c r="BF2" s="723"/>
      <c r="BG2" s="723"/>
    </row>
    <row r="3" spans="1:60" s="37" customFormat="1" ht="16.350000000000001" customHeight="1" thickBot="1">
      <c r="A3" s="38"/>
      <c r="B3" s="39"/>
      <c r="C3" s="39"/>
      <c r="D3" s="39"/>
      <c r="E3" s="39"/>
      <c r="F3" s="726"/>
      <c r="G3" s="726"/>
      <c r="H3" s="726"/>
      <c r="I3" s="726"/>
      <c r="J3" s="729"/>
      <c r="K3" s="729"/>
      <c r="L3" s="729"/>
      <c r="M3" s="729"/>
      <c r="N3" s="191"/>
      <c r="O3" s="191"/>
      <c r="P3" s="191"/>
      <c r="Q3" s="191"/>
      <c r="R3" s="191"/>
      <c r="S3" s="191"/>
      <c r="T3" s="191"/>
      <c r="U3" s="192"/>
      <c r="V3" s="192"/>
      <c r="W3" s="192"/>
      <c r="X3" s="192"/>
      <c r="Y3" s="38"/>
      <c r="Z3" s="38"/>
      <c r="AA3" s="38"/>
      <c r="AB3" s="38"/>
      <c r="AC3" s="38"/>
      <c r="AD3" s="38"/>
      <c r="AE3" s="38"/>
      <c r="AF3" s="38"/>
      <c r="AG3" s="38"/>
      <c r="AH3" s="38"/>
      <c r="AI3" s="38"/>
      <c r="AJ3" s="38"/>
      <c r="AK3" s="38"/>
      <c r="AL3" s="735"/>
      <c r="AM3" s="735"/>
      <c r="AN3" s="735"/>
      <c r="AO3" s="735"/>
      <c r="AP3" s="731"/>
      <c r="AQ3" s="731"/>
      <c r="AR3" s="731"/>
      <c r="AS3" s="731"/>
      <c r="AT3" s="731"/>
      <c r="AU3" s="731"/>
      <c r="AV3" s="731"/>
      <c r="AW3" s="731"/>
      <c r="AX3" s="733"/>
      <c r="AY3" s="733"/>
      <c r="AZ3" s="733"/>
      <c r="BA3" s="733"/>
      <c r="BB3" s="733"/>
      <c r="BC3" s="733"/>
      <c r="BD3" s="724"/>
      <c r="BE3" s="724"/>
      <c r="BF3" s="724"/>
      <c r="BG3" s="724"/>
      <c r="BH3" s="39"/>
    </row>
    <row r="4" spans="1:60" customFormat="1" ht="16.350000000000001" customHeight="1"/>
    <row r="5" spans="1:60" customFormat="1" ht="16.350000000000001" customHeight="1"/>
    <row r="6" spans="1:60" customFormat="1" ht="16.350000000000001" customHeight="1">
      <c r="E6" s="720" t="s">
        <v>120</v>
      </c>
      <c r="F6" s="720"/>
      <c r="G6" s="720"/>
      <c r="H6" s="720"/>
      <c r="I6" s="720"/>
      <c r="J6" s="720"/>
      <c r="K6" s="720"/>
      <c r="L6" s="720"/>
      <c r="M6" s="720"/>
      <c r="N6" s="720"/>
      <c r="O6" s="720"/>
      <c r="P6" s="720"/>
      <c r="Q6" s="720"/>
      <c r="R6" s="720"/>
      <c r="S6" s="720"/>
      <c r="T6" s="720"/>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c r="AT6" s="720"/>
      <c r="AU6" s="720"/>
      <c r="AV6" s="720"/>
      <c r="AW6" s="720"/>
      <c r="AX6" s="720"/>
      <c r="AY6" s="720"/>
    </row>
    <row r="7" spans="1:60" customFormat="1" ht="16.350000000000001" customHeight="1">
      <c r="E7" s="720"/>
      <c r="F7" s="720"/>
      <c r="G7" s="720"/>
      <c r="H7" s="720"/>
      <c r="I7" s="720"/>
      <c r="J7" s="720"/>
      <c r="K7" s="720"/>
      <c r="L7" s="720"/>
      <c r="M7" s="720"/>
      <c r="N7" s="720"/>
      <c r="O7" s="720"/>
      <c r="P7" s="720"/>
      <c r="Q7" s="720"/>
      <c r="R7" s="720"/>
      <c r="S7" s="720"/>
      <c r="T7" s="720"/>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c r="AT7" s="720"/>
      <c r="AU7" s="720"/>
      <c r="AV7" s="720"/>
      <c r="AW7" s="720"/>
      <c r="AX7" s="720"/>
      <c r="AY7" s="720"/>
      <c r="BC7" s="736" t="s">
        <v>121</v>
      </c>
      <c r="BD7" s="736"/>
      <c r="BE7" s="736"/>
    </row>
    <row r="8" spans="1:60" customFormat="1" ht="16.350000000000001" customHeight="1">
      <c r="E8" s="720"/>
      <c r="F8" s="720"/>
      <c r="G8" s="720"/>
      <c r="H8" s="720"/>
      <c r="I8" s="720"/>
      <c r="J8" s="720"/>
      <c r="K8" s="720"/>
      <c r="L8" s="720"/>
      <c r="M8" s="720"/>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c r="AT8" s="720"/>
      <c r="AU8" s="720"/>
      <c r="AV8" s="720"/>
      <c r="AW8" s="720"/>
      <c r="AX8" s="720"/>
      <c r="AY8" s="720"/>
      <c r="BC8" s="736"/>
      <c r="BD8" s="736"/>
      <c r="BE8" s="736"/>
    </row>
    <row r="9" spans="1:60" customFormat="1" ht="16.350000000000001" customHeight="1">
      <c r="AV9" s="12"/>
      <c r="BA9" s="12"/>
      <c r="BB9" s="12"/>
      <c r="BC9" s="12"/>
    </row>
    <row r="10" spans="1:60" customFormat="1" ht="16.350000000000001" customHeight="1">
      <c r="E10" s="718" t="s">
        <v>122</v>
      </c>
      <c r="F10" s="718"/>
      <c r="G10" s="718"/>
      <c r="H10" s="718"/>
      <c r="I10" s="718"/>
      <c r="J10" s="718"/>
      <c r="K10" s="718"/>
      <c r="L10" s="718"/>
      <c r="M10" s="718"/>
      <c r="N10" s="718"/>
      <c r="O10" s="718"/>
    </row>
    <row r="11" spans="1:60" s="40" customFormat="1" ht="16.350000000000001" customHeight="1">
      <c r="E11" s="718"/>
      <c r="F11" s="718"/>
      <c r="G11" s="718"/>
      <c r="H11" s="718"/>
      <c r="I11" s="718"/>
      <c r="J11" s="718"/>
      <c r="K11" s="718"/>
      <c r="L11" s="718"/>
      <c r="M11" s="718"/>
      <c r="N11" s="718"/>
      <c r="O11" s="718"/>
      <c r="AS11"/>
      <c r="AT11"/>
      <c r="AU11"/>
      <c r="AV11"/>
      <c r="AZ11"/>
    </row>
    <row r="12" spans="1:60" customFormat="1" ht="16.350000000000001" customHeight="1">
      <c r="E12" s="712" t="s">
        <v>123</v>
      </c>
      <c r="F12" s="712"/>
      <c r="G12" s="712"/>
      <c r="H12" s="712"/>
      <c r="I12" s="712"/>
      <c r="J12" s="712"/>
      <c r="K12" s="712"/>
      <c r="L12" s="712"/>
      <c r="M12" s="712"/>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c r="AK12" s="712"/>
      <c r="AL12" s="712"/>
      <c r="AM12" s="712"/>
      <c r="AN12" s="712"/>
      <c r="AO12" s="712"/>
      <c r="AP12" s="712"/>
      <c r="AQ12" s="712"/>
      <c r="AR12" s="712"/>
      <c r="AS12" s="712"/>
      <c r="AT12" s="712"/>
      <c r="AU12" s="712"/>
      <c r="AV12" s="712"/>
      <c r="AW12" s="712"/>
      <c r="AX12" s="712"/>
      <c r="AY12" s="712"/>
      <c r="AZ12" s="712"/>
      <c r="BA12" s="712"/>
      <c r="BB12" s="662"/>
      <c r="BC12" s="662"/>
    </row>
    <row r="13" spans="1:60" customFormat="1" ht="16.350000000000001" customHeight="1">
      <c r="E13" s="712"/>
      <c r="F13" s="712"/>
      <c r="G13" s="712"/>
      <c r="H13" s="712"/>
      <c r="I13" s="712"/>
      <c r="J13" s="712"/>
      <c r="K13" s="712"/>
      <c r="L13" s="712"/>
      <c r="M13" s="712"/>
      <c r="N13" s="712"/>
      <c r="O13" s="712"/>
      <c r="P13" s="712"/>
      <c r="Q13" s="712"/>
      <c r="R13" s="712"/>
      <c r="S13" s="712"/>
      <c r="T13" s="712"/>
      <c r="U13" s="712"/>
      <c r="V13" s="712"/>
      <c r="W13" s="712"/>
      <c r="X13" s="712"/>
      <c r="Y13" s="712"/>
      <c r="Z13" s="712"/>
      <c r="AA13" s="712"/>
      <c r="AB13" s="712"/>
      <c r="AC13" s="712"/>
      <c r="AD13" s="712"/>
      <c r="AE13" s="712"/>
      <c r="AF13" s="712"/>
      <c r="AG13" s="712"/>
      <c r="AH13" s="712"/>
      <c r="AI13" s="712"/>
      <c r="AJ13" s="712"/>
      <c r="AK13" s="712"/>
      <c r="AL13" s="712"/>
      <c r="AM13" s="712"/>
      <c r="AN13" s="712"/>
      <c r="AO13" s="712"/>
      <c r="AP13" s="712"/>
      <c r="AQ13" s="712"/>
      <c r="AR13" s="712"/>
      <c r="AS13" s="712"/>
      <c r="AT13" s="712"/>
      <c r="AU13" s="712"/>
      <c r="AV13" s="712"/>
      <c r="AW13" s="712"/>
      <c r="AX13" s="712"/>
      <c r="AY13" s="712"/>
      <c r="AZ13" s="712"/>
      <c r="BA13" s="712"/>
      <c r="BB13" s="662"/>
      <c r="BC13" s="662"/>
    </row>
    <row r="14" spans="1:60" customFormat="1" ht="16.350000000000001" customHeight="1">
      <c r="E14" s="662"/>
      <c r="F14" s="662"/>
      <c r="G14" s="662"/>
      <c r="H14" s="662"/>
      <c r="I14" s="662"/>
      <c r="J14" s="662"/>
      <c r="K14" s="662"/>
      <c r="L14" s="662"/>
      <c r="M14" s="662"/>
      <c r="N14" s="662"/>
      <c r="O14" s="662"/>
      <c r="P14" s="662"/>
      <c r="Q14" s="662"/>
      <c r="R14" s="662"/>
      <c r="S14" s="662"/>
      <c r="T14" s="662"/>
      <c r="U14" s="662"/>
      <c r="V14" s="662"/>
      <c r="W14" s="662"/>
      <c r="X14" s="662"/>
      <c r="Y14" s="662"/>
      <c r="Z14" s="662"/>
      <c r="AA14" s="662"/>
      <c r="AB14" s="662"/>
      <c r="AC14" s="662"/>
      <c r="AD14" s="662"/>
      <c r="AE14" s="662"/>
      <c r="AF14" s="662"/>
      <c r="AG14" s="662"/>
      <c r="AH14" s="662"/>
      <c r="AI14" s="662"/>
      <c r="AJ14" s="662"/>
      <c r="AK14" s="662"/>
      <c r="AL14" s="662"/>
      <c r="AM14" s="662"/>
      <c r="AN14" s="662"/>
      <c r="AO14" s="662"/>
      <c r="AP14" s="662"/>
      <c r="AQ14" s="662"/>
      <c r="AR14" s="662"/>
      <c r="AS14" s="662"/>
      <c r="AT14" s="662"/>
      <c r="AU14" s="662"/>
      <c r="AV14" s="662"/>
      <c r="AW14" s="662"/>
      <c r="AX14" s="662"/>
      <c r="AY14" s="662"/>
      <c r="AZ14" s="662"/>
      <c r="BA14" s="662"/>
      <c r="BB14" s="662"/>
      <c r="BC14" s="662"/>
    </row>
    <row r="15" spans="1:60" customFormat="1" ht="16.350000000000001" customHeight="1">
      <c r="E15" s="662"/>
      <c r="F15" s="662"/>
      <c r="G15" s="662"/>
      <c r="H15" s="662"/>
      <c r="I15" s="662"/>
      <c r="J15" s="662"/>
      <c r="K15" s="662"/>
      <c r="L15" s="662"/>
      <c r="M15" s="662"/>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662"/>
      <c r="AR15" s="662"/>
      <c r="AS15" s="662"/>
      <c r="AT15" s="662"/>
      <c r="AU15" s="662"/>
      <c r="AV15" s="662"/>
      <c r="AW15" s="662"/>
      <c r="AX15" s="662"/>
      <c r="AY15" s="662"/>
      <c r="AZ15" s="662"/>
      <c r="BA15" s="662"/>
      <c r="BB15" s="662"/>
      <c r="BC15" s="662"/>
    </row>
    <row r="16" spans="1:60" customFormat="1" ht="16.350000000000001" customHeight="1">
      <c r="E16" s="719" t="s">
        <v>124</v>
      </c>
      <c r="F16" s="719"/>
      <c r="G16" s="719"/>
      <c r="H16" s="719"/>
      <c r="I16" s="719"/>
      <c r="J16" s="719"/>
      <c r="K16" s="719"/>
      <c r="L16" s="719"/>
      <c r="M16" s="719"/>
      <c r="N16" s="719"/>
      <c r="O16" s="719"/>
      <c r="P16" s="719"/>
      <c r="Q16" s="719"/>
      <c r="R16" s="719"/>
      <c r="S16" s="719"/>
      <c r="T16" s="71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c r="AT16" s="719"/>
      <c r="AU16" s="719"/>
      <c r="AV16" s="719"/>
      <c r="AW16" s="719"/>
      <c r="AX16" s="719"/>
      <c r="AY16" s="719"/>
      <c r="AZ16" s="719"/>
      <c r="BA16" s="719"/>
      <c r="BB16" s="177"/>
      <c r="BC16" s="177"/>
    </row>
    <row r="17" spans="5:55" customFormat="1" ht="16.350000000000001" customHeight="1">
      <c r="E17" s="712" t="s">
        <v>125</v>
      </c>
      <c r="F17" s="712"/>
      <c r="G17" s="712"/>
      <c r="H17" s="712"/>
      <c r="I17" s="712"/>
      <c r="J17" s="712"/>
      <c r="K17" s="712"/>
      <c r="L17" s="712"/>
      <c r="M17" s="712"/>
      <c r="N17" s="712"/>
      <c r="O17" s="712"/>
      <c r="P17" s="712"/>
      <c r="Q17" s="712"/>
      <c r="R17" s="712"/>
      <c r="S17" s="712"/>
      <c r="T17" s="712"/>
      <c r="U17" s="712"/>
      <c r="V17" s="712"/>
      <c r="W17" s="712"/>
      <c r="X17" s="712"/>
      <c r="Y17" s="712"/>
      <c r="Z17" s="712"/>
      <c r="AA17" s="712"/>
      <c r="AB17" s="712"/>
      <c r="AC17" s="712"/>
      <c r="AD17" s="712"/>
      <c r="AE17" s="712"/>
      <c r="AF17" s="712"/>
      <c r="AG17" s="712"/>
      <c r="AH17" s="712"/>
      <c r="AI17" s="712"/>
      <c r="AJ17" s="712"/>
      <c r="AK17" s="712"/>
      <c r="AL17" s="712"/>
      <c r="AM17" s="712"/>
      <c r="AN17" s="712"/>
      <c r="AO17" s="712"/>
      <c r="AP17" s="712"/>
      <c r="AQ17" s="712"/>
      <c r="AR17" s="712"/>
      <c r="AS17" s="712"/>
      <c r="AT17" s="712"/>
      <c r="AU17" s="712"/>
      <c r="AV17" s="712"/>
      <c r="AW17" s="712"/>
      <c r="AX17" s="712"/>
      <c r="AY17" s="712"/>
      <c r="AZ17" s="712"/>
      <c r="BA17" s="712"/>
      <c r="BB17" s="177"/>
      <c r="BC17" s="177"/>
    </row>
    <row r="18" spans="5:55" customFormat="1" ht="16.350000000000001" customHeight="1">
      <c r="E18" s="712" t="s">
        <v>126</v>
      </c>
      <c r="F18" s="712"/>
      <c r="G18" s="712"/>
      <c r="H18" s="712"/>
      <c r="I18" s="712"/>
      <c r="J18" s="712"/>
      <c r="K18" s="712"/>
      <c r="L18" s="712"/>
      <c r="M18" s="712"/>
      <c r="N18" s="712"/>
      <c r="O18" s="712"/>
      <c r="P18" s="712"/>
      <c r="Q18" s="712"/>
      <c r="R18" s="712"/>
      <c r="S18" s="712"/>
      <c r="T18" s="712"/>
      <c r="U18" s="712"/>
      <c r="V18" s="712"/>
      <c r="W18" s="712"/>
      <c r="X18" s="712"/>
      <c r="Y18" s="712"/>
      <c r="Z18" s="712"/>
      <c r="AA18" s="712"/>
      <c r="AB18" s="712"/>
      <c r="AC18" s="712"/>
      <c r="AD18" s="712"/>
      <c r="AE18" s="712"/>
      <c r="AF18" s="712"/>
      <c r="AG18" s="712"/>
      <c r="AH18" s="712"/>
      <c r="AI18" s="712"/>
      <c r="AJ18" s="712"/>
      <c r="AK18" s="712"/>
      <c r="AL18" s="712"/>
      <c r="AM18" s="712"/>
      <c r="AN18" s="712"/>
      <c r="AO18" s="712"/>
      <c r="AP18" s="712"/>
      <c r="AQ18" s="712"/>
      <c r="AR18" s="712"/>
      <c r="AS18" s="712"/>
      <c r="AT18" s="712"/>
      <c r="AU18" s="712"/>
      <c r="AV18" s="712"/>
      <c r="AW18" s="712"/>
      <c r="AX18" s="712"/>
      <c r="AY18" s="712"/>
      <c r="AZ18" s="712"/>
      <c r="BA18" s="712"/>
      <c r="BB18" s="177"/>
      <c r="BC18" s="177"/>
    </row>
    <row r="19" spans="5:55" customFormat="1" ht="16.350000000000001" customHeight="1">
      <c r="E19" s="712" t="s">
        <v>127</v>
      </c>
      <c r="F19" s="712"/>
      <c r="G19" s="712"/>
      <c r="H19" s="712"/>
      <c r="I19" s="712"/>
      <c r="J19" s="712"/>
      <c r="K19" s="712"/>
      <c r="L19" s="712"/>
      <c r="M19" s="712"/>
      <c r="N19" s="712"/>
      <c r="O19" s="712"/>
      <c r="P19" s="712"/>
      <c r="Q19" s="712"/>
      <c r="R19" s="712"/>
      <c r="S19" s="712"/>
      <c r="T19" s="712"/>
      <c r="U19" s="712"/>
      <c r="V19" s="712"/>
      <c r="W19" s="712"/>
      <c r="X19" s="712"/>
      <c r="Y19" s="712"/>
      <c r="Z19" s="712"/>
      <c r="AA19" s="712"/>
      <c r="AB19" s="712"/>
      <c r="AC19" s="712"/>
      <c r="AD19" s="712"/>
      <c r="AE19" s="712"/>
      <c r="AF19" s="712"/>
      <c r="AG19" s="712"/>
      <c r="AH19" s="712"/>
      <c r="AI19" s="712"/>
      <c r="AJ19" s="712"/>
      <c r="AK19" s="712"/>
      <c r="AL19" s="712"/>
      <c r="AM19" s="712"/>
      <c r="AN19" s="712"/>
      <c r="AO19" s="712"/>
      <c r="AP19" s="712"/>
      <c r="AQ19" s="712"/>
      <c r="AR19" s="712"/>
      <c r="AS19" s="712"/>
      <c r="AT19" s="712"/>
      <c r="AU19" s="712"/>
      <c r="AV19" s="712"/>
      <c r="AW19" s="712"/>
      <c r="AX19" s="712"/>
      <c r="AY19" s="712"/>
      <c r="AZ19" s="712"/>
      <c r="BA19" s="712"/>
      <c r="BB19" s="177"/>
      <c r="BC19" s="177"/>
    </row>
    <row r="20" spans="5:55" customFormat="1" ht="16.350000000000001" customHeight="1">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row>
    <row r="21" spans="5:55" customFormat="1" ht="16.350000000000001" customHeight="1">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row>
    <row r="22" spans="5:55" customFormat="1" ht="16.350000000000001" customHeight="1">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row>
    <row r="23" spans="5:55" customFormat="1" ht="16.350000000000001" customHeight="1">
      <c r="E23" s="717" t="s">
        <v>128</v>
      </c>
      <c r="F23" s="717"/>
      <c r="G23" s="717"/>
      <c r="H23" s="717"/>
      <c r="I23" s="717"/>
      <c r="J23" s="717"/>
      <c r="K23" s="717"/>
      <c r="L23" s="717"/>
      <c r="M23" s="717"/>
      <c r="N23" s="717"/>
      <c r="O23" s="717"/>
      <c r="P23" s="717"/>
      <c r="Q23" s="717"/>
      <c r="R23" s="717"/>
      <c r="S23" s="717"/>
      <c r="T23" s="717"/>
      <c r="U23" s="717"/>
      <c r="V23" s="717"/>
      <c r="W23" s="717"/>
      <c r="X23" s="717"/>
      <c r="Y23" s="717"/>
      <c r="Z23" s="717"/>
      <c r="AA23" s="717"/>
      <c r="AB23" s="717"/>
      <c r="AC23" s="717"/>
      <c r="AD23" s="717"/>
      <c r="AE23" s="716" t="s">
        <v>129</v>
      </c>
      <c r="AF23" s="716"/>
      <c r="AG23" s="716"/>
      <c r="AH23" s="716"/>
      <c r="AI23" s="716"/>
      <c r="AJ23" s="716"/>
      <c r="AK23" s="716"/>
      <c r="AL23" s="716"/>
      <c r="AM23" s="716"/>
      <c r="AN23" s="716"/>
      <c r="AO23" s="716"/>
      <c r="AP23" s="716"/>
      <c r="AQ23" s="716"/>
      <c r="AR23" s="716"/>
      <c r="AS23" s="716"/>
      <c r="AT23" s="716"/>
      <c r="AU23" s="716"/>
      <c r="AV23" s="716"/>
      <c r="AW23" s="716"/>
      <c r="AX23" s="716"/>
      <c r="AY23" s="716"/>
      <c r="AZ23" s="716"/>
      <c r="BA23" s="716"/>
      <c r="BB23" s="716"/>
      <c r="BC23" s="716"/>
    </row>
    <row r="24" spans="5:55" customFormat="1" ht="16.350000000000001" customHeight="1">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6"/>
      <c r="AF24" s="716"/>
      <c r="AG24" s="716"/>
      <c r="AH24" s="716"/>
      <c r="AI24" s="716"/>
      <c r="AJ24" s="716"/>
      <c r="AK24" s="716"/>
      <c r="AL24" s="716"/>
      <c r="AM24" s="716"/>
      <c r="AN24" s="716"/>
      <c r="AO24" s="716"/>
      <c r="AP24" s="716"/>
      <c r="AQ24" s="716"/>
      <c r="AR24" s="716"/>
      <c r="AS24" s="716"/>
      <c r="AT24" s="716"/>
      <c r="AU24" s="716"/>
      <c r="AV24" s="716"/>
      <c r="AW24" s="716"/>
      <c r="AX24" s="716"/>
      <c r="AY24" s="716"/>
      <c r="AZ24" s="716"/>
      <c r="BA24" s="716"/>
      <c r="BB24" s="716"/>
      <c r="BC24" s="716"/>
    </row>
    <row r="25" spans="5:55" customFormat="1" ht="16.350000000000001" customHeight="1">
      <c r="E25" s="712" t="s">
        <v>130</v>
      </c>
      <c r="F25" s="712"/>
      <c r="G25" s="712"/>
      <c r="H25" s="712"/>
      <c r="I25" s="712"/>
      <c r="J25" s="712"/>
      <c r="K25" s="712"/>
      <c r="L25" s="712"/>
      <c r="M25" s="712"/>
      <c r="N25" s="712"/>
      <c r="O25" s="712"/>
      <c r="P25" s="712"/>
      <c r="Q25" s="712"/>
      <c r="R25" s="712"/>
      <c r="S25" s="712"/>
      <c r="T25" s="712"/>
      <c r="U25" s="712"/>
      <c r="V25" s="712"/>
      <c r="W25" s="712"/>
      <c r="X25" s="712"/>
      <c r="Y25" s="712"/>
      <c r="Z25" s="712"/>
      <c r="AA25" s="712"/>
      <c r="AB25" s="712"/>
      <c r="AC25" s="712"/>
      <c r="AD25" s="177"/>
      <c r="AE25" s="712" t="s">
        <v>131</v>
      </c>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row>
    <row r="26" spans="5:55" customFormat="1" ht="16.350000000000001" customHeight="1">
      <c r="E26" s="712"/>
      <c r="F26" s="712"/>
      <c r="G26" s="712"/>
      <c r="H26" s="712"/>
      <c r="I26" s="712"/>
      <c r="J26" s="712"/>
      <c r="K26" s="712"/>
      <c r="L26" s="712"/>
      <c r="M26" s="712"/>
      <c r="N26" s="712"/>
      <c r="O26" s="712"/>
      <c r="P26" s="712"/>
      <c r="Q26" s="712"/>
      <c r="R26" s="712"/>
      <c r="S26" s="712"/>
      <c r="T26" s="712"/>
      <c r="U26" s="712"/>
      <c r="V26" s="712"/>
      <c r="W26" s="712"/>
      <c r="X26" s="712"/>
      <c r="Y26" s="712"/>
      <c r="Z26" s="712"/>
      <c r="AA26" s="712"/>
      <c r="AB26" s="712"/>
      <c r="AC26" s="712"/>
      <c r="AD26" s="177"/>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row>
    <row r="27" spans="5:55" customFormat="1" ht="16.350000000000001" customHeight="1">
      <c r="E27" s="712"/>
      <c r="F27" s="712"/>
      <c r="G27" s="712"/>
      <c r="H27" s="712"/>
      <c r="I27" s="712"/>
      <c r="J27" s="712"/>
      <c r="K27" s="712"/>
      <c r="L27" s="712"/>
      <c r="M27" s="712"/>
      <c r="N27" s="712"/>
      <c r="O27" s="712"/>
      <c r="P27" s="712"/>
      <c r="Q27" s="712"/>
      <c r="R27" s="712"/>
      <c r="S27" s="712"/>
      <c r="T27" s="712"/>
      <c r="U27" s="712"/>
      <c r="V27" s="712"/>
      <c r="W27" s="712"/>
      <c r="X27" s="712"/>
      <c r="Y27" s="712"/>
      <c r="Z27" s="712"/>
      <c r="AA27" s="712"/>
      <c r="AB27" s="712"/>
      <c r="AC27" s="712"/>
      <c r="AD27" s="177"/>
      <c r="AE27" s="712"/>
      <c r="AF27" s="712"/>
      <c r="AG27" s="712"/>
      <c r="AH27" s="712"/>
      <c r="AI27" s="712"/>
      <c r="AJ27" s="712"/>
      <c r="AK27" s="712"/>
      <c r="AL27" s="712"/>
      <c r="AM27" s="712"/>
      <c r="AN27" s="712"/>
      <c r="AO27" s="712"/>
      <c r="AP27" s="712"/>
      <c r="AQ27" s="712"/>
      <c r="AR27" s="712"/>
      <c r="AS27" s="712"/>
      <c r="AT27" s="712"/>
      <c r="AU27" s="712"/>
      <c r="AV27" s="712"/>
      <c r="AW27" s="712"/>
      <c r="AX27" s="712"/>
      <c r="AY27" s="712"/>
      <c r="AZ27" s="712"/>
      <c r="BA27" s="712"/>
      <c r="BB27" s="712"/>
      <c r="BC27" s="712"/>
    </row>
    <row r="28" spans="5:55" customFormat="1" ht="16.350000000000001" customHeight="1">
      <c r="E28" s="712"/>
      <c r="F28" s="712"/>
      <c r="G28" s="712"/>
      <c r="H28" s="712"/>
      <c r="I28" s="712"/>
      <c r="J28" s="712"/>
      <c r="K28" s="712"/>
      <c r="L28" s="712"/>
      <c r="M28" s="712"/>
      <c r="N28" s="712"/>
      <c r="O28" s="712"/>
      <c r="P28" s="712"/>
      <c r="Q28" s="712"/>
      <c r="R28" s="712"/>
      <c r="S28" s="712"/>
      <c r="T28" s="712"/>
      <c r="U28" s="712"/>
      <c r="V28" s="712"/>
      <c r="W28" s="712"/>
      <c r="X28" s="712"/>
      <c r="Y28" s="712"/>
      <c r="Z28" s="712"/>
      <c r="AA28" s="712"/>
      <c r="AB28" s="712"/>
      <c r="AC28" s="712"/>
      <c r="AD28" s="177"/>
      <c r="AE28" s="712"/>
      <c r="AF28" s="712"/>
      <c r="AG28" s="712"/>
      <c r="AH28" s="712"/>
      <c r="AI28" s="712"/>
      <c r="AJ28" s="712"/>
      <c r="AK28" s="712"/>
      <c r="AL28" s="712"/>
      <c r="AM28" s="712"/>
      <c r="AN28" s="712"/>
      <c r="AO28" s="712"/>
      <c r="AP28" s="712"/>
      <c r="AQ28" s="712"/>
      <c r="AR28" s="712"/>
      <c r="AS28" s="712"/>
      <c r="AT28" s="712"/>
      <c r="AU28" s="712"/>
      <c r="AV28" s="712"/>
      <c r="AW28" s="712"/>
      <c r="AX28" s="712"/>
      <c r="AY28" s="712"/>
      <c r="AZ28" s="712"/>
      <c r="BA28" s="712"/>
      <c r="BB28" s="712"/>
      <c r="BC28" s="712"/>
    </row>
    <row r="29" spans="5:55" customFormat="1" ht="16.350000000000001" customHeight="1">
      <c r="E29" s="713" t="s">
        <v>132</v>
      </c>
      <c r="F29" s="714"/>
      <c r="G29" s="714"/>
      <c r="H29" s="714"/>
      <c r="I29" s="714"/>
      <c r="J29" s="714"/>
      <c r="K29" s="714"/>
      <c r="L29" s="714"/>
      <c r="M29" s="714"/>
      <c r="N29" s="714"/>
      <c r="O29" s="714"/>
      <c r="P29" s="714"/>
      <c r="Q29" s="714"/>
      <c r="R29" s="714"/>
      <c r="S29" s="714"/>
      <c r="T29" s="714"/>
      <c r="U29" s="714"/>
      <c r="V29" s="714"/>
      <c r="W29" s="714"/>
      <c r="X29" s="714"/>
      <c r="Y29" s="714"/>
      <c r="Z29" s="714"/>
      <c r="AA29" s="714"/>
      <c r="AB29" s="714"/>
      <c r="AC29" s="714"/>
      <c r="AD29" s="177"/>
      <c r="AE29" s="715" t="s">
        <v>133</v>
      </c>
      <c r="AF29" s="715"/>
      <c r="AG29" s="715"/>
      <c r="AH29" s="715"/>
      <c r="AI29" s="715"/>
      <c r="AJ29" s="715"/>
      <c r="AK29" s="715"/>
      <c r="AL29" s="715"/>
      <c r="AM29" s="715"/>
      <c r="AN29" s="715"/>
      <c r="AO29" s="715"/>
      <c r="AP29" s="715"/>
      <c r="AQ29" s="715"/>
      <c r="AR29" s="715"/>
      <c r="AS29" s="715"/>
      <c r="AT29" s="715"/>
      <c r="AU29" s="715"/>
      <c r="AV29" s="715"/>
      <c r="AW29" s="715"/>
      <c r="AX29" s="715"/>
      <c r="AY29" s="715"/>
      <c r="AZ29" s="715"/>
      <c r="BA29" s="715"/>
      <c r="BB29" s="715"/>
      <c r="BC29" s="715"/>
    </row>
    <row r="30" spans="5:55" customFormat="1" ht="16.350000000000001" customHeight="1">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715" t="s">
        <v>134</v>
      </c>
      <c r="AF30" s="715"/>
      <c r="AG30" s="715"/>
      <c r="AH30" s="715"/>
      <c r="AI30" s="715"/>
      <c r="AJ30" s="715"/>
      <c r="AK30" s="715"/>
      <c r="AL30" s="715"/>
      <c r="AM30" s="715"/>
      <c r="AN30" s="715"/>
      <c r="AO30" s="715"/>
      <c r="AP30" s="715"/>
      <c r="AQ30" s="715"/>
      <c r="AR30" s="715"/>
      <c r="AS30" s="715"/>
      <c r="AT30" s="715"/>
      <c r="AU30" s="715"/>
      <c r="AV30" s="715"/>
      <c r="AW30" s="715"/>
      <c r="AX30" s="715"/>
      <c r="AY30" s="715"/>
      <c r="AZ30" s="715"/>
      <c r="BA30" s="715"/>
      <c r="BB30" s="715"/>
      <c r="BC30" s="715"/>
    </row>
    <row r="31" spans="5:55" customFormat="1" ht="16.350000000000001" customHeight="1">
      <c r="E31" s="740" t="s">
        <v>135</v>
      </c>
      <c r="F31" s="740"/>
      <c r="G31" s="740"/>
      <c r="H31" s="740"/>
      <c r="I31" s="740"/>
      <c r="J31" s="740"/>
      <c r="K31" s="740"/>
      <c r="L31" s="740"/>
      <c r="M31" s="740"/>
      <c r="N31" s="740"/>
      <c r="O31" s="740"/>
      <c r="P31" s="740"/>
      <c r="Q31" s="740"/>
      <c r="R31" s="740"/>
      <c r="S31" s="740"/>
      <c r="T31" s="740"/>
      <c r="U31" s="740"/>
      <c r="V31" s="740"/>
      <c r="W31" s="740"/>
      <c r="X31" s="740"/>
      <c r="Y31" s="740"/>
      <c r="Z31" s="740"/>
      <c r="AA31" s="740"/>
      <c r="AB31" s="740"/>
      <c r="AC31" s="740"/>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row>
    <row r="32" spans="5:55" customFormat="1" ht="16.350000000000001" customHeight="1">
      <c r="E32" s="740"/>
      <c r="F32" s="740"/>
      <c r="G32" s="740"/>
      <c r="H32" s="740"/>
      <c r="I32" s="740"/>
      <c r="J32" s="740"/>
      <c r="K32" s="740"/>
      <c r="L32" s="740"/>
      <c r="M32" s="740"/>
      <c r="N32" s="740"/>
      <c r="O32" s="740"/>
      <c r="P32" s="740"/>
      <c r="Q32" s="740"/>
      <c r="R32" s="740"/>
      <c r="S32" s="740"/>
      <c r="T32" s="740"/>
      <c r="U32" s="740"/>
      <c r="V32" s="740"/>
      <c r="W32" s="740"/>
      <c r="X32" s="740"/>
      <c r="Y32" s="740"/>
      <c r="Z32" s="740"/>
      <c r="AA32" s="740"/>
      <c r="AB32" s="740"/>
      <c r="AC32" s="740"/>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row>
    <row r="33" spans="5:55" customFormat="1" ht="16.350000000000001" customHeight="1">
      <c r="E33" s="740"/>
      <c r="F33" s="740"/>
      <c r="G33" s="740"/>
      <c r="H33" s="740"/>
      <c r="I33" s="740"/>
      <c r="J33" s="740"/>
      <c r="K33" s="740"/>
      <c r="L33" s="740"/>
      <c r="M33" s="740"/>
      <c r="N33" s="740"/>
      <c r="O33" s="740"/>
      <c r="P33" s="740"/>
      <c r="Q33" s="740"/>
      <c r="R33" s="740"/>
      <c r="S33" s="740"/>
      <c r="T33" s="740"/>
      <c r="U33" s="740"/>
      <c r="V33" s="740"/>
      <c r="W33" s="740"/>
      <c r="X33" s="740"/>
      <c r="Y33" s="740"/>
      <c r="Z33" s="740"/>
      <c r="AA33" s="740"/>
      <c r="AB33" s="740"/>
      <c r="AC33" s="740"/>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row>
    <row r="34" spans="5:55" customFormat="1" ht="16.350000000000001" customHeight="1">
      <c r="E34" s="740"/>
      <c r="F34" s="740"/>
      <c r="G34" s="740"/>
      <c r="H34" s="740"/>
      <c r="I34" s="740"/>
      <c r="J34" s="740"/>
      <c r="K34" s="740"/>
      <c r="L34" s="740"/>
      <c r="M34" s="740"/>
      <c r="N34" s="740"/>
      <c r="O34" s="740"/>
      <c r="P34" s="740"/>
      <c r="Q34" s="740"/>
      <c r="R34" s="740"/>
      <c r="S34" s="740"/>
      <c r="T34" s="740"/>
      <c r="U34" s="740"/>
      <c r="V34" s="740"/>
      <c r="W34" s="740"/>
      <c r="X34" s="740"/>
      <c r="Y34" s="740"/>
      <c r="Z34" s="740"/>
      <c r="AA34" s="740"/>
      <c r="AB34" s="740"/>
      <c r="AC34" s="740"/>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row>
    <row r="35" spans="5:55" customFormat="1" ht="17.100000000000001" customHeight="1">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row>
    <row r="36" spans="5:55" customFormat="1" ht="16.350000000000001" customHeight="1"/>
    <row r="37" spans="5:55" customFormat="1" ht="16.350000000000001" customHeight="1"/>
    <row r="38" spans="5:55" customFormat="1" ht="16.350000000000001" customHeight="1"/>
    <row r="39" spans="5:55" customFormat="1" ht="16.350000000000001" customHeight="1"/>
    <row r="40" spans="5:55" customFormat="1" ht="16.350000000000001" customHeight="1"/>
    <row r="41" spans="5:55" customFormat="1" ht="16.350000000000001" customHeight="1"/>
    <row r="42" spans="5:55" customFormat="1" ht="16.350000000000001" customHeight="1"/>
    <row r="43" spans="5:55" customFormat="1" ht="16.350000000000001" customHeight="1"/>
    <row r="44" spans="5:55" customFormat="1" ht="16.350000000000001" customHeight="1"/>
    <row r="45" spans="5:55" customFormat="1" ht="16.350000000000001" customHeight="1"/>
    <row r="46" spans="5:55" customFormat="1" ht="16.350000000000001" customHeight="1"/>
    <row r="47" spans="5:55" customFormat="1" ht="16.350000000000001" hidden="1" customHeight="1"/>
    <row r="48" spans="5:55" customFormat="1" ht="16.350000000000001" hidden="1" customHeight="1"/>
    <row r="49" spans="3:43" customFormat="1" ht="16.350000000000001" hidden="1" customHeight="1"/>
    <row r="50" spans="3:43" customFormat="1" ht="16.350000000000001" hidden="1" customHeight="1"/>
    <row r="51" spans="3:43" customFormat="1" ht="16.350000000000001" hidden="1" customHeight="1"/>
    <row r="52" spans="3:43" customFormat="1" ht="16.350000000000001" hidden="1" customHeight="1"/>
    <row r="53" spans="3:43" customFormat="1" ht="16.350000000000001" hidden="1" customHeight="1"/>
    <row r="54" spans="3:43" customFormat="1" ht="16.350000000000001" hidden="1" customHeight="1"/>
    <row r="55" spans="3:43" customFormat="1" ht="16.350000000000001" hidden="1" customHeight="1"/>
    <row r="56" spans="3:43" customFormat="1" ht="16.350000000000001" hidden="1" customHeight="1"/>
    <row r="57" spans="3:43" customFormat="1" ht="16.350000000000001" customHeight="1">
      <c r="C57" s="738" t="s">
        <v>136</v>
      </c>
      <c r="D57" s="738"/>
      <c r="E57" s="738"/>
      <c r="F57" s="738"/>
      <c r="G57" s="738"/>
      <c r="H57" s="738"/>
      <c r="I57" s="737">
        <f>EXPIRATION_DATE</f>
        <v>46023</v>
      </c>
      <c r="J57" s="737"/>
      <c r="K57" s="737"/>
      <c r="L57" s="737"/>
      <c r="M57" s="737"/>
      <c r="N57" s="737"/>
      <c r="O57" s="737"/>
      <c r="P57" s="739" t="str">
        <f ca="1">EXPIRATION</f>
        <v/>
      </c>
      <c r="Q57" s="739"/>
      <c r="R57" s="739"/>
      <c r="S57" s="739"/>
      <c r="T57" s="739"/>
      <c r="U57" s="110"/>
      <c r="V57" s="110"/>
      <c r="W57" s="110"/>
      <c r="X57" s="110"/>
      <c r="Y57" s="110"/>
      <c r="Z57" s="110"/>
      <c r="AA57" s="110"/>
      <c r="AC57" s="738"/>
      <c r="AD57" s="738"/>
      <c r="AE57" s="738"/>
      <c r="AF57" s="738"/>
      <c r="AG57" s="738"/>
      <c r="AH57" s="738"/>
      <c r="AI57" s="738"/>
      <c r="AJ57" s="738"/>
      <c r="AK57" s="737"/>
      <c r="AL57" s="737"/>
      <c r="AM57" s="737"/>
      <c r="AN57" s="737"/>
      <c r="AO57" s="737"/>
      <c r="AP57" s="737"/>
      <c r="AQ57" s="737"/>
    </row>
    <row r="58" spans="3:43" customFormat="1" ht="16.350000000000001" customHeight="1">
      <c r="C58" s="7"/>
      <c r="D58" s="7"/>
      <c r="E58" s="7"/>
      <c r="F58" s="7"/>
      <c r="G58" s="7"/>
      <c r="H58" s="7"/>
      <c r="I58" s="8"/>
      <c r="J58" s="8"/>
      <c r="K58" s="8"/>
      <c r="L58" s="8"/>
      <c r="M58" s="8"/>
      <c r="N58" s="8"/>
      <c r="O58" s="9"/>
      <c r="P58" s="9"/>
      <c r="Q58" s="9"/>
      <c r="R58" s="9"/>
      <c r="S58" s="9"/>
    </row>
    <row r="59" spans="3:43" customFormat="1" ht="16.350000000000001" hidden="1" customHeight="1">
      <c r="C59" s="7"/>
      <c r="D59" s="7"/>
      <c r="E59" s="7"/>
      <c r="F59" s="7"/>
      <c r="G59" s="7"/>
      <c r="H59" s="7"/>
      <c r="I59" s="8"/>
      <c r="J59" s="8"/>
      <c r="K59" s="8"/>
      <c r="L59" s="8"/>
      <c r="M59" s="8"/>
      <c r="N59" s="8"/>
      <c r="O59" s="9"/>
      <c r="P59" s="9"/>
      <c r="Q59" s="9"/>
      <c r="R59" s="9"/>
      <c r="S59" s="9"/>
    </row>
    <row r="60" spans="3:43" customFormat="1" ht="16.350000000000001" hidden="1" customHeight="1">
      <c r="C60" s="7"/>
      <c r="D60" s="7"/>
      <c r="E60" s="7"/>
      <c r="F60" s="7"/>
      <c r="G60" s="7"/>
      <c r="H60" s="7"/>
      <c r="I60" s="8"/>
      <c r="J60" s="8"/>
      <c r="K60" s="8"/>
      <c r="L60" s="8"/>
      <c r="M60" s="8"/>
      <c r="N60" s="8"/>
      <c r="O60" s="9"/>
      <c r="P60" s="9"/>
      <c r="Q60" s="9"/>
      <c r="R60" s="9"/>
      <c r="S60" s="9"/>
    </row>
    <row r="61" spans="3:43" customFormat="1" ht="16.350000000000001" hidden="1" customHeight="1">
      <c r="C61" s="7"/>
      <c r="D61" s="7"/>
      <c r="E61" s="7"/>
      <c r="F61" s="7"/>
      <c r="G61" s="7"/>
      <c r="H61" s="7"/>
      <c r="I61" s="8"/>
      <c r="J61" s="8"/>
      <c r="K61" s="8"/>
      <c r="L61" s="8"/>
      <c r="M61" s="8"/>
      <c r="N61" s="8"/>
      <c r="O61" s="9"/>
      <c r="P61" s="9"/>
      <c r="Q61" s="9"/>
      <c r="R61" s="9"/>
      <c r="S61" s="9"/>
    </row>
    <row r="62" spans="3:43" customFormat="1" ht="16.350000000000001" hidden="1" customHeight="1">
      <c r="C62" s="7"/>
      <c r="D62" s="7"/>
      <c r="E62" s="7"/>
      <c r="F62" s="7"/>
      <c r="G62" s="7"/>
      <c r="H62" s="7"/>
      <c r="I62" s="8"/>
      <c r="J62" s="8"/>
      <c r="K62" s="8"/>
      <c r="L62" s="8"/>
      <c r="M62" s="8"/>
      <c r="N62" s="8"/>
      <c r="O62" s="9"/>
      <c r="P62" s="9"/>
      <c r="Q62" s="9"/>
      <c r="R62" s="9"/>
      <c r="S62" s="9"/>
    </row>
    <row r="63" spans="3:43" customFormat="1" ht="16.350000000000001" hidden="1" customHeight="1">
      <c r="C63" s="7"/>
      <c r="D63" s="7"/>
      <c r="E63" s="7"/>
      <c r="F63" s="7"/>
      <c r="G63" s="7"/>
      <c r="H63" s="7"/>
      <c r="I63" s="8"/>
      <c r="J63" s="8"/>
      <c r="K63" s="8"/>
      <c r="L63" s="8"/>
      <c r="M63" s="8"/>
      <c r="N63" s="8"/>
      <c r="O63" s="9"/>
      <c r="P63" s="9"/>
      <c r="Q63" s="9"/>
      <c r="R63" s="9"/>
      <c r="S63" s="9"/>
    </row>
    <row r="64" spans="3:43" customFormat="1" ht="16.350000000000001" hidden="1" customHeight="1">
      <c r="C64" s="7"/>
      <c r="D64" s="7"/>
      <c r="E64" s="7"/>
      <c r="F64" s="7"/>
      <c r="G64" s="7"/>
      <c r="H64" s="7"/>
      <c r="I64" s="8"/>
      <c r="J64" s="8"/>
      <c r="K64" s="8"/>
      <c r="L64" s="8"/>
      <c r="M64" s="8"/>
      <c r="N64" s="8"/>
      <c r="O64" s="9"/>
      <c r="P64" s="9"/>
      <c r="Q64" s="9"/>
      <c r="R64" s="9"/>
      <c r="S64" s="9"/>
    </row>
    <row r="65" spans="3:19" customFormat="1" ht="16.350000000000001" hidden="1" customHeight="1">
      <c r="C65" s="7"/>
      <c r="D65" s="7"/>
      <c r="E65" s="7"/>
      <c r="F65" s="7"/>
      <c r="G65" s="7"/>
      <c r="H65" s="7"/>
      <c r="I65" s="8"/>
      <c r="J65" s="8"/>
      <c r="K65" s="8"/>
      <c r="L65" s="8"/>
      <c r="M65" s="8"/>
      <c r="N65" s="8"/>
      <c r="O65" s="9"/>
      <c r="P65" s="9"/>
      <c r="Q65" s="9"/>
      <c r="R65" s="9"/>
      <c r="S65" s="9"/>
    </row>
    <row r="66" spans="3:19" customFormat="1" ht="16.350000000000001" hidden="1" customHeight="1">
      <c r="C66" s="7"/>
      <c r="D66" s="7"/>
      <c r="E66" s="7"/>
      <c r="F66" s="7"/>
      <c r="G66" s="7"/>
      <c r="H66" s="7"/>
      <c r="I66" s="8"/>
      <c r="J66" s="8"/>
      <c r="K66" s="8"/>
      <c r="L66" s="8"/>
      <c r="M66" s="8"/>
      <c r="N66" s="8"/>
      <c r="O66" s="9"/>
      <c r="P66" s="9"/>
      <c r="Q66" s="9"/>
      <c r="R66" s="9"/>
      <c r="S66" s="9"/>
    </row>
    <row r="67" spans="3:19" customFormat="1" ht="16.350000000000001" hidden="1" customHeight="1">
      <c r="C67" s="7"/>
      <c r="D67" s="7"/>
      <c r="E67" s="7"/>
      <c r="F67" s="7"/>
      <c r="G67" s="7"/>
      <c r="H67" s="7"/>
      <c r="I67" s="8"/>
      <c r="J67" s="8"/>
      <c r="K67" s="8"/>
      <c r="L67" s="8"/>
      <c r="M67" s="8"/>
      <c r="N67" s="8"/>
      <c r="O67" s="9"/>
      <c r="P67" s="9"/>
      <c r="Q67" s="9"/>
      <c r="R67" s="9"/>
      <c r="S67" s="9"/>
    </row>
    <row r="68" spans="3:19" customFormat="1" ht="16.350000000000001" hidden="1" customHeight="1">
      <c r="C68" s="7"/>
      <c r="D68" s="7"/>
      <c r="E68" s="7"/>
      <c r="F68" s="7"/>
      <c r="G68" s="7"/>
      <c r="H68" s="7"/>
      <c r="I68" s="8"/>
      <c r="J68" s="8"/>
      <c r="K68" s="8"/>
      <c r="L68" s="8"/>
      <c r="M68" s="8"/>
      <c r="N68" s="8"/>
      <c r="O68" s="9"/>
      <c r="P68" s="9"/>
      <c r="Q68" s="9"/>
      <c r="R68" s="9"/>
      <c r="S68" s="9"/>
    </row>
    <row r="69" spans="3:19" customFormat="1" ht="16.350000000000001" hidden="1" customHeight="1">
      <c r="C69" s="7"/>
      <c r="D69" s="7"/>
      <c r="E69" s="7"/>
      <c r="F69" s="7"/>
      <c r="G69" s="7"/>
      <c r="H69" s="7"/>
      <c r="I69" s="8"/>
      <c r="J69" s="8"/>
      <c r="K69" s="8"/>
      <c r="L69" s="8"/>
      <c r="M69" s="8"/>
      <c r="N69" s="8"/>
      <c r="O69" s="9"/>
      <c r="P69" s="9"/>
      <c r="Q69" s="9"/>
      <c r="R69" s="9"/>
      <c r="S69" s="9"/>
    </row>
    <row r="70" spans="3:19" customFormat="1" ht="16.350000000000001" hidden="1" customHeight="1">
      <c r="C70" s="7"/>
      <c r="D70" s="7"/>
      <c r="E70" s="7"/>
      <c r="F70" s="7"/>
      <c r="G70" s="7"/>
      <c r="H70" s="7"/>
      <c r="I70" s="8"/>
      <c r="J70" s="8"/>
      <c r="K70" s="8"/>
      <c r="L70" s="8"/>
      <c r="M70" s="8"/>
      <c r="N70" s="8"/>
      <c r="O70" s="9"/>
      <c r="P70" s="9"/>
      <c r="Q70" s="9"/>
      <c r="R70" s="9"/>
      <c r="S70" s="9"/>
    </row>
    <row r="71" spans="3:19" customFormat="1" ht="16.350000000000001" hidden="1" customHeight="1">
      <c r="C71" s="7"/>
      <c r="D71" s="7"/>
      <c r="E71" s="7"/>
      <c r="F71" s="7"/>
      <c r="G71" s="7"/>
      <c r="H71" s="7"/>
      <c r="I71" s="8"/>
      <c r="J71" s="8"/>
      <c r="K71" s="8"/>
      <c r="L71" s="8"/>
      <c r="M71" s="8"/>
      <c r="N71" s="8"/>
      <c r="O71" s="9"/>
      <c r="P71" s="9"/>
      <c r="Q71" s="9"/>
      <c r="R71" s="9"/>
      <c r="S71" s="9"/>
    </row>
    <row r="72" spans="3:19" customFormat="1" ht="16.350000000000001" hidden="1" customHeight="1">
      <c r="C72" s="7"/>
      <c r="D72" s="7"/>
      <c r="E72" s="7"/>
      <c r="F72" s="7"/>
      <c r="G72" s="7"/>
      <c r="H72" s="7"/>
      <c r="I72" s="8"/>
      <c r="J72" s="8"/>
      <c r="K72" s="8"/>
      <c r="L72" s="8"/>
      <c r="M72" s="8"/>
      <c r="N72" s="8"/>
      <c r="O72" s="9"/>
      <c r="P72" s="9"/>
      <c r="Q72" s="9"/>
      <c r="R72" s="9"/>
      <c r="S72" s="9"/>
    </row>
    <row r="73" spans="3:19" customFormat="1" ht="16.350000000000001" hidden="1" customHeight="1">
      <c r="C73" s="7"/>
      <c r="D73" s="7"/>
      <c r="E73" s="7"/>
      <c r="F73" s="7"/>
      <c r="G73" s="7"/>
      <c r="H73" s="7"/>
      <c r="I73" s="8"/>
      <c r="J73" s="8"/>
      <c r="K73" s="8"/>
      <c r="L73" s="8"/>
      <c r="M73" s="8"/>
      <c r="N73" s="8"/>
      <c r="O73" s="9"/>
      <c r="P73" s="9"/>
      <c r="Q73" s="9"/>
      <c r="R73" s="9"/>
      <c r="S73" s="9"/>
    </row>
    <row r="74" spans="3:19" customFormat="1" ht="16.350000000000001" hidden="1" customHeight="1">
      <c r="C74" s="7"/>
      <c r="D74" s="7"/>
      <c r="E74" s="7"/>
      <c r="F74" s="7"/>
      <c r="G74" s="7"/>
      <c r="H74" s="7"/>
      <c r="I74" s="8"/>
      <c r="J74" s="8"/>
      <c r="K74" s="8"/>
      <c r="L74" s="8"/>
      <c r="M74" s="8"/>
      <c r="N74" s="8"/>
      <c r="O74" s="9"/>
      <c r="P74" s="9"/>
      <c r="Q74" s="9"/>
      <c r="R74" s="9"/>
      <c r="S74" s="9"/>
    </row>
    <row r="75" spans="3:19" customFormat="1" ht="16.350000000000001" hidden="1" customHeight="1">
      <c r="C75" s="7"/>
      <c r="D75" s="7"/>
      <c r="E75" s="7"/>
      <c r="F75" s="7"/>
      <c r="G75" s="7"/>
      <c r="H75" s="7"/>
      <c r="I75" s="8"/>
      <c r="J75" s="8"/>
      <c r="K75" s="8"/>
      <c r="L75" s="8"/>
      <c r="M75" s="8"/>
      <c r="N75" s="8"/>
      <c r="O75" s="9"/>
      <c r="P75" s="9"/>
      <c r="Q75" s="9"/>
      <c r="R75" s="9"/>
      <c r="S75" s="9"/>
    </row>
    <row r="76" spans="3:19" customFormat="1" ht="16.350000000000001" hidden="1" customHeight="1">
      <c r="C76" s="7"/>
      <c r="D76" s="7"/>
      <c r="E76" s="7"/>
      <c r="F76" s="7"/>
      <c r="G76" s="7"/>
      <c r="H76" s="7"/>
      <c r="I76" s="8"/>
      <c r="J76" s="8"/>
      <c r="K76" s="8"/>
      <c r="L76" s="8"/>
      <c r="M76" s="8"/>
      <c r="N76" s="8"/>
      <c r="O76" s="9"/>
      <c r="P76" s="9"/>
      <c r="Q76" s="9"/>
      <c r="R76" s="9"/>
      <c r="S76" s="9"/>
    </row>
    <row r="77" spans="3:19" customFormat="1" ht="16.350000000000001" hidden="1" customHeight="1">
      <c r="C77" s="7"/>
      <c r="D77" s="7"/>
      <c r="E77" s="7"/>
      <c r="F77" s="7"/>
      <c r="G77" s="7"/>
      <c r="H77" s="7"/>
      <c r="I77" s="8"/>
      <c r="J77" s="8"/>
      <c r="K77" s="8"/>
      <c r="L77" s="8"/>
      <c r="M77" s="8"/>
      <c r="N77" s="8"/>
      <c r="O77" s="9"/>
      <c r="P77" s="9"/>
      <c r="Q77" s="9"/>
      <c r="R77" s="9"/>
      <c r="S77" s="9"/>
    </row>
    <row r="78" spans="3:19" customFormat="1" ht="16.350000000000001" hidden="1" customHeight="1">
      <c r="C78" s="7"/>
      <c r="D78" s="7"/>
      <c r="E78" s="7"/>
      <c r="F78" s="7"/>
      <c r="G78" s="7"/>
      <c r="H78" s="7"/>
      <c r="I78" s="8"/>
      <c r="J78" s="8"/>
      <c r="K78" s="8"/>
      <c r="L78" s="8"/>
      <c r="M78" s="8"/>
      <c r="N78" s="8"/>
      <c r="O78" s="9"/>
      <c r="P78" s="9"/>
      <c r="Q78" s="9"/>
      <c r="R78" s="9"/>
      <c r="S78" s="9"/>
    </row>
    <row r="79" spans="3:19" customFormat="1" ht="16.350000000000001" hidden="1" customHeight="1">
      <c r="C79" s="7"/>
      <c r="D79" s="7"/>
      <c r="E79" s="7"/>
      <c r="F79" s="7"/>
      <c r="G79" s="7"/>
      <c r="H79" s="7"/>
      <c r="I79" s="8"/>
      <c r="J79" s="8"/>
      <c r="K79" s="8"/>
      <c r="L79" s="8"/>
      <c r="M79" s="8"/>
      <c r="N79" s="8"/>
      <c r="O79" s="9"/>
      <c r="P79" s="9"/>
      <c r="Q79" s="9"/>
      <c r="R79" s="9"/>
      <c r="S79" s="9"/>
    </row>
    <row r="80" spans="3:19" customFormat="1" ht="16.350000000000001" hidden="1" customHeight="1">
      <c r="C80" s="7"/>
      <c r="D80" s="7"/>
      <c r="E80" s="7"/>
      <c r="F80" s="7"/>
      <c r="G80" s="7"/>
      <c r="H80" s="7"/>
      <c r="I80" s="8"/>
      <c r="J80" s="8"/>
      <c r="K80" s="8"/>
      <c r="L80" s="8"/>
      <c r="M80" s="8"/>
      <c r="N80" s="8"/>
      <c r="O80" s="9"/>
      <c r="P80" s="9"/>
      <c r="Q80" s="9"/>
      <c r="R80" s="9"/>
      <c r="S80" s="9"/>
    </row>
    <row r="81" spans="3:19" customFormat="1" ht="16.350000000000001" hidden="1" customHeight="1">
      <c r="C81" s="7"/>
      <c r="D81" s="7"/>
      <c r="E81" s="7"/>
      <c r="F81" s="7"/>
      <c r="G81" s="7"/>
      <c r="H81" s="7"/>
      <c r="I81" s="8"/>
      <c r="J81" s="8"/>
      <c r="K81" s="8"/>
      <c r="L81" s="8"/>
      <c r="M81" s="8"/>
      <c r="N81" s="8"/>
      <c r="O81" s="9"/>
      <c r="P81" s="9"/>
      <c r="Q81" s="9"/>
      <c r="R81" s="9"/>
      <c r="S81" s="9"/>
    </row>
    <row r="82" spans="3:19" customFormat="1" ht="16.350000000000001" hidden="1" customHeight="1">
      <c r="C82" s="7"/>
      <c r="D82" s="7"/>
      <c r="E82" s="7"/>
      <c r="F82" s="7"/>
      <c r="G82" s="7"/>
      <c r="H82" s="7"/>
      <c r="I82" s="8"/>
      <c r="J82" s="8"/>
      <c r="K82" s="8"/>
      <c r="L82" s="8"/>
      <c r="M82" s="8"/>
      <c r="N82" s="8"/>
      <c r="O82" s="9"/>
      <c r="P82" s="9"/>
      <c r="Q82" s="9"/>
      <c r="R82" s="9"/>
      <c r="S82" s="9"/>
    </row>
    <row r="83" spans="3:19" customFormat="1" ht="16.350000000000001" hidden="1" customHeight="1">
      <c r="C83" s="7"/>
      <c r="D83" s="7"/>
      <c r="E83" s="7"/>
      <c r="F83" s="7"/>
      <c r="G83" s="7"/>
      <c r="H83" s="7"/>
      <c r="I83" s="8"/>
      <c r="J83" s="8"/>
      <c r="K83" s="8"/>
      <c r="L83" s="8"/>
      <c r="M83" s="8"/>
      <c r="N83" s="8"/>
      <c r="O83" s="9"/>
      <c r="P83" s="9"/>
      <c r="Q83" s="9"/>
      <c r="R83" s="9"/>
      <c r="S83" s="9"/>
    </row>
    <row r="84" spans="3:19" customFormat="1" ht="16.350000000000001" hidden="1" customHeight="1">
      <c r="C84" s="7"/>
      <c r="D84" s="7"/>
      <c r="E84" s="7"/>
      <c r="F84" s="7"/>
      <c r="G84" s="7"/>
      <c r="H84" s="7"/>
      <c r="I84" s="8"/>
      <c r="J84" s="8"/>
      <c r="K84" s="8"/>
      <c r="L84" s="8"/>
      <c r="M84" s="8"/>
      <c r="N84" s="8"/>
      <c r="O84" s="9"/>
      <c r="P84" s="9"/>
      <c r="Q84" s="9"/>
      <c r="R84" s="9"/>
      <c r="S84" s="9"/>
    </row>
    <row r="85" spans="3:19" customFormat="1" ht="16.350000000000001" hidden="1" customHeight="1">
      <c r="C85" s="7"/>
      <c r="D85" s="7"/>
      <c r="E85" s="7"/>
      <c r="F85" s="7"/>
      <c r="G85" s="7"/>
      <c r="H85" s="7"/>
      <c r="I85" s="8"/>
      <c r="J85" s="8"/>
      <c r="K85" s="8"/>
      <c r="L85" s="8"/>
      <c r="M85" s="8"/>
      <c r="N85" s="8"/>
      <c r="O85" s="9"/>
      <c r="P85" s="9"/>
      <c r="Q85" s="9"/>
      <c r="R85" s="9"/>
      <c r="S85" s="9"/>
    </row>
    <row r="86" spans="3:19" customFormat="1" ht="16.350000000000001" hidden="1" customHeight="1">
      <c r="C86" s="7"/>
      <c r="D86" s="7"/>
      <c r="E86" s="7"/>
      <c r="F86" s="7"/>
      <c r="G86" s="7"/>
      <c r="H86" s="7"/>
      <c r="I86" s="8"/>
      <c r="J86" s="8"/>
      <c r="K86" s="8"/>
      <c r="L86" s="8"/>
      <c r="M86" s="8"/>
      <c r="N86" s="8"/>
      <c r="O86" s="9"/>
      <c r="P86" s="9"/>
      <c r="Q86" s="9"/>
      <c r="R86" s="9"/>
      <c r="S86" s="9"/>
    </row>
    <row r="87" spans="3:19" customFormat="1" ht="16.350000000000001" hidden="1" customHeight="1">
      <c r="C87" s="7"/>
      <c r="D87" s="7"/>
      <c r="E87" s="7"/>
      <c r="F87" s="7"/>
      <c r="G87" s="7"/>
      <c r="H87" s="7"/>
      <c r="I87" s="8"/>
      <c r="J87" s="8"/>
      <c r="K87" s="8"/>
      <c r="L87" s="8"/>
      <c r="M87" s="8"/>
      <c r="N87" s="8"/>
      <c r="O87" s="9"/>
      <c r="P87" s="9"/>
      <c r="Q87" s="9"/>
      <c r="R87" s="9"/>
      <c r="S87" s="9"/>
    </row>
    <row r="88" spans="3:19" customFormat="1" ht="16.350000000000001" hidden="1" customHeight="1">
      <c r="C88" s="7"/>
      <c r="D88" s="7"/>
      <c r="E88" s="7"/>
      <c r="F88" s="7"/>
      <c r="G88" s="7"/>
      <c r="H88" s="7"/>
      <c r="I88" s="8"/>
      <c r="J88" s="8"/>
      <c r="K88" s="8"/>
      <c r="L88" s="8"/>
      <c r="M88" s="8"/>
      <c r="N88" s="8"/>
      <c r="O88" s="9"/>
      <c r="P88" s="9"/>
      <c r="Q88" s="9"/>
      <c r="R88" s="9"/>
      <c r="S88" s="9"/>
    </row>
    <row r="89" spans="3:19" customFormat="1" ht="16.350000000000001" hidden="1" customHeight="1">
      <c r="C89" s="7"/>
      <c r="D89" s="7"/>
      <c r="E89" s="7"/>
      <c r="F89" s="7"/>
      <c r="G89" s="7"/>
      <c r="H89" s="7"/>
      <c r="I89" s="8"/>
      <c r="J89" s="8"/>
      <c r="K89" s="8"/>
      <c r="L89" s="8"/>
      <c r="M89" s="8"/>
      <c r="N89" s="8"/>
      <c r="O89" s="9"/>
      <c r="P89" s="9"/>
      <c r="Q89" s="9"/>
      <c r="R89" s="9"/>
      <c r="S89" s="9"/>
    </row>
    <row r="90" spans="3:19" customFormat="1" ht="16.350000000000001" hidden="1" customHeight="1">
      <c r="C90" s="7"/>
      <c r="D90" s="7"/>
      <c r="E90" s="7"/>
      <c r="F90" s="7"/>
      <c r="G90" s="7"/>
      <c r="H90" s="7"/>
      <c r="I90" s="8"/>
      <c r="J90" s="8"/>
      <c r="K90" s="8"/>
      <c r="L90" s="8"/>
      <c r="M90" s="8"/>
      <c r="N90" s="8"/>
      <c r="O90" s="9"/>
      <c r="P90" s="9"/>
      <c r="Q90" s="9"/>
      <c r="R90" s="9"/>
      <c r="S90" s="9"/>
    </row>
    <row r="91" spans="3:19" customFormat="1" ht="16.350000000000001" hidden="1" customHeight="1">
      <c r="C91" s="7"/>
      <c r="D91" s="7"/>
      <c r="E91" s="7"/>
      <c r="F91" s="7"/>
      <c r="G91" s="7"/>
      <c r="H91" s="7"/>
      <c r="I91" s="8"/>
      <c r="J91" s="8"/>
      <c r="K91" s="8"/>
      <c r="L91" s="8"/>
      <c r="M91" s="8"/>
      <c r="N91" s="8"/>
      <c r="O91" s="9"/>
      <c r="P91" s="9"/>
      <c r="Q91" s="9"/>
      <c r="R91" s="9"/>
      <c r="S91" s="9"/>
    </row>
    <row r="92" spans="3:19" customFormat="1" ht="16.350000000000001" hidden="1" customHeight="1">
      <c r="C92" s="7"/>
      <c r="D92" s="7"/>
      <c r="E92" s="7"/>
      <c r="F92" s="7"/>
      <c r="G92" s="7"/>
      <c r="H92" s="7"/>
      <c r="I92" s="8"/>
      <c r="J92" s="8"/>
      <c r="K92" s="8"/>
      <c r="L92" s="8"/>
      <c r="M92" s="8"/>
      <c r="N92" s="8"/>
      <c r="O92" s="9"/>
      <c r="P92" s="9"/>
      <c r="Q92" s="9"/>
      <c r="R92" s="9"/>
      <c r="S92" s="9"/>
    </row>
    <row r="93" spans="3:19" customFormat="1" ht="16.350000000000001" hidden="1" customHeight="1">
      <c r="C93" s="7"/>
      <c r="D93" s="7"/>
      <c r="E93" s="7"/>
      <c r="F93" s="7"/>
      <c r="G93" s="7"/>
      <c r="H93" s="7"/>
      <c r="I93" s="8"/>
      <c r="J93" s="8"/>
      <c r="K93" s="8"/>
      <c r="L93" s="8"/>
      <c r="M93" s="8"/>
      <c r="N93" s="8"/>
      <c r="O93" s="9"/>
      <c r="P93" s="9"/>
      <c r="Q93" s="9"/>
      <c r="R93" s="9"/>
      <c r="S93" s="9"/>
    </row>
    <row r="94" spans="3:19" customFormat="1" ht="16.350000000000001" hidden="1" customHeight="1">
      <c r="C94" s="7"/>
      <c r="D94" s="7"/>
      <c r="E94" s="7"/>
      <c r="F94" s="7"/>
      <c r="G94" s="7"/>
      <c r="H94" s="7"/>
      <c r="I94" s="8"/>
      <c r="J94" s="8"/>
      <c r="K94" s="8"/>
      <c r="L94" s="8"/>
      <c r="M94" s="8"/>
      <c r="N94" s="8"/>
      <c r="O94" s="9"/>
      <c r="P94" s="9"/>
      <c r="Q94" s="9"/>
      <c r="R94" s="9"/>
      <c r="S94" s="9"/>
    </row>
    <row r="95" spans="3:19" customFormat="1" ht="16.350000000000001" hidden="1" customHeight="1">
      <c r="C95" s="7"/>
      <c r="D95" s="7"/>
      <c r="E95" s="7"/>
      <c r="F95" s="7"/>
      <c r="G95" s="7"/>
      <c r="H95" s="7"/>
      <c r="I95" s="8"/>
      <c r="J95" s="8"/>
      <c r="K95" s="8"/>
      <c r="L95" s="8"/>
      <c r="M95" s="8"/>
      <c r="N95" s="8"/>
      <c r="O95" s="9"/>
      <c r="P95" s="9"/>
      <c r="Q95" s="9"/>
      <c r="R95" s="9"/>
      <c r="S95" s="9"/>
    </row>
    <row r="96" spans="3:19" customFormat="1" ht="16.350000000000001" hidden="1" customHeight="1">
      <c r="C96" s="7"/>
      <c r="D96" s="7"/>
      <c r="E96" s="7"/>
      <c r="F96" s="7"/>
      <c r="G96" s="7"/>
      <c r="H96" s="7"/>
      <c r="I96" s="8"/>
      <c r="J96" s="8"/>
      <c r="K96" s="8"/>
      <c r="L96" s="8"/>
      <c r="M96" s="8"/>
      <c r="N96" s="8"/>
      <c r="O96" s="9"/>
      <c r="P96" s="9"/>
      <c r="Q96" s="9"/>
      <c r="R96" s="9"/>
      <c r="S96" s="9"/>
    </row>
    <row r="97" spans="3:19" customFormat="1" ht="16.350000000000001" hidden="1" customHeight="1">
      <c r="C97" s="7"/>
      <c r="D97" s="7"/>
      <c r="E97" s="7"/>
      <c r="F97" s="7"/>
      <c r="G97" s="7"/>
      <c r="H97" s="7"/>
      <c r="I97" s="8"/>
      <c r="J97" s="8"/>
      <c r="K97" s="8"/>
      <c r="L97" s="8"/>
      <c r="M97" s="8"/>
      <c r="N97" s="8"/>
      <c r="O97" s="9"/>
      <c r="P97" s="9"/>
      <c r="Q97" s="9"/>
      <c r="R97" s="9"/>
      <c r="S97" s="9"/>
    </row>
    <row r="98" spans="3:19" customFormat="1" ht="16.350000000000001" hidden="1" customHeight="1">
      <c r="C98" s="7"/>
      <c r="D98" s="7"/>
      <c r="E98" s="7"/>
      <c r="F98" s="7"/>
      <c r="G98" s="7"/>
      <c r="H98" s="7"/>
      <c r="I98" s="8"/>
      <c r="J98" s="8"/>
      <c r="K98" s="8"/>
      <c r="L98" s="8"/>
      <c r="M98" s="8"/>
      <c r="N98" s="8"/>
      <c r="O98" s="9"/>
      <c r="P98" s="9"/>
      <c r="Q98" s="9"/>
      <c r="R98" s="9"/>
      <c r="S98" s="9"/>
    </row>
    <row r="99" spans="3:19" customFormat="1" ht="16.350000000000001" hidden="1" customHeight="1">
      <c r="C99" s="7"/>
      <c r="D99" s="7"/>
      <c r="E99" s="7"/>
      <c r="F99" s="7"/>
      <c r="G99" s="7"/>
      <c r="H99" s="7"/>
      <c r="I99" s="8"/>
      <c r="J99" s="8"/>
      <c r="K99" s="8"/>
      <c r="L99" s="8"/>
      <c r="M99" s="8"/>
      <c r="N99" s="8"/>
      <c r="O99" s="9"/>
      <c r="P99" s="9"/>
      <c r="Q99" s="9"/>
      <c r="R99" s="9"/>
      <c r="S99" s="9"/>
    </row>
    <row r="100" spans="3:19" customFormat="1" ht="16.350000000000001" hidden="1" customHeight="1">
      <c r="C100" s="7"/>
      <c r="D100" s="7"/>
      <c r="E100" s="7"/>
      <c r="F100" s="7"/>
      <c r="G100" s="7"/>
      <c r="H100" s="7"/>
      <c r="I100" s="8"/>
      <c r="J100" s="8"/>
      <c r="K100" s="8"/>
      <c r="L100" s="8"/>
      <c r="M100" s="8"/>
      <c r="N100" s="8"/>
      <c r="O100" s="9"/>
      <c r="P100" s="9"/>
      <c r="Q100" s="9"/>
      <c r="R100" s="9"/>
      <c r="S100" s="9"/>
    </row>
    <row r="101" spans="3:19" customFormat="1" ht="16.350000000000001" hidden="1" customHeight="1">
      <c r="C101" s="7"/>
      <c r="D101" s="7"/>
      <c r="E101" s="7"/>
      <c r="F101" s="7"/>
      <c r="G101" s="7"/>
      <c r="H101" s="7"/>
      <c r="I101" s="8"/>
      <c r="J101" s="8"/>
      <c r="K101" s="8"/>
      <c r="L101" s="8"/>
      <c r="M101" s="8"/>
      <c r="N101" s="8"/>
      <c r="O101" s="9"/>
      <c r="P101" s="9"/>
      <c r="Q101" s="9"/>
      <c r="R101" s="9"/>
      <c r="S101" s="9"/>
    </row>
    <row r="102" spans="3:19" customFormat="1" ht="16.350000000000001" hidden="1" customHeight="1">
      <c r="C102" s="7"/>
      <c r="D102" s="7"/>
      <c r="E102" s="7"/>
      <c r="F102" s="7"/>
      <c r="G102" s="7"/>
      <c r="H102" s="7"/>
      <c r="I102" s="8"/>
      <c r="J102" s="8"/>
      <c r="K102" s="8"/>
      <c r="L102" s="8"/>
      <c r="M102" s="8"/>
      <c r="N102" s="8"/>
      <c r="O102" s="9"/>
      <c r="P102" s="9"/>
      <c r="Q102" s="9"/>
      <c r="R102" s="9"/>
      <c r="S102" s="9"/>
    </row>
    <row r="103" spans="3:19" customFormat="1" ht="16.350000000000001" hidden="1" customHeight="1">
      <c r="C103" s="7"/>
      <c r="D103" s="7"/>
      <c r="E103" s="7"/>
      <c r="F103" s="7"/>
      <c r="G103" s="7"/>
      <c r="H103" s="7"/>
      <c r="I103" s="8"/>
      <c r="J103" s="8"/>
      <c r="K103" s="8"/>
      <c r="L103" s="8"/>
      <c r="M103" s="8"/>
      <c r="N103" s="8"/>
      <c r="O103" s="9"/>
      <c r="P103" s="9"/>
      <c r="Q103" s="9"/>
      <c r="R103" s="9"/>
      <c r="S103" s="9"/>
    </row>
    <row r="104" spans="3:19" customFormat="1" ht="16.350000000000001" hidden="1" customHeight="1">
      <c r="C104" s="7"/>
      <c r="D104" s="7"/>
      <c r="E104" s="7"/>
      <c r="F104" s="7"/>
      <c r="G104" s="7"/>
      <c r="H104" s="7"/>
      <c r="I104" s="8"/>
      <c r="J104" s="8"/>
      <c r="K104" s="8"/>
      <c r="L104" s="8"/>
      <c r="M104" s="8"/>
      <c r="N104" s="8"/>
      <c r="O104" s="9"/>
      <c r="P104" s="9"/>
      <c r="Q104" s="9"/>
      <c r="R104" s="9"/>
      <c r="S104" s="9"/>
    </row>
    <row r="105" spans="3:19" customFormat="1" ht="16.350000000000001" hidden="1" customHeight="1">
      <c r="C105" s="7"/>
      <c r="D105" s="7"/>
      <c r="E105" s="7"/>
      <c r="F105" s="7"/>
      <c r="G105" s="7"/>
      <c r="H105" s="7"/>
      <c r="I105" s="8"/>
      <c r="J105" s="8"/>
      <c r="K105" s="8"/>
      <c r="L105" s="8"/>
      <c r="M105" s="8"/>
      <c r="N105" s="8"/>
      <c r="O105" s="9"/>
      <c r="P105" s="9"/>
      <c r="Q105" s="9"/>
      <c r="R105" s="9"/>
      <c r="S105" s="9"/>
    </row>
    <row r="106" spans="3:19" customFormat="1" ht="16.350000000000001" hidden="1" customHeight="1">
      <c r="C106" s="7"/>
      <c r="D106" s="7"/>
      <c r="E106" s="7"/>
      <c r="F106" s="7"/>
      <c r="G106" s="7"/>
      <c r="H106" s="7"/>
      <c r="I106" s="8"/>
      <c r="J106" s="8"/>
      <c r="K106" s="8"/>
      <c r="L106" s="8"/>
      <c r="M106" s="8"/>
      <c r="N106" s="8"/>
      <c r="O106" s="9"/>
      <c r="P106" s="9"/>
      <c r="Q106" s="9"/>
      <c r="R106" s="9"/>
      <c r="S106" s="9"/>
    </row>
    <row r="107" spans="3:19" customFormat="1" ht="16.350000000000001" hidden="1" customHeight="1">
      <c r="C107" s="7"/>
      <c r="D107" s="7"/>
      <c r="E107" s="7"/>
      <c r="F107" s="7"/>
      <c r="G107" s="7"/>
      <c r="H107" s="7"/>
      <c r="I107" s="8"/>
      <c r="J107" s="8"/>
      <c r="K107" s="8"/>
      <c r="L107" s="8"/>
      <c r="M107" s="8"/>
      <c r="N107" s="8"/>
      <c r="O107" s="9"/>
      <c r="P107" s="9"/>
      <c r="Q107" s="9"/>
      <c r="R107" s="9"/>
      <c r="S107" s="9"/>
    </row>
    <row r="108" spans="3:19" customFormat="1" ht="16.350000000000001" hidden="1" customHeight="1">
      <c r="C108" s="7"/>
      <c r="D108" s="7"/>
      <c r="E108" s="7"/>
      <c r="F108" s="7"/>
      <c r="G108" s="7"/>
      <c r="H108" s="7"/>
      <c r="I108" s="8"/>
      <c r="J108" s="8"/>
      <c r="K108" s="8"/>
      <c r="L108" s="8"/>
      <c r="M108" s="8"/>
      <c r="N108" s="8"/>
      <c r="O108" s="9"/>
      <c r="P108" s="9"/>
      <c r="Q108" s="9"/>
      <c r="R108" s="9"/>
      <c r="S108" s="9"/>
    </row>
    <row r="109" spans="3:19" customFormat="1" ht="16.350000000000001" hidden="1" customHeight="1">
      <c r="C109" s="7"/>
      <c r="D109" s="7"/>
      <c r="E109" s="7"/>
      <c r="F109" s="7"/>
      <c r="G109" s="7"/>
      <c r="H109" s="7"/>
      <c r="I109" s="8"/>
      <c r="J109" s="8"/>
      <c r="K109" s="8"/>
      <c r="L109" s="8"/>
      <c r="M109" s="8"/>
      <c r="N109" s="8"/>
      <c r="O109" s="9"/>
      <c r="P109" s="9"/>
      <c r="Q109" s="9"/>
      <c r="R109" s="9"/>
      <c r="S109" s="9"/>
    </row>
    <row r="110" spans="3:19" customFormat="1" ht="16.350000000000001" hidden="1" customHeight="1">
      <c r="C110" s="7"/>
      <c r="D110" s="7"/>
      <c r="E110" s="7"/>
      <c r="F110" s="7"/>
      <c r="G110" s="7"/>
      <c r="H110" s="7"/>
      <c r="I110" s="8"/>
      <c r="J110" s="8"/>
      <c r="K110" s="8"/>
      <c r="L110" s="8"/>
      <c r="M110" s="8"/>
      <c r="N110" s="8"/>
      <c r="O110" s="9"/>
      <c r="P110" s="9"/>
      <c r="Q110" s="9"/>
      <c r="R110" s="9"/>
      <c r="S110" s="9"/>
    </row>
    <row r="111" spans="3:19" customFormat="1" ht="16.350000000000001" hidden="1" customHeight="1">
      <c r="C111" s="7"/>
      <c r="D111" s="7"/>
      <c r="E111" s="7"/>
      <c r="F111" s="7"/>
      <c r="G111" s="7"/>
      <c r="H111" s="7"/>
      <c r="I111" s="8"/>
      <c r="J111" s="8"/>
      <c r="K111" s="8"/>
      <c r="L111" s="8"/>
      <c r="M111" s="8"/>
      <c r="N111" s="8"/>
      <c r="O111" s="9"/>
      <c r="P111" s="9"/>
      <c r="Q111" s="9"/>
      <c r="R111" s="9"/>
      <c r="S111" s="9"/>
    </row>
    <row r="112" spans="3:19" customFormat="1" ht="16.350000000000001" hidden="1" customHeight="1">
      <c r="C112" s="7"/>
      <c r="D112" s="7"/>
      <c r="E112" s="7"/>
      <c r="F112" s="7"/>
      <c r="G112" s="7"/>
      <c r="H112" s="7"/>
      <c r="I112" s="8"/>
      <c r="J112" s="8"/>
      <c r="K112" s="8"/>
      <c r="L112" s="8"/>
      <c r="M112" s="8"/>
      <c r="N112" s="8"/>
      <c r="O112" s="9"/>
      <c r="P112" s="9"/>
      <c r="Q112" s="9"/>
      <c r="R112" s="9"/>
      <c r="S112" s="9"/>
    </row>
    <row r="113" spans="3:19" customFormat="1" ht="16.350000000000001" hidden="1" customHeight="1">
      <c r="C113" s="7"/>
      <c r="D113" s="7"/>
      <c r="E113" s="7"/>
      <c r="F113" s="7"/>
      <c r="G113" s="7"/>
      <c r="H113" s="7"/>
      <c r="I113" s="8"/>
      <c r="J113" s="8"/>
      <c r="K113" s="8"/>
      <c r="L113" s="8"/>
      <c r="M113" s="8"/>
      <c r="N113" s="8"/>
      <c r="O113" s="9"/>
      <c r="P113" s="9"/>
      <c r="Q113" s="9"/>
      <c r="R113" s="9"/>
      <c r="S113" s="9"/>
    </row>
    <row r="114" spans="3:19" customFormat="1" ht="16.350000000000001" hidden="1" customHeight="1">
      <c r="C114" s="7"/>
      <c r="D114" s="7"/>
      <c r="E114" s="7"/>
      <c r="F114" s="7"/>
      <c r="G114" s="7"/>
      <c r="H114" s="7"/>
      <c r="I114" s="8"/>
      <c r="J114" s="8"/>
      <c r="K114" s="8"/>
      <c r="L114" s="8"/>
      <c r="M114" s="8"/>
      <c r="N114" s="8"/>
      <c r="O114" s="9"/>
      <c r="P114" s="9"/>
      <c r="Q114" s="9"/>
      <c r="R114" s="9"/>
      <c r="S114" s="9"/>
    </row>
    <row r="115" spans="3:19" customFormat="1" ht="16.350000000000001" hidden="1" customHeight="1">
      <c r="C115" s="7"/>
      <c r="D115" s="7"/>
      <c r="E115" s="7"/>
      <c r="F115" s="7"/>
      <c r="G115" s="7"/>
      <c r="H115" s="7"/>
      <c r="I115" s="8"/>
      <c r="J115" s="8"/>
      <c r="K115" s="8"/>
      <c r="L115" s="8"/>
      <c r="M115" s="8"/>
      <c r="N115" s="8"/>
      <c r="O115" s="9"/>
      <c r="P115" s="9"/>
      <c r="Q115" s="9"/>
      <c r="R115" s="9"/>
      <c r="S115" s="9"/>
    </row>
    <row r="116" spans="3:19" customFormat="1" ht="16.350000000000001" hidden="1" customHeight="1">
      <c r="C116" s="7"/>
      <c r="D116" s="7"/>
      <c r="E116" s="7"/>
      <c r="F116" s="7"/>
      <c r="G116" s="7"/>
      <c r="H116" s="7"/>
      <c r="I116" s="8"/>
      <c r="J116" s="8"/>
      <c r="K116" s="8"/>
      <c r="L116" s="8"/>
      <c r="M116" s="8"/>
      <c r="N116" s="8"/>
      <c r="O116" s="9"/>
      <c r="P116" s="9"/>
      <c r="Q116" s="9"/>
      <c r="R116" s="9"/>
      <c r="S116" s="9"/>
    </row>
    <row r="117" spans="3:19" customFormat="1" ht="16.350000000000001" hidden="1" customHeight="1">
      <c r="C117" s="7"/>
      <c r="D117" s="7"/>
      <c r="E117" s="7"/>
      <c r="F117" s="7"/>
      <c r="G117" s="7"/>
      <c r="H117" s="7"/>
      <c r="I117" s="8"/>
      <c r="J117" s="8"/>
      <c r="K117" s="8"/>
      <c r="L117" s="8"/>
      <c r="M117" s="8"/>
      <c r="N117" s="8"/>
      <c r="O117" s="9"/>
      <c r="P117" s="9"/>
      <c r="Q117" s="9"/>
      <c r="R117" s="9"/>
      <c r="S117" s="9"/>
    </row>
    <row r="118" spans="3:19" customFormat="1" ht="16.350000000000001" hidden="1" customHeight="1">
      <c r="C118" s="7"/>
      <c r="D118" s="7"/>
      <c r="E118" s="7"/>
      <c r="F118" s="7"/>
      <c r="G118" s="7"/>
      <c r="H118" s="7"/>
      <c r="I118" s="8"/>
      <c r="J118" s="8"/>
      <c r="K118" s="8"/>
      <c r="L118" s="8"/>
      <c r="M118" s="8"/>
      <c r="N118" s="8"/>
      <c r="O118" s="9"/>
      <c r="P118" s="9"/>
      <c r="Q118" s="9"/>
      <c r="R118" s="9"/>
      <c r="S118" s="9"/>
    </row>
    <row r="119" spans="3:19" customFormat="1" ht="16.350000000000001" hidden="1" customHeight="1">
      <c r="C119" s="7"/>
      <c r="D119" s="7"/>
      <c r="E119" s="7"/>
      <c r="F119" s="7"/>
      <c r="G119" s="7"/>
      <c r="H119" s="7"/>
      <c r="I119" s="8"/>
      <c r="J119" s="8"/>
      <c r="K119" s="8"/>
      <c r="L119" s="8"/>
      <c r="M119" s="8"/>
      <c r="N119" s="8"/>
      <c r="O119" s="9"/>
      <c r="P119" s="9"/>
      <c r="Q119" s="9"/>
      <c r="R119" s="9"/>
      <c r="S119" s="9"/>
    </row>
    <row r="120" spans="3:19" customFormat="1" ht="16.350000000000001" hidden="1" customHeight="1">
      <c r="C120" s="7"/>
      <c r="D120" s="7"/>
      <c r="E120" s="7"/>
      <c r="F120" s="7"/>
      <c r="G120" s="7"/>
      <c r="H120" s="7"/>
      <c r="I120" s="8"/>
      <c r="J120" s="8"/>
      <c r="K120" s="8"/>
      <c r="L120" s="8"/>
      <c r="M120" s="8"/>
      <c r="N120" s="8"/>
      <c r="O120" s="9"/>
      <c r="P120" s="9"/>
      <c r="Q120" s="9"/>
      <c r="R120" s="9"/>
      <c r="S120" s="9"/>
    </row>
    <row r="121" spans="3:19" customFormat="1" ht="16.350000000000001" hidden="1" customHeight="1">
      <c r="C121" s="7"/>
      <c r="D121" s="7"/>
      <c r="E121" s="7"/>
      <c r="F121" s="7"/>
      <c r="G121" s="7"/>
      <c r="H121" s="7"/>
      <c r="I121" s="8"/>
      <c r="J121" s="8"/>
      <c r="K121" s="8"/>
      <c r="L121" s="8"/>
      <c r="M121" s="8"/>
      <c r="N121" s="8"/>
      <c r="O121" s="9"/>
      <c r="P121" s="9"/>
      <c r="Q121" s="9"/>
      <c r="R121" s="9"/>
      <c r="S121" s="9"/>
    </row>
    <row r="122" spans="3:19" customFormat="1" ht="16.350000000000001" hidden="1" customHeight="1">
      <c r="C122" s="7"/>
      <c r="D122" s="7"/>
      <c r="E122" s="7"/>
      <c r="F122" s="7"/>
      <c r="G122" s="7"/>
      <c r="H122" s="7"/>
      <c r="I122" s="8"/>
      <c r="J122" s="8"/>
      <c r="K122" s="8"/>
      <c r="L122" s="8"/>
      <c r="M122" s="8"/>
      <c r="N122" s="8"/>
      <c r="O122" s="9"/>
      <c r="P122" s="9"/>
      <c r="Q122" s="9"/>
      <c r="R122" s="9"/>
      <c r="S122" s="9"/>
    </row>
    <row r="123" spans="3:19" customFormat="1" ht="16.350000000000001" hidden="1" customHeight="1">
      <c r="C123" s="7"/>
      <c r="D123" s="7"/>
      <c r="E123" s="7"/>
      <c r="F123" s="7"/>
      <c r="G123" s="7"/>
      <c r="H123" s="7"/>
      <c r="I123" s="8"/>
      <c r="J123" s="8"/>
      <c r="K123" s="8"/>
      <c r="L123" s="8"/>
      <c r="M123" s="8"/>
      <c r="N123" s="8"/>
      <c r="O123" s="9"/>
      <c r="P123" s="9"/>
      <c r="Q123" s="9"/>
      <c r="R123" s="9"/>
      <c r="S123" s="9"/>
    </row>
    <row r="124" spans="3:19" customFormat="1" ht="16.350000000000001" hidden="1" customHeight="1">
      <c r="C124" s="7"/>
      <c r="D124" s="7"/>
      <c r="E124" s="7"/>
      <c r="F124" s="7"/>
      <c r="G124" s="7"/>
      <c r="H124" s="7"/>
      <c r="I124" s="8"/>
      <c r="J124" s="8"/>
      <c r="K124" s="8"/>
      <c r="L124" s="8"/>
      <c r="M124" s="8"/>
      <c r="N124" s="8"/>
      <c r="O124" s="9"/>
      <c r="P124" s="9"/>
      <c r="Q124" s="9"/>
      <c r="R124" s="9"/>
      <c r="S124" s="9"/>
    </row>
    <row r="125" spans="3:19" customFormat="1" ht="16.350000000000001" hidden="1" customHeight="1">
      <c r="C125" s="7"/>
      <c r="D125" s="7"/>
      <c r="E125" s="7"/>
      <c r="F125" s="7"/>
      <c r="G125" s="7"/>
      <c r="H125" s="7"/>
      <c r="I125" s="8"/>
      <c r="J125" s="8"/>
      <c r="K125" s="8"/>
      <c r="L125" s="8"/>
      <c r="M125" s="8"/>
      <c r="N125" s="8"/>
      <c r="O125" s="9"/>
      <c r="P125" s="9"/>
      <c r="Q125" s="9"/>
      <c r="R125" s="9"/>
      <c r="S125" s="9"/>
    </row>
    <row r="126" spans="3:19" customFormat="1" ht="16.350000000000001" hidden="1" customHeight="1">
      <c r="C126" s="7"/>
      <c r="D126" s="7"/>
      <c r="E126" s="7"/>
      <c r="F126" s="7"/>
      <c r="G126" s="7"/>
      <c r="H126" s="7"/>
      <c r="I126" s="8"/>
      <c r="J126" s="8"/>
      <c r="K126" s="8"/>
      <c r="L126" s="8"/>
      <c r="M126" s="8"/>
      <c r="N126" s="8"/>
      <c r="O126" s="9"/>
      <c r="P126" s="9"/>
      <c r="Q126" s="9"/>
      <c r="R126" s="9"/>
      <c r="S126" s="9"/>
    </row>
    <row r="127" spans="3:19" customFormat="1" ht="16.350000000000001" hidden="1" customHeight="1">
      <c r="C127" s="7"/>
      <c r="D127" s="7"/>
      <c r="E127" s="7"/>
      <c r="F127" s="7"/>
      <c r="G127" s="7"/>
      <c r="H127" s="7"/>
      <c r="I127" s="8"/>
      <c r="J127" s="8"/>
      <c r="K127" s="8"/>
      <c r="L127" s="8"/>
      <c r="M127" s="8"/>
      <c r="N127" s="8"/>
      <c r="O127" s="9"/>
      <c r="P127" s="9"/>
      <c r="Q127" s="9"/>
      <c r="R127" s="9"/>
      <c r="S127" s="9"/>
    </row>
    <row r="128" spans="3:19" customFormat="1" ht="16.350000000000001" hidden="1" customHeight="1">
      <c r="C128" s="7"/>
      <c r="D128" s="7"/>
      <c r="E128" s="7"/>
      <c r="F128" s="7"/>
      <c r="G128" s="7"/>
      <c r="H128" s="7"/>
      <c r="I128" s="8"/>
      <c r="J128" s="8"/>
      <c r="K128" s="8"/>
      <c r="L128" s="8"/>
      <c r="M128" s="8"/>
      <c r="N128" s="8"/>
      <c r="O128" s="9"/>
      <c r="P128" s="9"/>
      <c r="Q128" s="9"/>
      <c r="R128" s="9"/>
      <c r="S128" s="9"/>
    </row>
    <row r="129" spans="3:19" customFormat="1" ht="16.350000000000001" hidden="1" customHeight="1">
      <c r="C129" s="7"/>
      <c r="D129" s="7"/>
      <c r="E129" s="7"/>
      <c r="F129" s="7"/>
      <c r="G129" s="7"/>
      <c r="H129" s="7"/>
      <c r="I129" s="8"/>
      <c r="J129" s="8"/>
      <c r="K129" s="8"/>
      <c r="L129" s="8"/>
      <c r="M129" s="8"/>
      <c r="N129" s="8"/>
      <c r="O129" s="9"/>
      <c r="P129" s="9"/>
      <c r="Q129" s="9"/>
      <c r="R129" s="9"/>
      <c r="S129" s="9"/>
    </row>
    <row r="130" spans="3:19" customFormat="1" ht="16.350000000000001" hidden="1" customHeight="1">
      <c r="C130" s="7"/>
      <c r="D130" s="7"/>
      <c r="E130" s="7"/>
      <c r="F130" s="7"/>
      <c r="G130" s="7"/>
      <c r="H130" s="7"/>
      <c r="I130" s="8"/>
      <c r="J130" s="8"/>
      <c r="K130" s="8"/>
      <c r="L130" s="8"/>
      <c r="M130" s="8"/>
      <c r="N130" s="8"/>
      <c r="O130" s="9"/>
      <c r="P130" s="9"/>
      <c r="Q130" s="9"/>
      <c r="R130" s="9"/>
      <c r="S130" s="9"/>
    </row>
    <row r="131" spans="3:19" customFormat="1" ht="16.350000000000001" hidden="1" customHeight="1">
      <c r="C131" s="7"/>
      <c r="D131" s="7"/>
      <c r="E131" s="7"/>
      <c r="F131" s="7"/>
      <c r="G131" s="7"/>
      <c r="H131" s="7"/>
      <c r="I131" s="8"/>
      <c r="J131" s="8"/>
      <c r="K131" s="8"/>
      <c r="L131" s="8"/>
      <c r="M131" s="8"/>
      <c r="N131" s="8"/>
      <c r="O131" s="9"/>
      <c r="P131" s="9"/>
      <c r="Q131" s="9"/>
      <c r="R131" s="9"/>
      <c r="S131" s="9"/>
    </row>
    <row r="132" spans="3:19" customFormat="1" ht="16.350000000000001" hidden="1" customHeight="1">
      <c r="C132" s="7"/>
      <c r="D132" s="7"/>
      <c r="E132" s="7"/>
      <c r="F132" s="7"/>
      <c r="G132" s="7"/>
      <c r="H132" s="7"/>
      <c r="I132" s="8"/>
      <c r="J132" s="8"/>
      <c r="K132" s="8"/>
      <c r="L132" s="8"/>
      <c r="M132" s="8"/>
      <c r="N132" s="8"/>
      <c r="O132" s="9"/>
      <c r="P132" s="9"/>
      <c r="Q132" s="9"/>
      <c r="R132" s="9"/>
      <c r="S132" s="9"/>
    </row>
    <row r="133" spans="3:19" customFormat="1" ht="16.350000000000001" hidden="1" customHeight="1">
      <c r="C133" s="7"/>
      <c r="D133" s="7"/>
      <c r="E133" s="7"/>
      <c r="F133" s="7"/>
      <c r="G133" s="7"/>
      <c r="H133" s="7"/>
      <c r="I133" s="8"/>
      <c r="J133" s="8"/>
      <c r="K133" s="8"/>
      <c r="L133" s="8"/>
      <c r="M133" s="8"/>
      <c r="N133" s="8"/>
      <c r="O133" s="9"/>
      <c r="P133" s="9"/>
      <c r="Q133" s="9"/>
      <c r="R133" s="9"/>
      <c r="S133" s="9"/>
    </row>
    <row r="134" spans="3:19" customFormat="1" ht="16.350000000000001" hidden="1" customHeight="1">
      <c r="C134" s="7"/>
      <c r="D134" s="7"/>
      <c r="E134" s="7"/>
      <c r="F134" s="7"/>
      <c r="G134" s="7"/>
      <c r="H134" s="7"/>
      <c r="I134" s="8"/>
      <c r="J134" s="8"/>
      <c r="K134" s="8"/>
      <c r="L134" s="8"/>
      <c r="M134" s="8"/>
      <c r="N134" s="8"/>
      <c r="O134" s="9"/>
      <c r="P134" s="9"/>
      <c r="Q134" s="9"/>
      <c r="R134" s="9"/>
      <c r="S134" s="9"/>
    </row>
    <row r="135" spans="3:19" customFormat="1" ht="16.350000000000001" hidden="1" customHeight="1">
      <c r="C135" s="7"/>
      <c r="D135" s="7"/>
      <c r="E135" s="7"/>
      <c r="F135" s="7"/>
      <c r="G135" s="7"/>
      <c r="H135" s="7"/>
      <c r="I135" s="8"/>
      <c r="J135" s="8"/>
      <c r="K135" s="8"/>
      <c r="L135" s="8"/>
      <c r="M135" s="8"/>
      <c r="N135" s="8"/>
      <c r="O135" s="9"/>
      <c r="P135" s="9"/>
      <c r="Q135" s="9"/>
      <c r="R135" s="9"/>
      <c r="S135" s="9"/>
    </row>
    <row r="136" spans="3:19" customFormat="1" ht="16.350000000000001" hidden="1" customHeight="1">
      <c r="C136" s="7"/>
      <c r="D136" s="7"/>
      <c r="E136" s="7"/>
      <c r="F136" s="7"/>
      <c r="G136" s="7"/>
      <c r="H136" s="7"/>
      <c r="I136" s="8"/>
      <c r="J136" s="8"/>
      <c r="K136" s="8"/>
      <c r="L136" s="8"/>
      <c r="M136" s="8"/>
      <c r="N136" s="8"/>
      <c r="O136" s="9"/>
      <c r="P136" s="9"/>
      <c r="Q136" s="9"/>
      <c r="R136" s="9"/>
      <c r="S136" s="9"/>
    </row>
    <row r="137" spans="3:19" customFormat="1" ht="16.350000000000001" hidden="1" customHeight="1">
      <c r="C137" s="7"/>
      <c r="D137" s="7"/>
      <c r="E137" s="7"/>
      <c r="F137" s="7"/>
      <c r="G137" s="7"/>
      <c r="H137" s="7"/>
      <c r="I137" s="8"/>
      <c r="J137" s="8"/>
      <c r="K137" s="8"/>
      <c r="L137" s="8"/>
      <c r="M137" s="8"/>
      <c r="N137" s="8"/>
      <c r="O137" s="9"/>
      <c r="P137" s="9"/>
      <c r="Q137" s="9"/>
      <c r="R137" s="9"/>
      <c r="S137" s="9"/>
    </row>
    <row r="138" spans="3:19" customFormat="1" ht="16.350000000000001" hidden="1" customHeight="1">
      <c r="C138" s="7"/>
      <c r="D138" s="7"/>
      <c r="E138" s="7"/>
      <c r="F138" s="7"/>
      <c r="G138" s="7"/>
      <c r="H138" s="7"/>
      <c r="I138" s="8"/>
      <c r="J138" s="8"/>
      <c r="K138" s="8"/>
      <c r="L138" s="8"/>
      <c r="M138" s="8"/>
      <c r="N138" s="8"/>
      <c r="O138" s="9"/>
      <c r="P138" s="9"/>
      <c r="Q138" s="9"/>
      <c r="R138" s="9"/>
      <c r="S138" s="9"/>
    </row>
    <row r="139" spans="3:19" customFormat="1" ht="16.350000000000001" hidden="1" customHeight="1">
      <c r="C139" s="7"/>
      <c r="D139" s="7"/>
      <c r="E139" s="7"/>
      <c r="F139" s="7"/>
      <c r="G139" s="7"/>
      <c r="H139" s="7"/>
      <c r="I139" s="8"/>
      <c r="J139" s="8"/>
      <c r="K139" s="8"/>
      <c r="L139" s="8"/>
      <c r="M139" s="8"/>
      <c r="N139" s="8"/>
      <c r="O139" s="9"/>
      <c r="P139" s="9"/>
      <c r="Q139" s="9"/>
      <c r="R139" s="9"/>
      <c r="S139" s="9"/>
    </row>
    <row r="140" spans="3:19" customFormat="1" ht="16.350000000000001" hidden="1" customHeight="1">
      <c r="C140" s="7"/>
      <c r="D140" s="7"/>
      <c r="E140" s="7"/>
      <c r="F140" s="7"/>
      <c r="G140" s="7"/>
      <c r="H140" s="7"/>
      <c r="I140" s="8"/>
      <c r="J140" s="8"/>
      <c r="K140" s="8"/>
      <c r="L140" s="8"/>
      <c r="M140" s="8"/>
      <c r="N140" s="8"/>
      <c r="O140" s="9"/>
      <c r="P140" s="9"/>
      <c r="Q140" s="9"/>
      <c r="R140" s="9"/>
      <c r="S140" s="9"/>
    </row>
    <row r="141" spans="3:19" customFormat="1" ht="16.350000000000001" hidden="1" customHeight="1">
      <c r="C141" s="7"/>
      <c r="D141" s="7"/>
      <c r="E141" s="7"/>
      <c r="F141" s="7"/>
      <c r="G141" s="7"/>
      <c r="H141" s="7"/>
      <c r="I141" s="8"/>
      <c r="J141" s="8"/>
      <c r="K141" s="8"/>
      <c r="L141" s="8"/>
      <c r="M141" s="8"/>
      <c r="N141" s="8"/>
      <c r="O141" s="9"/>
      <c r="P141" s="9"/>
      <c r="Q141" s="9"/>
      <c r="R141" s="9"/>
      <c r="S141" s="9"/>
    </row>
    <row r="142" spans="3:19" customFormat="1" ht="16.350000000000001" hidden="1" customHeight="1">
      <c r="C142" s="7"/>
      <c r="D142" s="7"/>
      <c r="E142" s="7"/>
      <c r="F142" s="7"/>
      <c r="G142" s="7"/>
      <c r="H142" s="7"/>
      <c r="I142" s="8"/>
      <c r="J142" s="8"/>
      <c r="K142" s="8"/>
      <c r="L142" s="8"/>
      <c r="M142" s="8"/>
      <c r="N142" s="8"/>
      <c r="O142" s="9"/>
      <c r="P142" s="9"/>
      <c r="Q142" s="9"/>
      <c r="R142" s="9"/>
      <c r="S142" s="9"/>
    </row>
    <row r="143" spans="3:19" customFormat="1" ht="16.350000000000001" hidden="1" customHeight="1">
      <c r="C143" s="7"/>
      <c r="D143" s="7"/>
      <c r="E143" s="7"/>
      <c r="F143" s="7"/>
      <c r="G143" s="7"/>
      <c r="H143" s="7"/>
      <c r="I143" s="8"/>
      <c r="J143" s="8"/>
      <c r="K143" s="8"/>
      <c r="L143" s="8"/>
      <c r="M143" s="8"/>
      <c r="N143" s="8"/>
      <c r="O143" s="9"/>
      <c r="P143" s="9"/>
      <c r="Q143" s="9"/>
      <c r="R143" s="9"/>
      <c r="S143" s="9"/>
    </row>
    <row r="144" spans="3:19" customFormat="1" ht="16.350000000000001" hidden="1" customHeight="1">
      <c r="C144" s="7"/>
      <c r="D144" s="7"/>
      <c r="E144" s="7"/>
      <c r="F144" s="7"/>
      <c r="G144" s="7"/>
      <c r="H144" s="7"/>
      <c r="I144" s="8"/>
      <c r="J144" s="8"/>
      <c r="K144" s="8"/>
      <c r="L144" s="8"/>
      <c r="M144" s="8"/>
      <c r="N144" s="8"/>
      <c r="O144" s="9"/>
      <c r="P144" s="9"/>
      <c r="Q144" s="9"/>
      <c r="R144" s="9"/>
      <c r="S144" s="9"/>
    </row>
    <row r="145" spans="3:19" customFormat="1" ht="16.350000000000001" hidden="1" customHeight="1">
      <c r="C145" s="7"/>
      <c r="D145" s="7"/>
      <c r="E145" s="7"/>
      <c r="F145" s="7"/>
      <c r="G145" s="7"/>
      <c r="H145" s="7"/>
      <c r="I145" s="8"/>
      <c r="J145" s="8"/>
      <c r="K145" s="8"/>
      <c r="L145" s="8"/>
      <c r="M145" s="8"/>
      <c r="N145" s="8"/>
      <c r="O145" s="9"/>
      <c r="P145" s="9"/>
      <c r="Q145" s="9"/>
      <c r="R145" s="9"/>
      <c r="S145" s="9"/>
    </row>
    <row r="146" spans="3:19" customFormat="1" ht="16.350000000000001" hidden="1" customHeight="1">
      <c r="C146" s="7"/>
      <c r="D146" s="7"/>
      <c r="E146" s="7"/>
      <c r="F146" s="7"/>
      <c r="G146" s="7"/>
      <c r="H146" s="7"/>
      <c r="I146" s="8"/>
      <c r="J146" s="8"/>
      <c r="K146" s="8"/>
      <c r="L146" s="8"/>
      <c r="M146" s="8"/>
      <c r="N146" s="8"/>
      <c r="O146" s="9"/>
      <c r="P146" s="9"/>
      <c r="Q146" s="9"/>
      <c r="R146" s="9"/>
      <c r="S146" s="9"/>
    </row>
    <row r="147" spans="3:19" customFormat="1" ht="16.350000000000001" hidden="1" customHeight="1">
      <c r="C147" s="7"/>
      <c r="D147" s="7"/>
      <c r="E147" s="7"/>
      <c r="F147" s="7"/>
      <c r="G147" s="7"/>
      <c r="H147" s="7"/>
      <c r="I147" s="8"/>
      <c r="J147" s="8"/>
      <c r="K147" s="8"/>
      <c r="L147" s="8"/>
      <c r="M147" s="8"/>
      <c r="N147" s="8"/>
      <c r="O147" s="9"/>
      <c r="P147" s="9"/>
      <c r="Q147" s="9"/>
      <c r="R147" s="9"/>
      <c r="S147" s="9"/>
    </row>
    <row r="148" spans="3:19" customFormat="1" ht="16.350000000000001" hidden="1" customHeight="1">
      <c r="C148" s="7"/>
      <c r="D148" s="7"/>
      <c r="E148" s="7"/>
      <c r="F148" s="7"/>
      <c r="G148" s="7"/>
      <c r="H148" s="7"/>
      <c r="I148" s="8"/>
      <c r="J148" s="8"/>
      <c r="K148" s="8"/>
      <c r="L148" s="8"/>
      <c r="M148" s="8"/>
      <c r="N148" s="8"/>
      <c r="O148" s="9"/>
      <c r="P148" s="9"/>
      <c r="Q148" s="9"/>
      <c r="R148" s="9"/>
      <c r="S148" s="9"/>
    </row>
    <row r="149" spans="3:19" customFormat="1" ht="16.350000000000001" hidden="1" customHeight="1">
      <c r="C149" s="7"/>
      <c r="D149" s="7"/>
      <c r="E149" s="7"/>
      <c r="F149" s="7"/>
      <c r="G149" s="7"/>
      <c r="H149" s="7"/>
      <c r="I149" s="8"/>
      <c r="J149" s="8"/>
      <c r="K149" s="8"/>
      <c r="L149" s="8"/>
      <c r="M149" s="8"/>
      <c r="N149" s="8"/>
      <c r="O149" s="9"/>
      <c r="P149" s="9"/>
      <c r="Q149" s="9"/>
      <c r="R149" s="9"/>
      <c r="S149" s="9"/>
    </row>
    <row r="150" spans="3:19" customFormat="1" ht="16.350000000000001" hidden="1" customHeight="1">
      <c r="C150" s="7"/>
      <c r="D150" s="7"/>
      <c r="E150" s="7"/>
      <c r="F150" s="7"/>
      <c r="G150" s="7"/>
      <c r="H150" s="7"/>
      <c r="I150" s="8"/>
      <c r="J150" s="8"/>
      <c r="K150" s="8"/>
      <c r="L150" s="8"/>
      <c r="M150" s="8"/>
      <c r="N150" s="8"/>
      <c r="O150" s="9"/>
      <c r="P150" s="9"/>
      <c r="Q150" s="9"/>
      <c r="R150" s="9"/>
      <c r="S150" s="9"/>
    </row>
    <row r="151" spans="3:19" customFormat="1" ht="16.350000000000001" hidden="1" customHeight="1">
      <c r="C151" s="7"/>
      <c r="D151" s="7"/>
      <c r="E151" s="7"/>
      <c r="F151" s="7"/>
      <c r="G151" s="7"/>
      <c r="H151" s="7"/>
      <c r="I151" s="8"/>
      <c r="J151" s="8"/>
      <c r="K151" s="8"/>
      <c r="L151" s="8"/>
      <c r="M151" s="8"/>
      <c r="N151" s="8"/>
      <c r="O151" s="9"/>
      <c r="P151" s="9"/>
      <c r="Q151" s="9"/>
      <c r="R151" s="9"/>
      <c r="S151" s="9"/>
    </row>
    <row r="152" spans="3:19" customFormat="1" ht="16.350000000000001" hidden="1" customHeight="1">
      <c r="C152" s="7"/>
      <c r="D152" s="7"/>
      <c r="E152" s="7"/>
      <c r="F152" s="7"/>
      <c r="G152" s="7"/>
      <c r="H152" s="7"/>
      <c r="I152" s="8"/>
      <c r="J152" s="8"/>
      <c r="K152" s="8"/>
      <c r="L152" s="8"/>
      <c r="M152" s="8"/>
      <c r="N152" s="8"/>
      <c r="O152" s="9"/>
      <c r="P152" s="9"/>
      <c r="Q152" s="9"/>
      <c r="R152" s="9"/>
      <c r="S152" s="9"/>
    </row>
    <row r="153" spans="3:19" customFormat="1" ht="16.350000000000001" hidden="1" customHeight="1">
      <c r="C153" s="7"/>
      <c r="D153" s="7"/>
      <c r="E153" s="7"/>
      <c r="F153" s="7"/>
      <c r="G153" s="7"/>
      <c r="H153" s="7"/>
      <c r="I153" s="8"/>
      <c r="J153" s="8"/>
      <c r="K153" s="8"/>
      <c r="L153" s="8"/>
      <c r="M153" s="8"/>
      <c r="N153" s="8"/>
      <c r="O153" s="9"/>
      <c r="P153" s="9"/>
      <c r="Q153" s="9"/>
      <c r="R153" s="9"/>
      <c r="S153" s="9"/>
    </row>
    <row r="154" spans="3:19" customFormat="1" ht="16.350000000000001" hidden="1" customHeight="1">
      <c r="C154" s="7"/>
      <c r="D154" s="7"/>
      <c r="E154" s="7"/>
      <c r="F154" s="7"/>
      <c r="G154" s="7"/>
      <c r="H154" s="7"/>
      <c r="I154" s="8"/>
      <c r="J154" s="8"/>
      <c r="K154" s="8"/>
      <c r="L154" s="8"/>
      <c r="M154" s="8"/>
      <c r="N154" s="8"/>
      <c r="O154" s="9"/>
      <c r="P154" s="9"/>
      <c r="Q154" s="9"/>
      <c r="R154" s="9"/>
      <c r="S154" s="9"/>
    </row>
    <row r="155" spans="3:19" customFormat="1" ht="16.350000000000001" hidden="1" customHeight="1">
      <c r="C155" s="7"/>
      <c r="D155" s="7"/>
      <c r="E155" s="7"/>
      <c r="F155" s="7"/>
      <c r="G155" s="7"/>
      <c r="H155" s="7"/>
      <c r="I155" s="8"/>
      <c r="J155" s="8"/>
      <c r="K155" s="8"/>
      <c r="L155" s="8"/>
      <c r="M155" s="8"/>
      <c r="N155" s="8"/>
      <c r="O155" s="9"/>
      <c r="P155" s="9"/>
      <c r="Q155" s="9"/>
      <c r="R155" s="9"/>
      <c r="S155" s="9"/>
    </row>
    <row r="156" spans="3:19" customFormat="1" ht="16.350000000000001" hidden="1" customHeight="1">
      <c r="C156" s="7"/>
      <c r="D156" s="7"/>
      <c r="E156" s="7"/>
      <c r="F156" s="7"/>
      <c r="G156" s="7"/>
      <c r="H156" s="7"/>
      <c r="I156" s="8"/>
      <c r="J156" s="8"/>
      <c r="K156" s="8"/>
      <c r="L156" s="8"/>
      <c r="M156" s="8"/>
      <c r="N156" s="8"/>
      <c r="O156" s="9"/>
      <c r="P156" s="9"/>
      <c r="Q156" s="9"/>
      <c r="R156" s="9"/>
      <c r="S156" s="9"/>
    </row>
    <row r="157" spans="3:19" customFormat="1" ht="16.350000000000001" hidden="1" customHeight="1">
      <c r="C157" s="7"/>
      <c r="D157" s="7"/>
      <c r="E157" s="7"/>
      <c r="F157" s="7"/>
      <c r="G157" s="7"/>
      <c r="H157" s="7"/>
      <c r="I157" s="8"/>
      <c r="J157" s="8"/>
      <c r="K157" s="8"/>
      <c r="L157" s="8"/>
      <c r="M157" s="8"/>
      <c r="N157" s="8"/>
      <c r="O157" s="9"/>
      <c r="P157" s="9"/>
      <c r="Q157" s="9"/>
      <c r="R157" s="9"/>
      <c r="S157" s="9"/>
    </row>
    <row r="158" spans="3:19" customFormat="1" ht="16.350000000000001" hidden="1" customHeight="1">
      <c r="C158" s="7"/>
      <c r="D158" s="7"/>
      <c r="E158" s="7"/>
      <c r="F158" s="7"/>
      <c r="G158" s="7"/>
      <c r="H158" s="7"/>
      <c r="I158" s="8"/>
      <c r="J158" s="8"/>
      <c r="K158" s="8"/>
      <c r="L158" s="8"/>
      <c r="M158" s="8"/>
      <c r="N158" s="8"/>
      <c r="O158" s="9"/>
      <c r="P158" s="9"/>
      <c r="Q158" s="9"/>
      <c r="R158" s="9"/>
      <c r="S158" s="9"/>
    </row>
    <row r="159" spans="3:19" customFormat="1" ht="16.350000000000001" hidden="1" customHeight="1">
      <c r="C159" s="7"/>
      <c r="D159" s="7"/>
      <c r="E159" s="7"/>
      <c r="F159" s="7"/>
      <c r="G159" s="7"/>
      <c r="H159" s="7"/>
      <c r="I159" s="8"/>
      <c r="J159" s="8"/>
      <c r="K159" s="8"/>
      <c r="L159" s="8"/>
      <c r="M159" s="8"/>
      <c r="N159" s="8"/>
      <c r="O159" s="9"/>
      <c r="P159" s="9"/>
      <c r="Q159" s="9"/>
      <c r="R159" s="9"/>
      <c r="S159" s="9"/>
    </row>
    <row r="160" spans="3:19" customFormat="1" ht="16.350000000000001" hidden="1" customHeight="1">
      <c r="C160" s="7"/>
      <c r="D160" s="7"/>
      <c r="E160" s="7"/>
      <c r="F160" s="7"/>
      <c r="G160" s="7"/>
      <c r="H160" s="7"/>
      <c r="I160" s="8"/>
      <c r="J160" s="8"/>
      <c r="K160" s="8"/>
      <c r="L160" s="8"/>
      <c r="M160" s="8"/>
      <c r="N160" s="8"/>
      <c r="O160" s="9"/>
      <c r="P160" s="9"/>
      <c r="Q160" s="9"/>
      <c r="R160" s="9"/>
      <c r="S160" s="9"/>
    </row>
    <row r="161" spans="3:19" customFormat="1" ht="16.350000000000001" hidden="1" customHeight="1">
      <c r="C161" s="7"/>
      <c r="D161" s="7"/>
      <c r="E161" s="7"/>
      <c r="F161" s="7"/>
      <c r="G161" s="7"/>
      <c r="H161" s="7"/>
      <c r="I161" s="8"/>
      <c r="J161" s="8"/>
      <c r="K161" s="8"/>
      <c r="L161" s="8"/>
      <c r="M161" s="8"/>
      <c r="N161" s="8"/>
      <c r="O161" s="9"/>
      <c r="P161" s="9"/>
      <c r="Q161" s="9"/>
      <c r="R161" s="9"/>
      <c r="S161" s="9"/>
    </row>
    <row r="162" spans="3:19" customFormat="1" ht="16.350000000000001" hidden="1" customHeight="1">
      <c r="C162" s="7"/>
      <c r="D162" s="7"/>
      <c r="E162" s="7"/>
      <c r="F162" s="7"/>
      <c r="G162" s="7"/>
      <c r="H162" s="7"/>
      <c r="I162" s="8"/>
      <c r="J162" s="8"/>
      <c r="K162" s="8"/>
      <c r="L162" s="8"/>
      <c r="M162" s="8"/>
      <c r="N162" s="8"/>
      <c r="O162" s="9"/>
      <c r="P162" s="9"/>
      <c r="Q162" s="9"/>
      <c r="R162" s="9"/>
      <c r="S162" s="9"/>
    </row>
    <row r="163" spans="3:19" customFormat="1" ht="16.350000000000001" hidden="1" customHeight="1">
      <c r="C163" s="7"/>
      <c r="D163" s="7"/>
      <c r="E163" s="7"/>
      <c r="F163" s="7"/>
      <c r="G163" s="7"/>
      <c r="H163" s="7"/>
      <c r="I163" s="8"/>
      <c r="J163" s="8"/>
      <c r="K163" s="8"/>
      <c r="L163" s="8"/>
      <c r="M163" s="8"/>
      <c r="N163" s="8"/>
      <c r="O163" s="9"/>
      <c r="P163" s="9"/>
      <c r="Q163" s="9"/>
      <c r="R163" s="9"/>
      <c r="S163" s="9"/>
    </row>
    <row r="164" spans="3:19" customFormat="1" ht="16.350000000000001" hidden="1" customHeight="1">
      <c r="C164" s="7"/>
      <c r="D164" s="7"/>
      <c r="E164" s="7"/>
      <c r="F164" s="7"/>
      <c r="G164" s="7"/>
      <c r="H164" s="7"/>
      <c r="I164" s="8"/>
      <c r="J164" s="8"/>
      <c r="K164" s="8"/>
      <c r="L164" s="8"/>
      <c r="M164" s="8"/>
      <c r="N164" s="8"/>
      <c r="O164" s="9"/>
      <c r="P164" s="9"/>
      <c r="Q164" s="9"/>
      <c r="R164" s="9"/>
      <c r="S164" s="9"/>
    </row>
    <row r="165" spans="3:19" customFormat="1" ht="16.350000000000001" hidden="1" customHeight="1">
      <c r="C165" s="7"/>
      <c r="D165" s="7"/>
      <c r="E165" s="7"/>
      <c r="F165" s="7"/>
      <c r="G165" s="7"/>
      <c r="H165" s="7"/>
      <c r="I165" s="8"/>
      <c r="J165" s="8"/>
      <c r="K165" s="8"/>
      <c r="L165" s="8"/>
      <c r="M165" s="8"/>
      <c r="N165" s="8"/>
      <c r="O165" s="9"/>
      <c r="P165" s="9"/>
      <c r="Q165" s="9"/>
      <c r="R165" s="9"/>
      <c r="S165" s="9"/>
    </row>
    <row r="166" spans="3:19" customFormat="1" ht="16.350000000000001" hidden="1" customHeight="1">
      <c r="C166" s="7"/>
      <c r="D166" s="7"/>
      <c r="E166" s="7"/>
      <c r="F166" s="7"/>
      <c r="G166" s="7"/>
      <c r="H166" s="7"/>
      <c r="I166" s="8"/>
      <c r="J166" s="8"/>
      <c r="K166" s="8"/>
      <c r="L166" s="8"/>
      <c r="M166" s="8"/>
      <c r="N166" s="8"/>
      <c r="O166" s="9"/>
      <c r="P166" s="9"/>
      <c r="Q166" s="9"/>
      <c r="R166" s="9"/>
      <c r="S166" s="9"/>
    </row>
    <row r="167" spans="3:19" customFormat="1" ht="16.350000000000001" hidden="1" customHeight="1">
      <c r="C167" s="7"/>
      <c r="D167" s="7"/>
      <c r="E167" s="7"/>
      <c r="F167" s="7"/>
      <c r="G167" s="7"/>
      <c r="H167" s="7"/>
      <c r="I167" s="8"/>
      <c r="J167" s="8"/>
      <c r="K167" s="8"/>
      <c r="L167" s="8"/>
      <c r="M167" s="8"/>
      <c r="N167" s="8"/>
      <c r="O167" s="9"/>
      <c r="P167" s="9"/>
      <c r="Q167" s="9"/>
      <c r="R167" s="9"/>
      <c r="S167" s="9"/>
    </row>
    <row r="168" spans="3:19" customFormat="1" ht="16.350000000000001" hidden="1" customHeight="1">
      <c r="C168" s="7"/>
      <c r="D168" s="7"/>
      <c r="E168" s="7"/>
      <c r="F168" s="7"/>
      <c r="G168" s="7"/>
      <c r="H168" s="7"/>
      <c r="I168" s="8"/>
      <c r="J168" s="8"/>
      <c r="K168" s="8"/>
      <c r="L168" s="8"/>
      <c r="M168" s="8"/>
      <c r="N168" s="8"/>
      <c r="O168" s="9"/>
      <c r="P168" s="9"/>
      <c r="Q168" s="9"/>
      <c r="R168" s="9"/>
      <c r="S168" s="9"/>
    </row>
    <row r="169" spans="3:19" customFormat="1" ht="16.350000000000001" hidden="1" customHeight="1">
      <c r="C169" s="7"/>
      <c r="D169" s="7"/>
      <c r="E169" s="7"/>
      <c r="F169" s="7"/>
      <c r="G169" s="7"/>
      <c r="H169" s="7"/>
      <c r="I169" s="8"/>
      <c r="J169" s="8"/>
      <c r="K169" s="8"/>
      <c r="L169" s="8"/>
      <c r="M169" s="8"/>
      <c r="N169" s="8"/>
      <c r="O169" s="9"/>
      <c r="P169" s="9"/>
      <c r="Q169" s="9"/>
      <c r="R169" s="9"/>
      <c r="S169" s="9"/>
    </row>
    <row r="170" spans="3:19" customFormat="1" ht="16.350000000000001" hidden="1" customHeight="1">
      <c r="C170" s="7"/>
      <c r="D170" s="7"/>
      <c r="E170" s="7"/>
      <c r="F170" s="7"/>
      <c r="G170" s="7"/>
      <c r="H170" s="7"/>
      <c r="I170" s="8"/>
      <c r="J170" s="8"/>
      <c r="K170" s="8"/>
      <c r="L170" s="8"/>
      <c r="M170" s="8"/>
      <c r="N170" s="8"/>
      <c r="O170" s="9"/>
      <c r="P170" s="9"/>
      <c r="Q170" s="9"/>
      <c r="R170" s="9"/>
      <c r="S170" s="9"/>
    </row>
    <row r="171" spans="3:19" customFormat="1" ht="16.350000000000001" hidden="1" customHeight="1">
      <c r="C171" s="7"/>
      <c r="D171" s="7"/>
      <c r="E171" s="7"/>
      <c r="F171" s="7"/>
      <c r="G171" s="7"/>
      <c r="H171" s="7"/>
      <c r="I171" s="8"/>
      <c r="J171" s="8"/>
      <c r="K171" s="8"/>
      <c r="L171" s="8"/>
      <c r="M171" s="8"/>
      <c r="N171" s="8"/>
      <c r="O171" s="9"/>
      <c r="P171" s="9"/>
      <c r="Q171" s="9"/>
      <c r="R171" s="9"/>
      <c r="S171" s="9"/>
    </row>
    <row r="172" spans="3:19" customFormat="1" ht="16.350000000000001" hidden="1" customHeight="1">
      <c r="C172" s="7"/>
      <c r="D172" s="7"/>
      <c r="E172" s="7"/>
      <c r="F172" s="7"/>
      <c r="G172" s="7"/>
      <c r="H172" s="7"/>
      <c r="I172" s="8"/>
      <c r="J172" s="8"/>
      <c r="K172" s="8"/>
      <c r="L172" s="8"/>
      <c r="M172" s="8"/>
      <c r="N172" s="8"/>
      <c r="O172" s="9"/>
      <c r="P172" s="9"/>
      <c r="Q172" s="9"/>
      <c r="R172" s="9"/>
      <c r="S172" s="9"/>
    </row>
    <row r="173" spans="3:19" customFormat="1" ht="16.350000000000001" hidden="1" customHeight="1">
      <c r="C173" s="7"/>
      <c r="D173" s="7"/>
      <c r="E173" s="7"/>
      <c r="F173" s="7"/>
      <c r="G173" s="7"/>
      <c r="H173" s="7"/>
      <c r="I173" s="8"/>
      <c r="J173" s="8"/>
      <c r="K173" s="8"/>
      <c r="L173" s="8"/>
      <c r="M173" s="8"/>
      <c r="N173" s="8"/>
      <c r="O173" s="9"/>
      <c r="P173" s="9"/>
      <c r="Q173" s="9"/>
      <c r="R173" s="9"/>
      <c r="S173" s="9"/>
    </row>
    <row r="174" spans="3:19" customFormat="1" ht="16.350000000000001" hidden="1" customHeight="1">
      <c r="C174" s="7"/>
      <c r="D174" s="7"/>
      <c r="E174" s="7"/>
      <c r="F174" s="7"/>
      <c r="G174" s="7"/>
      <c r="H174" s="7"/>
      <c r="I174" s="8"/>
      <c r="J174" s="8"/>
      <c r="K174" s="8"/>
      <c r="L174" s="8"/>
      <c r="M174" s="8"/>
      <c r="N174" s="8"/>
      <c r="O174" s="9"/>
      <c r="P174" s="9"/>
      <c r="Q174" s="9"/>
      <c r="R174" s="9"/>
      <c r="S174" s="9"/>
    </row>
    <row r="175" spans="3:19" customFormat="1" ht="16.350000000000001" hidden="1" customHeight="1">
      <c r="C175" s="7"/>
      <c r="D175" s="7"/>
      <c r="E175" s="7"/>
      <c r="F175" s="7"/>
      <c r="G175" s="7"/>
      <c r="H175" s="7"/>
      <c r="I175" s="8"/>
      <c r="J175" s="8"/>
      <c r="K175" s="8"/>
      <c r="L175" s="8"/>
      <c r="M175" s="8"/>
      <c r="N175" s="8"/>
      <c r="O175" s="9"/>
      <c r="P175" s="9"/>
      <c r="Q175" s="9"/>
      <c r="R175" s="9"/>
      <c r="S175" s="9"/>
    </row>
    <row r="176" spans="3:19" customFormat="1" ht="16.350000000000001" hidden="1" customHeight="1">
      <c r="C176" s="7"/>
      <c r="D176" s="7"/>
      <c r="E176" s="7"/>
      <c r="F176" s="7"/>
      <c r="G176" s="7"/>
      <c r="H176" s="7"/>
      <c r="I176" s="8"/>
      <c r="J176" s="8"/>
      <c r="K176" s="8"/>
      <c r="L176" s="8"/>
      <c r="M176" s="8"/>
      <c r="N176" s="8"/>
      <c r="O176" s="9"/>
      <c r="P176" s="9"/>
      <c r="Q176" s="9"/>
      <c r="R176" s="9"/>
      <c r="S176" s="9"/>
    </row>
    <row r="177" spans="3:19" customFormat="1" ht="16.350000000000001" hidden="1" customHeight="1">
      <c r="C177" s="7"/>
      <c r="D177" s="7"/>
      <c r="E177" s="7"/>
      <c r="F177" s="7"/>
      <c r="G177" s="7"/>
      <c r="H177" s="7"/>
      <c r="I177" s="8"/>
      <c r="J177" s="8"/>
      <c r="K177" s="8"/>
      <c r="L177" s="8"/>
      <c r="M177" s="8"/>
      <c r="N177" s="8"/>
      <c r="O177" s="9"/>
      <c r="P177" s="9"/>
      <c r="Q177" s="9"/>
      <c r="R177" s="9"/>
      <c r="S177" s="9"/>
    </row>
    <row r="178" spans="3:19" customFormat="1" ht="16.350000000000001" hidden="1" customHeight="1">
      <c r="C178" s="7"/>
      <c r="D178" s="7"/>
      <c r="E178" s="7"/>
      <c r="F178" s="7"/>
      <c r="G178" s="7"/>
      <c r="H178" s="7"/>
      <c r="I178" s="8"/>
      <c r="J178" s="8"/>
      <c r="K178" s="8"/>
      <c r="L178" s="8"/>
      <c r="M178" s="8"/>
      <c r="N178" s="8"/>
      <c r="O178" s="9"/>
      <c r="P178" s="9"/>
      <c r="Q178" s="9"/>
      <c r="R178" s="9"/>
      <c r="S178" s="9"/>
    </row>
    <row r="179" spans="3:19" customFormat="1" ht="16.350000000000001" hidden="1" customHeight="1">
      <c r="C179" s="7"/>
      <c r="D179" s="7"/>
      <c r="E179" s="7"/>
      <c r="F179" s="7"/>
      <c r="G179" s="7"/>
      <c r="H179" s="7"/>
      <c r="I179" s="8"/>
      <c r="J179" s="8"/>
      <c r="K179" s="8"/>
      <c r="L179" s="8"/>
      <c r="M179" s="8"/>
      <c r="N179" s="8"/>
      <c r="O179" s="9"/>
      <c r="P179" s="9"/>
      <c r="Q179" s="9"/>
      <c r="R179" s="9"/>
      <c r="S179" s="9"/>
    </row>
    <row r="180" spans="3:19" customFormat="1" ht="16.350000000000001" hidden="1" customHeight="1">
      <c r="C180" s="7"/>
      <c r="D180" s="7"/>
      <c r="E180" s="7"/>
      <c r="F180" s="7"/>
      <c r="G180" s="7"/>
      <c r="H180" s="7"/>
      <c r="I180" s="8"/>
      <c r="J180" s="8"/>
      <c r="K180" s="8"/>
      <c r="L180" s="8"/>
      <c r="M180" s="8"/>
      <c r="N180" s="8"/>
      <c r="O180" s="9"/>
      <c r="P180" s="9"/>
      <c r="Q180" s="9"/>
      <c r="R180" s="9"/>
      <c r="S180" s="9"/>
    </row>
    <row r="181" spans="3:19" customFormat="1" ht="16.350000000000001" hidden="1" customHeight="1">
      <c r="C181" s="7"/>
      <c r="D181" s="7"/>
      <c r="E181" s="7"/>
      <c r="F181" s="7"/>
      <c r="G181" s="7"/>
      <c r="H181" s="7"/>
      <c r="I181" s="8"/>
      <c r="J181" s="8"/>
      <c r="K181" s="8"/>
      <c r="L181" s="8"/>
      <c r="M181" s="8"/>
      <c r="N181" s="8"/>
      <c r="O181" s="9"/>
      <c r="P181" s="9"/>
      <c r="Q181" s="9"/>
      <c r="R181" s="9"/>
      <c r="S181" s="9"/>
    </row>
    <row r="182" spans="3:19" customFormat="1" ht="16.350000000000001" hidden="1" customHeight="1">
      <c r="C182" s="7"/>
      <c r="D182" s="7"/>
      <c r="E182" s="7"/>
      <c r="F182" s="7"/>
      <c r="G182" s="7"/>
      <c r="H182" s="7"/>
      <c r="I182" s="8"/>
      <c r="J182" s="8"/>
      <c r="K182" s="8"/>
      <c r="L182" s="8"/>
      <c r="M182" s="8"/>
      <c r="N182" s="8"/>
      <c r="O182" s="9"/>
      <c r="P182" s="9"/>
      <c r="Q182" s="9"/>
      <c r="R182" s="9"/>
      <c r="S182" s="9"/>
    </row>
    <row r="183" spans="3:19" customFormat="1" ht="16.350000000000001" hidden="1" customHeight="1">
      <c r="C183" s="7"/>
      <c r="D183" s="7"/>
      <c r="E183" s="7"/>
      <c r="F183" s="7"/>
      <c r="G183" s="7"/>
      <c r="H183" s="7"/>
      <c r="I183" s="8"/>
      <c r="J183" s="8"/>
      <c r="K183" s="8"/>
      <c r="L183" s="8"/>
      <c r="M183" s="8"/>
      <c r="N183" s="8"/>
      <c r="O183" s="9"/>
      <c r="P183" s="9"/>
      <c r="Q183" s="9"/>
      <c r="R183" s="9"/>
      <c r="S183" s="9"/>
    </row>
    <row r="184" spans="3:19" customFormat="1" ht="16.350000000000001" hidden="1" customHeight="1">
      <c r="C184" s="7"/>
      <c r="D184" s="7"/>
      <c r="E184" s="7"/>
      <c r="F184" s="7"/>
      <c r="G184" s="7"/>
      <c r="H184" s="7"/>
      <c r="I184" s="8"/>
      <c r="J184" s="8"/>
      <c r="K184" s="8"/>
      <c r="L184" s="8"/>
      <c r="M184" s="8"/>
      <c r="N184" s="8"/>
      <c r="O184" s="9"/>
      <c r="P184" s="9"/>
      <c r="Q184" s="9"/>
      <c r="R184" s="9"/>
      <c r="S184" s="9"/>
    </row>
    <row r="185" spans="3:19" customFormat="1" ht="16.350000000000001" hidden="1" customHeight="1">
      <c r="C185" s="7"/>
      <c r="D185" s="7"/>
      <c r="E185" s="7"/>
      <c r="F185" s="7"/>
      <c r="G185" s="7"/>
      <c r="H185" s="7"/>
      <c r="I185" s="8"/>
      <c r="J185" s="8"/>
      <c r="K185" s="8"/>
      <c r="L185" s="8"/>
      <c r="M185" s="8"/>
      <c r="N185" s="8"/>
      <c r="O185" s="9"/>
      <c r="P185" s="9"/>
      <c r="Q185" s="9"/>
      <c r="R185" s="9"/>
      <c r="S185" s="9"/>
    </row>
    <row r="186" spans="3:19" customFormat="1" ht="16.350000000000001" hidden="1" customHeight="1">
      <c r="C186" s="7"/>
      <c r="D186" s="7"/>
      <c r="E186" s="7"/>
      <c r="F186" s="7"/>
      <c r="G186" s="7"/>
      <c r="H186" s="7"/>
      <c r="I186" s="8"/>
      <c r="J186" s="8"/>
      <c r="K186" s="8"/>
      <c r="L186" s="8"/>
      <c r="M186" s="8"/>
      <c r="N186" s="8"/>
      <c r="O186" s="9"/>
      <c r="P186" s="9"/>
      <c r="Q186" s="9"/>
      <c r="R186" s="9"/>
      <c r="S186" s="9"/>
    </row>
    <row r="187" spans="3:19" customFormat="1" ht="16.350000000000001" hidden="1" customHeight="1">
      <c r="C187" s="7"/>
      <c r="D187" s="7"/>
      <c r="E187" s="7"/>
      <c r="F187" s="7"/>
      <c r="G187" s="7"/>
      <c r="H187" s="7"/>
      <c r="I187" s="8"/>
      <c r="J187" s="8"/>
      <c r="K187" s="8"/>
      <c r="L187" s="8"/>
      <c r="M187" s="8"/>
      <c r="N187" s="8"/>
      <c r="O187" s="9"/>
      <c r="P187" s="9"/>
      <c r="Q187" s="9"/>
      <c r="R187" s="9"/>
      <c r="S187" s="9"/>
    </row>
    <row r="188" spans="3:19" customFormat="1" ht="16.350000000000001" hidden="1" customHeight="1">
      <c r="C188" s="7"/>
      <c r="D188" s="7"/>
      <c r="E188" s="7"/>
      <c r="F188" s="7"/>
      <c r="G188" s="7"/>
      <c r="H188" s="7"/>
      <c r="I188" s="8"/>
      <c r="J188" s="8"/>
      <c r="K188" s="8"/>
      <c r="L188" s="8"/>
      <c r="M188" s="8"/>
      <c r="N188" s="8"/>
      <c r="O188" s="9"/>
      <c r="P188" s="9"/>
      <c r="Q188" s="9"/>
      <c r="R188" s="9"/>
      <c r="S188" s="9"/>
    </row>
    <row r="189" spans="3:19" customFormat="1" ht="16.350000000000001" hidden="1" customHeight="1">
      <c r="C189" s="7"/>
      <c r="D189" s="7"/>
      <c r="E189" s="7"/>
      <c r="F189" s="7"/>
      <c r="G189" s="7"/>
      <c r="H189" s="7"/>
      <c r="I189" s="8"/>
      <c r="J189" s="8"/>
      <c r="K189" s="8"/>
      <c r="L189" s="8"/>
      <c r="M189" s="8"/>
      <c r="N189" s="8"/>
      <c r="O189" s="9"/>
      <c r="P189" s="9"/>
      <c r="Q189" s="9"/>
      <c r="R189" s="9"/>
      <c r="S189" s="9"/>
    </row>
    <row r="190" spans="3:19" customFormat="1" ht="16.350000000000001" hidden="1" customHeight="1">
      <c r="C190" s="7"/>
      <c r="D190" s="7"/>
      <c r="E190" s="7"/>
      <c r="F190" s="7"/>
      <c r="G190" s="7"/>
      <c r="H190" s="7"/>
      <c r="I190" s="8"/>
      <c r="J190" s="8"/>
      <c r="K190" s="8"/>
      <c r="L190" s="8"/>
      <c r="M190" s="8"/>
      <c r="N190" s="8"/>
      <c r="O190" s="9"/>
      <c r="P190" s="9"/>
      <c r="Q190" s="9"/>
      <c r="R190" s="9"/>
      <c r="S190" s="9"/>
    </row>
    <row r="191" spans="3:19" customFormat="1" ht="16.350000000000001" hidden="1" customHeight="1">
      <c r="C191" s="7"/>
      <c r="D191" s="7"/>
      <c r="E191" s="7"/>
      <c r="F191" s="7"/>
      <c r="G191" s="7"/>
      <c r="H191" s="7"/>
      <c r="I191" s="8"/>
      <c r="J191" s="8"/>
      <c r="K191" s="8"/>
      <c r="L191" s="8"/>
      <c r="M191" s="8"/>
      <c r="N191" s="8"/>
      <c r="O191" s="9"/>
      <c r="P191" s="9"/>
      <c r="Q191" s="9"/>
      <c r="R191" s="9"/>
      <c r="S191" s="9"/>
    </row>
    <row r="192" spans="3:19" customFormat="1" ht="16.350000000000001" hidden="1" customHeight="1">
      <c r="C192" s="7"/>
      <c r="D192" s="7"/>
      <c r="E192" s="7"/>
      <c r="F192" s="7"/>
      <c r="G192" s="7"/>
      <c r="H192" s="7"/>
      <c r="I192" s="8"/>
      <c r="J192" s="8"/>
      <c r="K192" s="8"/>
      <c r="L192" s="8"/>
      <c r="M192" s="8"/>
      <c r="N192" s="8"/>
      <c r="O192" s="9"/>
      <c r="P192" s="9"/>
      <c r="Q192" s="9"/>
      <c r="R192" s="9"/>
      <c r="S192" s="9"/>
    </row>
    <row r="193" spans="2:58" customFormat="1" ht="16.350000000000001" hidden="1" customHeight="1">
      <c r="C193" s="7"/>
      <c r="D193" s="7"/>
      <c r="E193" s="7"/>
      <c r="F193" s="7"/>
      <c r="G193" s="7"/>
      <c r="H193" s="7"/>
      <c r="I193" s="8"/>
      <c r="J193" s="8"/>
      <c r="K193" s="8"/>
      <c r="L193" s="8"/>
      <c r="M193" s="8"/>
      <c r="N193" s="8"/>
      <c r="O193" s="9"/>
      <c r="P193" s="9"/>
      <c r="Q193" s="9"/>
      <c r="R193" s="9"/>
      <c r="S193" s="9"/>
    </row>
    <row r="194" spans="2:58" customFormat="1" ht="15.75" hidden="1" customHeight="1">
      <c r="C194" s="7"/>
      <c r="D194" s="7"/>
      <c r="E194" s="7"/>
      <c r="F194" s="7"/>
      <c r="G194" s="7"/>
      <c r="H194" s="7"/>
      <c r="I194" s="8"/>
      <c r="J194" s="8"/>
      <c r="K194" s="8"/>
      <c r="L194" s="8"/>
      <c r="M194" s="8"/>
      <c r="N194" s="8"/>
      <c r="O194" s="9"/>
      <c r="P194" s="9"/>
      <c r="Q194" s="9"/>
      <c r="R194" s="9"/>
      <c r="S194" s="9"/>
    </row>
    <row r="195" spans="2:58" ht="16.350000000000001" customHeight="1">
      <c r="B195" s="504" t="str">
        <f>FOOT1</f>
        <v>PSE&amp;G C&amp;I Energy Efficiency Program</v>
      </c>
      <c r="R195" s="721" t="s">
        <v>137</v>
      </c>
      <c r="S195" s="721"/>
      <c r="T195" s="721"/>
      <c r="U195" s="721"/>
      <c r="V195" s="721"/>
      <c r="W195" s="721"/>
      <c r="X195" s="721"/>
      <c r="Y195" s="721"/>
      <c r="Z195" s="721"/>
      <c r="AA195" s="721"/>
      <c r="AB195" s="721"/>
      <c r="AC195" s="721"/>
      <c r="AD195" s="721"/>
      <c r="AE195" s="721"/>
      <c r="AF195" s="721"/>
      <c r="AG195" s="721"/>
      <c r="AH195" s="721"/>
      <c r="AI195" s="721"/>
      <c r="AJ195" s="721"/>
      <c r="AK195" s="721"/>
      <c r="AL195" s="721"/>
      <c r="AM195" s="721"/>
      <c r="AN195" s="721"/>
      <c r="AO195" s="721"/>
      <c r="AP195" s="721"/>
      <c r="AQ195" s="721"/>
      <c r="AR195" s="721"/>
      <c r="BE195" s="701"/>
      <c r="BF195" s="701" t="str">
        <f>FOOT4</f>
        <v>Engineered Solutions Tier 2 Advance Custom Incentive Application</v>
      </c>
    </row>
    <row r="196" spans="2:58" ht="16.350000000000001" customHeight="1">
      <c r="B196" s="504" t="str">
        <f>FOOT2</f>
        <v>1-844-300-PSEG (7734)</v>
      </c>
      <c r="R196" s="721"/>
      <c r="S196" s="721"/>
      <c r="T196" s="721"/>
      <c r="U196" s="721"/>
      <c r="V196" s="721"/>
      <c r="W196" s="721"/>
      <c r="X196" s="721"/>
      <c r="Y196" s="721"/>
      <c r="Z196" s="721"/>
      <c r="AA196" s="721"/>
      <c r="AB196" s="721"/>
      <c r="AC196" s="721"/>
      <c r="AD196" s="721"/>
      <c r="AE196" s="721"/>
      <c r="AF196" s="721"/>
      <c r="AG196" s="721"/>
      <c r="AH196" s="721"/>
      <c r="AI196" s="721"/>
      <c r="AJ196" s="721"/>
      <c r="AK196" s="721"/>
      <c r="AL196" s="721"/>
      <c r="AM196" s="721"/>
      <c r="AN196" s="721"/>
      <c r="AO196" s="721"/>
      <c r="AP196" s="721"/>
      <c r="AQ196" s="721"/>
      <c r="AR196" s="721"/>
      <c r="BE196" s="701"/>
      <c r="BF196" s="701"/>
    </row>
    <row r="197" spans="2:58" ht="16.350000000000001" customHeight="1">
      <c r="B197" s="504" t="str">
        <f>FOOT3</f>
        <v>PSEGenergysaver@TRCcompanies.com</v>
      </c>
      <c r="AD197" s="702" t="str">
        <f>VERSION</f>
        <v>V1.0          Effective Date 1/1/25</v>
      </c>
      <c r="BE197" s="701"/>
      <c r="BF197" s="701" t="str">
        <f>FOOT6</f>
        <v>This is a TRC tool</v>
      </c>
    </row>
  </sheetData>
  <sheetProtection algorithmName="SHA-512" hashValue="9Pc2we+f0TZPxRkTlM7u+B6ZmmdTz6AD4hMZSEbILGEegcXFuQ8NE2yE89v5XN/ftgxmRqk0BSIrMV6+KtAVfw==" saltValue="6x6GwOzAhgU9jzT/MfpV2Q==" spinCount="100000" sheet="1" objects="1" scenarios="1" selectLockedCells="1"/>
  <mergeCells count="29">
    <mergeCell ref="R195:AR196"/>
    <mergeCell ref="BD1:BG3"/>
    <mergeCell ref="F1:I3"/>
    <mergeCell ref="J1:M3"/>
    <mergeCell ref="AP1:AS3"/>
    <mergeCell ref="AT1:AW3"/>
    <mergeCell ref="AX1:BC3"/>
    <mergeCell ref="AL1:AO3"/>
    <mergeCell ref="BC7:BE8"/>
    <mergeCell ref="I57:O57"/>
    <mergeCell ref="C57:H57"/>
    <mergeCell ref="P57:T57"/>
    <mergeCell ref="AK57:AQ57"/>
    <mergeCell ref="AC57:AJ57"/>
    <mergeCell ref="AE30:BC30"/>
    <mergeCell ref="E31:AC34"/>
    <mergeCell ref="E10:O11"/>
    <mergeCell ref="E12:BA13"/>
    <mergeCell ref="E16:BA16"/>
    <mergeCell ref="E17:BA17"/>
    <mergeCell ref="E6:AY8"/>
    <mergeCell ref="E25:AC28"/>
    <mergeCell ref="AE25:BC28"/>
    <mergeCell ref="E29:AC29"/>
    <mergeCell ref="AE29:BC29"/>
    <mergeCell ref="E18:BA18"/>
    <mergeCell ref="E19:BA19"/>
    <mergeCell ref="AE23:BC24"/>
    <mergeCell ref="E23:AD24"/>
  </mergeCells>
  <hyperlinks>
    <hyperlink ref="J1:M3" location="'M01-S02'!J1" tooltip="Instructions" display="'M01-S02'!J1" xr:uid="{063AB5C6-B11C-416C-8291-B6FE19A4186D}"/>
    <hyperlink ref="BD1:BG3" location="'M01-S03'!AP1" tooltip="Contact" display="'M01-S03'!AP1" xr:uid="{65EB4566-A0D8-429D-B46B-69E39DF9DFA0}"/>
    <hyperlink ref="AT1:AW3" location="'M05-S05'!AL1" tooltip=" " display="'M05-S05'!AL1" xr:uid="{AC32E88A-018A-46AF-A0DA-27187FDB0FE3}"/>
    <hyperlink ref="AP1:AS3" location="'M05-S04'!AH1" tooltip=" " display="'M05-S04'!AH1" xr:uid="{84CA3A4A-D593-4AF5-88F4-04FC02EF44C5}"/>
    <hyperlink ref="AL1:AO3" location="'M05-S05'!AL1" tooltip=" " display="'M05-S05'!AL1" xr:uid="{305D3E71-AF5F-48A9-BEAA-E86B6536261D}"/>
  </hyperlinks>
  <printOptions horizontalCentered="1"/>
  <pageMargins left="0" right="0" top="0.25" bottom="0.25" header="0.25" footer="0.25"/>
  <pageSetup scale="51"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4BB1-AACF-4C94-952B-B8668551AE58}">
  <sheetPr codeName="Sheet36">
    <tabColor rgb="FF142C41"/>
    <pageSetUpPr fitToPage="1"/>
  </sheetPr>
  <dimension ref="A1:EN206"/>
  <sheetViews>
    <sheetView showGridLines="0" showRowColHeaders="0" zoomScale="90" zoomScaleNormal="90" workbookViewId="0">
      <selection activeCell="AQ14" sqref="AQ14:BA14"/>
    </sheetView>
  </sheetViews>
  <sheetFormatPr defaultColWidth="0" defaultRowHeight="0" customHeight="1" zeroHeight="1"/>
  <cols>
    <col min="1" max="62" width="4.5703125" style="12" customWidth="1"/>
    <col min="63" max="70" width="4.5703125" customWidth="1"/>
    <col min="71" max="71" width="11.5703125" style="12" hidden="1" customWidth="1"/>
    <col min="72" max="72" width="80.5703125" style="12" hidden="1" customWidth="1"/>
    <col min="73" max="73" width="4.5703125" style="12" hidden="1" customWidth="1"/>
    <col min="74" max="76" width="12" style="12" hidden="1" customWidth="1"/>
    <col min="77" max="77" width="15.28515625" style="12" hidden="1" customWidth="1"/>
    <col min="78" max="78" width="14.140625" style="12" hidden="1" customWidth="1"/>
    <col min="79" max="79" width="4.5703125" style="12" hidden="1" customWidth="1"/>
    <col min="80" max="98" width="12" style="12" hidden="1" customWidth="1"/>
    <col min="99" max="99" width="8.5703125" style="12" hidden="1" customWidth="1"/>
    <col min="100" max="102" width="12" style="12" hidden="1" customWidth="1"/>
    <col min="103" max="103" width="8.5703125" style="12" hidden="1" customWidth="1"/>
    <col min="104" max="106" width="12.140625" style="12" hidden="1" customWidth="1"/>
    <col min="107" max="107" width="12" style="12" hidden="1" customWidth="1"/>
    <col min="108" max="128" width="28.5703125" style="12" hidden="1" customWidth="1"/>
    <col min="129" max="129" width="26.7109375" style="12" hidden="1" customWidth="1"/>
    <col min="130" max="130" width="15.85546875" style="12" hidden="1" customWidth="1"/>
    <col min="131" max="144" width="32.5703125" style="12" hidden="1" customWidth="1"/>
    <col min="145" max="16384" width="8.85546875" style="12" hidden="1"/>
  </cols>
  <sheetData>
    <row r="1" spans="1:113" customFormat="1" ht="16.350000000000001" customHeight="1">
      <c r="A1" s="12"/>
      <c r="B1" s="36"/>
      <c r="C1" s="36"/>
      <c r="D1" s="36"/>
      <c r="E1" s="36"/>
      <c r="F1" s="750" t="str">
        <f>M1S1</f>
        <v>WELCOME</v>
      </c>
      <c r="G1" s="750"/>
      <c r="H1" s="750"/>
      <c r="I1" s="750"/>
      <c r="J1" s="727" t="str">
        <f>M1S2</f>
        <v>INSTRUCTIONS</v>
      </c>
      <c r="K1" s="727"/>
      <c r="L1" s="727"/>
      <c r="M1" s="727"/>
      <c r="N1" s="166"/>
      <c r="O1" s="166"/>
      <c r="P1" s="166"/>
      <c r="Q1" s="166"/>
      <c r="R1" s="166"/>
      <c r="S1" s="166"/>
      <c r="T1" s="166"/>
      <c r="U1" s="189"/>
      <c r="V1" s="190" t="s">
        <v>118</v>
      </c>
      <c r="W1" s="190"/>
      <c r="X1" s="190"/>
      <c r="Y1" s="190"/>
      <c r="Z1" s="190"/>
      <c r="AA1" s="190"/>
      <c r="AB1" s="166"/>
      <c r="AC1" s="166"/>
      <c r="AD1" s="166"/>
      <c r="AE1" s="166"/>
      <c r="AF1" s="166"/>
      <c r="AG1" s="166"/>
      <c r="AH1" s="166"/>
      <c r="AI1" s="166"/>
      <c r="AJ1" s="166"/>
      <c r="AP1" s="734" t="str">
        <f>IF(ACTIVEINSPECT="Yes","Complete "&amp;M5S4,"")</f>
        <v/>
      </c>
      <c r="AQ1" s="734"/>
      <c r="AR1" s="734"/>
      <c r="AS1" s="734"/>
      <c r="AT1" s="730" t="str">
        <f>IF(ACTIVEOFFER="Yes","Sign "&amp;M5S6,"")</f>
        <v>Sign OBR: Repayment Agreement</v>
      </c>
      <c r="AU1" s="730"/>
      <c r="AV1" s="730"/>
      <c r="AW1" s="730"/>
      <c r="AX1" s="730" t="str">
        <f>IF(ACTIVECOMPL="Yes","Sign "&amp;M5S5,"")</f>
        <v xml:space="preserve">Sign Project Completion Certification </v>
      </c>
      <c r="AY1" s="730"/>
      <c r="AZ1" s="730"/>
      <c r="BA1" s="730"/>
      <c r="BB1" s="732" t="str">
        <f>M1S4</f>
        <v>INCENTIVE RATES &amp; REQUIREMENTS</v>
      </c>
      <c r="BC1" s="732"/>
      <c r="BD1" s="732"/>
      <c r="BE1" s="732"/>
      <c r="BF1" s="732"/>
      <c r="BG1" s="732"/>
      <c r="BH1" s="722" t="s">
        <v>119</v>
      </c>
      <c r="BI1" s="723"/>
      <c r="BJ1" s="723"/>
      <c r="BK1" s="723"/>
      <c r="BL1" s="676"/>
      <c r="BM1" s="676"/>
      <c r="BN1" s="676"/>
      <c r="BO1" s="676"/>
      <c r="BP1" s="676"/>
      <c r="BQ1" s="676"/>
      <c r="BR1" s="676"/>
    </row>
    <row r="2" spans="1:113" customFormat="1" ht="16.350000000000001" customHeight="1">
      <c r="B2" s="36"/>
      <c r="C2" s="36"/>
      <c r="D2" s="36"/>
      <c r="E2" s="36"/>
      <c r="F2" s="750"/>
      <c r="G2" s="750"/>
      <c r="H2" s="750"/>
      <c r="I2" s="750"/>
      <c r="J2" s="728"/>
      <c r="K2" s="728"/>
      <c r="L2" s="728"/>
      <c r="M2" s="728"/>
      <c r="N2" s="166"/>
      <c r="O2" s="166"/>
      <c r="P2" s="166"/>
      <c r="Q2" s="166"/>
      <c r="R2" s="166"/>
      <c r="S2" s="166"/>
      <c r="T2" s="166"/>
      <c r="U2" s="189"/>
      <c r="V2" s="190"/>
      <c r="W2" s="190"/>
      <c r="X2" s="190"/>
      <c r="Y2" s="190"/>
      <c r="Z2" s="190"/>
      <c r="AA2" s="190"/>
      <c r="AB2" s="166"/>
      <c r="AC2" s="166"/>
      <c r="AD2" s="166"/>
      <c r="AE2" s="166"/>
      <c r="AF2" s="166"/>
      <c r="AG2" s="166"/>
      <c r="AH2" s="166"/>
      <c r="AI2" s="166"/>
      <c r="AJ2" s="166"/>
      <c r="AP2" s="734"/>
      <c r="AQ2" s="734"/>
      <c r="AR2" s="734"/>
      <c r="AS2" s="734"/>
      <c r="AT2" s="730"/>
      <c r="AU2" s="730"/>
      <c r="AV2" s="730"/>
      <c r="AW2" s="730"/>
      <c r="AX2" s="730"/>
      <c r="AY2" s="730"/>
      <c r="AZ2" s="730"/>
      <c r="BA2" s="730"/>
      <c r="BB2" s="732"/>
      <c r="BC2" s="732"/>
      <c r="BD2" s="732"/>
      <c r="BE2" s="732"/>
      <c r="BF2" s="732"/>
      <c r="BG2" s="732"/>
      <c r="BH2" s="723"/>
      <c r="BI2" s="723"/>
      <c r="BJ2" s="723"/>
      <c r="BK2" s="723"/>
      <c r="BL2" s="676"/>
      <c r="BM2" s="676"/>
      <c r="BN2" s="676"/>
      <c r="BO2" s="676"/>
      <c r="BP2" s="676"/>
      <c r="BQ2" s="676"/>
      <c r="BR2" s="676"/>
    </row>
    <row r="3" spans="1:113" s="614" customFormat="1" ht="16.350000000000001" customHeight="1" thickBot="1">
      <c r="B3" s="627"/>
      <c r="C3" s="627"/>
      <c r="D3" s="627"/>
      <c r="E3" s="627"/>
      <c r="F3" s="875"/>
      <c r="G3" s="875"/>
      <c r="H3" s="875"/>
      <c r="I3" s="875"/>
      <c r="J3" s="876"/>
      <c r="K3" s="876"/>
      <c r="L3" s="876"/>
      <c r="M3" s="876"/>
      <c r="N3" s="608"/>
      <c r="O3" s="608"/>
      <c r="P3" s="608"/>
      <c r="Q3" s="608"/>
      <c r="R3" s="608"/>
      <c r="S3" s="608"/>
      <c r="T3" s="608"/>
      <c r="U3" s="608"/>
      <c r="V3" s="609"/>
      <c r="W3" s="609"/>
      <c r="X3" s="609"/>
      <c r="Y3" s="609"/>
      <c r="Z3" s="609"/>
      <c r="AA3" s="609"/>
      <c r="AP3" s="868"/>
      <c r="AQ3" s="868"/>
      <c r="AR3" s="868"/>
      <c r="AS3" s="868"/>
      <c r="AT3" s="869"/>
      <c r="AU3" s="869"/>
      <c r="AV3" s="869"/>
      <c r="AW3" s="869"/>
      <c r="AX3" s="869"/>
      <c r="AY3" s="869"/>
      <c r="AZ3" s="869"/>
      <c r="BA3" s="869"/>
      <c r="BB3" s="1009"/>
      <c r="BC3" s="1009"/>
      <c r="BD3" s="1009"/>
      <c r="BE3" s="1009"/>
      <c r="BF3" s="1009"/>
      <c r="BG3" s="1009"/>
      <c r="BH3" s="871"/>
      <c r="BI3" s="871"/>
      <c r="BJ3" s="871"/>
      <c r="BK3" s="871"/>
      <c r="BL3" s="677"/>
      <c r="BM3" s="677"/>
      <c r="BN3" s="677"/>
      <c r="BO3" s="677"/>
      <c r="BP3" s="677"/>
      <c r="BQ3" s="677"/>
      <c r="BR3" s="677"/>
    </row>
    <row r="4" spans="1:113" s="496" customFormat="1" ht="16.350000000000001" customHeight="1">
      <c r="A4" s="615"/>
      <c r="B4" s="615"/>
      <c r="C4" s="615"/>
      <c r="D4" s="615"/>
      <c r="E4" s="615"/>
      <c r="F4" s="615"/>
      <c r="G4" s="615"/>
      <c r="H4" s="615"/>
      <c r="I4" s="615"/>
      <c r="J4" s="615"/>
      <c r="K4" s="615"/>
      <c r="L4" s="615"/>
      <c r="M4" s="615"/>
      <c r="N4" s="616"/>
      <c r="O4" s="617"/>
      <c r="P4" s="615"/>
      <c r="Q4" s="615"/>
      <c r="R4" s="615"/>
      <c r="S4" s="615"/>
      <c r="T4" s="613" t="s">
        <v>707</v>
      </c>
      <c r="U4" s="618" t="str">
        <f>M05S07F07</f>
        <v>Custom</v>
      </c>
      <c r="V4" s="499"/>
      <c r="W4" s="499"/>
      <c r="X4" s="619"/>
      <c r="Y4" s="619"/>
      <c r="Z4" s="619"/>
      <c r="AA4" s="615"/>
      <c r="AB4" s="615"/>
      <c r="AC4" s="613" t="s">
        <v>708</v>
      </c>
      <c r="AD4" s="618" t="str">
        <f>IF(M02S02F02="","[Project Name]",LEFT(M02S02F02,25))</f>
        <v>[Project Name]</v>
      </c>
      <c r="AE4" s="499"/>
      <c r="AF4" s="620"/>
      <c r="AG4" s="620"/>
      <c r="AH4" s="620"/>
      <c r="AI4" s="620"/>
      <c r="AJ4" s="620"/>
      <c r="AK4" s="620"/>
      <c r="AL4" s="613" t="s">
        <v>709</v>
      </c>
      <c r="AM4" s="621" t="str">
        <f>IF(M02S02F27="Yes",Status_Final,Status_Pre)</f>
        <v>Draft Pre-Application</v>
      </c>
      <c r="AN4" s="499"/>
      <c r="AO4" s="617"/>
      <c r="AP4" s="615"/>
      <c r="AQ4" s="615"/>
      <c r="AR4" s="617"/>
      <c r="AS4" s="617"/>
      <c r="AT4" s="615"/>
      <c r="AU4" s="615"/>
      <c r="AV4" s="615"/>
      <c r="AW4" s="613" t="s">
        <v>710</v>
      </c>
      <c r="AX4" s="1047">
        <f>Incent_Total_Cap_All</f>
        <v>0</v>
      </c>
      <c r="AY4" s="1047"/>
      <c r="AZ4" s="1047"/>
      <c r="BA4" s="1047"/>
      <c r="BB4" s="1048" t="s">
        <v>711</v>
      </c>
      <c r="BC4" s="1048"/>
      <c r="BD4" s="1048"/>
      <c r="BE4" s="1048"/>
      <c r="BF4" s="1048"/>
      <c r="BG4" s="1047" t="str">
        <f>OBR_Amount_Requested</f>
        <v/>
      </c>
      <c r="BH4" s="1047"/>
      <c r="BI4" s="1047"/>
      <c r="BJ4" s="1047"/>
      <c r="BK4" s="617"/>
      <c r="BL4" s="617"/>
      <c r="BM4" s="617"/>
      <c r="BN4" s="617"/>
      <c r="BO4" s="617"/>
      <c r="BP4" s="617"/>
      <c r="BQ4" s="617"/>
      <c r="BR4" s="617"/>
    </row>
    <row r="5" spans="1:113"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142"/>
      <c r="BK5" s="142"/>
      <c r="BS5"/>
    </row>
    <row r="6" spans="1:113"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c r="BJ6"/>
      <c r="BS6"/>
    </row>
    <row r="7" spans="1:113"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c r="BJ7"/>
      <c r="BS7"/>
    </row>
    <row r="8" spans="1:113"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14"/>
      <c r="BK8" s="614"/>
      <c r="BS8"/>
      <c r="DD8"/>
      <c r="DE8"/>
      <c r="DF8"/>
      <c r="DG8"/>
      <c r="DH8"/>
      <c r="DI8"/>
    </row>
    <row r="9" spans="1:113" s="50" customFormat="1" ht="16.350000000000001" customHeight="1">
      <c r="A9" s="43"/>
      <c r="B9" s="44"/>
      <c r="C9" s="44"/>
      <c r="D9" s="44"/>
      <c r="E9" s="44"/>
      <c r="F9" s="43"/>
      <c r="G9" s="43"/>
      <c r="H9" s="43"/>
      <c r="I9" s="43"/>
      <c r="J9" s="43"/>
      <c r="K9" s="1051" t="str">
        <f>M4S2</f>
        <v>Lighting &amp; Lighting Controls</v>
      </c>
      <c r="L9" s="1014"/>
      <c r="M9" s="1014"/>
      <c r="N9" s="1014"/>
      <c r="O9" s="1005" t="str">
        <f>M4S3</f>
        <v>HVAC</v>
      </c>
      <c r="P9" s="1005"/>
      <c r="Q9" s="1005"/>
      <c r="R9" s="1005"/>
      <c r="S9" s="1005" t="str">
        <f>M4S4</f>
        <v>Heating</v>
      </c>
      <c r="T9" s="1005"/>
      <c r="U9" s="1005"/>
      <c r="V9" s="1005"/>
      <c r="W9" s="1005" t="str">
        <f>M4S5</f>
        <v>Water Heating &amp; Boilers</v>
      </c>
      <c r="X9" s="1005"/>
      <c r="Y9" s="1005"/>
      <c r="Z9" s="1005"/>
      <c r="AA9" s="1029" t="str">
        <f>M4S6</f>
        <v>Refrigeration</v>
      </c>
      <c r="AB9" s="1030"/>
      <c r="AC9" s="1030"/>
      <c r="AD9" s="1030"/>
      <c r="AE9" s="1031"/>
      <c r="AF9" s="1010" t="str">
        <f>M4S7</f>
        <v>Food Service</v>
      </c>
      <c r="AG9" s="1011"/>
      <c r="AH9" s="1011"/>
      <c r="AI9" s="1011"/>
      <c r="AJ9" s="1012"/>
      <c r="AK9" s="1010" t="str">
        <f>M4S8</f>
        <v>Agriculture</v>
      </c>
      <c r="AL9" s="1011"/>
      <c r="AM9" s="1011"/>
      <c r="AN9" s="1011"/>
      <c r="AO9" s="1012"/>
      <c r="AP9" s="1054" t="str">
        <f>M4S9</f>
        <v>Plug Load</v>
      </c>
      <c r="AQ9" s="1054"/>
      <c r="AR9" s="1054"/>
      <c r="AS9" s="1054"/>
      <c r="AT9" s="1005" t="str">
        <f>M4S10</f>
        <v>Residential Appliances</v>
      </c>
      <c r="AU9" s="1005"/>
      <c r="AV9" s="1005"/>
      <c r="AW9" s="1005"/>
      <c r="AX9" s="1005" t="str">
        <f>M4S11</f>
        <v>Miscellaneous</v>
      </c>
      <c r="AY9" s="1005"/>
      <c r="AZ9" s="1005"/>
      <c r="BA9" s="1005"/>
      <c r="BB9"/>
      <c r="BC9"/>
      <c r="BD9"/>
      <c r="BE9"/>
      <c r="BF9"/>
      <c r="BG9"/>
      <c r="BH9"/>
      <c r="BI9"/>
      <c r="BJ9"/>
      <c r="BK9"/>
      <c r="BL9"/>
      <c r="BM9"/>
      <c r="BN9"/>
      <c r="BO9"/>
      <c r="BP9"/>
      <c r="BQ9"/>
      <c r="BR9"/>
      <c r="BS9"/>
      <c r="DD9"/>
      <c r="DE9"/>
      <c r="DF9"/>
      <c r="DG9"/>
      <c r="DH9"/>
      <c r="DI9"/>
    </row>
    <row r="10" spans="1:113" s="50" customFormat="1" ht="16.350000000000001" customHeight="1">
      <c r="A10" s="43"/>
      <c r="B10" s="44"/>
      <c r="C10" s="44"/>
      <c r="D10" s="44"/>
      <c r="E10" s="44"/>
      <c r="F10" s="43"/>
      <c r="G10" s="43"/>
      <c r="H10" s="43"/>
      <c r="I10" s="43"/>
      <c r="J10" s="43"/>
      <c r="K10" s="1051"/>
      <c r="L10" s="1014"/>
      <c r="M10" s="1014"/>
      <c r="N10" s="1014"/>
      <c r="O10" s="1005"/>
      <c r="P10" s="1005"/>
      <c r="Q10" s="1005"/>
      <c r="R10" s="1005"/>
      <c r="S10" s="1005"/>
      <c r="T10" s="1005"/>
      <c r="U10" s="1005"/>
      <c r="V10" s="1005"/>
      <c r="W10" s="1005"/>
      <c r="X10" s="1005"/>
      <c r="Y10" s="1005"/>
      <c r="Z10" s="1005"/>
      <c r="AA10" s="1032"/>
      <c r="AB10" s="1033"/>
      <c r="AC10" s="1033"/>
      <c r="AD10" s="1033"/>
      <c r="AE10" s="1034"/>
      <c r="AF10" s="1013"/>
      <c r="AG10" s="1014"/>
      <c r="AH10" s="1014"/>
      <c r="AI10" s="1014"/>
      <c r="AJ10" s="1015"/>
      <c r="AK10" s="1013"/>
      <c r="AL10" s="1014"/>
      <c r="AM10" s="1014"/>
      <c r="AN10" s="1014"/>
      <c r="AO10" s="1015"/>
      <c r="AP10" s="1054"/>
      <c r="AQ10" s="1054"/>
      <c r="AR10" s="1054"/>
      <c r="AS10" s="1054"/>
      <c r="AT10" s="1005"/>
      <c r="AU10" s="1005"/>
      <c r="AV10" s="1005"/>
      <c r="AW10" s="1005"/>
      <c r="AX10" s="1005"/>
      <c r="AY10" s="1005"/>
      <c r="AZ10" s="1005"/>
      <c r="BA10" s="1005"/>
      <c r="BB10"/>
      <c r="BC10"/>
      <c r="BD10"/>
      <c r="BE10"/>
      <c r="BF10"/>
      <c r="BG10"/>
      <c r="BH10"/>
      <c r="BI10"/>
      <c r="BJ10"/>
      <c r="BK10"/>
      <c r="BL10"/>
      <c r="BM10"/>
      <c r="BN10"/>
      <c r="BO10"/>
      <c r="BP10"/>
      <c r="BQ10"/>
      <c r="BR10"/>
      <c r="DD10"/>
      <c r="DE10"/>
      <c r="DF10"/>
      <c r="DG10"/>
      <c r="DH10"/>
      <c r="DI10"/>
    </row>
    <row r="11" spans="1:113" ht="16.350000000000001" customHeight="1">
      <c r="A11"/>
      <c r="B11" s="49"/>
      <c r="C11" s="49"/>
      <c r="D11" s="49"/>
      <c r="E11" s="49"/>
      <c r="F11"/>
      <c r="G11"/>
      <c r="H11"/>
      <c r="I11"/>
      <c r="J11"/>
      <c r="K11" s="1052"/>
      <c r="L11" s="1053"/>
      <c r="M11" s="1053"/>
      <c r="N11" s="1053"/>
      <c r="O11" s="1006"/>
      <c r="P11" s="1006"/>
      <c r="Q11" s="1006"/>
      <c r="R11" s="1006"/>
      <c r="S11" s="1006"/>
      <c r="T11" s="1006"/>
      <c r="U11" s="1006"/>
      <c r="V11" s="1006"/>
      <c r="W11" s="1006"/>
      <c r="X11" s="1006"/>
      <c r="Y11" s="1006"/>
      <c r="Z11" s="1006"/>
      <c r="AA11" s="1035"/>
      <c r="AB11" s="1036"/>
      <c r="AC11" s="1036"/>
      <c r="AD11" s="1036"/>
      <c r="AE11" s="1037"/>
      <c r="AF11" s="1016"/>
      <c r="AG11" s="1017"/>
      <c r="AH11" s="1017"/>
      <c r="AI11" s="1017"/>
      <c r="AJ11" s="1018"/>
      <c r="AK11" s="1016"/>
      <c r="AL11" s="1017"/>
      <c r="AM11" s="1017"/>
      <c r="AN11" s="1017"/>
      <c r="AO11" s="1018"/>
      <c r="AP11" s="1055"/>
      <c r="AQ11" s="1055"/>
      <c r="AR11" s="1055"/>
      <c r="AS11" s="1055"/>
      <c r="AT11" s="1006"/>
      <c r="AU11" s="1006"/>
      <c r="AV11" s="1006"/>
      <c r="AW11" s="1006"/>
      <c r="AX11" s="1006"/>
      <c r="AY11" s="1006"/>
      <c r="AZ11" s="1006"/>
      <c r="BA11" s="1006"/>
      <c r="BB11"/>
      <c r="BC11"/>
      <c r="BD11"/>
      <c r="BE11"/>
      <c r="BF11"/>
      <c r="BG11"/>
      <c r="BH11"/>
      <c r="BI11"/>
      <c r="BJ11"/>
      <c r="DD11"/>
      <c r="DE11"/>
      <c r="DF11"/>
      <c r="DG11"/>
      <c r="DH11"/>
      <c r="DI11"/>
    </row>
    <row r="12" spans="1:113" ht="16.350000000000001" customHeight="1">
      <c r="A12"/>
      <c r="B12"/>
      <c r="C12" s="41"/>
      <c r="D12" s="41"/>
      <c r="E12" s="41"/>
      <c r="F12" s="41"/>
      <c r="G12"/>
      <c r="H12"/>
      <c r="I12"/>
      <c r="J12"/>
      <c r="K12"/>
      <c r="L12"/>
      <c r="M12"/>
      <c r="N12"/>
      <c r="O12"/>
      <c r="P12"/>
      <c r="Q12"/>
      <c r="R12"/>
      <c r="S12"/>
      <c r="T12"/>
      <c r="U12"/>
      <c r="V12"/>
      <c r="W12"/>
      <c r="X12"/>
      <c r="Y12" s="1004">
        <f>IFERROR(SUM(BF18:BG225,AQ14),0)</f>
        <v>0</v>
      </c>
      <c r="Z12" s="1004"/>
      <c r="AA12" s="1004"/>
      <c r="AB12" s="1004"/>
      <c r="AC12" s="1004">
        <f>IFERROR(SUM(BH18:BJ225),0)</f>
        <v>0</v>
      </c>
      <c r="AD12" s="1004"/>
      <c r="AE12" s="1004"/>
      <c r="AF12" s="1004"/>
      <c r="AG12" s="1004"/>
      <c r="AH12" s="1007">
        <f>IFERROR(SUMIF(BH18:BJ225,"&gt;0",BK18:BM225),0)</f>
        <v>0</v>
      </c>
      <c r="AI12" s="1007"/>
      <c r="AJ12" s="1007"/>
      <c r="AK12" s="1007"/>
      <c r="AL12" s="1008">
        <f>IFERROR(SUMIF(BH18:BJ225,"&gt;0",BN18:BP225),0)</f>
        <v>0</v>
      </c>
      <c r="AM12" s="1008"/>
      <c r="AN12" s="1008"/>
      <c r="AO12" s="1008"/>
      <c r="AP12"/>
      <c r="AQ12" s="1020" t="s">
        <v>1399</v>
      </c>
      <c r="AR12" s="1020"/>
      <c r="AS12" s="1020"/>
      <c r="AT12" s="1019"/>
      <c r="AU12" s="1019"/>
      <c r="AV12" s="1019"/>
      <c r="AW12" s="1019"/>
      <c r="AX12" s="1019"/>
      <c r="AY12" s="1019"/>
      <c r="AZ12" s="1019"/>
      <c r="BA12" s="1019"/>
      <c r="BB12"/>
      <c r="BC12"/>
      <c r="BD12"/>
      <c r="BE12"/>
      <c r="BF12"/>
      <c r="BG12"/>
      <c r="BH12"/>
      <c r="BI12"/>
      <c r="BJ12"/>
      <c r="DD12"/>
      <c r="DE12"/>
      <c r="DF12"/>
      <c r="DG12"/>
      <c r="DH12"/>
      <c r="DI12"/>
    </row>
    <row r="13" spans="1:113" ht="16.350000000000001" customHeight="1">
      <c r="A13" s="41"/>
      <c r="B13" s="41"/>
      <c r="C13"/>
      <c r="D13"/>
      <c r="E13"/>
      <c r="F13"/>
      <c r="G13"/>
      <c r="H13"/>
      <c r="I13"/>
      <c r="J13"/>
      <c r="K13"/>
      <c r="L13"/>
      <c r="M13"/>
      <c r="N13"/>
      <c r="O13"/>
      <c r="P13"/>
      <c r="Q13"/>
      <c r="R13"/>
      <c r="S13"/>
      <c r="T13"/>
      <c r="U13"/>
      <c r="V13"/>
      <c r="W13"/>
      <c r="X13"/>
      <c r="Y13" s="1004"/>
      <c r="Z13" s="1004"/>
      <c r="AA13" s="1004"/>
      <c r="AB13" s="1004"/>
      <c r="AC13" s="1004"/>
      <c r="AD13" s="1004"/>
      <c r="AE13" s="1004"/>
      <c r="AF13" s="1004"/>
      <c r="AG13" s="1004"/>
      <c r="AH13" s="1007"/>
      <c r="AI13" s="1007"/>
      <c r="AJ13" s="1007"/>
      <c r="AK13" s="1007"/>
      <c r="AL13" s="1008"/>
      <c r="AM13" s="1008"/>
      <c r="AN13" s="1008"/>
      <c r="AO13" s="1008"/>
      <c r="AP13"/>
      <c r="AQ13" s="1020"/>
      <c r="AR13" s="1020"/>
      <c r="AS13" s="1020"/>
      <c r="AT13" s="1020"/>
      <c r="AU13" s="1020"/>
      <c r="AV13" s="1020"/>
      <c r="AW13" s="1020"/>
      <c r="AX13" s="1020"/>
      <c r="AY13" s="1020"/>
      <c r="AZ13" s="1020"/>
      <c r="BA13" s="1020"/>
      <c r="BB13"/>
      <c r="BC13"/>
      <c r="BD13"/>
      <c r="BE13"/>
      <c r="BF13"/>
      <c r="BG13"/>
      <c r="BH13"/>
      <c r="BI13"/>
      <c r="BJ13"/>
      <c r="CW13" s="1041" t="s">
        <v>1400</v>
      </c>
      <c r="CX13" s="1041"/>
      <c r="CY13" s="1041"/>
    </row>
    <row r="14" spans="1:113" ht="16.350000000000001" customHeight="1">
      <c r="A14"/>
      <c r="B14"/>
      <c r="C14"/>
      <c r="D14"/>
      <c r="E14"/>
      <c r="F14"/>
      <c r="G14"/>
      <c r="H14"/>
      <c r="I14"/>
      <c r="J14"/>
      <c r="K14"/>
      <c r="L14"/>
      <c r="M14"/>
      <c r="N14"/>
      <c r="O14"/>
      <c r="P14"/>
      <c r="Q14"/>
      <c r="R14"/>
      <c r="S14"/>
      <c r="T14"/>
      <c r="U14"/>
      <c r="V14"/>
      <c r="W14"/>
      <c r="X14"/>
      <c r="Y14" s="1003" t="s">
        <v>1401</v>
      </c>
      <c r="Z14" s="1003"/>
      <c r="AA14" s="1003"/>
      <c r="AB14" s="1003"/>
      <c r="AC14" s="1003" t="s">
        <v>1402</v>
      </c>
      <c r="AD14" s="1003"/>
      <c r="AE14" s="1003"/>
      <c r="AF14" s="1003"/>
      <c r="AG14" s="1003"/>
      <c r="AH14" s="1003" t="s">
        <v>1403</v>
      </c>
      <c r="AI14" s="1003"/>
      <c r="AJ14" s="1003"/>
      <c r="AK14" s="1003"/>
      <c r="AL14" s="1003" t="s">
        <v>1403</v>
      </c>
      <c r="AM14" s="1003"/>
      <c r="AN14" s="1003"/>
      <c r="AO14" s="1003"/>
      <c r="AP14"/>
      <c r="AQ14" s="1098"/>
      <c r="AR14" s="1098"/>
      <c r="AS14" s="1098"/>
      <c r="AT14" s="1098"/>
      <c r="AU14" s="1098"/>
      <c r="AV14" s="1098"/>
      <c r="AW14" s="1098"/>
      <c r="AX14" s="1098"/>
      <c r="AY14" s="1098"/>
      <c r="AZ14" s="1098"/>
      <c r="BA14" s="1098"/>
      <c r="BB14"/>
      <c r="BC14"/>
      <c r="BD14"/>
      <c r="BE14"/>
      <c r="BF14"/>
      <c r="BG14"/>
      <c r="BH14"/>
      <c r="BI14"/>
      <c r="BJ14"/>
      <c r="BV14" s="1040" t="s">
        <v>1404</v>
      </c>
      <c r="BW14" s="1040"/>
      <c r="BX14" s="1040"/>
      <c r="BY14" s="1040"/>
      <c r="BZ14" s="1040"/>
      <c r="CW14" s="1041"/>
      <c r="CX14" s="1041"/>
      <c r="CY14" s="1041"/>
    </row>
    <row r="15" spans="1:113" ht="16.350000000000001" customHeight="1">
      <c r="A15"/>
      <c r="B15"/>
      <c r="C15"/>
      <c r="D15" s="47"/>
      <c r="E15" s="47"/>
      <c r="F15" s="47"/>
      <c r="G15" s="47"/>
      <c r="H15" s="47"/>
      <c r="I15" s="47"/>
      <c r="J15" s="47"/>
      <c r="K15" s="47"/>
      <c r="L15" s="1038" t="s">
        <v>1405</v>
      </c>
      <c r="M15" s="1038"/>
      <c r="N15" s="1038"/>
      <c r="O15" s="1038"/>
      <c r="P15" s="1038"/>
      <c r="Q15" s="1038"/>
      <c r="R15" s="1038"/>
      <c r="S15" s="1038"/>
      <c r="T15" s="1038"/>
      <c r="U15" s="1038"/>
      <c r="V15" s="1038"/>
      <c r="W15" s="1038"/>
      <c r="X15" s="1038"/>
      <c r="Y15" s="1038"/>
      <c r="Z15" s="1038"/>
      <c r="AA15" s="1038" t="s">
        <v>1406</v>
      </c>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679"/>
      <c r="AW15" s="679"/>
      <c r="AX15" s="679"/>
      <c r="AY15" s="679"/>
      <c r="AZ15" s="679"/>
      <c r="BA15" s="679"/>
      <c r="BB15"/>
      <c r="BC15"/>
      <c r="BD15"/>
      <c r="BE15"/>
      <c r="BF15"/>
      <c r="BG15"/>
      <c r="BH15"/>
      <c r="BI15"/>
      <c r="BJ15"/>
      <c r="BS15"/>
      <c r="BT15"/>
      <c r="BU15"/>
      <c r="BV15" s="1040"/>
      <c r="BW15" s="1040"/>
      <c r="BX15" s="1040"/>
      <c r="BY15" s="1040"/>
      <c r="BZ15" s="1040"/>
      <c r="CA15"/>
      <c r="CB15"/>
      <c r="CC15"/>
      <c r="CD15"/>
      <c r="CE15"/>
      <c r="CF15"/>
      <c r="CG15"/>
      <c r="CH15"/>
      <c r="CI15"/>
      <c r="CJ15"/>
      <c r="CK15"/>
      <c r="CL15"/>
      <c r="CM15"/>
      <c r="CN15"/>
      <c r="CO15"/>
      <c r="CP15"/>
      <c r="CQ15"/>
      <c r="CR15"/>
      <c r="CS15"/>
      <c r="CT15"/>
      <c r="CW15" s="595"/>
      <c r="CX15" s="595"/>
      <c r="CY15" s="595"/>
    </row>
    <row r="16" spans="1:113" ht="16.350000000000001" customHeight="1">
      <c r="B16"/>
      <c r="C16" s="992" t="s">
        <v>1407</v>
      </c>
      <c r="D16" s="992"/>
      <c r="E16" s="992"/>
      <c r="F16" s="991" t="s">
        <v>1408</v>
      </c>
      <c r="G16" s="991"/>
      <c r="H16" s="991"/>
      <c r="I16" s="991"/>
      <c r="J16" s="991"/>
      <c r="K16" s="991"/>
      <c r="L16" s="991" t="s">
        <v>1409</v>
      </c>
      <c r="M16" s="991"/>
      <c r="N16" s="991"/>
      <c r="O16" s="991"/>
      <c r="P16" s="991"/>
      <c r="Q16" s="991"/>
      <c r="R16" s="991" t="s">
        <v>1410</v>
      </c>
      <c r="S16" s="991"/>
      <c r="T16" s="991"/>
      <c r="U16" s="991" t="s">
        <v>1411</v>
      </c>
      <c r="V16" s="991"/>
      <c r="W16" s="991"/>
      <c r="X16" s="991" t="s">
        <v>1412</v>
      </c>
      <c r="Y16" s="991"/>
      <c r="Z16" s="991"/>
      <c r="AA16" s="991" t="s">
        <v>1413</v>
      </c>
      <c r="AB16" s="991"/>
      <c r="AC16" s="991"/>
      <c r="AD16" s="1022" t="s">
        <v>1409</v>
      </c>
      <c r="AE16" s="991"/>
      <c r="AF16" s="991"/>
      <c r="AG16" s="991"/>
      <c r="AH16" s="991"/>
      <c r="AI16" s="991"/>
      <c r="AJ16" s="991" t="s">
        <v>1410</v>
      </c>
      <c r="AK16" s="991"/>
      <c r="AL16" s="991"/>
      <c r="AM16" s="991" t="s">
        <v>1411</v>
      </c>
      <c r="AN16" s="991"/>
      <c r="AO16" s="991"/>
      <c r="AP16" s="991" t="s">
        <v>1412</v>
      </c>
      <c r="AQ16" s="991"/>
      <c r="AR16" s="991"/>
      <c r="AS16" s="991" t="s">
        <v>1413</v>
      </c>
      <c r="AT16" s="991"/>
      <c r="AU16" s="991"/>
      <c r="AV16" s="1057" t="s">
        <v>1414</v>
      </c>
      <c r="AW16" s="1057"/>
      <c r="AX16" s="1057"/>
      <c r="AY16" s="1057" t="s">
        <v>1415</v>
      </c>
      <c r="AZ16" s="1057"/>
      <c r="BA16" s="1057"/>
      <c r="BB16" s="989" t="s">
        <v>1416</v>
      </c>
      <c r="BC16" s="989"/>
      <c r="BD16" s="989"/>
      <c r="BE16" s="989"/>
      <c r="BF16" s="991" t="s">
        <v>224</v>
      </c>
      <c r="BG16" s="991"/>
      <c r="BH16" s="984" t="s">
        <v>1417</v>
      </c>
      <c r="BI16" s="984"/>
      <c r="BJ16" s="984"/>
      <c r="BK16" s="984" t="s">
        <v>1418</v>
      </c>
      <c r="BL16" s="984"/>
      <c r="BM16" s="984"/>
      <c r="BN16" s="984" t="s">
        <v>1419</v>
      </c>
      <c r="BO16" s="984"/>
      <c r="BP16" s="984"/>
      <c r="BS16" s="987" t="s">
        <v>1420</v>
      </c>
      <c r="BT16" s="987" t="s">
        <v>1421</v>
      </c>
      <c r="BU16"/>
      <c r="BV16" s="987" t="s">
        <v>1422</v>
      </c>
      <c r="BW16" s="987" t="s">
        <v>1423</v>
      </c>
      <c r="BX16" s="987" t="s">
        <v>1424</v>
      </c>
      <c r="BY16" s="987" t="s">
        <v>1425</v>
      </c>
      <c r="BZ16" s="987" t="s">
        <v>1426</v>
      </c>
      <c r="CA16"/>
      <c r="CB16" s="987" t="s">
        <v>1427</v>
      </c>
      <c r="CC16" s="987" t="s">
        <v>779</v>
      </c>
      <c r="CD16" s="987" t="s">
        <v>1428</v>
      </c>
      <c r="CE16" s="987" t="s">
        <v>1429</v>
      </c>
      <c r="CF16" s="987" t="s">
        <v>1430</v>
      </c>
      <c r="CG16" s="987" t="s">
        <v>1431</v>
      </c>
      <c r="CH16" s="987" t="s">
        <v>1432</v>
      </c>
      <c r="CI16" s="987" t="s">
        <v>1433</v>
      </c>
      <c r="CJ16" s="987" t="s">
        <v>1434</v>
      </c>
      <c r="CK16" s="987" t="s">
        <v>1435</v>
      </c>
      <c r="CL16" s="987" t="s">
        <v>1436</v>
      </c>
      <c r="CM16" s="987" t="s">
        <v>1437</v>
      </c>
      <c r="CN16" s="987" t="s">
        <v>1438</v>
      </c>
      <c r="CO16" s="987" t="s">
        <v>1439</v>
      </c>
      <c r="CP16" s="987" t="s">
        <v>1440</v>
      </c>
      <c r="CQ16" s="987" t="s">
        <v>1441</v>
      </c>
      <c r="CR16" s="987" t="s">
        <v>1442</v>
      </c>
      <c r="CS16" s="987" t="s">
        <v>1443</v>
      </c>
      <c r="CT16" s="987" t="s">
        <v>1444</v>
      </c>
      <c r="CU16" s="987" t="s">
        <v>1445</v>
      </c>
      <c r="CV16" s="919" t="s">
        <v>1446</v>
      </c>
      <c r="CW16" s="919" t="s">
        <v>1447</v>
      </c>
      <c r="CX16" s="919" t="s">
        <v>1448</v>
      </c>
      <c r="CY16" s="1042" t="s">
        <v>1449</v>
      </c>
      <c r="CZ16" s="1042" t="s">
        <v>1450</v>
      </c>
      <c r="DA16" s="1042" t="s">
        <v>1491</v>
      </c>
    </row>
    <row r="17" spans="1:144" ht="16.350000000000001" customHeight="1">
      <c r="C17" s="993"/>
      <c r="D17" s="993"/>
      <c r="E17" s="993"/>
      <c r="F17" s="990"/>
      <c r="G17" s="990"/>
      <c r="H17" s="990"/>
      <c r="I17" s="990"/>
      <c r="J17" s="990"/>
      <c r="K17" s="990"/>
      <c r="L17" s="990"/>
      <c r="M17" s="990"/>
      <c r="N17" s="990"/>
      <c r="O17" s="990"/>
      <c r="P17" s="990"/>
      <c r="Q17" s="990"/>
      <c r="R17" s="991"/>
      <c r="S17" s="991"/>
      <c r="T17" s="991"/>
      <c r="U17" s="991"/>
      <c r="V17" s="991"/>
      <c r="W17" s="991"/>
      <c r="X17" s="991"/>
      <c r="Y17" s="991"/>
      <c r="Z17" s="991"/>
      <c r="AA17" s="991"/>
      <c r="AB17" s="991"/>
      <c r="AC17" s="991"/>
      <c r="AD17" s="1023"/>
      <c r="AE17" s="990"/>
      <c r="AF17" s="990"/>
      <c r="AG17" s="990"/>
      <c r="AH17" s="990"/>
      <c r="AI17" s="990"/>
      <c r="AJ17" s="990"/>
      <c r="AK17" s="990"/>
      <c r="AL17" s="990"/>
      <c r="AM17" s="990"/>
      <c r="AN17" s="990"/>
      <c r="AO17" s="990"/>
      <c r="AP17" s="990"/>
      <c r="AQ17" s="990"/>
      <c r="AR17" s="990"/>
      <c r="AS17" s="990"/>
      <c r="AT17" s="990"/>
      <c r="AU17" s="990"/>
      <c r="AV17" s="1039" t="s">
        <v>1451</v>
      </c>
      <c r="AW17" s="1039"/>
      <c r="AX17" s="1039"/>
      <c r="AY17" s="1039"/>
      <c r="AZ17" s="1039"/>
      <c r="BA17" s="1039"/>
      <c r="BB17" s="990" t="s">
        <v>1452</v>
      </c>
      <c r="BC17" s="990"/>
      <c r="BD17" s="990" t="s">
        <v>1453</v>
      </c>
      <c r="BE17" s="990"/>
      <c r="BF17" s="990"/>
      <c r="BG17" s="990"/>
      <c r="BH17" s="985"/>
      <c r="BI17" s="985"/>
      <c r="BJ17" s="985"/>
      <c r="BK17" s="985"/>
      <c r="BL17" s="985"/>
      <c r="BM17" s="985"/>
      <c r="BN17" s="985"/>
      <c r="BO17" s="985"/>
      <c r="BP17" s="985"/>
      <c r="BS17" s="987"/>
      <c r="BT17" s="987"/>
      <c r="BU17"/>
      <c r="BV17" s="988"/>
      <c r="BW17" s="988"/>
      <c r="BX17" s="988"/>
      <c r="BY17" s="988"/>
      <c r="BZ17" s="988"/>
      <c r="CA17"/>
      <c r="CB17" s="988"/>
      <c r="CC17" s="988"/>
      <c r="CD17" s="988"/>
      <c r="CE17" s="988"/>
      <c r="CF17" s="988"/>
      <c r="CG17" s="988"/>
      <c r="CH17" s="988"/>
      <c r="CI17" s="988"/>
      <c r="CJ17" s="988"/>
      <c r="CK17" s="988"/>
      <c r="CL17" s="988"/>
      <c r="CM17" s="988"/>
      <c r="CN17" s="988"/>
      <c r="CO17" s="988"/>
      <c r="CP17" s="988"/>
      <c r="CQ17" s="988"/>
      <c r="CR17" s="988"/>
      <c r="CS17" s="988"/>
      <c r="CT17" s="988"/>
      <c r="CU17" s="987"/>
      <c r="CV17" s="919"/>
      <c r="CW17" s="919"/>
      <c r="CX17" s="919"/>
      <c r="CY17" s="1042"/>
      <c r="CZ17" s="1042"/>
      <c r="DA17" s="1042"/>
      <c r="DD17" s="670" t="s">
        <v>1454</v>
      </c>
      <c r="DE17" s="670" t="s">
        <v>1455</v>
      </c>
      <c r="DF17" s="670" t="s">
        <v>1456</v>
      </c>
      <c r="DG17" s="670" t="s">
        <v>1457</v>
      </c>
      <c r="DH17" s="670" t="s">
        <v>1458</v>
      </c>
      <c r="DI17" s="670" t="s">
        <v>1459</v>
      </c>
      <c r="DJ17" s="670" t="s">
        <v>1460</v>
      </c>
      <c r="DK17" s="670" t="s">
        <v>1461</v>
      </c>
      <c r="DL17" s="670" t="s">
        <v>1462</v>
      </c>
      <c r="DM17" s="670" t="s">
        <v>1463</v>
      </c>
      <c r="DN17" s="670" t="s">
        <v>1464</v>
      </c>
      <c r="DO17" s="670" t="s">
        <v>1465</v>
      </c>
      <c r="DP17" s="670" t="s">
        <v>1466</v>
      </c>
      <c r="DQ17" s="670" t="s">
        <v>1467</v>
      </c>
      <c r="DR17" s="670" t="s">
        <v>1468</v>
      </c>
      <c r="DS17" s="670" t="s">
        <v>1469</v>
      </c>
      <c r="DT17" s="670" t="s">
        <v>1470</v>
      </c>
      <c r="DU17" s="670" t="s">
        <v>1471</v>
      </c>
      <c r="DV17" s="670" t="s">
        <v>1472</v>
      </c>
      <c r="DW17" s="670" t="s">
        <v>1473</v>
      </c>
      <c r="DX17" s="670" t="s">
        <v>1474</v>
      </c>
      <c r="DY17" s="670" t="s">
        <v>1475</v>
      </c>
      <c r="DZ17" s="670" t="s">
        <v>1476</v>
      </c>
      <c r="EA17" s="703" t="s">
        <v>1477</v>
      </c>
      <c r="EB17" s="703" t="s">
        <v>1478</v>
      </c>
      <c r="EC17" s="703" t="s">
        <v>1479</v>
      </c>
      <c r="ED17" s="703" t="s">
        <v>1480</v>
      </c>
      <c r="EE17" s="703" t="s">
        <v>1481</v>
      </c>
      <c r="EF17" s="703" t="s">
        <v>1482</v>
      </c>
      <c r="EG17" s="703" t="s">
        <v>1483</v>
      </c>
      <c r="EH17" s="703" t="s">
        <v>1484</v>
      </c>
      <c r="EI17" s="703" t="s">
        <v>1485</v>
      </c>
      <c r="EJ17" s="703" t="s">
        <v>1486</v>
      </c>
      <c r="EK17" s="703" t="s">
        <v>1487</v>
      </c>
      <c r="EL17" s="703" t="s">
        <v>1488</v>
      </c>
      <c r="EM17" s="703" t="s">
        <v>1489</v>
      </c>
      <c r="EN17" s="703" t="s">
        <v>1490</v>
      </c>
    </row>
    <row r="18" spans="1:144" ht="16.350000000000001" customHeight="1">
      <c r="A18" s="47"/>
      <c r="B18" s="994">
        <v>1</v>
      </c>
      <c r="C18" s="995"/>
      <c r="D18" s="996"/>
      <c r="E18" s="997"/>
      <c r="F18" s="961"/>
      <c r="G18" s="962"/>
      <c r="H18" s="962"/>
      <c r="I18" s="962"/>
      <c r="J18" s="962"/>
      <c r="K18" s="963"/>
      <c r="L18" s="961"/>
      <c r="M18" s="962"/>
      <c r="N18" s="962"/>
      <c r="O18" s="962"/>
      <c r="P18" s="962"/>
      <c r="Q18" s="963"/>
      <c r="R18" s="1044"/>
      <c r="S18" s="1044"/>
      <c r="T18" s="1044"/>
      <c r="U18" s="1044"/>
      <c r="V18" s="1044"/>
      <c r="W18" s="1044"/>
      <c r="X18" s="1045"/>
      <c r="Y18" s="1045"/>
      <c r="Z18" s="1045"/>
      <c r="AA18" s="1045"/>
      <c r="AB18" s="1045"/>
      <c r="AC18" s="1045"/>
      <c r="AD18" s="961"/>
      <c r="AE18" s="962"/>
      <c r="AF18" s="962"/>
      <c r="AG18" s="962"/>
      <c r="AH18" s="962"/>
      <c r="AI18" s="963"/>
      <c r="AJ18" s="949"/>
      <c r="AK18" s="950"/>
      <c r="AL18" s="951"/>
      <c r="AM18" s="949"/>
      <c r="AN18" s="950"/>
      <c r="AO18" s="951"/>
      <c r="AP18" s="955"/>
      <c r="AQ18" s="956"/>
      <c r="AR18" s="957"/>
      <c r="AS18" s="955"/>
      <c r="AT18" s="956"/>
      <c r="AU18" s="957"/>
      <c r="AV18" s="968"/>
      <c r="AW18" s="969"/>
      <c r="AX18" s="970"/>
      <c r="AY18" s="968"/>
      <c r="AZ18" s="969"/>
      <c r="BA18" s="970"/>
      <c r="BB18" s="945"/>
      <c r="BC18" s="946"/>
      <c r="BD18" s="945"/>
      <c r="BE18" s="946"/>
      <c r="BF18" s="1087" t="str">
        <f>IF(CB18="OK",ROUND(BB18+BD18,2),"")</f>
        <v/>
      </c>
      <c r="BG18" s="1088"/>
      <c r="BH18" s="1091" t="str">
        <f>IFERROR(IF(AND($CB18="OK",$CU18="OK"),$CI18,IF($CB18&lt;&gt;"OK",$CB18,$CU18)),"")</f>
        <v/>
      </c>
      <c r="BI18" s="1092"/>
      <c r="BJ18" s="1093"/>
      <c r="BK18" s="1075" t="str">
        <f>IF($CB18="OK",CM18,"")</f>
        <v/>
      </c>
      <c r="BL18" s="1076"/>
      <c r="BM18" s="1077"/>
      <c r="BN18" s="1081" t="str">
        <f>IF($CB18="OK",$CR18,"")</f>
        <v/>
      </c>
      <c r="BO18" s="1082"/>
      <c r="BP18" s="1083"/>
      <c r="BS18" s="967"/>
      <c r="BT18" s="967"/>
      <c r="BU18"/>
      <c r="BV18" s="926" t="str">
        <f>IFERROR(ROUND(IF(AND(CB18="OK",CU18="OK"),CT18,""),0),"")</f>
        <v/>
      </c>
      <c r="BW18" s="926" t="str">
        <f>IFERROR(ROUND(IF(AND(CB18="OK",CU18="OK"),BV18/3,""),0),"")</f>
        <v/>
      </c>
      <c r="BX18" s="926"/>
      <c r="BY18" s="927"/>
      <c r="BZ18" s="928"/>
      <c r="CA18"/>
      <c r="CB18" s="986" t="str">
        <f>IF(AND(C18="",F18="",R18="",AD18="",U18="",X18="",L18="",AJ18="",AV18="",AM18="",AP18="",AY18="",AV19="",BB18="",BD18="",AA18="",AS18=""),"",
IF(OR(C18="",F18="",R18="",AD18="",U18="",X18="",L18="",AJ18="",AV18="",AM18="",AP18="",AY18="",AV19="",BB18="",BD18="",AA18="",AS18=""),"Missing Fields",
IF(AND(M02S04F04disp="Required",M02S04F04=""),"TA Info Incomplete",
"OK")))</f>
        <v/>
      </c>
      <c r="CC18" s="925" t="str">
        <f>IF(AND(CB18="OK",CU18="OK"),INDEX(Tbl_Cust_Plug[Measure Number], MATCH(F18,Tbl_Cust_Plug[Proj Desc 1],0)),"")</f>
        <v/>
      </c>
      <c r="CD18" s="925"/>
      <c r="CE18" s="925" t="str">
        <f>IF(CB18="OK","Measure","")</f>
        <v/>
      </c>
      <c r="CF18" s="925" t="str">
        <f>IF(CB18="OK",1,"")</f>
        <v/>
      </c>
      <c r="CG18" s="978" t="str">
        <f>IFERROR(CI18/CF18,"")</f>
        <v/>
      </c>
      <c r="CH18" s="978" t="str">
        <f>IF(CB18="OK",IF(CM18&gt;0,CM18*Incent_Rate_kWh,0)+IF(CO18&gt;0,CO18*Incent_Rate_thm,0),"")</f>
        <v/>
      </c>
      <c r="CI18" s="978" t="str">
        <f>IFERROR(IF($CB18="OK",IF(INCENTTOCOST_CUST&gt;CostCap_Cust,
CH18*CostCap_Cust/INCENTTOCOST_CUST,CH18),""),"")</f>
        <v/>
      </c>
      <c r="CJ18" s="977">
        <f t="shared" ref="CJ18" si="0">CM18</f>
        <v>0</v>
      </c>
      <c r="CK18" s="977">
        <f>CN18</f>
        <v>0</v>
      </c>
      <c r="CL18" s="977">
        <f>CO18</f>
        <v>0</v>
      </c>
      <c r="CM18" s="977">
        <f>R18-AJ18</f>
        <v>0</v>
      </c>
      <c r="CN18" s="977">
        <f>U18-AM18</f>
        <v>0</v>
      </c>
      <c r="CO18" s="977">
        <f>IF(CR18&gt;0,CR18,0)</f>
        <v>0</v>
      </c>
      <c r="CP18" s="977">
        <f>CM18</f>
        <v>0</v>
      </c>
      <c r="CQ18" s="977">
        <f>CN18</f>
        <v>0</v>
      </c>
      <c r="CR18" s="977">
        <f>X18-AP18</f>
        <v>0</v>
      </c>
      <c r="CS18" s="983"/>
      <c r="CT18" s="1056" t="str">
        <f>IF(CB18="OK",INDEX(Tbl_Cust_Plug[EUL], MATCH(F18,Tbl_Cust_Plug[Proj Desc 1],0)),"")</f>
        <v/>
      </c>
      <c r="CU18" s="979" t="str">
        <f>IFERROR(IF(AND($CM18&lt;=0,$CN18&lt;=0,$CO18&lt;=0),"No Savings","OK"),"")</f>
        <v>No Savings</v>
      </c>
      <c r="CV18" s="925" t="str">
        <f>IF(AND(CB18="OK",CU18="OK"),"1","")</f>
        <v/>
      </c>
      <c r="CW18" s="1043" t="str">
        <f>IFERROR(IF($CB18="OK",ROUND($AQ$14-SUM($CW$20:$CW$37),2),""),"")</f>
        <v/>
      </c>
      <c r="CX18" s="925" t="str">
        <f>IFERROR(IF(M02S04F04="Customer/Self-Installed",CW18,IF($CB18="OK",CW18+BD18,"")),"")</f>
        <v/>
      </c>
      <c r="CY18" s="925" t="str">
        <f>IFERROR(IF($CB18="OK",CX18+BB18,""),"")</f>
        <v/>
      </c>
      <c r="CZ18" s="925" t="str">
        <f>IF(CB18="OK",INDEX(MEASURES3_M!$O$46, MATCH(F18,MEASURES3_M!$C$46,0)),"")</f>
        <v/>
      </c>
      <c r="DA18" s="925" t="str">
        <f>IF(CB18="OK",INDEX(MEASURES3_M!$P$46, MATCH(F18,MEASURES3_M!$C$46,0)),"")</f>
        <v/>
      </c>
      <c r="DB18"/>
      <c r="DD18" s="980" t="str">
        <f>IFERROR(IF(CB18&lt;&gt;"OK","",CM18*VLOOKUP('DATA TABLES_Project'!$C$247,'DATA TABLES_Project'!$A$250:$B$285,2,FALSE)),"")</f>
        <v/>
      </c>
      <c r="DE18" s="925" t="str">
        <f>IFERROR(IF(CB18&lt;&gt;"OK","",CM18*CZ18*0.92),"")</f>
        <v/>
      </c>
      <c r="DF18" s="925" t="str">
        <f>IFERROR(IF(CB18&lt;&gt;"OK","",CM18*CZ18*0.92*VLOOKUP('DATA TABLES_Project'!$C$247,'DATA TABLES_Project'!$A$250:$B$285,2,FALSE)),"")</f>
        <v/>
      </c>
      <c r="DG18" s="925" t="str">
        <f>IFERROR(IF(CB18&lt;&gt;"OK","",CM18*BV18),IF(BX18="Dual",(CM18*BW18)+((BY18-AJ18)*(BV18-BW18)),""))</f>
        <v/>
      </c>
      <c r="DH18" s="925" t="str">
        <f ca="1">IFERROR(IF(CB18&lt;&gt;"OK","",IF(OR(BX18="Single",BX18=""), CM18*BV18*AVERAGE(INDEX('DATA TABLES_Project'!$B$250:$B$285, MATCH('DATA TABLES_Project'!$C$247,'DATA TABLES_Project'!$A$250:$A$285, 0)):OFFSET(INDEX('DATA TABLES_Project'!$B$250:$B$285, MATCH('DATA TABLES_Project'!$C$247,'DATA TABLES_Project'!$A$250:$A$285, 0)),BV18-1,0)),CM18*BW18*AVERAGE(INDEX('DATA TABLES_Project'!$B$250:$B$285, MATCH('DATA TABLES_Project'!$C$247,'DATA TABLES_Project'!$A$250:$A$285, 0)):OFFSET(INDEX('DATA TABLES_Project'!$B$250:$B$285, MATCH('DATA TABLES_Project'!$C$247,'DATA TABLES_Project'!$A$250:$A$285, 0)),BW18-1,0)) + ((BY18-AJ18)*(BV18-BW18)*AVERAGE(OFFSET(INDEX('DATA TABLES_Project'!$B$250:$B$285, MATCH('DATA TABLES_Project'!$C$247,'DATA TABLES_Project'!$A$250:$A$285, 0)),BW18,0):OFFSET(INDEX('DATA TABLES_Project'!$B$250:$B$285, MATCH('DATA TABLES_Project'!$C$247,'DATA TABLES_Project'!$A$250:$A$285, 0)),BV18-1,0))))), "")</f>
        <v/>
      </c>
      <c r="DI18" s="925" t="str">
        <f>IFERROR(IF(CB18&lt;&gt;"OK","",IF(BX18="Dual",(CM18*BW18)+((BY18-AJ18)*(BV18-BW18))*CZ18*0.92,CM18*CZ18*BV18*0.92)),"")</f>
        <v/>
      </c>
      <c r="DJ18" s="925" t="str">
        <f ca="1">IFERROR(IF(CB18&lt;&gt;"OK","",IF(OR(BX18="Single",BX18=""),0.92*CZ18*CM18*BV18*AVERAGE(INDEX('DATA TABLES_Project'!$B$250:$B$285, MATCH('DATA TABLES_Project'!$C$247,'DATA TABLES_Project'!$A$250:$A$285, 0)):OFFSET(INDEX('DATA TABLES_Project'!$B$250:$B$285, MATCH('DATA TABLES_Project'!$C$247,'DATA TABLES_Project'!$A$250:$A$285, 0)),BV18-1,0)),0.92*CZ18*CM18*BW18*AVERAGE(INDEX('DATA TABLES_Project'!$B$250:$B$285, MATCH('DATA TABLES_Project'!$C$247,'DATA TABLES_Project'!$A$250:$A$285, 0)):OFFSET(INDEX('DATA TABLES_Project'!$B$250:$B$285, MATCH('DATA TABLES_Project'!$C$247,'DATA TABLES_Project'!$A$250:$A$285, 0)),BW18-1,0)) + (0.92*CZ18*(BY18-AJ18)*(BV18-BW18)*AVERAGE(OFFSET(INDEX('DATA TABLES_Project'!$B$250:$B$285, MATCH('DATA TABLES_Project'!$C$247,'DATA TABLES_Project'!$A$250:$A$285, 0)),BW18,0):OFFSET(INDEX('DATA TABLES_Project'!$B$250:$B$285, MATCH('DATA TABLES_Project'!$C$247,'DATA TABLES_Project'!$A$250:$A$285, 0)),BV18-1,0))))), "")</f>
        <v/>
      </c>
      <c r="DK18" s="925" t="str">
        <f>IFERROR(IF(CB18&lt;&gt;"OK","",CO18*'DATA TABLES_Project'!$C$250),"")</f>
        <v/>
      </c>
      <c r="DL18" s="925" t="str">
        <f>IFERROR(IF(CB18&lt;&gt;"OK","",CO18*DA18*0.92),"")</f>
        <v/>
      </c>
      <c r="DM18" s="925" t="str">
        <f>IFERROR(IF(CB18&lt;&gt;"OK","",CO18*'DATA TABLES_Project'!$C$250*DA18*0.92),"")</f>
        <v/>
      </c>
      <c r="DN18" s="925" t="str">
        <f>IFERROR(IF(CB18&lt;&gt;"OK","",CO18*BV18),IF(BX18="Dual",(CO18*BW18)+((BZ18-AP18)*(BV18-BW18)),""))</f>
        <v/>
      </c>
      <c r="DO18" s="925" t="str">
        <f ca="1">IFERROR(IF(CB18&lt;&gt;"OK","",CO18*BV18*AVERAGE('DATA TABLES_Project'!$C$250:OFFSET('DATA TABLES_Project'!$C$250,BV18,0))),IF(BX18="Dual",(CO18*BW18*AVERAGE('DATA TABLES_Project'!$C$251:$C$259))+((BZ18-AP18)*(BV18-BW18)*AVERAGE('DATA TABLES_Project'!$C$260:$C$279)),""))</f>
        <v/>
      </c>
      <c r="DP18" s="925" t="str">
        <f>IFERROR(IF(CB18&lt;&gt;"OK","",IF(BX18="Dual",((CO18*BW18)+(BZ18-AP18)*(BV18-BW18))*DA18*0.92,CO18*BV18*DA18*0.92)),"")</f>
        <v/>
      </c>
      <c r="DQ18" s="925" t="str">
        <f ca="1">IFERROR(IF(CB18&lt;&gt;"OK","",IF(BX18="Dual",(0.92*DA18*CO18*BW18*AVERAGE('DATA TABLES_Project'!$C$251:$C$259))+(0.92*DA18*(BZ18-AP18)*(BV18-BW18)*AVERAGE('DATA TABLES_Project'!$C$260:$C$279)),0.92*DA18*CO18*BV18*AVERAGE('DATA TABLES_Project'!$C$250:OFFSET('DATA TABLES_Project'!$C$250,BV18,0)))),"")</f>
        <v/>
      </c>
      <c r="DR18" s="925" t="str">
        <f>IFERROR(IF($CB18&lt;&gt;"OK","",CM18*'DATA TABLES_Project'!$B$290+IF(CO18&lt;0,0,CO18*'DATA TABLES_Project'!$B$291)),"")</f>
        <v/>
      </c>
      <c r="DS18" s="925" t="str">
        <f>IFERROR(IF($CB18&lt;&gt;"OK","",DD18*'DATA TABLES_Project'!$B$290+IF(DK18&lt;0,0,DK18*'DATA TABLES_Project'!$B$291)),"")</f>
        <v/>
      </c>
      <c r="DT18" s="925" t="str">
        <f>IFERROR(IF($CB18&lt;&gt;"OK","",DE18*'DATA TABLES_Project'!$B$290+IF(DL18&lt;0,0,DL18*'DATA TABLES_Project'!$B$291)),"")</f>
        <v/>
      </c>
      <c r="DU18" s="925" t="str">
        <f>IFERROR(IF($CB18&lt;&gt;"OK","",DF18*'DATA TABLES_Project'!$B$290+IF(DM18&lt;0,0,DM18*'DATA TABLES_Project'!$B$291)),"")</f>
        <v/>
      </c>
      <c r="DV18" s="925" t="str">
        <f>IFERROR(IF($CB18&lt;&gt;"OK","",DG18*'DATA TABLES_Project'!$B$290+IF(DN18&lt;0,0,DN18*'DATA TABLES_Project'!$B$291)),"")</f>
        <v/>
      </c>
      <c r="DW18" s="925" t="str">
        <f>IFERROR(IF($CB18&lt;&gt;"OK","",DH18*'DATA TABLES_Project'!$B$290+IF(DO18&lt;0,0,DO18*'DATA TABLES_Project'!$B$291)),"")</f>
        <v/>
      </c>
      <c r="DX18" s="925" t="str">
        <f>IFERROR(IF($CB18&lt;&gt;"OK","",DI18*'DATA TABLES_Project'!$B$290+IF(DP18&lt;0,0,DP18*'DATA TABLES_Project'!$B$291)),"")</f>
        <v/>
      </c>
      <c r="DY18" s="925" t="str">
        <f>IFERROR(IF($CB18&lt;&gt;"OK","",DJ18*'DATA TABLES_Project'!$B$290+IF(DQ18&lt;0,0,DQ18*'DATA TABLES_Project'!$B$291)),"")</f>
        <v/>
      </c>
      <c r="DZ18" s="925" t="str">
        <f>IFERROR(IF($CB18&lt;&gt;"OK","",AS18),"")</f>
        <v/>
      </c>
      <c r="EA18" s="925" t="str">
        <f>IFERROR(IF(CB18&lt;&gt;"OK","",CN18*'DATA TABLES_Project'!$B$250*CZ18*1.03),"")</f>
        <v/>
      </c>
      <c r="EB18" s="925" t="str">
        <f>IFERROR(IF(CB18&lt;&gt;"OK","",CN18*CZ18*1.03),"")</f>
        <v/>
      </c>
      <c r="EC18" s="925" t="str">
        <f>IFERROR(IF(CB18&lt;&gt;"OK","",CZ18*DZ18*'DATA TABLES_Project'!$C$250*0.92),"")</f>
        <v/>
      </c>
      <c r="ED18" s="925" t="str">
        <f>IFERROR(IF(CB18&lt;&gt;"OK","",CZ18*DZ18*'DATA TABLES_Project'!$C$250*0.92),"")</f>
        <v/>
      </c>
      <c r="EE18" s="925" t="str">
        <f>IFERROR(IF(CB18&lt;&gt;"OK","",CZ18*DZ18*0.92),"")</f>
        <v/>
      </c>
      <c r="EF18" s="925" t="str">
        <f>IFERROR(IF(CB18&lt;&gt;"OK","",CZ18*DZ18*0.92),"")</f>
        <v/>
      </c>
      <c r="EG18" s="925" t="str">
        <f>IFERROR(IF($CB18&lt;&gt;"OK","",CM18*'DATA TABLES_Project'!$B$290+CO18*'DATA TABLES_Project'!$B$291),"")</f>
        <v/>
      </c>
      <c r="EH18" s="925" t="str">
        <f>IFERROR(IF($CB18&lt;&gt;"OK","",DD18*'DATA TABLES_Project'!$B$290+DK18*'DATA TABLES_Project'!$B$291),"")</f>
        <v/>
      </c>
      <c r="EI18" s="925" t="str">
        <f>IFERROR(IF($CB18&lt;&gt;"OK","",DE18*'DATA TABLES_Project'!$B$290+DL18*'DATA TABLES_Project'!$B$291),"")</f>
        <v/>
      </c>
      <c r="EJ18" s="925" t="str">
        <f>IFERROR(IF($CB18&lt;&gt;"OK","",DF18*'DATA TABLES_Project'!$B$290+DM18*'DATA TABLES_Project'!$B$291),"")</f>
        <v/>
      </c>
      <c r="EK18" s="925" t="str">
        <f>IFERROR(IF($CB18&lt;&gt;"OK","",DG18*'DATA TABLES_Project'!$B$290+DN18*'DATA TABLES_Project'!$B$291),"")</f>
        <v/>
      </c>
      <c r="EL18" s="925" t="str">
        <f>IFERROR(IF($CB18&lt;&gt;"OK","",DH18*'DATA TABLES_Project'!$B$290+DO18*'DATA TABLES_Project'!$B$291),"")</f>
        <v/>
      </c>
      <c r="EM18" s="925" t="str">
        <f>IFERROR(IF($CB18&lt;&gt;"OK","",DI18*'DATA TABLES_Project'!$B$290+DP18*'DATA TABLES_Project'!$B$291),"")</f>
        <v/>
      </c>
      <c r="EN18" s="925" t="str">
        <f>IFERROR(IF($CB18&lt;&gt;"OK","",DJ18*'DATA TABLES_Project'!$B$290+DQ18*'DATA TABLES_Project'!$B$291),"")</f>
        <v/>
      </c>
    </row>
    <row r="19" spans="1:144" ht="16.350000000000001" customHeight="1">
      <c r="A19" s="47"/>
      <c r="B19" s="994"/>
      <c r="C19" s="998"/>
      <c r="D19" s="999"/>
      <c r="E19" s="1000"/>
      <c r="F19" s="964"/>
      <c r="G19" s="965"/>
      <c r="H19" s="965"/>
      <c r="I19" s="965"/>
      <c r="J19" s="965"/>
      <c r="K19" s="966"/>
      <c r="L19" s="964"/>
      <c r="M19" s="965"/>
      <c r="N19" s="965"/>
      <c r="O19" s="965"/>
      <c r="P19" s="965"/>
      <c r="Q19" s="966"/>
      <c r="R19" s="1044"/>
      <c r="S19" s="1044"/>
      <c r="T19" s="1044"/>
      <c r="U19" s="1044"/>
      <c r="V19" s="1044"/>
      <c r="W19" s="1044"/>
      <c r="X19" s="1045"/>
      <c r="Y19" s="1045"/>
      <c r="Z19" s="1045"/>
      <c r="AA19" s="1045"/>
      <c r="AB19" s="1045"/>
      <c r="AC19" s="1045"/>
      <c r="AD19" s="964"/>
      <c r="AE19" s="965"/>
      <c r="AF19" s="965"/>
      <c r="AG19" s="965"/>
      <c r="AH19" s="965"/>
      <c r="AI19" s="966"/>
      <c r="AJ19" s="952"/>
      <c r="AK19" s="953"/>
      <c r="AL19" s="954"/>
      <c r="AM19" s="952"/>
      <c r="AN19" s="953"/>
      <c r="AO19" s="954"/>
      <c r="AP19" s="958"/>
      <c r="AQ19" s="959"/>
      <c r="AR19" s="960"/>
      <c r="AS19" s="958"/>
      <c r="AT19" s="959"/>
      <c r="AU19" s="960"/>
      <c r="AV19" s="968"/>
      <c r="AW19" s="969"/>
      <c r="AX19" s="969"/>
      <c r="AY19" s="969"/>
      <c r="AZ19" s="969"/>
      <c r="BA19" s="970"/>
      <c r="BB19" s="947"/>
      <c r="BC19" s="948"/>
      <c r="BD19" s="947"/>
      <c r="BE19" s="948"/>
      <c r="BF19" s="1089"/>
      <c r="BG19" s="1090"/>
      <c r="BH19" s="1094"/>
      <c r="BI19" s="1095"/>
      <c r="BJ19" s="1096"/>
      <c r="BK19" s="1078"/>
      <c r="BL19" s="1079"/>
      <c r="BM19" s="1080"/>
      <c r="BN19" s="1084"/>
      <c r="BO19" s="1085"/>
      <c r="BP19" s="1086"/>
      <c r="BS19" s="967"/>
      <c r="BT19" s="967"/>
      <c r="BU19"/>
      <c r="BV19" s="926"/>
      <c r="BW19" s="926"/>
      <c r="BX19" s="926"/>
      <c r="BY19" s="927"/>
      <c r="BZ19" s="928"/>
      <c r="CA19"/>
      <c r="CB19" s="986"/>
      <c r="CC19" s="925"/>
      <c r="CD19" s="925"/>
      <c r="CE19" s="925"/>
      <c r="CF19" s="925"/>
      <c r="CG19" s="925"/>
      <c r="CH19" s="925"/>
      <c r="CI19" s="925"/>
      <c r="CJ19" s="977"/>
      <c r="CK19" s="977"/>
      <c r="CL19" s="977"/>
      <c r="CM19" s="977"/>
      <c r="CN19" s="977"/>
      <c r="CO19" s="977"/>
      <c r="CP19" s="977"/>
      <c r="CQ19" s="977"/>
      <c r="CR19" s="977"/>
      <c r="CS19" s="983"/>
      <c r="CT19" s="1056"/>
      <c r="CU19" s="979"/>
      <c r="CV19" s="925"/>
      <c r="CW19" s="1043"/>
      <c r="CX19" s="925"/>
      <c r="CY19" s="925"/>
      <c r="CZ19" s="925"/>
      <c r="DA19" s="925"/>
      <c r="DB19"/>
      <c r="DD19" s="981"/>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row>
    <row r="20" spans="1:144" customFormat="1" ht="16.350000000000001" customHeight="1">
      <c r="A20" s="462"/>
      <c r="B20" s="994">
        <v>2</v>
      </c>
      <c r="C20" s="995"/>
      <c r="D20" s="996"/>
      <c r="E20" s="997"/>
      <c r="F20" s="961"/>
      <c r="G20" s="962"/>
      <c r="H20" s="962"/>
      <c r="I20" s="962"/>
      <c r="J20" s="962"/>
      <c r="K20" s="963"/>
      <c r="L20" s="961"/>
      <c r="M20" s="962"/>
      <c r="N20" s="962"/>
      <c r="O20" s="962"/>
      <c r="P20" s="962"/>
      <c r="Q20" s="963"/>
      <c r="R20" s="1044"/>
      <c r="S20" s="1044"/>
      <c r="T20" s="1044"/>
      <c r="U20" s="1044"/>
      <c r="V20" s="1044"/>
      <c r="W20" s="1044"/>
      <c r="X20" s="1045"/>
      <c r="Y20" s="1045"/>
      <c r="Z20" s="1045"/>
      <c r="AA20" s="1045"/>
      <c r="AB20" s="1045"/>
      <c r="AC20" s="1045"/>
      <c r="AD20" s="961"/>
      <c r="AE20" s="962"/>
      <c r="AF20" s="962"/>
      <c r="AG20" s="962"/>
      <c r="AH20" s="962"/>
      <c r="AI20" s="963"/>
      <c r="AJ20" s="949"/>
      <c r="AK20" s="950"/>
      <c r="AL20" s="951"/>
      <c r="AM20" s="949"/>
      <c r="AN20" s="950"/>
      <c r="AO20" s="951"/>
      <c r="AP20" s="955"/>
      <c r="AQ20" s="956"/>
      <c r="AR20" s="957"/>
      <c r="AS20" s="955"/>
      <c r="AT20" s="956"/>
      <c r="AU20" s="957"/>
      <c r="AV20" s="968"/>
      <c r="AW20" s="969"/>
      <c r="AX20" s="970"/>
      <c r="AY20" s="968"/>
      <c r="AZ20" s="969"/>
      <c r="BA20" s="970"/>
      <c r="BB20" s="945"/>
      <c r="BC20" s="946"/>
      <c r="BD20" s="945"/>
      <c r="BE20" s="946"/>
      <c r="BF20" s="1087" t="str">
        <f t="shared" ref="BF20" si="1">IF(CB20="OK",ROUND(BB20+BD20,2),"")</f>
        <v/>
      </c>
      <c r="BG20" s="1088"/>
      <c r="BH20" s="1091" t="str">
        <f t="shared" ref="BH20" si="2">IFERROR(IF(AND($CB20="OK",$CU20="OK"),$CI20,IF($CB20&lt;&gt;"OK",$CB20,$CU20)),"")</f>
        <v/>
      </c>
      <c r="BI20" s="1092"/>
      <c r="BJ20" s="1093"/>
      <c r="BK20" s="1075" t="str">
        <f t="shared" ref="BK20" si="3">IF($CB20="OK",CM20,"")</f>
        <v/>
      </c>
      <c r="BL20" s="1076"/>
      <c r="BM20" s="1077"/>
      <c r="BN20" s="1081" t="str">
        <f t="shared" ref="BN20" si="4">IF($CB20="OK",$CR20,"")</f>
        <v/>
      </c>
      <c r="BO20" s="1082"/>
      <c r="BP20" s="1083"/>
      <c r="BS20" s="967"/>
      <c r="BT20" s="967"/>
      <c r="BV20" s="926" t="str">
        <f t="shared" ref="BV20" si="5">IFERROR(ROUND(IF(AND(CB20="OK",CU20="OK"),CT20,""),0),"")</f>
        <v/>
      </c>
      <c r="BW20" s="926" t="str">
        <f t="shared" ref="BW20" si="6">IFERROR(ROUND(IF(AND(CB20="OK",CU20="OK"),BV20/3,""),0),"")</f>
        <v/>
      </c>
      <c r="BX20" s="926"/>
      <c r="BY20" s="927"/>
      <c r="BZ20" s="928"/>
      <c r="CB20" s="986" t="str">
        <f>IF(AND(C20="",F20="",R20="",AD20="",U20="",X20="",L20="",AJ20="",AV20="",AM20="",AP20="",AY20="",AV21="",BB20="",BD20="",AA20="",AS20=""),"",
IF(OR(C20="",F20="",R20="",AD20="",U20="",X20="",L20="",AJ20="",AV20="",AM20="",AP20="",AY20="",AV21="",BB20="",BD20="",AA20="",AS20=""),"Missing Fields",
IF(AND(M02S04F04disp="Required",M02S04F04=""),"TA Info Incomplete",
"OK")))</f>
        <v/>
      </c>
      <c r="CC20" s="925" t="str">
        <f>IF(AND(CB20="OK",CU20="OK"),INDEX(Tbl_Cust_Plug[Measure Number], MATCH(F20,Tbl_Cust_Plug[Proj Desc 1],0)),"")</f>
        <v/>
      </c>
      <c r="CD20" s="925"/>
      <c r="CE20" s="925" t="str">
        <f t="shared" ref="CE20" si="7">IF(CB20="OK","Measure","")</f>
        <v/>
      </c>
      <c r="CF20" s="925" t="str">
        <f t="shared" ref="CF20" si="8">IF(CB20="OK",1,"")</f>
        <v/>
      </c>
      <c r="CG20" s="978" t="str">
        <f t="shared" ref="CG20" si="9">IFERROR(CI20/CF20,"")</f>
        <v/>
      </c>
      <c r="CH20" s="978" t="str">
        <f>IF(CB20="OK",IF(CM20&gt;0,CM20*Incent_Rate_kWh,0)+IF(CO20&gt;0,CO20*Incent_Rate_thm,0),"")</f>
        <v/>
      </c>
      <c r="CI20" s="978" t="str">
        <f>IFERROR(IF($CB20="OK",IF(INCENTTOCOST_CUST&gt;CostCap_Cust,
CH20*CostCap_Cust/INCENTTOCOST_CUST,CH20),""),"")</f>
        <v/>
      </c>
      <c r="CJ20" s="977">
        <f t="shared" ref="CJ20" si="10">CM20</f>
        <v>0</v>
      </c>
      <c r="CK20" s="977">
        <f t="shared" ref="CK20" si="11">CN20</f>
        <v>0</v>
      </c>
      <c r="CL20" s="977">
        <f t="shared" ref="CL20" si="12">CO20</f>
        <v>0</v>
      </c>
      <c r="CM20" s="977">
        <f>R20-AJ20</f>
        <v>0</v>
      </c>
      <c r="CN20" s="977">
        <f>U20-AM20</f>
        <v>0</v>
      </c>
      <c r="CO20" s="977">
        <f t="shared" ref="CO20" si="13">IF(CR20&gt;0,CR20,0)</f>
        <v>0</v>
      </c>
      <c r="CP20" s="977">
        <f t="shared" ref="CP20" si="14">CM20</f>
        <v>0</v>
      </c>
      <c r="CQ20" s="977">
        <f t="shared" ref="CQ20" si="15">CN20</f>
        <v>0</v>
      </c>
      <c r="CR20" s="977">
        <f>X20-AP20</f>
        <v>0</v>
      </c>
      <c r="CS20" s="983"/>
      <c r="CT20" s="1056" t="str">
        <f>IF(CB20="OK",INDEX(Tbl_Cust_Plug[EUL], MATCH(F20,Tbl_Cust_Plug[Proj Desc 1],0)),"")</f>
        <v/>
      </c>
      <c r="CU20" s="979" t="str">
        <f t="shared" ref="CU20" si="16">IFERROR(IF(AND($CM20&lt;=0,$CN20&lt;=0,$CO20&lt;=0),"No Savings","OK"),"")</f>
        <v>No Savings</v>
      </c>
      <c r="CV20" s="925" t="str">
        <f t="shared" ref="CV20" si="17">IF(AND(CB20="OK",CU20="OK"),"1","")</f>
        <v/>
      </c>
      <c r="CW20" s="925" t="str">
        <f>IFERROR(IF($CB20="OK",ROUND($AQ$14*SUM(BB20:BE21)/SUM($BF$18:$BG$37),2),""),"")</f>
        <v/>
      </c>
      <c r="CX20" s="925" t="str">
        <f>IFERROR(IF(M02S04F04="Customer/Self-Installed",CW20,IF($CB20="OK",CW20+BD20,"")),"")</f>
        <v/>
      </c>
      <c r="CY20" s="925" t="str">
        <f>IFERROR(IF($CB20="OK",CX20+BB20,""),"")</f>
        <v/>
      </c>
      <c r="CZ20" s="925" t="str">
        <f>IF(CB20="OK",INDEX(MEASURES3_M!$O$46, MATCH(F20,MEASURES3_M!$C$46,0)),"")</f>
        <v/>
      </c>
      <c r="DA20" s="925" t="str">
        <f>IF(CB20="OK",INDEX(MEASURES3_M!$P$46, MATCH(F20,MEASURES3_M!$C$46,0)),"")</f>
        <v/>
      </c>
      <c r="DD20" s="980" t="str">
        <f>IFERROR(IF(CB20&lt;&gt;"OK","",CM20*VLOOKUP('DATA TABLES_Project'!$C$247,'DATA TABLES_Project'!$A$250:$B$285,2,FALSE)),"")</f>
        <v/>
      </c>
      <c r="DE20" s="925" t="str">
        <f t="shared" ref="DE20" si="18">IFERROR(IF(CB20&lt;&gt;"OK","",CM20*CZ20*0.92),"")</f>
        <v/>
      </c>
      <c r="DF20" s="980" t="str">
        <f>IFERROR(IF(CB20&lt;&gt;"OK","",CM20*CZ20*0.92*VLOOKUP('DATA TABLES_Project'!$C$247,'DATA TABLES_Project'!$A$250:$B$285,2,FALSE)),"")</f>
        <v/>
      </c>
      <c r="DG20" s="925" t="str">
        <f t="shared" ref="DG20" si="19">IFERROR(IF(CB20&lt;&gt;"OK","",CM20*BV20),IF(BX20="Dual",(CM20*BW20)+((BY20-AJ20)*(BV20-BW20)),""))</f>
        <v/>
      </c>
      <c r="DH20" s="925" t="str">
        <f ca="1">IFERROR(IF(CB20&lt;&gt;"OK","",IF(OR(BX20="Single",BX20=""), CM20*BV20*AVERAGE(INDEX('DATA TABLES_Project'!$B$250:$B$285, MATCH('DATA TABLES_Project'!$C$247,'DATA TABLES_Project'!$A$250:$A$285, 0)):OFFSET(INDEX('DATA TABLES_Project'!$B$250:$B$285, MATCH('DATA TABLES_Project'!$C$247,'DATA TABLES_Project'!$A$250:$A$285, 0)),BV20-1,0)),CM20*BW20*AVERAGE(INDEX('DATA TABLES_Project'!$B$250:$B$285, MATCH('DATA TABLES_Project'!$C$247,'DATA TABLES_Project'!$A$250:$A$285, 0)):OFFSET(INDEX('DATA TABLES_Project'!$B$250:$B$285, MATCH('DATA TABLES_Project'!$C$247,'DATA TABLES_Project'!$A$250:$A$285, 0)),BW20-1,0)) + ((BY20-AJ20)*(BV20-BW20)*AVERAGE(OFFSET(INDEX('DATA TABLES_Project'!$B$250:$B$285, MATCH('DATA TABLES_Project'!$C$247,'DATA TABLES_Project'!$A$250:$A$285, 0)),BW20,0):OFFSET(INDEX('DATA TABLES_Project'!$B$250:$B$285, MATCH('DATA TABLES_Project'!$C$247,'DATA TABLES_Project'!$A$250:$A$285, 0)),BV20-1,0))))), "")</f>
        <v/>
      </c>
      <c r="DI20" s="925" t="str">
        <f t="shared" ref="DI20" si="20">IFERROR(IF(CB20&lt;&gt;"OK","",IF(BX20="Dual",(CM20*BW20)+((BY20-AJ20)*(BV20-BW20))*CZ20*0.92,CM20*CZ20*BV20*0.92)),"")</f>
        <v/>
      </c>
      <c r="DJ20" s="925" t="str">
        <f ca="1">IFERROR(IF(CB20&lt;&gt;"OK","",IF(OR(BX20="Single",BX20=""),0.92*CZ20*CM20*BV20*AVERAGE(INDEX('DATA TABLES_Project'!$B$250:$B$285, MATCH('DATA TABLES_Project'!$C$247,'DATA TABLES_Project'!$A$250:$A$285, 0)):OFFSET(INDEX('DATA TABLES_Project'!$B$250:$B$285, MATCH('DATA TABLES_Project'!$C$247,'DATA TABLES_Project'!$A$250:$A$285, 0)),BV20-1,0)),0.92*CZ20*CM20*BW20*AVERAGE(INDEX('DATA TABLES_Project'!$B$250:$B$285, MATCH('DATA TABLES_Project'!$C$247,'DATA TABLES_Project'!$A$250:$A$285, 0)):OFFSET(INDEX('DATA TABLES_Project'!$B$250:$B$285, MATCH('DATA TABLES_Project'!$C$247,'DATA TABLES_Project'!$A$250:$A$285, 0)),BW20-1,0)) + (0.92*CZ20*(BY20-AJ20)*(BV20-BW20)*AVERAGE(OFFSET(INDEX('DATA TABLES_Project'!$B$250:$B$285, MATCH('DATA TABLES_Project'!$C$247,'DATA TABLES_Project'!$A$250:$A$285, 0)),BW20,0):OFFSET(INDEX('DATA TABLES_Project'!$B$250:$B$285, MATCH('DATA TABLES_Project'!$C$247,'DATA TABLES_Project'!$A$250:$A$285, 0)),BV20-1,0))))), "")</f>
        <v/>
      </c>
      <c r="DK20" s="925" t="str">
        <f>IFERROR(IF(CB20&lt;&gt;"OK","",CO20*'DATA TABLES_Project'!$C$250),"")</f>
        <v/>
      </c>
      <c r="DL20" s="925" t="str">
        <f t="shared" ref="DL20" si="21">IFERROR(IF(CB20&lt;&gt;"OK","",CO20*DA20*0.92),"")</f>
        <v/>
      </c>
      <c r="DM20" s="925" t="str">
        <f>IFERROR(IF(CB20&lt;&gt;"OK","",CO20*'DATA TABLES_Project'!$C$250*DA20*0.92),"")</f>
        <v/>
      </c>
      <c r="DN20" s="925" t="str">
        <f t="shared" ref="DN20" si="22">IFERROR(IF(CB20&lt;&gt;"OK","",CO20*BV20),IF(BX20="Dual",(CO20*BW20)+((BZ20-AP20)*(BV20-BW20)),""))</f>
        <v/>
      </c>
      <c r="DO20" s="925" t="str">
        <f ca="1">IFERROR(IF(CB20&lt;&gt;"OK","",CO20*BV20*AVERAGE('DATA TABLES_Project'!$C$250:OFFSET('DATA TABLES_Project'!$C$250,BV20,0))),IF(BX20="Dual",(CO20*BW20*AVERAGE('DATA TABLES_Project'!$C$251:$C$259))+((BZ20-AP20)*(BV20-BW20)*AVERAGE('DATA TABLES_Project'!$C$260:$C$279)),""))</f>
        <v/>
      </c>
      <c r="DP20" s="925" t="str">
        <f t="shared" ref="DP20" si="23">IFERROR(IF(CB20&lt;&gt;"OK","",IF(BX20="Dual",((CO20*BW20)+(BZ20-AP20)*(BV20-BW20))*DA20*0.92,CO20*BV20*DA20*0.92)),"")</f>
        <v/>
      </c>
      <c r="DQ20" s="925" t="str">
        <f ca="1">IFERROR(IF(CB20&lt;&gt;"OK","",IF(BX20="Dual",(0.92*DA20*CO20*BW20*AVERAGE('DATA TABLES_Project'!$C$251:$C$259))+(0.92*DA20*(BZ20-AP20)*(BV20-BW20)*AVERAGE('DATA TABLES_Project'!$C$260:$C$279)),0.92*DA20*CO20*BV20*AVERAGE('DATA TABLES_Project'!$C$250:OFFSET('DATA TABLES_Project'!$C$250,BV20,0)))),"")</f>
        <v/>
      </c>
      <c r="DR20" s="980" t="str">
        <f>IFERROR(IF($CB20&lt;&gt;"OK","",CM20*'DATA TABLES_Project'!$B$290+IF(CO20&lt;0,0,CO20*'DATA TABLES_Project'!$B$291)),"")</f>
        <v/>
      </c>
      <c r="DS20" s="980" t="str">
        <f>IFERROR(IF($CB20&lt;&gt;"OK","",DD20*'DATA TABLES_Project'!$B$290+IF(DK20&lt;0,0,DK20*'DATA TABLES_Project'!$B$291)),"")</f>
        <v/>
      </c>
      <c r="DT20" s="980" t="str">
        <f>IFERROR(IF($CB20&lt;&gt;"OK","",DE20*'DATA TABLES_Project'!$B$290+IF(DL20&lt;0,0,DL20*'DATA TABLES_Project'!$B$291)),"")</f>
        <v/>
      </c>
      <c r="DU20" s="980" t="str">
        <f>IFERROR(IF($CB20&lt;&gt;"OK","",DF20*'DATA TABLES_Project'!$B$290+IF(DM20&lt;0,0,DM20*'DATA TABLES_Project'!$B$291)),"")</f>
        <v/>
      </c>
      <c r="DV20" s="980" t="str">
        <f>IFERROR(IF($CB20&lt;&gt;"OK","",DG20*'DATA TABLES_Project'!$B$290+IF(DN20&lt;0,0,DN20*'DATA TABLES_Project'!$B$291)),"")</f>
        <v/>
      </c>
      <c r="DW20" s="980" t="str">
        <f>IFERROR(IF($CB20&lt;&gt;"OK","",DH20*'DATA TABLES_Project'!$B$290+IF(DO20&lt;0,0,DO20*'DATA TABLES_Project'!$B$291)),"")</f>
        <v/>
      </c>
      <c r="DX20" s="980" t="str">
        <f>IFERROR(IF($CB20&lt;&gt;"OK","",DI20*'DATA TABLES_Project'!$B$290+IF(DP20&lt;0,0,DP20*'DATA TABLES_Project'!$B$291)),"")</f>
        <v/>
      </c>
      <c r="DY20" s="925" t="str">
        <f>IFERROR(IF($CB20&lt;&gt;"OK","",DJ20*'DATA TABLES_Project'!$B$290+IF(DQ20&lt;0,0,DQ20*'DATA TABLES_Project'!$B$291)),"")</f>
        <v/>
      </c>
      <c r="DZ20" s="925" t="str">
        <f t="shared" ref="DZ20" si="24">IFERROR(IF($CB20&lt;&gt;"OK","",AS20),"")</f>
        <v/>
      </c>
      <c r="EA20" s="925" t="str">
        <f>IFERROR(IF(CB20&lt;&gt;"OK","",CN20*'DATA TABLES_Project'!$B$250*CZ20*1.03),"")</f>
        <v/>
      </c>
      <c r="EB20" s="925" t="str">
        <f t="shared" ref="EB20" si="25">IFERROR(IF(CB20&lt;&gt;"OK","",CN20*CZ20*1.03),"")</f>
        <v/>
      </c>
      <c r="EC20" s="925" t="str">
        <f>IFERROR(IF(CB20&lt;&gt;"OK","",CZ20*DZ20*'DATA TABLES_Project'!$C$250*0.92),"")</f>
        <v/>
      </c>
      <c r="ED20" s="925" t="str">
        <f>IFERROR(IF(CB20&lt;&gt;"OK","",CZ20*DZ20*'DATA TABLES_Project'!$C$250*0.92),"")</f>
        <v/>
      </c>
      <c r="EE20" s="925" t="str">
        <f t="shared" ref="EE20" si="26">IFERROR(IF(CB20&lt;&gt;"OK","",CZ20*DZ20*0.92),"")</f>
        <v/>
      </c>
      <c r="EF20" s="925" t="str">
        <f t="shared" ref="EF20" si="27">IFERROR(IF(CB20&lt;&gt;"OK","",CZ20*DZ20*0.92),"")</f>
        <v/>
      </c>
      <c r="EG20" s="925" t="str">
        <f>IFERROR(IF($CB20&lt;&gt;"OK","",CM20*'DATA TABLES_Project'!$B$290+CO20*'DATA TABLES_Project'!$B$291),"")</f>
        <v/>
      </c>
      <c r="EH20" s="925" t="str">
        <f>IFERROR(IF($CB20&lt;&gt;"OK","",DD20*'DATA TABLES_Project'!$B$290+DK20*'DATA TABLES_Project'!$B$291),"")</f>
        <v/>
      </c>
      <c r="EI20" s="925" t="str">
        <f>IFERROR(IF($CB20&lt;&gt;"OK","",DE20*'DATA TABLES_Project'!$B$290+DL20*'DATA TABLES_Project'!$B$291),"")</f>
        <v/>
      </c>
      <c r="EJ20" s="925" t="str">
        <f>IFERROR(IF($CB20&lt;&gt;"OK","",DF20*'DATA TABLES_Project'!$B$290+DM20*'DATA TABLES_Project'!$B$291),"")</f>
        <v/>
      </c>
      <c r="EK20" s="925" t="str">
        <f>IFERROR(IF($CB20&lt;&gt;"OK","",DG20*'DATA TABLES_Project'!$B$290+DN20*'DATA TABLES_Project'!$B$291),"")</f>
        <v/>
      </c>
      <c r="EL20" s="925" t="str">
        <f>IFERROR(IF($CB20&lt;&gt;"OK","",DH20*'DATA TABLES_Project'!$B$290+DO20*'DATA TABLES_Project'!$B$291),"")</f>
        <v/>
      </c>
      <c r="EM20" s="925" t="str">
        <f>IFERROR(IF($CB20&lt;&gt;"OK","",DI20*'DATA TABLES_Project'!$B$290+DP20*'DATA TABLES_Project'!$B$291),"")</f>
        <v/>
      </c>
      <c r="EN20" s="925" t="str">
        <f>IFERROR(IF($CB20&lt;&gt;"OK","",DJ20*'DATA TABLES_Project'!$B$290+DQ20*'DATA TABLES_Project'!$B$291),"")</f>
        <v/>
      </c>
    </row>
    <row r="21" spans="1:144" customFormat="1" ht="16.350000000000001" customHeight="1">
      <c r="A21" s="462"/>
      <c r="B21" s="994"/>
      <c r="C21" s="998"/>
      <c r="D21" s="999"/>
      <c r="E21" s="1000"/>
      <c r="F21" s="964"/>
      <c r="G21" s="965"/>
      <c r="H21" s="965"/>
      <c r="I21" s="965"/>
      <c r="J21" s="965"/>
      <c r="K21" s="966"/>
      <c r="L21" s="964"/>
      <c r="M21" s="965"/>
      <c r="N21" s="965"/>
      <c r="O21" s="965"/>
      <c r="P21" s="965"/>
      <c r="Q21" s="966"/>
      <c r="R21" s="1044"/>
      <c r="S21" s="1044"/>
      <c r="T21" s="1044"/>
      <c r="U21" s="1044"/>
      <c r="V21" s="1044"/>
      <c r="W21" s="1044"/>
      <c r="X21" s="1045"/>
      <c r="Y21" s="1045"/>
      <c r="Z21" s="1045"/>
      <c r="AA21" s="1045"/>
      <c r="AB21" s="1045"/>
      <c r="AC21" s="1045"/>
      <c r="AD21" s="964"/>
      <c r="AE21" s="965"/>
      <c r="AF21" s="965"/>
      <c r="AG21" s="965"/>
      <c r="AH21" s="965"/>
      <c r="AI21" s="966"/>
      <c r="AJ21" s="952"/>
      <c r="AK21" s="953"/>
      <c r="AL21" s="954"/>
      <c r="AM21" s="952"/>
      <c r="AN21" s="953"/>
      <c r="AO21" s="954"/>
      <c r="AP21" s="958"/>
      <c r="AQ21" s="959"/>
      <c r="AR21" s="960"/>
      <c r="AS21" s="958"/>
      <c r="AT21" s="959"/>
      <c r="AU21" s="960"/>
      <c r="AV21" s="968"/>
      <c r="AW21" s="969"/>
      <c r="AX21" s="969"/>
      <c r="AY21" s="969"/>
      <c r="AZ21" s="969"/>
      <c r="BA21" s="970"/>
      <c r="BB21" s="947"/>
      <c r="BC21" s="948"/>
      <c r="BD21" s="947"/>
      <c r="BE21" s="948"/>
      <c r="BF21" s="1089"/>
      <c r="BG21" s="1090"/>
      <c r="BH21" s="1094"/>
      <c r="BI21" s="1095"/>
      <c r="BJ21" s="1096"/>
      <c r="BK21" s="1078"/>
      <c r="BL21" s="1079"/>
      <c r="BM21" s="1080"/>
      <c r="BN21" s="1084"/>
      <c r="BO21" s="1085"/>
      <c r="BP21" s="1086"/>
      <c r="BS21" s="967"/>
      <c r="BT21" s="967"/>
      <c r="BV21" s="926"/>
      <c r="BW21" s="926"/>
      <c r="BX21" s="926"/>
      <c r="BY21" s="927"/>
      <c r="BZ21" s="928"/>
      <c r="CB21" s="986"/>
      <c r="CC21" s="925"/>
      <c r="CD21" s="925"/>
      <c r="CE21" s="925"/>
      <c r="CF21" s="925"/>
      <c r="CG21" s="925"/>
      <c r="CH21" s="925"/>
      <c r="CI21" s="925"/>
      <c r="CJ21" s="977"/>
      <c r="CK21" s="977"/>
      <c r="CL21" s="977"/>
      <c r="CM21" s="977"/>
      <c r="CN21" s="977"/>
      <c r="CO21" s="977"/>
      <c r="CP21" s="977"/>
      <c r="CQ21" s="977"/>
      <c r="CR21" s="977"/>
      <c r="CS21" s="983"/>
      <c r="CT21" s="1056"/>
      <c r="CU21" s="979"/>
      <c r="CV21" s="925"/>
      <c r="CW21" s="925"/>
      <c r="CX21" s="925"/>
      <c r="CY21" s="925"/>
      <c r="CZ21" s="925"/>
      <c r="DA21" s="925"/>
      <c r="DD21" s="981"/>
      <c r="DE21" s="925"/>
      <c r="DF21" s="981"/>
      <c r="DG21" s="925"/>
      <c r="DH21" s="925"/>
      <c r="DI21" s="925"/>
      <c r="DJ21" s="925"/>
      <c r="DK21" s="925"/>
      <c r="DL21" s="925"/>
      <c r="DM21" s="925"/>
      <c r="DN21" s="925"/>
      <c r="DO21" s="925"/>
      <c r="DP21" s="925"/>
      <c r="DQ21" s="925"/>
      <c r="DR21" s="981"/>
      <c r="DS21" s="981"/>
      <c r="DT21" s="981"/>
      <c r="DU21" s="981"/>
      <c r="DV21" s="981"/>
      <c r="DW21" s="981"/>
      <c r="DX21" s="981"/>
      <c r="DY21" s="925"/>
      <c r="DZ21" s="925"/>
      <c r="EA21" s="925"/>
      <c r="EB21" s="925"/>
      <c r="EC21" s="925"/>
      <c r="ED21" s="925"/>
      <c r="EE21" s="925"/>
      <c r="EF21" s="925"/>
      <c r="EG21" s="925"/>
      <c r="EH21" s="925"/>
      <c r="EI21" s="925"/>
      <c r="EJ21" s="925"/>
      <c r="EK21" s="925"/>
      <c r="EL21" s="925"/>
      <c r="EM21" s="925"/>
      <c r="EN21" s="925"/>
    </row>
    <row r="22" spans="1:144" customFormat="1" ht="16.350000000000001" customHeight="1">
      <c r="A22" s="462"/>
      <c r="B22" s="994">
        <v>3</v>
      </c>
      <c r="C22" s="995"/>
      <c r="D22" s="996"/>
      <c r="E22" s="997"/>
      <c r="F22" s="961"/>
      <c r="G22" s="962"/>
      <c r="H22" s="962"/>
      <c r="I22" s="962"/>
      <c r="J22" s="962"/>
      <c r="K22" s="963"/>
      <c r="L22" s="961"/>
      <c r="M22" s="962"/>
      <c r="N22" s="962"/>
      <c r="O22" s="962"/>
      <c r="P22" s="962"/>
      <c r="Q22" s="963"/>
      <c r="R22" s="1044"/>
      <c r="S22" s="1044"/>
      <c r="T22" s="1044"/>
      <c r="U22" s="1044"/>
      <c r="V22" s="1044"/>
      <c r="W22" s="1044"/>
      <c r="X22" s="1045"/>
      <c r="Y22" s="1045"/>
      <c r="Z22" s="1045"/>
      <c r="AA22" s="1045"/>
      <c r="AB22" s="1045"/>
      <c r="AC22" s="1045"/>
      <c r="AD22" s="961"/>
      <c r="AE22" s="962"/>
      <c r="AF22" s="962"/>
      <c r="AG22" s="962"/>
      <c r="AH22" s="962"/>
      <c r="AI22" s="963"/>
      <c r="AJ22" s="949"/>
      <c r="AK22" s="950"/>
      <c r="AL22" s="951"/>
      <c r="AM22" s="949"/>
      <c r="AN22" s="950"/>
      <c r="AO22" s="951"/>
      <c r="AP22" s="955"/>
      <c r="AQ22" s="956"/>
      <c r="AR22" s="957"/>
      <c r="AS22" s="955"/>
      <c r="AT22" s="956"/>
      <c r="AU22" s="957"/>
      <c r="AV22" s="968"/>
      <c r="AW22" s="969"/>
      <c r="AX22" s="970"/>
      <c r="AY22" s="968"/>
      <c r="AZ22" s="969"/>
      <c r="BA22" s="970"/>
      <c r="BB22" s="945"/>
      <c r="BC22" s="946"/>
      <c r="BD22" s="945"/>
      <c r="BE22" s="946"/>
      <c r="BF22" s="1087" t="str">
        <f t="shared" ref="BF22" si="28">IF(CB22="OK",ROUND(BB22+BD22,2),"")</f>
        <v/>
      </c>
      <c r="BG22" s="1088"/>
      <c r="BH22" s="1091" t="str">
        <f t="shared" ref="BH22" si="29">IFERROR(IF(AND($CB22="OK",$CU22="OK"),$CI22,IF($CB22&lt;&gt;"OK",$CB22,$CU22)),"")</f>
        <v/>
      </c>
      <c r="BI22" s="1092"/>
      <c r="BJ22" s="1093"/>
      <c r="BK22" s="1075" t="str">
        <f t="shared" ref="BK22" si="30">IF($CB22="OK",CM22,"")</f>
        <v/>
      </c>
      <c r="BL22" s="1076"/>
      <c r="BM22" s="1077"/>
      <c r="BN22" s="1081" t="str">
        <f t="shared" ref="BN22" si="31">IF($CB22="OK",$CR22,"")</f>
        <v/>
      </c>
      <c r="BO22" s="1082"/>
      <c r="BP22" s="1083"/>
      <c r="BS22" s="967"/>
      <c r="BT22" s="967"/>
      <c r="BV22" s="926" t="str">
        <f t="shared" ref="BV22" si="32">IFERROR(ROUND(IF(AND(CB22="OK",CU22="OK"),CT22,""),0),"")</f>
        <v/>
      </c>
      <c r="BW22" s="926" t="str">
        <f t="shared" ref="BW22" si="33">IFERROR(ROUND(IF(AND(CB22="OK",CU22="OK"),BV22/3,""),0),"")</f>
        <v/>
      </c>
      <c r="BX22" s="926"/>
      <c r="BY22" s="927"/>
      <c r="BZ22" s="928"/>
      <c r="CB22" s="986" t="str">
        <f>IF(AND(C22="",F22="",R22="",AD22="",U22="",X22="",L22="",AJ22="",AV22="",AM22="",AP22="",AY22="",AV23="",BB22="",BD22="",AA22="",AS22=""),"",
IF(OR(C22="",F22="",R22="",AD22="",U22="",X22="",L22="",AJ22="",AV22="",AM22="",AP22="",AY22="",AV23="",BB22="",BD22="",AA22="",AS22=""),"Missing Fields",
IF(AND(M02S04F04disp="Required",M02S04F04=""),"TA Info Incomplete",
"OK")))</f>
        <v/>
      </c>
      <c r="CC22" s="925" t="str">
        <f>IF(AND(CB22="OK",CU22="OK"),INDEX(Tbl_Cust_Plug[Measure Number], MATCH(F22,Tbl_Cust_Plug[Proj Desc 1],0)),"")</f>
        <v/>
      </c>
      <c r="CD22" s="925"/>
      <c r="CE22" s="925" t="str">
        <f t="shared" ref="CE22" si="34">IF(CB22="OK","Measure","")</f>
        <v/>
      </c>
      <c r="CF22" s="925" t="str">
        <f t="shared" ref="CF22" si="35">IF(CB22="OK",1,"")</f>
        <v/>
      </c>
      <c r="CG22" s="978" t="str">
        <f t="shared" ref="CG22" si="36">IFERROR(CI22/CF22,"")</f>
        <v/>
      </c>
      <c r="CH22" s="978" t="str">
        <f>IF(CB22="OK",IF(CM22&gt;0,CM22*Incent_Rate_kWh,0)+IF(CO22&gt;0,CO22*Incent_Rate_thm,0),"")</f>
        <v/>
      </c>
      <c r="CI22" s="978" t="str">
        <f>IFERROR(IF($CB22="OK",IF(INCENTTOCOST_CUST&gt;CostCap_Cust,
CH22*CostCap_Cust/INCENTTOCOST_CUST,CH22),""),"")</f>
        <v/>
      </c>
      <c r="CJ22" s="977">
        <f t="shared" ref="CJ22" si="37">CM22</f>
        <v>0</v>
      </c>
      <c r="CK22" s="977">
        <f t="shared" ref="CK22" si="38">CN22</f>
        <v>0</v>
      </c>
      <c r="CL22" s="977">
        <f t="shared" ref="CL22" si="39">CO22</f>
        <v>0</v>
      </c>
      <c r="CM22" s="977">
        <f>R22-AJ22</f>
        <v>0</v>
      </c>
      <c r="CN22" s="977">
        <f>U22-AM22</f>
        <v>0</v>
      </c>
      <c r="CO22" s="977">
        <f t="shared" ref="CO22" si="40">IF(CR22&gt;0,CR22,0)</f>
        <v>0</v>
      </c>
      <c r="CP22" s="977">
        <f t="shared" ref="CP22" si="41">CM22</f>
        <v>0</v>
      </c>
      <c r="CQ22" s="977">
        <f t="shared" ref="CQ22" si="42">CN22</f>
        <v>0</v>
      </c>
      <c r="CR22" s="977">
        <f>X22-AP22</f>
        <v>0</v>
      </c>
      <c r="CS22" s="983"/>
      <c r="CT22" s="1056" t="str">
        <f>IF(CB22="OK",INDEX(Tbl_Cust_Plug[EUL], MATCH(F22,Tbl_Cust_Plug[Proj Desc 1],0)),"")</f>
        <v/>
      </c>
      <c r="CU22" s="979" t="str">
        <f t="shared" ref="CU22" si="43">IFERROR(IF(AND($CM22&lt;=0,$CN22&lt;=0,$CO22&lt;=0),"No Savings","OK"),"")</f>
        <v>No Savings</v>
      </c>
      <c r="CV22" s="925" t="str">
        <f t="shared" ref="CV22" si="44">IF(AND(CB22="OK",CU22="OK"),"1","")</f>
        <v/>
      </c>
      <c r="CW22" s="925" t="str">
        <f>IFERROR(IF($CB22="OK",ROUND($AQ$14*SUM(BB22:BE23)/SUM($BF$18:$BG$37),2),""),"")</f>
        <v/>
      </c>
      <c r="CX22" s="925" t="str">
        <f>IFERROR(IF(M02S04F04="Customer/Self-Installed",CW22,IF($CB22="OK",CW22+BD22,"")),"")</f>
        <v/>
      </c>
      <c r="CY22" s="925" t="str">
        <f>IFERROR(IF($CB22="OK",CX22+BB22,""),"")</f>
        <v/>
      </c>
      <c r="CZ22" s="925" t="str">
        <f>IF(CB22="OK",INDEX(MEASURES3_M!$O$46, MATCH(F22,MEASURES3_M!$C$46,0)),"")</f>
        <v/>
      </c>
      <c r="DA22" s="925" t="str">
        <f>IF(CB22="OK",INDEX(MEASURES3_M!$P$46, MATCH(F22,MEASURES3_M!$C$46,0)),"")</f>
        <v/>
      </c>
      <c r="DD22" s="980" t="str">
        <f>IFERROR(IF(CB22&lt;&gt;"OK","",CM22*VLOOKUP('DATA TABLES_Project'!$C$247,'DATA TABLES_Project'!$A$250:$B$285,2,FALSE)),"")</f>
        <v/>
      </c>
      <c r="DE22" s="925" t="str">
        <f t="shared" ref="DE22" si="45">IFERROR(IF(CB22&lt;&gt;"OK","",CM22*CZ22*0.92),"")</f>
        <v/>
      </c>
      <c r="DF22" s="980" t="str">
        <f>IFERROR(IF(CB22&lt;&gt;"OK","",CM22*CZ22*0.92*VLOOKUP('DATA TABLES_Project'!$C$247,'DATA TABLES_Project'!$A$250:$B$285,2,FALSE)),"")</f>
        <v/>
      </c>
      <c r="DG22" s="925" t="str">
        <f t="shared" ref="DG22" si="46">IFERROR(IF(CB22&lt;&gt;"OK","",CM22*BV22),IF(BX22="Dual",(CM22*BW22)+((BY22-AJ22)*(BV22-BW22)),""))</f>
        <v/>
      </c>
      <c r="DH22" s="925" t="str">
        <f ca="1">IFERROR(IF(CB22&lt;&gt;"OK","",IF(OR(BX22="Single",BX22=""), CM22*BV22*AVERAGE(INDEX('DATA TABLES_Project'!$B$250:$B$285, MATCH('DATA TABLES_Project'!$C$247,'DATA TABLES_Project'!$A$250:$A$285, 0)):OFFSET(INDEX('DATA TABLES_Project'!$B$250:$B$285, MATCH('DATA TABLES_Project'!$C$247,'DATA TABLES_Project'!$A$250:$A$285, 0)),BV22-1,0)),CM22*BW22*AVERAGE(INDEX('DATA TABLES_Project'!$B$250:$B$285, MATCH('DATA TABLES_Project'!$C$247,'DATA TABLES_Project'!$A$250:$A$285, 0)):OFFSET(INDEX('DATA TABLES_Project'!$B$250:$B$285, MATCH('DATA TABLES_Project'!$C$247,'DATA TABLES_Project'!$A$250:$A$285, 0)),BW22-1,0)) + ((BY22-AJ22)*(BV22-BW22)*AVERAGE(OFFSET(INDEX('DATA TABLES_Project'!$B$250:$B$285, MATCH('DATA TABLES_Project'!$C$247,'DATA TABLES_Project'!$A$250:$A$285, 0)),BW22,0):OFFSET(INDEX('DATA TABLES_Project'!$B$250:$B$285, MATCH('DATA TABLES_Project'!$C$247,'DATA TABLES_Project'!$A$250:$A$285, 0)),BV22-1,0))))), "")</f>
        <v/>
      </c>
      <c r="DI22" s="925" t="str">
        <f t="shared" ref="DI22" si="47">IFERROR(IF(CB22&lt;&gt;"OK","",IF(BX22="Dual",(CM22*BW22)+((BY22-AJ22)*(BV22-BW22))*CZ22*0.92,CM22*CZ22*BV22*0.92)),"")</f>
        <v/>
      </c>
      <c r="DJ22" s="925" t="str">
        <f ca="1">IFERROR(IF(CB22&lt;&gt;"OK","",IF(OR(BX22="Single",BX22=""),0.92*CZ22*CM22*BV22*AVERAGE(INDEX('DATA TABLES_Project'!$B$250:$B$285, MATCH('DATA TABLES_Project'!$C$247,'DATA TABLES_Project'!$A$250:$A$285, 0)):OFFSET(INDEX('DATA TABLES_Project'!$B$250:$B$285, MATCH('DATA TABLES_Project'!$C$247,'DATA TABLES_Project'!$A$250:$A$285, 0)),BV22-1,0)),0.92*CZ22*CM22*BW22*AVERAGE(INDEX('DATA TABLES_Project'!$B$250:$B$285, MATCH('DATA TABLES_Project'!$C$247,'DATA TABLES_Project'!$A$250:$A$285, 0)):OFFSET(INDEX('DATA TABLES_Project'!$B$250:$B$285, MATCH('DATA TABLES_Project'!$C$247,'DATA TABLES_Project'!$A$250:$A$285, 0)),BW22-1,0)) + (0.92*CZ22*(BY22-AJ22)*(BV22-BW22)*AVERAGE(OFFSET(INDEX('DATA TABLES_Project'!$B$250:$B$285, MATCH('DATA TABLES_Project'!$C$247,'DATA TABLES_Project'!$A$250:$A$285, 0)),BW22,0):OFFSET(INDEX('DATA TABLES_Project'!$B$250:$B$285, MATCH('DATA TABLES_Project'!$C$247,'DATA TABLES_Project'!$A$250:$A$285, 0)),BV22-1,0))))), "")</f>
        <v/>
      </c>
      <c r="DK22" s="925" t="str">
        <f>IFERROR(IF(CB22&lt;&gt;"OK","",CO22*'DATA TABLES_Project'!$C$250),"")</f>
        <v/>
      </c>
      <c r="DL22" s="925" t="str">
        <f t="shared" ref="DL22" si="48">IFERROR(IF(CB22&lt;&gt;"OK","",CO22*DA22*0.92),"")</f>
        <v/>
      </c>
      <c r="DM22" s="925" t="str">
        <f>IFERROR(IF(CB22&lt;&gt;"OK","",CO22*'DATA TABLES_Project'!$C$250*DA22*0.92),"")</f>
        <v/>
      </c>
      <c r="DN22" s="925" t="str">
        <f t="shared" ref="DN22" si="49">IFERROR(IF(CB22&lt;&gt;"OK","",CO22*BV22),IF(BX22="Dual",(CO22*BW22)+((BZ22-AP22)*(BV22-BW22)),""))</f>
        <v/>
      </c>
      <c r="DO22" s="925" t="str">
        <f ca="1">IFERROR(IF(CB22&lt;&gt;"OK","",CO22*BV22*AVERAGE('DATA TABLES_Project'!$C$250:OFFSET('DATA TABLES_Project'!$C$250,BV22,0))),IF(BX22="Dual",(CO22*BW22*AVERAGE('DATA TABLES_Project'!$C$251:$C$259))+((BZ22-AP22)*(BV22-BW22)*AVERAGE('DATA TABLES_Project'!$C$260:$C$279)),""))</f>
        <v/>
      </c>
      <c r="DP22" s="925" t="str">
        <f t="shared" ref="DP22" si="50">IFERROR(IF(CB22&lt;&gt;"OK","",IF(BX22="Dual",((CO22*BW22)+(BZ22-AP22)*(BV22-BW22))*DA22*0.92,CO22*BV22*DA22*0.92)),"")</f>
        <v/>
      </c>
      <c r="DQ22" s="925" t="str">
        <f ca="1">IFERROR(IF(CB22&lt;&gt;"OK","",IF(BX22="Dual",(0.92*DA22*CO22*BW22*AVERAGE('DATA TABLES_Project'!$C$251:$C$259))+(0.92*DA22*(BZ22-AP22)*(BV22-BW22)*AVERAGE('DATA TABLES_Project'!$C$260:$C$279)),0.92*DA22*CO22*BV22*AVERAGE('DATA TABLES_Project'!$C$250:OFFSET('DATA TABLES_Project'!$C$250,BV22,0)))),"")</f>
        <v/>
      </c>
      <c r="DR22" s="980" t="str">
        <f>IFERROR(IF($CB22&lt;&gt;"OK","",CM22*'DATA TABLES_Project'!$B$290+IF(CO22&lt;0,0,CO22*'DATA TABLES_Project'!$B$291)),"")</f>
        <v/>
      </c>
      <c r="DS22" s="980" t="str">
        <f>IFERROR(IF($CB22&lt;&gt;"OK","",DD22*'DATA TABLES_Project'!$B$290+IF(DK22&lt;0,0,DK22*'DATA TABLES_Project'!$B$291)),"")</f>
        <v/>
      </c>
      <c r="DT22" s="980" t="str">
        <f>IFERROR(IF($CB22&lt;&gt;"OK","",DE22*'DATA TABLES_Project'!$B$290+IF(DL22&lt;0,0,DL22*'DATA TABLES_Project'!$B$291)),"")</f>
        <v/>
      </c>
      <c r="DU22" s="980" t="str">
        <f>IFERROR(IF($CB22&lt;&gt;"OK","",DF22*'DATA TABLES_Project'!$B$290+IF(DM22&lt;0,0,DM22*'DATA TABLES_Project'!$B$291)),"")</f>
        <v/>
      </c>
      <c r="DV22" s="980" t="str">
        <f>IFERROR(IF($CB22&lt;&gt;"OK","",DG22*'DATA TABLES_Project'!$B$290+IF(DN22&lt;0,0,DN22*'DATA TABLES_Project'!$B$291)),"")</f>
        <v/>
      </c>
      <c r="DW22" s="980" t="str">
        <f>IFERROR(IF($CB22&lt;&gt;"OK","",DH22*'DATA TABLES_Project'!$B$290+IF(DO22&lt;0,0,DO22*'DATA TABLES_Project'!$B$291)),"")</f>
        <v/>
      </c>
      <c r="DX22" s="980" t="str">
        <f>IFERROR(IF($CB22&lt;&gt;"OK","",DI22*'DATA TABLES_Project'!$B$290+IF(DP22&lt;0,0,DP22*'DATA TABLES_Project'!$B$291)),"")</f>
        <v/>
      </c>
      <c r="DY22" s="925" t="str">
        <f>IFERROR(IF($CB22&lt;&gt;"OK","",DJ22*'DATA TABLES_Project'!$B$290+IF(DQ22&lt;0,0,DQ22*'DATA TABLES_Project'!$B$291)),"")</f>
        <v/>
      </c>
      <c r="DZ22" s="925" t="str">
        <f t="shared" ref="DZ22" si="51">IFERROR(IF($CB22&lt;&gt;"OK","",AS22),"")</f>
        <v/>
      </c>
      <c r="EA22" s="925" t="str">
        <f>IFERROR(IF(CB22&lt;&gt;"OK","",CN22*'DATA TABLES_Project'!$B$250*CZ22*1.03),"")</f>
        <v/>
      </c>
      <c r="EB22" s="925" t="str">
        <f t="shared" ref="EB22" si="52">IFERROR(IF(CB22&lt;&gt;"OK","",CN22*CZ22*1.03),"")</f>
        <v/>
      </c>
      <c r="EC22" s="925" t="str">
        <f>IFERROR(IF(CB22&lt;&gt;"OK","",CZ22*DZ22*'DATA TABLES_Project'!$C$250*0.92),"")</f>
        <v/>
      </c>
      <c r="ED22" s="925" t="str">
        <f>IFERROR(IF(CB22&lt;&gt;"OK","",CZ22*DZ22*'DATA TABLES_Project'!$C$250*0.92),"")</f>
        <v/>
      </c>
      <c r="EE22" s="925" t="str">
        <f t="shared" ref="EE22" si="53">IFERROR(IF(CB22&lt;&gt;"OK","",CZ22*DZ22*0.92),"")</f>
        <v/>
      </c>
      <c r="EF22" s="925" t="str">
        <f t="shared" ref="EF22" si="54">IFERROR(IF(CB22&lt;&gt;"OK","",CZ22*DZ22*0.92),"")</f>
        <v/>
      </c>
      <c r="EG22" s="925" t="str">
        <f>IFERROR(IF($CB22&lt;&gt;"OK","",CM22*'DATA TABLES_Project'!$B$290+CO22*'DATA TABLES_Project'!$B$291),"")</f>
        <v/>
      </c>
      <c r="EH22" s="925" t="str">
        <f>IFERROR(IF($CB22&lt;&gt;"OK","",DD22*'DATA TABLES_Project'!$B$290+DK22*'DATA TABLES_Project'!$B$291),"")</f>
        <v/>
      </c>
      <c r="EI22" s="925" t="str">
        <f>IFERROR(IF($CB22&lt;&gt;"OK","",DE22*'DATA TABLES_Project'!$B$290+DL22*'DATA TABLES_Project'!$B$291),"")</f>
        <v/>
      </c>
      <c r="EJ22" s="925" t="str">
        <f>IFERROR(IF($CB22&lt;&gt;"OK","",DF22*'DATA TABLES_Project'!$B$290+DM22*'DATA TABLES_Project'!$B$291),"")</f>
        <v/>
      </c>
      <c r="EK22" s="925" t="str">
        <f>IFERROR(IF($CB22&lt;&gt;"OK","",DG22*'DATA TABLES_Project'!$B$290+DN22*'DATA TABLES_Project'!$B$291),"")</f>
        <v/>
      </c>
      <c r="EL22" s="925" t="str">
        <f>IFERROR(IF($CB22&lt;&gt;"OK","",DH22*'DATA TABLES_Project'!$B$290+DO22*'DATA TABLES_Project'!$B$291),"")</f>
        <v/>
      </c>
      <c r="EM22" s="925" t="str">
        <f>IFERROR(IF($CB22&lt;&gt;"OK","",DI22*'DATA TABLES_Project'!$B$290+DP22*'DATA TABLES_Project'!$B$291),"")</f>
        <v/>
      </c>
      <c r="EN22" s="925" t="str">
        <f>IFERROR(IF($CB22&lt;&gt;"OK","",DJ22*'DATA TABLES_Project'!$B$290+DQ22*'DATA TABLES_Project'!$B$291),"")</f>
        <v/>
      </c>
    </row>
    <row r="23" spans="1:144" customFormat="1" ht="16.350000000000001" customHeight="1">
      <c r="A23" s="462"/>
      <c r="B23" s="994"/>
      <c r="C23" s="998"/>
      <c r="D23" s="999"/>
      <c r="E23" s="1000"/>
      <c r="F23" s="964"/>
      <c r="G23" s="965"/>
      <c r="H23" s="965"/>
      <c r="I23" s="965"/>
      <c r="J23" s="965"/>
      <c r="K23" s="966"/>
      <c r="L23" s="964"/>
      <c r="M23" s="965"/>
      <c r="N23" s="965"/>
      <c r="O23" s="965"/>
      <c r="P23" s="965"/>
      <c r="Q23" s="966"/>
      <c r="R23" s="1044"/>
      <c r="S23" s="1044"/>
      <c r="T23" s="1044"/>
      <c r="U23" s="1044"/>
      <c r="V23" s="1044"/>
      <c r="W23" s="1044"/>
      <c r="X23" s="1045"/>
      <c r="Y23" s="1045"/>
      <c r="Z23" s="1045"/>
      <c r="AA23" s="1045"/>
      <c r="AB23" s="1045"/>
      <c r="AC23" s="1045"/>
      <c r="AD23" s="964"/>
      <c r="AE23" s="965"/>
      <c r="AF23" s="965"/>
      <c r="AG23" s="965"/>
      <c r="AH23" s="965"/>
      <c r="AI23" s="966"/>
      <c r="AJ23" s="952"/>
      <c r="AK23" s="953"/>
      <c r="AL23" s="954"/>
      <c r="AM23" s="952"/>
      <c r="AN23" s="953"/>
      <c r="AO23" s="954"/>
      <c r="AP23" s="958"/>
      <c r="AQ23" s="959"/>
      <c r="AR23" s="960"/>
      <c r="AS23" s="958"/>
      <c r="AT23" s="959"/>
      <c r="AU23" s="960"/>
      <c r="AV23" s="968"/>
      <c r="AW23" s="969"/>
      <c r="AX23" s="969"/>
      <c r="AY23" s="969"/>
      <c r="AZ23" s="969"/>
      <c r="BA23" s="970"/>
      <c r="BB23" s="947"/>
      <c r="BC23" s="948"/>
      <c r="BD23" s="947"/>
      <c r="BE23" s="948"/>
      <c r="BF23" s="1089"/>
      <c r="BG23" s="1090"/>
      <c r="BH23" s="1094"/>
      <c r="BI23" s="1095"/>
      <c r="BJ23" s="1096"/>
      <c r="BK23" s="1078"/>
      <c r="BL23" s="1079"/>
      <c r="BM23" s="1080"/>
      <c r="BN23" s="1084"/>
      <c r="BO23" s="1085"/>
      <c r="BP23" s="1086"/>
      <c r="BS23" s="967"/>
      <c r="BT23" s="967"/>
      <c r="BV23" s="926"/>
      <c r="BW23" s="926"/>
      <c r="BX23" s="926"/>
      <c r="BY23" s="927"/>
      <c r="BZ23" s="928"/>
      <c r="CB23" s="986"/>
      <c r="CC23" s="925"/>
      <c r="CD23" s="925"/>
      <c r="CE23" s="925"/>
      <c r="CF23" s="925"/>
      <c r="CG23" s="925"/>
      <c r="CH23" s="925"/>
      <c r="CI23" s="925"/>
      <c r="CJ23" s="977"/>
      <c r="CK23" s="977"/>
      <c r="CL23" s="977"/>
      <c r="CM23" s="977"/>
      <c r="CN23" s="977"/>
      <c r="CO23" s="977"/>
      <c r="CP23" s="977"/>
      <c r="CQ23" s="977"/>
      <c r="CR23" s="977"/>
      <c r="CS23" s="983"/>
      <c r="CT23" s="1056"/>
      <c r="CU23" s="979"/>
      <c r="CV23" s="925"/>
      <c r="CW23" s="925"/>
      <c r="CX23" s="925"/>
      <c r="CY23" s="925"/>
      <c r="CZ23" s="925"/>
      <c r="DA23" s="925"/>
      <c r="DD23" s="981"/>
      <c r="DE23" s="925"/>
      <c r="DF23" s="981"/>
      <c r="DG23" s="925"/>
      <c r="DH23" s="925"/>
      <c r="DI23" s="925"/>
      <c r="DJ23" s="925"/>
      <c r="DK23" s="925"/>
      <c r="DL23" s="925"/>
      <c r="DM23" s="925"/>
      <c r="DN23" s="925"/>
      <c r="DO23" s="925"/>
      <c r="DP23" s="925"/>
      <c r="DQ23" s="925"/>
      <c r="DR23" s="981"/>
      <c r="DS23" s="981"/>
      <c r="DT23" s="981"/>
      <c r="DU23" s="981"/>
      <c r="DV23" s="981"/>
      <c r="DW23" s="981"/>
      <c r="DX23" s="981"/>
      <c r="DY23" s="925"/>
      <c r="DZ23" s="925"/>
      <c r="EA23" s="925"/>
      <c r="EB23" s="925"/>
      <c r="EC23" s="925"/>
      <c r="ED23" s="925"/>
      <c r="EE23" s="925"/>
      <c r="EF23" s="925"/>
      <c r="EG23" s="925"/>
      <c r="EH23" s="925"/>
      <c r="EI23" s="925"/>
      <c r="EJ23" s="925"/>
      <c r="EK23" s="925"/>
      <c r="EL23" s="925"/>
      <c r="EM23" s="925"/>
      <c r="EN23" s="925"/>
    </row>
    <row r="24" spans="1:144" customFormat="1" ht="16.350000000000001" customHeight="1">
      <c r="A24" s="462"/>
      <c r="B24" s="994">
        <v>4</v>
      </c>
      <c r="C24" s="995"/>
      <c r="D24" s="996"/>
      <c r="E24" s="997"/>
      <c r="F24" s="961"/>
      <c r="G24" s="962"/>
      <c r="H24" s="962"/>
      <c r="I24" s="962"/>
      <c r="J24" s="962"/>
      <c r="K24" s="963"/>
      <c r="L24" s="961"/>
      <c r="M24" s="962"/>
      <c r="N24" s="962"/>
      <c r="O24" s="962"/>
      <c r="P24" s="962"/>
      <c r="Q24" s="963"/>
      <c r="R24" s="1044"/>
      <c r="S24" s="1044"/>
      <c r="T24" s="1044"/>
      <c r="U24" s="1044"/>
      <c r="V24" s="1044"/>
      <c r="W24" s="1044"/>
      <c r="X24" s="1045"/>
      <c r="Y24" s="1045"/>
      <c r="Z24" s="1045"/>
      <c r="AA24" s="1045"/>
      <c r="AB24" s="1045"/>
      <c r="AC24" s="1045"/>
      <c r="AD24" s="961"/>
      <c r="AE24" s="962"/>
      <c r="AF24" s="962"/>
      <c r="AG24" s="962"/>
      <c r="AH24" s="962"/>
      <c r="AI24" s="963"/>
      <c r="AJ24" s="949"/>
      <c r="AK24" s="950"/>
      <c r="AL24" s="951"/>
      <c r="AM24" s="949"/>
      <c r="AN24" s="950"/>
      <c r="AO24" s="951"/>
      <c r="AP24" s="955"/>
      <c r="AQ24" s="956"/>
      <c r="AR24" s="957"/>
      <c r="AS24" s="955"/>
      <c r="AT24" s="956"/>
      <c r="AU24" s="957"/>
      <c r="AV24" s="968"/>
      <c r="AW24" s="969"/>
      <c r="AX24" s="970"/>
      <c r="AY24" s="968"/>
      <c r="AZ24" s="969"/>
      <c r="BA24" s="970"/>
      <c r="BB24" s="945"/>
      <c r="BC24" s="946"/>
      <c r="BD24" s="945"/>
      <c r="BE24" s="946"/>
      <c r="BF24" s="1087" t="str">
        <f t="shared" ref="BF24" si="55">IF(CB24="OK",ROUND(BB24+BD24,2),"")</f>
        <v/>
      </c>
      <c r="BG24" s="1088"/>
      <c r="BH24" s="1091" t="str">
        <f t="shared" ref="BH24" si="56">IFERROR(IF(AND($CB24="OK",$CU24="OK"),$CI24,IF($CB24&lt;&gt;"OK",$CB24,$CU24)),"")</f>
        <v/>
      </c>
      <c r="BI24" s="1092"/>
      <c r="BJ24" s="1093"/>
      <c r="BK24" s="1075" t="str">
        <f t="shared" ref="BK24" si="57">IF($CB24="OK",CM24,"")</f>
        <v/>
      </c>
      <c r="BL24" s="1076"/>
      <c r="BM24" s="1077"/>
      <c r="BN24" s="1081" t="str">
        <f t="shared" ref="BN24" si="58">IF($CB24="OK",$CR24,"")</f>
        <v/>
      </c>
      <c r="BO24" s="1082"/>
      <c r="BP24" s="1083"/>
      <c r="BS24" s="967"/>
      <c r="BT24" s="967"/>
      <c r="BV24" s="926" t="str">
        <f t="shared" ref="BV24" si="59">IFERROR(ROUND(IF(AND(CB24="OK",CU24="OK"),CT24,""),0),"")</f>
        <v/>
      </c>
      <c r="BW24" s="926" t="str">
        <f t="shared" ref="BW24" si="60">IFERROR(ROUND(IF(AND(CB24="OK",CU24="OK"),BV24/3,""),0),"")</f>
        <v/>
      </c>
      <c r="BX24" s="926"/>
      <c r="BY24" s="927"/>
      <c r="BZ24" s="928"/>
      <c r="CB24" s="986" t="str">
        <f>IF(AND(C24="",F24="",R24="",AD24="",U24="",X24="",L24="",AJ24="",AV24="",AM24="",AP24="",AY24="",AV25="",BB24="",BD24="",AA24="",AS24=""),"",
IF(OR(C24="",F24="",R24="",AD24="",U24="",X24="",L24="",AJ24="",AV24="",AM24="",AP24="",AY24="",AV25="",BB24="",BD24="",AA24="",AS24=""),"Missing Fields",
IF(AND(M02S04F04disp="Required",M02S04F04=""),"TA Info Incomplete",
"OK")))</f>
        <v/>
      </c>
      <c r="CC24" s="925" t="str">
        <f>IF(AND(CB24="OK",CU24="OK"),INDEX(Tbl_Cust_Plug[Measure Number], MATCH(F24,Tbl_Cust_Plug[Proj Desc 1],0)),"")</f>
        <v/>
      </c>
      <c r="CD24" s="925"/>
      <c r="CE24" s="925" t="str">
        <f t="shared" ref="CE24" si="61">IF(CB24="OK","Measure","")</f>
        <v/>
      </c>
      <c r="CF24" s="925" t="str">
        <f t="shared" ref="CF24" si="62">IF(CB24="OK",1,"")</f>
        <v/>
      </c>
      <c r="CG24" s="978" t="str">
        <f t="shared" ref="CG24" si="63">IFERROR(CI24/CF24,"")</f>
        <v/>
      </c>
      <c r="CH24" s="978" t="str">
        <f>IF(CB24="OK",IF(CM24&gt;0,CM24*Incent_Rate_kWh,0)+IF(CO24&gt;0,CO24*Incent_Rate_thm,0),"")</f>
        <v/>
      </c>
      <c r="CI24" s="978" t="str">
        <f>IFERROR(IF($CB24="OK",IF(INCENTTOCOST_CUST&gt;CostCap_Cust,
CH24*CostCap_Cust/INCENTTOCOST_CUST,CH24),""),"")</f>
        <v/>
      </c>
      <c r="CJ24" s="977">
        <f t="shared" ref="CJ24" si="64">CM24</f>
        <v>0</v>
      </c>
      <c r="CK24" s="977">
        <f t="shared" ref="CK24" si="65">CN24</f>
        <v>0</v>
      </c>
      <c r="CL24" s="977">
        <f t="shared" ref="CL24" si="66">CO24</f>
        <v>0</v>
      </c>
      <c r="CM24" s="977">
        <f>R24-AJ24</f>
        <v>0</v>
      </c>
      <c r="CN24" s="977">
        <f>U24-AM24</f>
        <v>0</v>
      </c>
      <c r="CO24" s="977">
        <f t="shared" ref="CO24" si="67">IF(CR24&gt;0,CR24,0)</f>
        <v>0</v>
      </c>
      <c r="CP24" s="977">
        <f t="shared" ref="CP24" si="68">CM24</f>
        <v>0</v>
      </c>
      <c r="CQ24" s="977">
        <f t="shared" ref="CQ24" si="69">CN24</f>
        <v>0</v>
      </c>
      <c r="CR24" s="977">
        <f>X24-AP24</f>
        <v>0</v>
      </c>
      <c r="CS24" s="983"/>
      <c r="CT24" s="1056" t="str">
        <f>IF(CB24="OK",INDEX(Tbl_Cust_Plug[EUL], MATCH(F24,Tbl_Cust_Plug[Proj Desc 1],0)),"")</f>
        <v/>
      </c>
      <c r="CU24" s="979" t="str">
        <f t="shared" ref="CU24" si="70">IFERROR(IF(AND($CM24&lt;=0,$CN24&lt;=0,$CO24&lt;=0),"No Savings","OK"),"")</f>
        <v>No Savings</v>
      </c>
      <c r="CV24" s="925" t="str">
        <f t="shared" ref="CV24" si="71">IF(AND(CB24="OK",CU24="OK"),"1","")</f>
        <v/>
      </c>
      <c r="CW24" s="925" t="str">
        <f>IFERROR(IF($CB24="OK",ROUND($AQ$14*SUM(BB24:BE25)/SUM($BF$18:$BG$37),2),""),"")</f>
        <v/>
      </c>
      <c r="CX24" s="925" t="str">
        <f>IFERROR(IF(M02S04F04="Customer/Self-Installed",CW24,IF($CB24="OK",CW24+BD24,"")),"")</f>
        <v/>
      </c>
      <c r="CY24" s="925" t="str">
        <f>IFERROR(IF($CB24="OK",CX24+BB24,""),"")</f>
        <v/>
      </c>
      <c r="CZ24" s="925" t="str">
        <f>IF(CB24="OK",INDEX(MEASURES3_M!$O$46, MATCH(F24,MEASURES3_M!$C$46,0)),"")</f>
        <v/>
      </c>
      <c r="DA24" s="925" t="str">
        <f>IF(CB24="OK",INDEX(MEASURES3_M!$P$46, MATCH(F24,MEASURES3_M!$C$46,0)),"")</f>
        <v/>
      </c>
      <c r="DD24" s="980" t="str">
        <f>IFERROR(IF(CB24&lt;&gt;"OK","",CM24*VLOOKUP('DATA TABLES_Project'!$C$247,'DATA TABLES_Project'!$A$250:$B$285,2,FALSE)),"")</f>
        <v/>
      </c>
      <c r="DE24" s="925" t="str">
        <f t="shared" ref="DE24" si="72">IFERROR(IF(CB24&lt;&gt;"OK","",CM24*CZ24*0.92),"")</f>
        <v/>
      </c>
      <c r="DF24" s="980" t="str">
        <f>IFERROR(IF(CB24&lt;&gt;"OK","",CM24*CZ24*0.92*VLOOKUP('DATA TABLES_Project'!$C$247,'DATA TABLES_Project'!$A$250:$B$285,2,FALSE)),"")</f>
        <v/>
      </c>
      <c r="DG24" s="925" t="str">
        <f t="shared" ref="DG24" si="73">IFERROR(IF(CB24&lt;&gt;"OK","",CM24*BV24),IF(BX24="Dual",(CM24*BW24)+((BY24-AJ24)*(BV24-BW24)),""))</f>
        <v/>
      </c>
      <c r="DH24" s="925" t="str">
        <f ca="1">IFERROR(IF(CB24&lt;&gt;"OK","",IF(OR(BX24="Single",BX24=""), CM24*BV24*AVERAGE(INDEX('DATA TABLES_Project'!$B$250:$B$285, MATCH('DATA TABLES_Project'!$C$247,'DATA TABLES_Project'!$A$250:$A$285, 0)):OFFSET(INDEX('DATA TABLES_Project'!$B$250:$B$285, MATCH('DATA TABLES_Project'!$C$247,'DATA TABLES_Project'!$A$250:$A$285, 0)),BV24-1,0)),CM24*BW24*AVERAGE(INDEX('DATA TABLES_Project'!$B$250:$B$285, MATCH('DATA TABLES_Project'!$C$247,'DATA TABLES_Project'!$A$250:$A$285, 0)):OFFSET(INDEX('DATA TABLES_Project'!$B$250:$B$285, MATCH('DATA TABLES_Project'!$C$247,'DATA TABLES_Project'!$A$250:$A$285, 0)),BW24-1,0)) + ((BY24-AJ24)*(BV24-BW24)*AVERAGE(OFFSET(INDEX('DATA TABLES_Project'!$B$250:$B$285, MATCH('DATA TABLES_Project'!$C$247,'DATA TABLES_Project'!$A$250:$A$285, 0)),BW24,0):OFFSET(INDEX('DATA TABLES_Project'!$B$250:$B$285, MATCH('DATA TABLES_Project'!$C$247,'DATA TABLES_Project'!$A$250:$A$285, 0)),BV24-1,0))))), "")</f>
        <v/>
      </c>
      <c r="DI24" s="925" t="str">
        <f t="shared" ref="DI24" si="74">IFERROR(IF(CB24&lt;&gt;"OK","",IF(BX24="Dual",(CM24*BW24)+((BY24-AJ24)*(BV24-BW24))*CZ24*0.92,CM24*CZ24*BV24*0.92)),"")</f>
        <v/>
      </c>
      <c r="DJ24" s="925" t="str">
        <f ca="1">IFERROR(IF(CB24&lt;&gt;"OK","",IF(OR(BX24="Single",BX24=""),0.92*CZ24*CM24*BV24*AVERAGE(INDEX('DATA TABLES_Project'!$B$250:$B$285, MATCH('DATA TABLES_Project'!$C$247,'DATA TABLES_Project'!$A$250:$A$285, 0)):OFFSET(INDEX('DATA TABLES_Project'!$B$250:$B$285, MATCH('DATA TABLES_Project'!$C$247,'DATA TABLES_Project'!$A$250:$A$285, 0)),BV24-1,0)),0.92*CZ24*CM24*BW24*AVERAGE(INDEX('DATA TABLES_Project'!$B$250:$B$285, MATCH('DATA TABLES_Project'!$C$247,'DATA TABLES_Project'!$A$250:$A$285, 0)):OFFSET(INDEX('DATA TABLES_Project'!$B$250:$B$285, MATCH('DATA TABLES_Project'!$C$247,'DATA TABLES_Project'!$A$250:$A$285, 0)),BW24-1,0)) + (0.92*CZ24*(BY24-AJ24)*(BV24-BW24)*AVERAGE(OFFSET(INDEX('DATA TABLES_Project'!$B$250:$B$285, MATCH('DATA TABLES_Project'!$C$247,'DATA TABLES_Project'!$A$250:$A$285, 0)),BW24,0):OFFSET(INDEX('DATA TABLES_Project'!$B$250:$B$285, MATCH('DATA TABLES_Project'!$C$247,'DATA TABLES_Project'!$A$250:$A$285, 0)),BV24-1,0))))), "")</f>
        <v/>
      </c>
      <c r="DK24" s="925" t="str">
        <f>IFERROR(IF(CB24&lt;&gt;"OK","",CO24*'DATA TABLES_Project'!$C$250),"")</f>
        <v/>
      </c>
      <c r="DL24" s="925" t="str">
        <f t="shared" ref="DL24" si="75">IFERROR(IF(CB24&lt;&gt;"OK","",CO24*DA24*0.92),"")</f>
        <v/>
      </c>
      <c r="DM24" s="925" t="str">
        <f>IFERROR(IF(CB24&lt;&gt;"OK","",CO24*'DATA TABLES_Project'!$C$250*DA24*0.92),"")</f>
        <v/>
      </c>
      <c r="DN24" s="925" t="str">
        <f t="shared" ref="DN24" si="76">IFERROR(IF(CB24&lt;&gt;"OK","",CO24*BV24),IF(BX24="Dual",(CO24*BW24)+((BZ24-AP24)*(BV24-BW24)),""))</f>
        <v/>
      </c>
      <c r="DO24" s="925" t="str">
        <f ca="1">IFERROR(IF(CB24&lt;&gt;"OK","",CO24*BV24*AVERAGE('DATA TABLES_Project'!$C$250:OFFSET('DATA TABLES_Project'!$C$250,BV24,0))),IF(BX24="Dual",(CO24*BW24*AVERAGE('DATA TABLES_Project'!$C$251:$C$259))+((BZ24-AP24)*(BV24-BW24)*AVERAGE('DATA TABLES_Project'!$C$260:$C$279)),""))</f>
        <v/>
      </c>
      <c r="DP24" s="925" t="str">
        <f t="shared" ref="DP24" si="77">IFERROR(IF(CB24&lt;&gt;"OK","",IF(BX24="Dual",((CO24*BW24)+(BZ24-AP24)*(BV24-BW24))*DA24*0.92,CO24*BV24*DA24*0.92)),"")</f>
        <v/>
      </c>
      <c r="DQ24" s="925" t="str">
        <f ca="1">IFERROR(IF(CB24&lt;&gt;"OK","",IF(BX24="Dual",(0.92*DA24*CO24*BW24*AVERAGE('DATA TABLES_Project'!$C$251:$C$259))+(0.92*DA24*(BZ24-AP24)*(BV24-BW24)*AVERAGE('DATA TABLES_Project'!$C$260:$C$279)),0.92*DA24*CO24*BV24*AVERAGE('DATA TABLES_Project'!$C$250:OFFSET('DATA TABLES_Project'!$C$250,BV24,0)))),"")</f>
        <v/>
      </c>
      <c r="DR24" s="980" t="str">
        <f>IFERROR(IF($CB24&lt;&gt;"OK","",CM24*'DATA TABLES_Project'!$B$290+IF(CO24&lt;0,0,CO24*'DATA TABLES_Project'!$B$291)),"")</f>
        <v/>
      </c>
      <c r="DS24" s="980" t="str">
        <f>IFERROR(IF($CB24&lt;&gt;"OK","",DD24*'DATA TABLES_Project'!$B$290+IF(DK24&lt;0,0,DK24*'DATA TABLES_Project'!$B$291)),"")</f>
        <v/>
      </c>
      <c r="DT24" s="980" t="str">
        <f>IFERROR(IF($CB24&lt;&gt;"OK","",DE24*'DATA TABLES_Project'!$B$290+IF(DL24&lt;0,0,DL24*'DATA TABLES_Project'!$B$291)),"")</f>
        <v/>
      </c>
      <c r="DU24" s="980" t="str">
        <f>IFERROR(IF($CB24&lt;&gt;"OK","",DF24*'DATA TABLES_Project'!$B$290+IF(DM24&lt;0,0,DM24*'DATA TABLES_Project'!$B$291)),"")</f>
        <v/>
      </c>
      <c r="DV24" s="980" t="str">
        <f>IFERROR(IF($CB24&lt;&gt;"OK","",DG24*'DATA TABLES_Project'!$B$290+IF(DN24&lt;0,0,DN24*'DATA TABLES_Project'!$B$291)),"")</f>
        <v/>
      </c>
      <c r="DW24" s="980" t="str">
        <f>IFERROR(IF($CB24&lt;&gt;"OK","",DH24*'DATA TABLES_Project'!$B$290+IF(DO24&lt;0,0,DO24*'DATA TABLES_Project'!$B$291)),"")</f>
        <v/>
      </c>
      <c r="DX24" s="980" t="str">
        <f>IFERROR(IF($CB24&lt;&gt;"OK","",DI24*'DATA TABLES_Project'!$B$290+IF(DP24&lt;0,0,DP24*'DATA TABLES_Project'!$B$291)),"")</f>
        <v/>
      </c>
      <c r="DY24" s="925" t="str">
        <f>IFERROR(IF($CB24&lt;&gt;"OK","",DJ24*'DATA TABLES_Project'!$B$290+IF(DQ24&lt;0,0,DQ24*'DATA TABLES_Project'!$B$291)),"")</f>
        <v/>
      </c>
      <c r="DZ24" s="925" t="str">
        <f t="shared" ref="DZ24" si="78">IFERROR(IF($CB24&lt;&gt;"OK","",AS24),"")</f>
        <v/>
      </c>
      <c r="EA24" s="925" t="str">
        <f>IFERROR(IF(CB24&lt;&gt;"OK","",CN24*'DATA TABLES_Project'!$B$250*CZ24*1.03),"")</f>
        <v/>
      </c>
      <c r="EB24" s="925" t="str">
        <f t="shared" ref="EB24" si="79">IFERROR(IF(CB24&lt;&gt;"OK","",CN24*CZ24*1.03),"")</f>
        <v/>
      </c>
      <c r="EC24" s="925" t="str">
        <f>IFERROR(IF(CB24&lt;&gt;"OK","",CZ24*DZ24*'DATA TABLES_Project'!$C$250*0.92),"")</f>
        <v/>
      </c>
      <c r="ED24" s="925" t="str">
        <f>IFERROR(IF(CB24&lt;&gt;"OK","",CZ24*DZ24*'DATA TABLES_Project'!$C$250*0.92),"")</f>
        <v/>
      </c>
      <c r="EE24" s="925" t="str">
        <f t="shared" ref="EE24" si="80">IFERROR(IF(CB24&lt;&gt;"OK","",CZ24*DZ24*0.92),"")</f>
        <v/>
      </c>
      <c r="EF24" s="925" t="str">
        <f t="shared" ref="EF24" si="81">IFERROR(IF(CB24&lt;&gt;"OK","",CZ24*DZ24*0.92),"")</f>
        <v/>
      </c>
      <c r="EG24" s="925" t="str">
        <f>IFERROR(IF($CB24&lt;&gt;"OK","",CM24*'DATA TABLES_Project'!$B$290+CO24*'DATA TABLES_Project'!$B$291),"")</f>
        <v/>
      </c>
      <c r="EH24" s="925" t="str">
        <f>IFERROR(IF($CB24&lt;&gt;"OK","",DD24*'DATA TABLES_Project'!$B$290+DK24*'DATA TABLES_Project'!$B$291),"")</f>
        <v/>
      </c>
      <c r="EI24" s="925" t="str">
        <f>IFERROR(IF($CB24&lt;&gt;"OK","",DE24*'DATA TABLES_Project'!$B$290+DL24*'DATA TABLES_Project'!$B$291),"")</f>
        <v/>
      </c>
      <c r="EJ24" s="925" t="str">
        <f>IFERROR(IF($CB24&lt;&gt;"OK","",DF24*'DATA TABLES_Project'!$B$290+DM24*'DATA TABLES_Project'!$B$291),"")</f>
        <v/>
      </c>
      <c r="EK24" s="925" t="str">
        <f>IFERROR(IF($CB24&lt;&gt;"OK","",DG24*'DATA TABLES_Project'!$B$290+DN24*'DATA TABLES_Project'!$B$291),"")</f>
        <v/>
      </c>
      <c r="EL24" s="925" t="str">
        <f>IFERROR(IF($CB24&lt;&gt;"OK","",DH24*'DATA TABLES_Project'!$B$290+DO24*'DATA TABLES_Project'!$B$291),"")</f>
        <v/>
      </c>
      <c r="EM24" s="925" t="str">
        <f>IFERROR(IF($CB24&lt;&gt;"OK","",DI24*'DATA TABLES_Project'!$B$290+DP24*'DATA TABLES_Project'!$B$291),"")</f>
        <v/>
      </c>
      <c r="EN24" s="925" t="str">
        <f>IFERROR(IF($CB24&lt;&gt;"OK","",DJ24*'DATA TABLES_Project'!$B$290+DQ24*'DATA TABLES_Project'!$B$291),"")</f>
        <v/>
      </c>
    </row>
    <row r="25" spans="1:144" customFormat="1" ht="16.350000000000001" customHeight="1">
      <c r="A25" s="462"/>
      <c r="B25" s="994"/>
      <c r="C25" s="998"/>
      <c r="D25" s="999"/>
      <c r="E25" s="1000"/>
      <c r="F25" s="964"/>
      <c r="G25" s="965"/>
      <c r="H25" s="965"/>
      <c r="I25" s="965"/>
      <c r="J25" s="965"/>
      <c r="K25" s="966"/>
      <c r="L25" s="964"/>
      <c r="M25" s="965"/>
      <c r="N25" s="965"/>
      <c r="O25" s="965"/>
      <c r="P25" s="965"/>
      <c r="Q25" s="966"/>
      <c r="R25" s="1044"/>
      <c r="S25" s="1044"/>
      <c r="T25" s="1044"/>
      <c r="U25" s="1044"/>
      <c r="V25" s="1044"/>
      <c r="W25" s="1044"/>
      <c r="X25" s="1045"/>
      <c r="Y25" s="1045"/>
      <c r="Z25" s="1045"/>
      <c r="AA25" s="1045"/>
      <c r="AB25" s="1045"/>
      <c r="AC25" s="1045"/>
      <c r="AD25" s="964"/>
      <c r="AE25" s="965"/>
      <c r="AF25" s="965"/>
      <c r="AG25" s="965"/>
      <c r="AH25" s="965"/>
      <c r="AI25" s="966"/>
      <c r="AJ25" s="952"/>
      <c r="AK25" s="953"/>
      <c r="AL25" s="954"/>
      <c r="AM25" s="952"/>
      <c r="AN25" s="953"/>
      <c r="AO25" s="954"/>
      <c r="AP25" s="958"/>
      <c r="AQ25" s="959"/>
      <c r="AR25" s="960"/>
      <c r="AS25" s="958"/>
      <c r="AT25" s="959"/>
      <c r="AU25" s="960"/>
      <c r="AV25" s="968"/>
      <c r="AW25" s="969"/>
      <c r="AX25" s="969"/>
      <c r="AY25" s="969"/>
      <c r="AZ25" s="969"/>
      <c r="BA25" s="970"/>
      <c r="BB25" s="947"/>
      <c r="BC25" s="948"/>
      <c r="BD25" s="947"/>
      <c r="BE25" s="948"/>
      <c r="BF25" s="1089"/>
      <c r="BG25" s="1090"/>
      <c r="BH25" s="1094"/>
      <c r="BI25" s="1095"/>
      <c r="BJ25" s="1096"/>
      <c r="BK25" s="1078"/>
      <c r="BL25" s="1079"/>
      <c r="BM25" s="1080"/>
      <c r="BN25" s="1084"/>
      <c r="BO25" s="1085"/>
      <c r="BP25" s="1086"/>
      <c r="BS25" s="967"/>
      <c r="BT25" s="967"/>
      <c r="BV25" s="926"/>
      <c r="BW25" s="926"/>
      <c r="BX25" s="926"/>
      <c r="BY25" s="927"/>
      <c r="BZ25" s="928"/>
      <c r="CB25" s="986"/>
      <c r="CC25" s="925"/>
      <c r="CD25" s="925"/>
      <c r="CE25" s="925"/>
      <c r="CF25" s="925"/>
      <c r="CG25" s="925"/>
      <c r="CH25" s="925"/>
      <c r="CI25" s="925"/>
      <c r="CJ25" s="977"/>
      <c r="CK25" s="977"/>
      <c r="CL25" s="977"/>
      <c r="CM25" s="977"/>
      <c r="CN25" s="977"/>
      <c r="CO25" s="977"/>
      <c r="CP25" s="977"/>
      <c r="CQ25" s="977"/>
      <c r="CR25" s="977"/>
      <c r="CS25" s="983"/>
      <c r="CT25" s="1056"/>
      <c r="CU25" s="979"/>
      <c r="CV25" s="925"/>
      <c r="CW25" s="925"/>
      <c r="CX25" s="925"/>
      <c r="CY25" s="925"/>
      <c r="CZ25" s="925"/>
      <c r="DA25" s="925"/>
      <c r="DD25" s="981"/>
      <c r="DE25" s="925"/>
      <c r="DF25" s="981"/>
      <c r="DG25" s="925"/>
      <c r="DH25" s="925"/>
      <c r="DI25" s="925"/>
      <c r="DJ25" s="925"/>
      <c r="DK25" s="925"/>
      <c r="DL25" s="925"/>
      <c r="DM25" s="925"/>
      <c r="DN25" s="925"/>
      <c r="DO25" s="925"/>
      <c r="DP25" s="925"/>
      <c r="DQ25" s="925"/>
      <c r="DR25" s="981"/>
      <c r="DS25" s="981"/>
      <c r="DT25" s="981"/>
      <c r="DU25" s="981"/>
      <c r="DV25" s="981"/>
      <c r="DW25" s="981"/>
      <c r="DX25" s="981"/>
      <c r="DY25" s="925"/>
      <c r="DZ25" s="925"/>
      <c r="EA25" s="925"/>
      <c r="EB25" s="925"/>
      <c r="EC25" s="925"/>
      <c r="ED25" s="925"/>
      <c r="EE25" s="925"/>
      <c r="EF25" s="925"/>
      <c r="EG25" s="925"/>
      <c r="EH25" s="925"/>
      <c r="EI25" s="925"/>
      <c r="EJ25" s="925"/>
      <c r="EK25" s="925"/>
      <c r="EL25" s="925"/>
      <c r="EM25" s="925"/>
      <c r="EN25" s="925"/>
    </row>
    <row r="26" spans="1:144" customFormat="1" ht="16.350000000000001" customHeight="1">
      <c r="A26" s="462"/>
      <c r="B26" s="994">
        <v>5</v>
      </c>
      <c r="C26" s="995"/>
      <c r="D26" s="996"/>
      <c r="E26" s="997"/>
      <c r="F26" s="961"/>
      <c r="G26" s="962"/>
      <c r="H26" s="962"/>
      <c r="I26" s="962"/>
      <c r="J26" s="962"/>
      <c r="K26" s="963"/>
      <c r="L26" s="961"/>
      <c r="M26" s="962"/>
      <c r="N26" s="962"/>
      <c r="O26" s="962"/>
      <c r="P26" s="962"/>
      <c r="Q26" s="963"/>
      <c r="R26" s="1044"/>
      <c r="S26" s="1044"/>
      <c r="T26" s="1044"/>
      <c r="U26" s="1044"/>
      <c r="V26" s="1044"/>
      <c r="W26" s="1044"/>
      <c r="X26" s="1045"/>
      <c r="Y26" s="1045"/>
      <c r="Z26" s="1045"/>
      <c r="AA26" s="1045"/>
      <c r="AB26" s="1045"/>
      <c r="AC26" s="1045"/>
      <c r="AD26" s="961"/>
      <c r="AE26" s="962"/>
      <c r="AF26" s="962"/>
      <c r="AG26" s="962"/>
      <c r="AH26" s="962"/>
      <c r="AI26" s="963"/>
      <c r="AJ26" s="949"/>
      <c r="AK26" s="950"/>
      <c r="AL26" s="951"/>
      <c r="AM26" s="949"/>
      <c r="AN26" s="950"/>
      <c r="AO26" s="951"/>
      <c r="AP26" s="955"/>
      <c r="AQ26" s="956"/>
      <c r="AR26" s="957"/>
      <c r="AS26" s="955"/>
      <c r="AT26" s="956"/>
      <c r="AU26" s="957"/>
      <c r="AV26" s="968"/>
      <c r="AW26" s="969"/>
      <c r="AX26" s="970"/>
      <c r="AY26" s="968"/>
      <c r="AZ26" s="969"/>
      <c r="BA26" s="970"/>
      <c r="BB26" s="945"/>
      <c r="BC26" s="946"/>
      <c r="BD26" s="945"/>
      <c r="BE26" s="946"/>
      <c r="BF26" s="1087" t="str">
        <f t="shared" ref="BF26" si="82">IF(CB26="OK",ROUND(BB26+BD26,2),"")</f>
        <v/>
      </c>
      <c r="BG26" s="1088"/>
      <c r="BH26" s="1091" t="str">
        <f t="shared" ref="BH26" si="83">IFERROR(IF(AND($CB26="OK",$CU26="OK"),$CI26,IF($CB26&lt;&gt;"OK",$CB26,$CU26)),"")</f>
        <v/>
      </c>
      <c r="BI26" s="1092"/>
      <c r="BJ26" s="1093"/>
      <c r="BK26" s="1075" t="str">
        <f t="shared" ref="BK26" si="84">IF($CB26="OK",CM26,"")</f>
        <v/>
      </c>
      <c r="BL26" s="1076"/>
      <c r="BM26" s="1077"/>
      <c r="BN26" s="1081" t="str">
        <f t="shared" ref="BN26" si="85">IF($CB26="OK",$CR26,"")</f>
        <v/>
      </c>
      <c r="BO26" s="1082"/>
      <c r="BP26" s="1083"/>
      <c r="BS26" s="967"/>
      <c r="BT26" s="967"/>
      <c r="BV26" s="926" t="str">
        <f t="shared" ref="BV26" si="86">IFERROR(ROUND(IF(AND(CB26="OK",CU26="OK"),CT26,""),0),"")</f>
        <v/>
      </c>
      <c r="BW26" s="926" t="str">
        <f t="shared" ref="BW26" si="87">IFERROR(ROUND(IF(AND(CB26="OK",CU26="OK"),BV26/3,""),0),"")</f>
        <v/>
      </c>
      <c r="BX26" s="926"/>
      <c r="BY26" s="927"/>
      <c r="BZ26" s="928"/>
      <c r="CB26" s="986" t="str">
        <f>IF(AND(C26="",F26="",R26="",AD26="",U26="",X26="",L26="",AJ26="",AV26="",AM26="",AP26="",AY26="",AV27="",BB26="",BD26="",AA26="",AS26=""),"",
IF(OR(C26="",F26="",R26="",AD26="",U26="",X26="",L26="",AJ26="",AV26="",AM26="",AP26="",AY26="",AV27="",BB26="",BD26="",AA26="",AS26=""),"Missing Fields",
IF(AND(M02S04F04disp="Required",M02S04F04=""),"TA Info Incomplete",
"OK")))</f>
        <v/>
      </c>
      <c r="CC26" s="925" t="str">
        <f>IF(AND(CB26="OK",CU26="OK"),INDEX(Tbl_Cust_Plug[Measure Number], MATCH(F26,Tbl_Cust_Plug[Proj Desc 1],0)),"")</f>
        <v/>
      </c>
      <c r="CD26" s="925"/>
      <c r="CE26" s="925" t="str">
        <f t="shared" ref="CE26" si="88">IF(CB26="OK","Measure","")</f>
        <v/>
      </c>
      <c r="CF26" s="925" t="str">
        <f t="shared" ref="CF26" si="89">IF(CB26="OK",1,"")</f>
        <v/>
      </c>
      <c r="CG26" s="978" t="str">
        <f t="shared" ref="CG26" si="90">IFERROR(CI26/CF26,"")</f>
        <v/>
      </c>
      <c r="CH26" s="978" t="str">
        <f>IF(CB26="OK",IF(CM26&gt;0,CM26*Incent_Rate_kWh,0)+IF(CO26&gt;0,CO26*Incent_Rate_thm,0),"")</f>
        <v/>
      </c>
      <c r="CI26" s="978" t="str">
        <f>IFERROR(IF($CB26="OK",IF(INCENTTOCOST_CUST&gt;CostCap_Cust,
CH26*CostCap_Cust/INCENTTOCOST_CUST,CH26),""),"")</f>
        <v/>
      </c>
      <c r="CJ26" s="977">
        <f t="shared" ref="CJ26" si="91">CM26</f>
        <v>0</v>
      </c>
      <c r="CK26" s="977">
        <f t="shared" ref="CK26" si="92">CN26</f>
        <v>0</v>
      </c>
      <c r="CL26" s="977">
        <f t="shared" ref="CL26" si="93">CO26</f>
        <v>0</v>
      </c>
      <c r="CM26" s="977">
        <f>R26-AJ26</f>
        <v>0</v>
      </c>
      <c r="CN26" s="977">
        <f>U26-AM26</f>
        <v>0</v>
      </c>
      <c r="CO26" s="977">
        <f t="shared" ref="CO26" si="94">IF(CR26&gt;0,CR26,0)</f>
        <v>0</v>
      </c>
      <c r="CP26" s="977">
        <f t="shared" ref="CP26" si="95">CM26</f>
        <v>0</v>
      </c>
      <c r="CQ26" s="977">
        <f t="shared" ref="CQ26" si="96">CN26</f>
        <v>0</v>
      </c>
      <c r="CR26" s="977">
        <f>X26-AP26</f>
        <v>0</v>
      </c>
      <c r="CS26" s="983"/>
      <c r="CT26" s="1056" t="str">
        <f>IF(CB26="OK",INDEX(Tbl_Cust_Plug[EUL], MATCH(F26,Tbl_Cust_Plug[Proj Desc 1],0)),"")</f>
        <v/>
      </c>
      <c r="CU26" s="979" t="str">
        <f t="shared" ref="CU26" si="97">IFERROR(IF(AND($CM26&lt;=0,$CN26&lt;=0,$CO26&lt;=0),"No Savings","OK"),"")</f>
        <v>No Savings</v>
      </c>
      <c r="CV26" s="925" t="str">
        <f t="shared" ref="CV26" si="98">IF(AND(CB26="OK",CU26="OK"),"1","")</f>
        <v/>
      </c>
      <c r="CW26" s="925" t="str">
        <f>IFERROR(IF($CB26="OK",ROUND($AQ$14*SUM(BB26:BE27)/SUM($BF$18:$BG$37),2),""),"")</f>
        <v/>
      </c>
      <c r="CX26" s="925" t="str">
        <f>IFERROR(IF(M02S04F04="Customer/Self-Installed",CW26,IF($CB26="OK",CW26+BD26,"")),"")</f>
        <v/>
      </c>
      <c r="CY26" s="925" t="str">
        <f>IFERROR(IF($CB26="OK",CX26+BB26,""),"")</f>
        <v/>
      </c>
      <c r="CZ26" s="925" t="str">
        <f>IF(CB26="OK",INDEX(MEASURES3_M!$O$46, MATCH(F26,MEASURES3_M!$C$46,0)),"")</f>
        <v/>
      </c>
      <c r="DA26" s="925" t="str">
        <f>IF(CB26="OK",INDEX(MEASURES3_M!$P$46, MATCH(F26,MEASURES3_M!$C$46,0)),"")</f>
        <v/>
      </c>
      <c r="DD26" s="980" t="str">
        <f>IFERROR(IF(CB26&lt;&gt;"OK","",CM26*VLOOKUP('DATA TABLES_Project'!$C$247,'DATA TABLES_Project'!$A$250:$B$285,2,FALSE)),"")</f>
        <v/>
      </c>
      <c r="DE26" s="925" t="str">
        <f t="shared" ref="DE26" si="99">IFERROR(IF(CB26&lt;&gt;"OK","",CM26*CZ26*0.92),"")</f>
        <v/>
      </c>
      <c r="DF26" s="980" t="str">
        <f>IFERROR(IF(CB26&lt;&gt;"OK","",CM26*CZ26*0.92*VLOOKUP('DATA TABLES_Project'!$C$247,'DATA TABLES_Project'!$A$250:$B$285,2,FALSE)),"")</f>
        <v/>
      </c>
      <c r="DG26" s="925" t="str">
        <f t="shared" ref="DG26" si="100">IFERROR(IF(CB26&lt;&gt;"OK","",CM26*BV26),IF(BX26="Dual",(CM26*BW26)+((BY26-AJ26)*(BV26-BW26)),""))</f>
        <v/>
      </c>
      <c r="DH26" s="925" t="str">
        <f ca="1">IFERROR(IF(CB26&lt;&gt;"OK","",IF(OR(BX26="Single",BX26=""), CM26*BV26*AVERAGE(INDEX('DATA TABLES_Project'!$B$250:$B$285, MATCH('DATA TABLES_Project'!$C$247,'DATA TABLES_Project'!$A$250:$A$285, 0)):OFFSET(INDEX('DATA TABLES_Project'!$B$250:$B$285, MATCH('DATA TABLES_Project'!$C$247,'DATA TABLES_Project'!$A$250:$A$285, 0)),BV26-1,0)),CM26*BW26*AVERAGE(INDEX('DATA TABLES_Project'!$B$250:$B$285, MATCH('DATA TABLES_Project'!$C$247,'DATA TABLES_Project'!$A$250:$A$285, 0)):OFFSET(INDEX('DATA TABLES_Project'!$B$250:$B$285, MATCH('DATA TABLES_Project'!$C$247,'DATA TABLES_Project'!$A$250:$A$285, 0)),BW26-1,0)) + ((BY26-AJ26)*(BV26-BW26)*AVERAGE(OFFSET(INDEX('DATA TABLES_Project'!$B$250:$B$285, MATCH('DATA TABLES_Project'!$C$247,'DATA TABLES_Project'!$A$250:$A$285, 0)),BW26,0):OFFSET(INDEX('DATA TABLES_Project'!$B$250:$B$285, MATCH('DATA TABLES_Project'!$C$247,'DATA TABLES_Project'!$A$250:$A$285, 0)),BV26-1,0))))), "")</f>
        <v/>
      </c>
      <c r="DI26" s="925" t="str">
        <f t="shared" ref="DI26" si="101">IFERROR(IF(CB26&lt;&gt;"OK","",IF(BX26="Dual",(CM26*BW26)+((BY26-AJ26)*(BV26-BW26))*CZ26*0.92,CM26*CZ26*BV26*0.92)),"")</f>
        <v/>
      </c>
      <c r="DJ26" s="925" t="str">
        <f ca="1">IFERROR(IF(CB26&lt;&gt;"OK","",IF(OR(BX26="Single",BX26=""),0.92*CZ26*CM26*BV26*AVERAGE(INDEX('DATA TABLES_Project'!$B$250:$B$285, MATCH('DATA TABLES_Project'!$C$247,'DATA TABLES_Project'!$A$250:$A$285, 0)):OFFSET(INDEX('DATA TABLES_Project'!$B$250:$B$285, MATCH('DATA TABLES_Project'!$C$247,'DATA TABLES_Project'!$A$250:$A$285, 0)),BV26-1,0)),0.92*CZ26*CM26*BW26*AVERAGE(INDEX('DATA TABLES_Project'!$B$250:$B$285, MATCH('DATA TABLES_Project'!$C$247,'DATA TABLES_Project'!$A$250:$A$285, 0)):OFFSET(INDEX('DATA TABLES_Project'!$B$250:$B$285, MATCH('DATA TABLES_Project'!$C$247,'DATA TABLES_Project'!$A$250:$A$285, 0)),BW26-1,0)) + (0.92*CZ26*(BY26-AJ26)*(BV26-BW26)*AVERAGE(OFFSET(INDEX('DATA TABLES_Project'!$B$250:$B$285, MATCH('DATA TABLES_Project'!$C$247,'DATA TABLES_Project'!$A$250:$A$285, 0)),BW26,0):OFFSET(INDEX('DATA TABLES_Project'!$B$250:$B$285, MATCH('DATA TABLES_Project'!$C$247,'DATA TABLES_Project'!$A$250:$A$285, 0)),BV26-1,0))))), "")</f>
        <v/>
      </c>
      <c r="DK26" s="925" t="str">
        <f>IFERROR(IF(CB26&lt;&gt;"OK","",CO26*'DATA TABLES_Project'!$C$250),"")</f>
        <v/>
      </c>
      <c r="DL26" s="925" t="str">
        <f t="shared" ref="DL26" si="102">IFERROR(IF(CB26&lt;&gt;"OK","",CO26*DA26*0.92),"")</f>
        <v/>
      </c>
      <c r="DM26" s="925" t="str">
        <f>IFERROR(IF(CB26&lt;&gt;"OK","",CO26*'DATA TABLES_Project'!$C$250*DA26*0.92),"")</f>
        <v/>
      </c>
      <c r="DN26" s="925" t="str">
        <f t="shared" ref="DN26" si="103">IFERROR(IF(CB26&lt;&gt;"OK","",CO26*BV26),IF(BX26="Dual",(CO26*BW26)+((BZ26-AP26)*(BV26-BW26)),""))</f>
        <v/>
      </c>
      <c r="DO26" s="925" t="str">
        <f ca="1">IFERROR(IF(CB26&lt;&gt;"OK","",CO26*BV26*AVERAGE('DATA TABLES_Project'!$C$250:OFFSET('DATA TABLES_Project'!$C$250,BV26,0))),IF(BX26="Dual",(CO26*BW26*AVERAGE('DATA TABLES_Project'!$C$251:$C$259))+((BZ26-AP26)*(BV26-BW26)*AVERAGE('DATA TABLES_Project'!$C$260:$C$279)),""))</f>
        <v/>
      </c>
      <c r="DP26" s="925" t="str">
        <f t="shared" ref="DP26" si="104">IFERROR(IF(CB26&lt;&gt;"OK","",IF(BX26="Dual",((CO26*BW26)+(BZ26-AP26)*(BV26-BW26))*DA26*0.92,CO26*BV26*DA26*0.92)),"")</f>
        <v/>
      </c>
      <c r="DQ26" s="925" t="str">
        <f ca="1">IFERROR(IF(CB26&lt;&gt;"OK","",IF(BX26="Dual",(0.92*DA26*CO26*BW26*AVERAGE('DATA TABLES_Project'!$C$251:$C$259))+(0.92*DA26*(BZ26-AP26)*(BV26-BW26)*AVERAGE('DATA TABLES_Project'!$C$260:$C$279)),0.92*DA26*CO26*BV26*AVERAGE('DATA TABLES_Project'!$C$250:OFFSET('DATA TABLES_Project'!$C$250,BV26,0)))),"")</f>
        <v/>
      </c>
      <c r="DR26" s="980" t="str">
        <f>IFERROR(IF($CB26&lt;&gt;"OK","",CM26*'DATA TABLES_Project'!$B$290+IF(CO26&lt;0,0,CO26*'DATA TABLES_Project'!$B$291)),"")</f>
        <v/>
      </c>
      <c r="DS26" s="980" t="str">
        <f>IFERROR(IF($CB26&lt;&gt;"OK","",DD26*'DATA TABLES_Project'!$B$290+IF(DK26&lt;0,0,DK26*'DATA TABLES_Project'!$B$291)),"")</f>
        <v/>
      </c>
      <c r="DT26" s="980" t="str">
        <f>IFERROR(IF($CB26&lt;&gt;"OK","",DE26*'DATA TABLES_Project'!$B$290+IF(DL26&lt;0,0,DL26*'DATA TABLES_Project'!$B$291)),"")</f>
        <v/>
      </c>
      <c r="DU26" s="980" t="str">
        <f>IFERROR(IF($CB26&lt;&gt;"OK","",DF26*'DATA TABLES_Project'!$B$290+IF(DM26&lt;0,0,DM26*'DATA TABLES_Project'!$B$291)),"")</f>
        <v/>
      </c>
      <c r="DV26" s="980" t="str">
        <f>IFERROR(IF($CB26&lt;&gt;"OK","",DG26*'DATA TABLES_Project'!$B$290+IF(DN26&lt;0,0,DN26*'DATA TABLES_Project'!$B$291)),"")</f>
        <v/>
      </c>
      <c r="DW26" s="980" t="str">
        <f>IFERROR(IF($CB26&lt;&gt;"OK","",DH26*'DATA TABLES_Project'!$B$290+IF(DO26&lt;0,0,DO26*'DATA TABLES_Project'!$B$291)),"")</f>
        <v/>
      </c>
      <c r="DX26" s="980" t="str">
        <f>IFERROR(IF($CB26&lt;&gt;"OK","",DI26*'DATA TABLES_Project'!$B$290+IF(DP26&lt;0,0,DP26*'DATA TABLES_Project'!$B$291)),"")</f>
        <v/>
      </c>
      <c r="DY26" s="925" t="str">
        <f>IFERROR(IF($CB26&lt;&gt;"OK","",DJ26*'DATA TABLES_Project'!$B$290+IF(DQ26&lt;0,0,DQ26*'DATA TABLES_Project'!$B$291)),"")</f>
        <v/>
      </c>
      <c r="DZ26" s="925" t="str">
        <f t="shared" ref="DZ26" si="105">IFERROR(IF($CB26&lt;&gt;"OK","",AS26),"")</f>
        <v/>
      </c>
      <c r="EA26" s="925" t="str">
        <f>IFERROR(IF(CB26&lt;&gt;"OK","",CN26*'DATA TABLES_Project'!$B$250*CZ26*1.03),"")</f>
        <v/>
      </c>
      <c r="EB26" s="925" t="str">
        <f t="shared" ref="EB26" si="106">IFERROR(IF(CB26&lt;&gt;"OK","",CN26*CZ26*1.03),"")</f>
        <v/>
      </c>
      <c r="EC26" s="925" t="str">
        <f>IFERROR(IF(CB26&lt;&gt;"OK","",CZ26*DZ26*'DATA TABLES_Project'!$C$250*0.92),"")</f>
        <v/>
      </c>
      <c r="ED26" s="925" t="str">
        <f>IFERROR(IF(CB26&lt;&gt;"OK","",CZ26*DZ26*'DATA TABLES_Project'!$C$250*0.92),"")</f>
        <v/>
      </c>
      <c r="EE26" s="925" t="str">
        <f t="shared" ref="EE26" si="107">IFERROR(IF(CB26&lt;&gt;"OK","",CZ26*DZ26*0.92),"")</f>
        <v/>
      </c>
      <c r="EF26" s="925" t="str">
        <f t="shared" ref="EF26" si="108">IFERROR(IF(CB26&lt;&gt;"OK","",CZ26*DZ26*0.92),"")</f>
        <v/>
      </c>
      <c r="EG26" s="925" t="str">
        <f>IFERROR(IF($CB26&lt;&gt;"OK","",CM26*'DATA TABLES_Project'!$B$290+CO26*'DATA TABLES_Project'!$B$291),"")</f>
        <v/>
      </c>
      <c r="EH26" s="925" t="str">
        <f>IFERROR(IF($CB26&lt;&gt;"OK","",DD26*'DATA TABLES_Project'!$B$290+DK26*'DATA TABLES_Project'!$B$291),"")</f>
        <v/>
      </c>
      <c r="EI26" s="925" t="str">
        <f>IFERROR(IF($CB26&lt;&gt;"OK","",DE26*'DATA TABLES_Project'!$B$290+DL26*'DATA TABLES_Project'!$B$291),"")</f>
        <v/>
      </c>
      <c r="EJ26" s="925" t="str">
        <f>IFERROR(IF($CB26&lt;&gt;"OK","",DF26*'DATA TABLES_Project'!$B$290+DM26*'DATA TABLES_Project'!$B$291),"")</f>
        <v/>
      </c>
      <c r="EK26" s="925" t="str">
        <f>IFERROR(IF($CB26&lt;&gt;"OK","",DG26*'DATA TABLES_Project'!$B$290+DN26*'DATA TABLES_Project'!$B$291),"")</f>
        <v/>
      </c>
      <c r="EL26" s="925" t="str">
        <f>IFERROR(IF($CB26&lt;&gt;"OK","",DH26*'DATA TABLES_Project'!$B$290+DO26*'DATA TABLES_Project'!$B$291),"")</f>
        <v/>
      </c>
      <c r="EM26" s="925" t="str">
        <f>IFERROR(IF($CB26&lt;&gt;"OK","",DI26*'DATA TABLES_Project'!$B$290+DP26*'DATA TABLES_Project'!$B$291),"")</f>
        <v/>
      </c>
      <c r="EN26" s="925" t="str">
        <f>IFERROR(IF($CB26&lt;&gt;"OK","",DJ26*'DATA TABLES_Project'!$B$290+DQ26*'DATA TABLES_Project'!$B$291),"")</f>
        <v/>
      </c>
    </row>
    <row r="27" spans="1:144" customFormat="1" ht="16.350000000000001" customHeight="1">
      <c r="A27" s="462"/>
      <c r="B27" s="994"/>
      <c r="C27" s="998"/>
      <c r="D27" s="999"/>
      <c r="E27" s="1000"/>
      <c r="F27" s="964"/>
      <c r="G27" s="965"/>
      <c r="H27" s="965"/>
      <c r="I27" s="965"/>
      <c r="J27" s="965"/>
      <c r="K27" s="966"/>
      <c r="L27" s="964"/>
      <c r="M27" s="965"/>
      <c r="N27" s="965"/>
      <c r="O27" s="965"/>
      <c r="P27" s="965"/>
      <c r="Q27" s="966"/>
      <c r="R27" s="1044"/>
      <c r="S27" s="1044"/>
      <c r="T27" s="1044"/>
      <c r="U27" s="1044"/>
      <c r="V27" s="1044"/>
      <c r="W27" s="1044"/>
      <c r="X27" s="1045"/>
      <c r="Y27" s="1045"/>
      <c r="Z27" s="1045"/>
      <c r="AA27" s="1045"/>
      <c r="AB27" s="1045"/>
      <c r="AC27" s="1045"/>
      <c r="AD27" s="964"/>
      <c r="AE27" s="965"/>
      <c r="AF27" s="965"/>
      <c r="AG27" s="965"/>
      <c r="AH27" s="965"/>
      <c r="AI27" s="966"/>
      <c r="AJ27" s="952"/>
      <c r="AK27" s="953"/>
      <c r="AL27" s="954"/>
      <c r="AM27" s="952"/>
      <c r="AN27" s="953"/>
      <c r="AO27" s="954"/>
      <c r="AP27" s="958"/>
      <c r="AQ27" s="959"/>
      <c r="AR27" s="960"/>
      <c r="AS27" s="958"/>
      <c r="AT27" s="959"/>
      <c r="AU27" s="960"/>
      <c r="AV27" s="968"/>
      <c r="AW27" s="969"/>
      <c r="AX27" s="969"/>
      <c r="AY27" s="969"/>
      <c r="AZ27" s="969"/>
      <c r="BA27" s="970"/>
      <c r="BB27" s="947"/>
      <c r="BC27" s="948"/>
      <c r="BD27" s="947"/>
      <c r="BE27" s="948"/>
      <c r="BF27" s="1089"/>
      <c r="BG27" s="1090"/>
      <c r="BH27" s="1094"/>
      <c r="BI27" s="1095"/>
      <c r="BJ27" s="1096"/>
      <c r="BK27" s="1078"/>
      <c r="BL27" s="1079"/>
      <c r="BM27" s="1080"/>
      <c r="BN27" s="1084"/>
      <c r="BO27" s="1085"/>
      <c r="BP27" s="1086"/>
      <c r="BS27" s="967"/>
      <c r="BT27" s="967"/>
      <c r="BV27" s="926"/>
      <c r="BW27" s="926"/>
      <c r="BX27" s="926"/>
      <c r="BY27" s="927"/>
      <c r="BZ27" s="928"/>
      <c r="CB27" s="986"/>
      <c r="CC27" s="925"/>
      <c r="CD27" s="925"/>
      <c r="CE27" s="925"/>
      <c r="CF27" s="925"/>
      <c r="CG27" s="925"/>
      <c r="CH27" s="925"/>
      <c r="CI27" s="925"/>
      <c r="CJ27" s="977"/>
      <c r="CK27" s="977"/>
      <c r="CL27" s="977"/>
      <c r="CM27" s="977"/>
      <c r="CN27" s="977"/>
      <c r="CO27" s="977"/>
      <c r="CP27" s="977"/>
      <c r="CQ27" s="977"/>
      <c r="CR27" s="977"/>
      <c r="CS27" s="983"/>
      <c r="CT27" s="1056"/>
      <c r="CU27" s="979"/>
      <c r="CV27" s="925"/>
      <c r="CW27" s="925"/>
      <c r="CX27" s="925"/>
      <c r="CY27" s="925"/>
      <c r="CZ27" s="925"/>
      <c r="DA27" s="925"/>
      <c r="DD27" s="981"/>
      <c r="DE27" s="925"/>
      <c r="DF27" s="981"/>
      <c r="DG27" s="925"/>
      <c r="DH27" s="925"/>
      <c r="DI27" s="925"/>
      <c r="DJ27" s="925"/>
      <c r="DK27" s="925"/>
      <c r="DL27" s="925"/>
      <c r="DM27" s="925"/>
      <c r="DN27" s="925"/>
      <c r="DO27" s="925"/>
      <c r="DP27" s="925"/>
      <c r="DQ27" s="925"/>
      <c r="DR27" s="981"/>
      <c r="DS27" s="981"/>
      <c r="DT27" s="981"/>
      <c r="DU27" s="981"/>
      <c r="DV27" s="981"/>
      <c r="DW27" s="981"/>
      <c r="DX27" s="981"/>
      <c r="DY27" s="925"/>
      <c r="DZ27" s="925"/>
      <c r="EA27" s="925"/>
      <c r="EB27" s="925"/>
      <c r="EC27" s="925"/>
      <c r="ED27" s="925"/>
      <c r="EE27" s="925"/>
      <c r="EF27" s="925"/>
      <c r="EG27" s="925"/>
      <c r="EH27" s="925"/>
      <c r="EI27" s="925"/>
      <c r="EJ27" s="925"/>
      <c r="EK27" s="925"/>
      <c r="EL27" s="925"/>
      <c r="EM27" s="925"/>
      <c r="EN27" s="925"/>
    </row>
    <row r="28" spans="1:144" customFormat="1" ht="16.350000000000001" customHeight="1">
      <c r="A28" s="462"/>
      <c r="B28" s="994">
        <v>6</v>
      </c>
      <c r="C28" s="995"/>
      <c r="D28" s="996"/>
      <c r="E28" s="997"/>
      <c r="F28" s="961"/>
      <c r="G28" s="962"/>
      <c r="H28" s="962"/>
      <c r="I28" s="962"/>
      <c r="J28" s="962"/>
      <c r="K28" s="963"/>
      <c r="L28" s="961"/>
      <c r="M28" s="962"/>
      <c r="N28" s="962"/>
      <c r="O28" s="962"/>
      <c r="P28" s="962"/>
      <c r="Q28" s="963"/>
      <c r="R28" s="1044"/>
      <c r="S28" s="1044"/>
      <c r="T28" s="1044"/>
      <c r="U28" s="1044"/>
      <c r="V28" s="1044"/>
      <c r="W28" s="1044"/>
      <c r="X28" s="1045"/>
      <c r="Y28" s="1045"/>
      <c r="Z28" s="1045"/>
      <c r="AA28" s="1045"/>
      <c r="AB28" s="1045"/>
      <c r="AC28" s="1045"/>
      <c r="AD28" s="961"/>
      <c r="AE28" s="962"/>
      <c r="AF28" s="962"/>
      <c r="AG28" s="962"/>
      <c r="AH28" s="962"/>
      <c r="AI28" s="963"/>
      <c r="AJ28" s="949"/>
      <c r="AK28" s="950"/>
      <c r="AL28" s="951"/>
      <c r="AM28" s="949"/>
      <c r="AN28" s="950"/>
      <c r="AO28" s="951"/>
      <c r="AP28" s="955"/>
      <c r="AQ28" s="956"/>
      <c r="AR28" s="957"/>
      <c r="AS28" s="955"/>
      <c r="AT28" s="956"/>
      <c r="AU28" s="957"/>
      <c r="AV28" s="968"/>
      <c r="AW28" s="969"/>
      <c r="AX28" s="970"/>
      <c r="AY28" s="968"/>
      <c r="AZ28" s="969"/>
      <c r="BA28" s="970"/>
      <c r="BB28" s="945"/>
      <c r="BC28" s="946"/>
      <c r="BD28" s="945"/>
      <c r="BE28" s="946"/>
      <c r="BF28" s="1087" t="str">
        <f t="shared" ref="BF28" si="109">IF(CB28="OK",ROUND(BB28+BD28,2),"")</f>
        <v/>
      </c>
      <c r="BG28" s="1088"/>
      <c r="BH28" s="1091" t="str">
        <f t="shared" ref="BH28" si="110">IFERROR(IF(AND($CB28="OK",$CU28="OK"),$CI28,IF($CB28&lt;&gt;"OK",$CB28,$CU28)),"")</f>
        <v/>
      </c>
      <c r="BI28" s="1092"/>
      <c r="BJ28" s="1093"/>
      <c r="BK28" s="1075" t="str">
        <f t="shared" ref="BK28" si="111">IF($CB28="OK",CM28,"")</f>
        <v/>
      </c>
      <c r="BL28" s="1076"/>
      <c r="BM28" s="1077"/>
      <c r="BN28" s="1081" t="str">
        <f t="shared" ref="BN28" si="112">IF($CB28="OK",$CR28,"")</f>
        <v/>
      </c>
      <c r="BO28" s="1082"/>
      <c r="BP28" s="1083"/>
      <c r="BS28" s="967"/>
      <c r="BT28" s="967"/>
      <c r="BV28" s="926" t="str">
        <f t="shared" ref="BV28" si="113">IFERROR(ROUND(IF(AND(CB28="OK",CU28="OK"),CT28,""),0),"")</f>
        <v/>
      </c>
      <c r="BW28" s="926" t="str">
        <f t="shared" ref="BW28" si="114">IFERROR(ROUND(IF(AND(CB28="OK",CU28="OK"),BV28/3,""),0),"")</f>
        <v/>
      </c>
      <c r="BX28" s="926"/>
      <c r="BY28" s="927"/>
      <c r="BZ28" s="928"/>
      <c r="CB28" s="986" t="str">
        <f>IF(AND(C28="",F28="",R28="",AD28="",U28="",X28="",L28="",AJ28="",AV28="",AM28="",AP28="",AY28="",AV29="",BB28="",BD28="",AA28="",AS28=""),"",
IF(OR(C28="",F28="",R28="",AD28="",U28="",X28="",L28="",AJ28="",AV28="",AM28="",AP28="",AY28="",AV29="",BB28="",BD28="",AA28="",AS28=""),"Missing Fields",
IF(AND(M02S04F04disp="Required",M02S04F04=""),"TA Info Incomplete",
"OK")))</f>
        <v/>
      </c>
      <c r="CC28" s="925" t="str">
        <f>IF(AND(CB28="OK",CU28="OK"),INDEX(Tbl_Cust_Plug[Measure Number], MATCH(F28,Tbl_Cust_Plug[Proj Desc 1],0)),"")</f>
        <v/>
      </c>
      <c r="CD28" s="925"/>
      <c r="CE28" s="925" t="str">
        <f t="shared" ref="CE28" si="115">IF(CB28="OK","Measure","")</f>
        <v/>
      </c>
      <c r="CF28" s="925" t="str">
        <f t="shared" ref="CF28" si="116">IF(CB28="OK",1,"")</f>
        <v/>
      </c>
      <c r="CG28" s="978" t="str">
        <f t="shared" ref="CG28" si="117">IFERROR(CI28/CF28,"")</f>
        <v/>
      </c>
      <c r="CH28" s="978" t="str">
        <f>IF(CB28="OK",IF(CM28&gt;0,CM28*Incent_Rate_kWh,0)+IF(CO28&gt;0,CO28*Incent_Rate_thm,0),"")</f>
        <v/>
      </c>
      <c r="CI28" s="978" t="str">
        <f>IFERROR(IF($CB28="OK",IF(INCENTTOCOST_CUST&gt;CostCap_Cust,
CH28*CostCap_Cust/INCENTTOCOST_CUST,CH28),""),"")</f>
        <v/>
      </c>
      <c r="CJ28" s="977">
        <f t="shared" ref="CJ28" si="118">CM28</f>
        <v>0</v>
      </c>
      <c r="CK28" s="977">
        <f t="shared" ref="CK28" si="119">CN28</f>
        <v>0</v>
      </c>
      <c r="CL28" s="977">
        <f t="shared" ref="CL28" si="120">CO28</f>
        <v>0</v>
      </c>
      <c r="CM28" s="977">
        <f>R28-AJ28</f>
        <v>0</v>
      </c>
      <c r="CN28" s="977">
        <f>U28-AM28</f>
        <v>0</v>
      </c>
      <c r="CO28" s="977">
        <f t="shared" ref="CO28" si="121">IF(CR28&gt;0,CR28,0)</f>
        <v>0</v>
      </c>
      <c r="CP28" s="977">
        <f t="shared" ref="CP28" si="122">CM28</f>
        <v>0</v>
      </c>
      <c r="CQ28" s="977">
        <f t="shared" ref="CQ28" si="123">CN28</f>
        <v>0</v>
      </c>
      <c r="CR28" s="977">
        <f>X28-AP28</f>
        <v>0</v>
      </c>
      <c r="CS28" s="983"/>
      <c r="CT28" s="1056" t="str">
        <f>IF(CB28="OK",INDEX(Tbl_Cust_Plug[EUL], MATCH(F28,Tbl_Cust_Plug[Proj Desc 1],0)),"")</f>
        <v/>
      </c>
      <c r="CU28" s="979" t="str">
        <f t="shared" ref="CU28" si="124">IFERROR(IF(AND($CM28&lt;=0,$CN28&lt;=0,$CO28&lt;=0),"No Savings","OK"),"")</f>
        <v>No Savings</v>
      </c>
      <c r="CV28" s="925" t="str">
        <f t="shared" ref="CV28" si="125">IF(AND(CB28="OK",CU28="OK"),"1","")</f>
        <v/>
      </c>
      <c r="CW28" s="925" t="str">
        <f>IFERROR(IF($CB28="OK",ROUND($AQ$14*SUM(BB28:BE29)/SUM($BF$18:$BG$37),2),""),"")</f>
        <v/>
      </c>
      <c r="CX28" s="925" t="str">
        <f>IFERROR(IF(M02S04F04="Customer/Self-Installed",CW28,IF($CB28="OK",CW28+BD28,"")),"")</f>
        <v/>
      </c>
      <c r="CY28" s="925" t="str">
        <f>IFERROR(IF($CB28="OK",CX28+BB28,""),"")</f>
        <v/>
      </c>
      <c r="CZ28" s="925" t="str">
        <f>IF(CB28="OK",INDEX(MEASURES3_M!$O$46, MATCH(F28,MEASURES3_M!$C$46,0)),"")</f>
        <v/>
      </c>
      <c r="DA28" s="925" t="str">
        <f>IF(CB28="OK",INDEX(MEASURES3_M!$P$46, MATCH(F28,MEASURES3_M!$C$46,0)),"")</f>
        <v/>
      </c>
      <c r="DD28" s="980" t="str">
        <f>IFERROR(IF(CB28&lt;&gt;"OK","",CM28*VLOOKUP('DATA TABLES_Project'!$C$247,'DATA TABLES_Project'!$A$250:$B$285,2,FALSE)),"")</f>
        <v/>
      </c>
      <c r="DE28" s="925" t="str">
        <f t="shared" ref="DE28" si="126">IFERROR(IF(CB28&lt;&gt;"OK","",CM28*CZ28*0.92),"")</f>
        <v/>
      </c>
      <c r="DF28" s="980" t="str">
        <f>IFERROR(IF(CB28&lt;&gt;"OK","",CM28*CZ28*0.92*VLOOKUP('DATA TABLES_Project'!$C$247,'DATA TABLES_Project'!$A$250:$B$285,2,FALSE)),"")</f>
        <v/>
      </c>
      <c r="DG28" s="925" t="str">
        <f t="shared" ref="DG28" si="127">IFERROR(IF(CB28&lt;&gt;"OK","",CM28*BV28),IF(BX28="Dual",(CM28*BW28)+((BY28-AJ28)*(BV28-BW28)),""))</f>
        <v/>
      </c>
      <c r="DH28" s="925" t="str">
        <f ca="1">IFERROR(IF(CB28&lt;&gt;"OK","",IF(OR(BX28="Single",BX28=""), CM28*BV28*AVERAGE(INDEX('DATA TABLES_Project'!$B$250:$B$285, MATCH('DATA TABLES_Project'!$C$247,'DATA TABLES_Project'!$A$250:$A$285, 0)):OFFSET(INDEX('DATA TABLES_Project'!$B$250:$B$285, MATCH('DATA TABLES_Project'!$C$247,'DATA TABLES_Project'!$A$250:$A$285, 0)),BV28-1,0)),CM28*BW28*AVERAGE(INDEX('DATA TABLES_Project'!$B$250:$B$285, MATCH('DATA TABLES_Project'!$C$247,'DATA TABLES_Project'!$A$250:$A$285, 0)):OFFSET(INDEX('DATA TABLES_Project'!$B$250:$B$285, MATCH('DATA TABLES_Project'!$C$247,'DATA TABLES_Project'!$A$250:$A$285, 0)),BW28-1,0)) + ((BY28-AJ28)*(BV28-BW28)*AVERAGE(OFFSET(INDEX('DATA TABLES_Project'!$B$250:$B$285, MATCH('DATA TABLES_Project'!$C$247,'DATA TABLES_Project'!$A$250:$A$285, 0)),BW28,0):OFFSET(INDEX('DATA TABLES_Project'!$B$250:$B$285, MATCH('DATA TABLES_Project'!$C$247,'DATA TABLES_Project'!$A$250:$A$285, 0)),BV28-1,0))))), "")</f>
        <v/>
      </c>
      <c r="DI28" s="925" t="str">
        <f t="shared" ref="DI28" si="128">IFERROR(IF(CB28&lt;&gt;"OK","",IF(BX28="Dual",(CM28*BW28)+((BY28-AJ28)*(BV28-BW28))*CZ28*0.92,CM28*CZ28*BV28*0.92)),"")</f>
        <v/>
      </c>
      <c r="DJ28" s="925" t="str">
        <f ca="1">IFERROR(IF(CB28&lt;&gt;"OK","",IF(OR(BX28="Single",BX28=""),0.92*CZ28*CM28*BV28*AVERAGE(INDEX('DATA TABLES_Project'!$B$250:$B$285, MATCH('DATA TABLES_Project'!$C$247,'DATA TABLES_Project'!$A$250:$A$285, 0)):OFFSET(INDEX('DATA TABLES_Project'!$B$250:$B$285, MATCH('DATA TABLES_Project'!$C$247,'DATA TABLES_Project'!$A$250:$A$285, 0)),BV28-1,0)),0.92*CZ28*CM28*BW28*AVERAGE(INDEX('DATA TABLES_Project'!$B$250:$B$285, MATCH('DATA TABLES_Project'!$C$247,'DATA TABLES_Project'!$A$250:$A$285, 0)):OFFSET(INDEX('DATA TABLES_Project'!$B$250:$B$285, MATCH('DATA TABLES_Project'!$C$247,'DATA TABLES_Project'!$A$250:$A$285, 0)),BW28-1,0)) + (0.92*CZ28*(BY28-AJ28)*(BV28-BW28)*AVERAGE(OFFSET(INDEX('DATA TABLES_Project'!$B$250:$B$285, MATCH('DATA TABLES_Project'!$C$247,'DATA TABLES_Project'!$A$250:$A$285, 0)),BW28,0):OFFSET(INDEX('DATA TABLES_Project'!$B$250:$B$285, MATCH('DATA TABLES_Project'!$C$247,'DATA TABLES_Project'!$A$250:$A$285, 0)),BV28-1,0))))), "")</f>
        <v/>
      </c>
      <c r="DK28" s="925" t="str">
        <f>IFERROR(IF(CB28&lt;&gt;"OK","",CO28*'DATA TABLES_Project'!$C$250),"")</f>
        <v/>
      </c>
      <c r="DL28" s="925" t="str">
        <f t="shared" ref="DL28" si="129">IFERROR(IF(CB28&lt;&gt;"OK","",CO28*DA28*0.92),"")</f>
        <v/>
      </c>
      <c r="DM28" s="925" t="str">
        <f>IFERROR(IF(CB28&lt;&gt;"OK","",CO28*'DATA TABLES_Project'!$C$250*DA28*0.92),"")</f>
        <v/>
      </c>
      <c r="DN28" s="925" t="str">
        <f t="shared" ref="DN28" si="130">IFERROR(IF(CB28&lt;&gt;"OK","",CO28*BV28),IF(BX28="Dual",(CO28*BW28)+((BZ28-AP28)*(BV28-BW28)),""))</f>
        <v/>
      </c>
      <c r="DO28" s="925" t="str">
        <f ca="1">IFERROR(IF(CB28&lt;&gt;"OK","",CO28*BV28*AVERAGE('DATA TABLES_Project'!$C$250:OFFSET('DATA TABLES_Project'!$C$250,BV28,0))),IF(BX28="Dual",(CO28*BW28*AVERAGE('DATA TABLES_Project'!$C$251:$C$259))+((BZ28-AP28)*(BV28-BW28)*AVERAGE('DATA TABLES_Project'!$C$260:$C$279)),""))</f>
        <v/>
      </c>
      <c r="DP28" s="925" t="str">
        <f t="shared" ref="DP28" si="131">IFERROR(IF(CB28&lt;&gt;"OK","",IF(BX28="Dual",((CO28*BW28)+(BZ28-AP28)*(BV28-BW28))*DA28*0.92,CO28*BV28*DA28*0.92)),"")</f>
        <v/>
      </c>
      <c r="DQ28" s="925" t="str">
        <f ca="1">IFERROR(IF(CB28&lt;&gt;"OK","",IF(BX28="Dual",(0.92*DA28*CO28*BW28*AVERAGE('DATA TABLES_Project'!$C$251:$C$259))+(0.92*DA28*(BZ28-AP28)*(BV28-BW28)*AVERAGE('DATA TABLES_Project'!$C$260:$C$279)),0.92*DA28*CO28*BV28*AVERAGE('DATA TABLES_Project'!$C$250:OFFSET('DATA TABLES_Project'!$C$250,BV28,0)))),"")</f>
        <v/>
      </c>
      <c r="DR28" s="980" t="str">
        <f>IFERROR(IF($CB28&lt;&gt;"OK","",CM28*'DATA TABLES_Project'!$B$290+IF(CO28&lt;0,0,CO28*'DATA TABLES_Project'!$B$291)),"")</f>
        <v/>
      </c>
      <c r="DS28" s="980" t="str">
        <f>IFERROR(IF($CB28&lt;&gt;"OK","",DD28*'DATA TABLES_Project'!$B$290+IF(DK28&lt;0,0,DK28*'DATA TABLES_Project'!$B$291)),"")</f>
        <v/>
      </c>
      <c r="DT28" s="980" t="str">
        <f>IFERROR(IF($CB28&lt;&gt;"OK","",DE28*'DATA TABLES_Project'!$B$290+IF(DL28&lt;0,0,DL28*'DATA TABLES_Project'!$B$291)),"")</f>
        <v/>
      </c>
      <c r="DU28" s="980" t="str">
        <f>IFERROR(IF($CB28&lt;&gt;"OK","",DF28*'DATA TABLES_Project'!$B$290+IF(DM28&lt;0,0,DM28*'DATA TABLES_Project'!$B$291)),"")</f>
        <v/>
      </c>
      <c r="DV28" s="980" t="str">
        <f>IFERROR(IF($CB28&lt;&gt;"OK","",DG28*'DATA TABLES_Project'!$B$290+IF(DN28&lt;0,0,DN28*'DATA TABLES_Project'!$B$291)),"")</f>
        <v/>
      </c>
      <c r="DW28" s="980" t="str">
        <f>IFERROR(IF($CB28&lt;&gt;"OK","",DH28*'DATA TABLES_Project'!$B$290+IF(DO28&lt;0,0,DO28*'DATA TABLES_Project'!$B$291)),"")</f>
        <v/>
      </c>
      <c r="DX28" s="980" t="str">
        <f>IFERROR(IF($CB28&lt;&gt;"OK","",DI28*'DATA TABLES_Project'!$B$290+IF(DP28&lt;0,0,DP28*'DATA TABLES_Project'!$B$291)),"")</f>
        <v/>
      </c>
      <c r="DY28" s="925" t="str">
        <f>IFERROR(IF($CB28&lt;&gt;"OK","",DJ28*'DATA TABLES_Project'!$B$290+IF(DQ28&lt;0,0,DQ28*'DATA TABLES_Project'!$B$291)),"")</f>
        <v/>
      </c>
      <c r="DZ28" s="925" t="str">
        <f t="shared" ref="DZ28" si="132">IFERROR(IF($CB28&lt;&gt;"OK","",AS28),"")</f>
        <v/>
      </c>
      <c r="EA28" s="925" t="str">
        <f>IFERROR(IF(CB28&lt;&gt;"OK","",CN28*'DATA TABLES_Project'!$B$250*CZ28*1.03),"")</f>
        <v/>
      </c>
      <c r="EB28" s="925" t="str">
        <f t="shared" ref="EB28" si="133">IFERROR(IF(CB28&lt;&gt;"OK","",CN28*CZ28*1.03),"")</f>
        <v/>
      </c>
      <c r="EC28" s="925" t="str">
        <f>IFERROR(IF(CB28&lt;&gt;"OK","",CZ28*DZ28*'DATA TABLES_Project'!$C$250*0.92),"")</f>
        <v/>
      </c>
      <c r="ED28" s="925" t="str">
        <f>IFERROR(IF(CB28&lt;&gt;"OK","",CZ28*DZ28*'DATA TABLES_Project'!$C$250*0.92),"")</f>
        <v/>
      </c>
      <c r="EE28" s="925" t="str">
        <f t="shared" ref="EE28" si="134">IFERROR(IF(CB28&lt;&gt;"OK","",CZ28*DZ28*0.92),"")</f>
        <v/>
      </c>
      <c r="EF28" s="925" t="str">
        <f t="shared" ref="EF28" si="135">IFERROR(IF(CB28&lt;&gt;"OK","",CZ28*DZ28*0.92),"")</f>
        <v/>
      </c>
      <c r="EG28" s="925" t="str">
        <f>IFERROR(IF($CB28&lt;&gt;"OK","",CM28*'DATA TABLES_Project'!$B$290+CO28*'DATA TABLES_Project'!$B$291),"")</f>
        <v/>
      </c>
      <c r="EH28" s="925" t="str">
        <f>IFERROR(IF($CB28&lt;&gt;"OK","",DD28*'DATA TABLES_Project'!$B$290+DK28*'DATA TABLES_Project'!$B$291),"")</f>
        <v/>
      </c>
      <c r="EI28" s="925" t="str">
        <f>IFERROR(IF($CB28&lt;&gt;"OK","",DE28*'DATA TABLES_Project'!$B$290+DL28*'DATA TABLES_Project'!$B$291),"")</f>
        <v/>
      </c>
      <c r="EJ28" s="925" t="str">
        <f>IFERROR(IF($CB28&lt;&gt;"OK","",DF28*'DATA TABLES_Project'!$B$290+DM28*'DATA TABLES_Project'!$B$291),"")</f>
        <v/>
      </c>
      <c r="EK28" s="925" t="str">
        <f>IFERROR(IF($CB28&lt;&gt;"OK","",DG28*'DATA TABLES_Project'!$B$290+DN28*'DATA TABLES_Project'!$B$291),"")</f>
        <v/>
      </c>
      <c r="EL28" s="925" t="str">
        <f>IFERROR(IF($CB28&lt;&gt;"OK","",DH28*'DATA TABLES_Project'!$B$290+DO28*'DATA TABLES_Project'!$B$291),"")</f>
        <v/>
      </c>
      <c r="EM28" s="925" t="str">
        <f>IFERROR(IF($CB28&lt;&gt;"OK","",DI28*'DATA TABLES_Project'!$B$290+DP28*'DATA TABLES_Project'!$B$291),"")</f>
        <v/>
      </c>
      <c r="EN28" s="925" t="str">
        <f>IFERROR(IF($CB28&lt;&gt;"OK","",DJ28*'DATA TABLES_Project'!$B$290+DQ28*'DATA TABLES_Project'!$B$291),"")</f>
        <v/>
      </c>
    </row>
    <row r="29" spans="1:144" customFormat="1" ht="16.350000000000001" customHeight="1">
      <c r="A29" s="462"/>
      <c r="B29" s="994"/>
      <c r="C29" s="998"/>
      <c r="D29" s="999"/>
      <c r="E29" s="1000"/>
      <c r="F29" s="964"/>
      <c r="G29" s="965"/>
      <c r="H29" s="965"/>
      <c r="I29" s="965"/>
      <c r="J29" s="965"/>
      <c r="K29" s="966"/>
      <c r="L29" s="964"/>
      <c r="M29" s="965"/>
      <c r="N29" s="965"/>
      <c r="O29" s="965"/>
      <c r="P29" s="965"/>
      <c r="Q29" s="966"/>
      <c r="R29" s="1044"/>
      <c r="S29" s="1044"/>
      <c r="T29" s="1044"/>
      <c r="U29" s="1044"/>
      <c r="V29" s="1044"/>
      <c r="W29" s="1044"/>
      <c r="X29" s="1045"/>
      <c r="Y29" s="1045"/>
      <c r="Z29" s="1045"/>
      <c r="AA29" s="1045"/>
      <c r="AB29" s="1045"/>
      <c r="AC29" s="1045"/>
      <c r="AD29" s="964"/>
      <c r="AE29" s="965"/>
      <c r="AF29" s="965"/>
      <c r="AG29" s="965"/>
      <c r="AH29" s="965"/>
      <c r="AI29" s="966"/>
      <c r="AJ29" s="952"/>
      <c r="AK29" s="953"/>
      <c r="AL29" s="954"/>
      <c r="AM29" s="952"/>
      <c r="AN29" s="953"/>
      <c r="AO29" s="954"/>
      <c r="AP29" s="958"/>
      <c r="AQ29" s="959"/>
      <c r="AR29" s="960"/>
      <c r="AS29" s="958"/>
      <c r="AT29" s="959"/>
      <c r="AU29" s="960"/>
      <c r="AV29" s="968"/>
      <c r="AW29" s="969"/>
      <c r="AX29" s="969"/>
      <c r="AY29" s="969"/>
      <c r="AZ29" s="969"/>
      <c r="BA29" s="970"/>
      <c r="BB29" s="947"/>
      <c r="BC29" s="948"/>
      <c r="BD29" s="947"/>
      <c r="BE29" s="948"/>
      <c r="BF29" s="1089"/>
      <c r="BG29" s="1090"/>
      <c r="BH29" s="1094"/>
      <c r="BI29" s="1095"/>
      <c r="BJ29" s="1096"/>
      <c r="BK29" s="1078"/>
      <c r="BL29" s="1079"/>
      <c r="BM29" s="1080"/>
      <c r="BN29" s="1084"/>
      <c r="BO29" s="1085"/>
      <c r="BP29" s="1086"/>
      <c r="BS29" s="967"/>
      <c r="BT29" s="967"/>
      <c r="BV29" s="926"/>
      <c r="BW29" s="926"/>
      <c r="BX29" s="926"/>
      <c r="BY29" s="927"/>
      <c r="BZ29" s="928"/>
      <c r="CB29" s="986"/>
      <c r="CC29" s="925"/>
      <c r="CD29" s="925"/>
      <c r="CE29" s="925"/>
      <c r="CF29" s="925"/>
      <c r="CG29" s="925"/>
      <c r="CH29" s="925"/>
      <c r="CI29" s="925"/>
      <c r="CJ29" s="977"/>
      <c r="CK29" s="977"/>
      <c r="CL29" s="977"/>
      <c r="CM29" s="977"/>
      <c r="CN29" s="977"/>
      <c r="CO29" s="977"/>
      <c r="CP29" s="977"/>
      <c r="CQ29" s="977"/>
      <c r="CR29" s="977"/>
      <c r="CS29" s="983"/>
      <c r="CT29" s="1056"/>
      <c r="CU29" s="979"/>
      <c r="CV29" s="925"/>
      <c r="CW29" s="925"/>
      <c r="CX29" s="925"/>
      <c r="CY29" s="925"/>
      <c r="CZ29" s="925"/>
      <c r="DA29" s="925"/>
      <c r="DD29" s="981"/>
      <c r="DE29" s="925"/>
      <c r="DF29" s="981"/>
      <c r="DG29" s="925"/>
      <c r="DH29" s="925"/>
      <c r="DI29" s="925"/>
      <c r="DJ29" s="925"/>
      <c r="DK29" s="925"/>
      <c r="DL29" s="925"/>
      <c r="DM29" s="925"/>
      <c r="DN29" s="925"/>
      <c r="DO29" s="925"/>
      <c r="DP29" s="925"/>
      <c r="DQ29" s="925"/>
      <c r="DR29" s="981"/>
      <c r="DS29" s="981"/>
      <c r="DT29" s="981"/>
      <c r="DU29" s="981"/>
      <c r="DV29" s="981"/>
      <c r="DW29" s="981"/>
      <c r="DX29" s="981"/>
      <c r="DY29" s="925"/>
      <c r="DZ29" s="925"/>
      <c r="EA29" s="925"/>
      <c r="EB29" s="925"/>
      <c r="EC29" s="925"/>
      <c r="ED29" s="925"/>
      <c r="EE29" s="925"/>
      <c r="EF29" s="925"/>
      <c r="EG29" s="925"/>
      <c r="EH29" s="925"/>
      <c r="EI29" s="925"/>
      <c r="EJ29" s="925"/>
      <c r="EK29" s="925"/>
      <c r="EL29" s="925"/>
      <c r="EM29" s="925"/>
      <c r="EN29" s="925"/>
    </row>
    <row r="30" spans="1:144" customFormat="1" ht="15.75" customHeight="1">
      <c r="A30" s="462"/>
      <c r="B30" s="994">
        <v>7</v>
      </c>
      <c r="C30" s="995"/>
      <c r="D30" s="996"/>
      <c r="E30" s="997"/>
      <c r="F30" s="961"/>
      <c r="G30" s="962"/>
      <c r="H30" s="962"/>
      <c r="I30" s="962"/>
      <c r="J30" s="962"/>
      <c r="K30" s="963"/>
      <c r="L30" s="961"/>
      <c r="M30" s="962"/>
      <c r="N30" s="962"/>
      <c r="O30" s="962"/>
      <c r="P30" s="962"/>
      <c r="Q30" s="963"/>
      <c r="R30" s="1044"/>
      <c r="S30" s="1044"/>
      <c r="T30" s="1044"/>
      <c r="U30" s="1044"/>
      <c r="V30" s="1044"/>
      <c r="W30" s="1044"/>
      <c r="X30" s="1045"/>
      <c r="Y30" s="1045"/>
      <c r="Z30" s="1045"/>
      <c r="AA30" s="1045"/>
      <c r="AB30" s="1045"/>
      <c r="AC30" s="1045"/>
      <c r="AD30" s="961"/>
      <c r="AE30" s="962"/>
      <c r="AF30" s="962"/>
      <c r="AG30" s="962"/>
      <c r="AH30" s="962"/>
      <c r="AI30" s="963"/>
      <c r="AJ30" s="949"/>
      <c r="AK30" s="950"/>
      <c r="AL30" s="951"/>
      <c r="AM30" s="949"/>
      <c r="AN30" s="950"/>
      <c r="AO30" s="951"/>
      <c r="AP30" s="955"/>
      <c r="AQ30" s="956"/>
      <c r="AR30" s="957"/>
      <c r="AS30" s="955"/>
      <c r="AT30" s="956"/>
      <c r="AU30" s="957"/>
      <c r="AV30" s="968"/>
      <c r="AW30" s="969"/>
      <c r="AX30" s="970"/>
      <c r="AY30" s="968"/>
      <c r="AZ30" s="969"/>
      <c r="BA30" s="970"/>
      <c r="BB30" s="945"/>
      <c r="BC30" s="946"/>
      <c r="BD30" s="945"/>
      <c r="BE30" s="946"/>
      <c r="BF30" s="1087" t="str">
        <f t="shared" ref="BF30" si="136">IF(CB30="OK",ROUND(BB30+BD30,2),"")</f>
        <v/>
      </c>
      <c r="BG30" s="1088"/>
      <c r="BH30" s="1091" t="str">
        <f t="shared" ref="BH30" si="137">IFERROR(IF(AND($CB30="OK",$CU30="OK"),$CI30,IF($CB30&lt;&gt;"OK",$CB30,$CU30)),"")</f>
        <v/>
      </c>
      <c r="BI30" s="1092"/>
      <c r="BJ30" s="1093"/>
      <c r="BK30" s="1075" t="str">
        <f t="shared" ref="BK30" si="138">IF($CB30="OK",CM30,"")</f>
        <v/>
      </c>
      <c r="BL30" s="1076"/>
      <c r="BM30" s="1077"/>
      <c r="BN30" s="1081" t="str">
        <f t="shared" ref="BN30" si="139">IF($CB30="OK",$CR30,"")</f>
        <v/>
      </c>
      <c r="BO30" s="1082"/>
      <c r="BP30" s="1083"/>
      <c r="BS30" s="967"/>
      <c r="BT30" s="967"/>
      <c r="BV30" s="926" t="str">
        <f t="shared" ref="BV30" si="140">IFERROR(ROUND(IF(AND(CB30="OK",CU30="OK"),CT30,""),0),"")</f>
        <v/>
      </c>
      <c r="BW30" s="926" t="str">
        <f t="shared" ref="BW30" si="141">IFERROR(ROUND(IF(AND(CB30="OK",CU30="OK"),BV30/3,""),0),"")</f>
        <v/>
      </c>
      <c r="BX30" s="926"/>
      <c r="BY30" s="927"/>
      <c r="BZ30" s="928"/>
      <c r="CB30" s="986" t="str">
        <f>IF(AND(C30="",F30="",R30="",AD30="",U30="",X30="",L30="",AJ30="",AV30="",AM30="",AP30="",AY30="",AV31="",BB30="",BD30="",AA30="",AS30=""),"",
IF(OR(C30="",F30="",R30="",AD30="",U30="",X30="",L30="",AJ30="",AV30="",AM30="",AP30="",AY30="",AV31="",BB30="",BD30="",AA30="",AS30=""),"Missing Fields",
IF(AND(M02S04F04disp="Required",M02S04F04=""),"TA Info Incomplete",
"OK")))</f>
        <v/>
      </c>
      <c r="CC30" s="925" t="str">
        <f>IF(AND(CB30="OK",CU30="OK"),INDEX(Tbl_Cust_Plug[Measure Number], MATCH(F30,Tbl_Cust_Plug[Proj Desc 1],0)),"")</f>
        <v/>
      </c>
      <c r="CD30" s="925"/>
      <c r="CE30" s="925" t="str">
        <f t="shared" ref="CE30" si="142">IF(CB30="OK","Measure","")</f>
        <v/>
      </c>
      <c r="CF30" s="925" t="str">
        <f t="shared" ref="CF30" si="143">IF(CB30="OK",1,"")</f>
        <v/>
      </c>
      <c r="CG30" s="978" t="str">
        <f t="shared" ref="CG30" si="144">IFERROR(CI30/CF30,"")</f>
        <v/>
      </c>
      <c r="CH30" s="978" t="str">
        <f>IF(CB30="OK",IF(CM30&gt;0,CM30*Incent_Rate_kWh,0)+IF(CO30&gt;0,CO30*Incent_Rate_thm,0),"")</f>
        <v/>
      </c>
      <c r="CI30" s="978" t="str">
        <f>IFERROR(IF($CB30="OK",IF(INCENTTOCOST_CUST&gt;CostCap_Cust,
CH30*CostCap_Cust/INCENTTOCOST_CUST,CH30),""),"")</f>
        <v/>
      </c>
      <c r="CJ30" s="977">
        <f t="shared" ref="CJ30" si="145">CM30</f>
        <v>0</v>
      </c>
      <c r="CK30" s="977">
        <f t="shared" ref="CK30" si="146">CN30</f>
        <v>0</v>
      </c>
      <c r="CL30" s="977">
        <f t="shared" ref="CL30" si="147">CO30</f>
        <v>0</v>
      </c>
      <c r="CM30" s="977">
        <f>R30-AJ30</f>
        <v>0</v>
      </c>
      <c r="CN30" s="977">
        <f>U30-AM30</f>
        <v>0</v>
      </c>
      <c r="CO30" s="977">
        <f t="shared" ref="CO30" si="148">IF(CR30&gt;0,CR30,0)</f>
        <v>0</v>
      </c>
      <c r="CP30" s="977">
        <f t="shared" ref="CP30" si="149">CM30</f>
        <v>0</v>
      </c>
      <c r="CQ30" s="977">
        <f t="shared" ref="CQ30" si="150">CN30</f>
        <v>0</v>
      </c>
      <c r="CR30" s="977">
        <f>X30-AP30</f>
        <v>0</v>
      </c>
      <c r="CS30" s="983"/>
      <c r="CT30" s="1056" t="str">
        <f>IF(CB30="OK",INDEX(Tbl_Cust_Plug[EUL], MATCH(F30,Tbl_Cust_Plug[Proj Desc 1],0)),"")</f>
        <v/>
      </c>
      <c r="CU30" s="979" t="str">
        <f t="shared" ref="CU30" si="151">IFERROR(IF(AND($CM30&lt;=0,$CN30&lt;=0,$CO30&lt;=0),"No Savings","OK"),"")</f>
        <v>No Savings</v>
      </c>
      <c r="CV30" s="925" t="str">
        <f t="shared" ref="CV30" si="152">IF(AND(CB30="OK",CU30="OK"),"1","")</f>
        <v/>
      </c>
      <c r="CW30" s="925" t="str">
        <f>IFERROR(IF($CB30="OK",ROUND($AQ$14*SUM(BB30:BE31)/SUM($BF$18:$BG$37),2),""),"")</f>
        <v/>
      </c>
      <c r="CX30" s="925" t="str">
        <f>IFERROR(IF(M02S04F04="Customer/Self-Installed",CW30,IF($CB30="OK",CW30+BD30,"")),"")</f>
        <v/>
      </c>
      <c r="CY30" s="925" t="str">
        <f>IFERROR(IF($CB30="OK",CX30+BB30,""),"")</f>
        <v/>
      </c>
      <c r="CZ30" s="925" t="str">
        <f>IF(CB30="OK",INDEX(MEASURES3_M!$O$46, MATCH(F30,MEASURES3_M!$C$46,0)),"")</f>
        <v/>
      </c>
      <c r="DA30" s="925" t="str">
        <f>IF(CB30="OK",INDEX(MEASURES3_M!$P$46, MATCH(F30,MEASURES3_M!$C$46,0)),"")</f>
        <v/>
      </c>
      <c r="DD30" s="980" t="str">
        <f>IFERROR(IF(CB30&lt;&gt;"OK","",CM30*VLOOKUP('DATA TABLES_Project'!$C$247,'DATA TABLES_Project'!$A$250:$B$285,2,FALSE)),"")</f>
        <v/>
      </c>
      <c r="DE30" s="925" t="str">
        <f t="shared" ref="DE30" si="153">IFERROR(IF(CB30&lt;&gt;"OK","",CM30*CZ30*0.92),"")</f>
        <v/>
      </c>
      <c r="DF30" s="980" t="str">
        <f>IFERROR(IF(CB30&lt;&gt;"OK","",CM30*CZ30*0.92*VLOOKUP('DATA TABLES_Project'!$C$247,'DATA TABLES_Project'!$A$250:$B$285,2,FALSE)),"")</f>
        <v/>
      </c>
      <c r="DG30" s="925" t="str">
        <f t="shared" ref="DG30" si="154">IFERROR(IF(CB30&lt;&gt;"OK","",CM30*BV30),IF(BX30="Dual",(CM30*BW30)+((BY30-AJ30)*(BV30-BW30)),""))</f>
        <v/>
      </c>
      <c r="DH30" s="925" t="str">
        <f ca="1">IFERROR(IF(CB30&lt;&gt;"OK","",IF(OR(BX30="Single",BX30=""), CM30*BV30*AVERAGE(INDEX('DATA TABLES_Project'!$B$250:$B$285, MATCH('DATA TABLES_Project'!$C$247,'DATA TABLES_Project'!$A$250:$A$285, 0)):OFFSET(INDEX('DATA TABLES_Project'!$B$250:$B$285, MATCH('DATA TABLES_Project'!$C$247,'DATA TABLES_Project'!$A$250:$A$285, 0)),BV30-1,0)),CM30*BW30*AVERAGE(INDEX('DATA TABLES_Project'!$B$250:$B$285, MATCH('DATA TABLES_Project'!$C$247,'DATA TABLES_Project'!$A$250:$A$285, 0)):OFFSET(INDEX('DATA TABLES_Project'!$B$250:$B$285, MATCH('DATA TABLES_Project'!$C$247,'DATA TABLES_Project'!$A$250:$A$285, 0)),BW30-1,0)) + ((BY30-AJ30)*(BV30-BW30)*AVERAGE(OFFSET(INDEX('DATA TABLES_Project'!$B$250:$B$285, MATCH('DATA TABLES_Project'!$C$247,'DATA TABLES_Project'!$A$250:$A$285, 0)),BW30,0):OFFSET(INDEX('DATA TABLES_Project'!$B$250:$B$285, MATCH('DATA TABLES_Project'!$C$247,'DATA TABLES_Project'!$A$250:$A$285, 0)),BV30-1,0))))), "")</f>
        <v/>
      </c>
      <c r="DI30" s="925" t="str">
        <f t="shared" ref="DI30" si="155">IFERROR(IF(CB30&lt;&gt;"OK","",IF(BX30="Dual",(CM30*BW30)+((BY30-AJ30)*(BV30-BW30))*CZ30*0.92,CM30*CZ30*BV30*0.92)),"")</f>
        <v/>
      </c>
      <c r="DJ30" s="925" t="str">
        <f ca="1">IFERROR(IF(CB30&lt;&gt;"OK","",IF(OR(BX30="Single",BX30=""),0.92*CZ30*CM30*BV30*AVERAGE(INDEX('DATA TABLES_Project'!$B$250:$B$285, MATCH('DATA TABLES_Project'!$C$247,'DATA TABLES_Project'!$A$250:$A$285, 0)):OFFSET(INDEX('DATA TABLES_Project'!$B$250:$B$285, MATCH('DATA TABLES_Project'!$C$247,'DATA TABLES_Project'!$A$250:$A$285, 0)),BV30-1,0)),0.92*CZ30*CM30*BW30*AVERAGE(INDEX('DATA TABLES_Project'!$B$250:$B$285, MATCH('DATA TABLES_Project'!$C$247,'DATA TABLES_Project'!$A$250:$A$285, 0)):OFFSET(INDEX('DATA TABLES_Project'!$B$250:$B$285, MATCH('DATA TABLES_Project'!$C$247,'DATA TABLES_Project'!$A$250:$A$285, 0)),BW30-1,0)) + (0.92*CZ30*(BY30-AJ30)*(BV30-BW30)*AVERAGE(OFFSET(INDEX('DATA TABLES_Project'!$B$250:$B$285, MATCH('DATA TABLES_Project'!$C$247,'DATA TABLES_Project'!$A$250:$A$285, 0)),BW30,0):OFFSET(INDEX('DATA TABLES_Project'!$B$250:$B$285, MATCH('DATA TABLES_Project'!$C$247,'DATA TABLES_Project'!$A$250:$A$285, 0)),BV30-1,0))))), "")</f>
        <v/>
      </c>
      <c r="DK30" s="925" t="str">
        <f>IFERROR(IF(CB30&lt;&gt;"OK","",CO30*'DATA TABLES_Project'!$C$250),"")</f>
        <v/>
      </c>
      <c r="DL30" s="925" t="str">
        <f t="shared" ref="DL30" si="156">IFERROR(IF(CB30&lt;&gt;"OK","",CO30*DA30*0.92),"")</f>
        <v/>
      </c>
      <c r="DM30" s="925" t="str">
        <f>IFERROR(IF(CB30&lt;&gt;"OK","",CO30*'DATA TABLES_Project'!$C$250*DA30*0.92),"")</f>
        <v/>
      </c>
      <c r="DN30" s="925" t="str">
        <f t="shared" ref="DN30" si="157">IFERROR(IF(CB30&lt;&gt;"OK","",CO30*BV30),IF(BX30="Dual",(CO30*BW30)+((BZ30-AP30)*(BV30-BW30)),""))</f>
        <v/>
      </c>
      <c r="DO30" s="925" t="str">
        <f ca="1">IFERROR(IF(CB30&lt;&gt;"OK","",CO30*BV30*AVERAGE('DATA TABLES_Project'!$C$250:OFFSET('DATA TABLES_Project'!$C$250,BV30,0))),IF(BX30="Dual",(CO30*BW30*AVERAGE('DATA TABLES_Project'!$C$251:$C$259))+((BZ30-AP30)*(BV30-BW30)*AVERAGE('DATA TABLES_Project'!$C$260:$C$279)),""))</f>
        <v/>
      </c>
      <c r="DP30" s="925" t="str">
        <f t="shared" ref="DP30" si="158">IFERROR(IF(CB30&lt;&gt;"OK","",IF(BX30="Dual",((CO30*BW30)+(BZ30-AP30)*(BV30-BW30))*DA30*0.92,CO30*BV30*DA30*0.92)),"")</f>
        <v/>
      </c>
      <c r="DQ30" s="925" t="str">
        <f ca="1">IFERROR(IF(CB30&lt;&gt;"OK","",IF(BX30="Dual",(0.92*DA30*CO30*BW30*AVERAGE('DATA TABLES_Project'!$C$251:$C$259))+(0.92*DA30*(BZ30-AP30)*(BV30-BW30)*AVERAGE('DATA TABLES_Project'!$C$260:$C$279)),0.92*DA30*CO30*BV30*AVERAGE('DATA TABLES_Project'!$C$250:OFFSET('DATA TABLES_Project'!$C$250,BV30,0)))),"")</f>
        <v/>
      </c>
      <c r="DR30" s="980" t="str">
        <f>IFERROR(IF($CB30&lt;&gt;"OK","",CM30*'DATA TABLES_Project'!$B$290+IF(CO30&lt;0,0,CO30*'DATA TABLES_Project'!$B$291)),"")</f>
        <v/>
      </c>
      <c r="DS30" s="980" t="str">
        <f>IFERROR(IF($CB30&lt;&gt;"OK","",DD30*'DATA TABLES_Project'!$B$290+IF(DK30&lt;0,0,DK30*'DATA TABLES_Project'!$B$291)),"")</f>
        <v/>
      </c>
      <c r="DT30" s="980" t="str">
        <f>IFERROR(IF($CB30&lt;&gt;"OK","",DE30*'DATA TABLES_Project'!$B$290+IF(DL30&lt;0,0,DL30*'DATA TABLES_Project'!$B$291)),"")</f>
        <v/>
      </c>
      <c r="DU30" s="980" t="str">
        <f>IFERROR(IF($CB30&lt;&gt;"OK","",DF30*'DATA TABLES_Project'!$B$290+IF(DM30&lt;0,0,DM30*'DATA TABLES_Project'!$B$291)),"")</f>
        <v/>
      </c>
      <c r="DV30" s="980" t="str">
        <f>IFERROR(IF($CB30&lt;&gt;"OK","",DG30*'DATA TABLES_Project'!$B$290+IF(DN30&lt;0,0,DN30*'DATA TABLES_Project'!$B$291)),"")</f>
        <v/>
      </c>
      <c r="DW30" s="980" t="str">
        <f>IFERROR(IF($CB30&lt;&gt;"OK","",DH30*'DATA TABLES_Project'!$B$290+IF(DO30&lt;0,0,DO30*'DATA TABLES_Project'!$B$291)),"")</f>
        <v/>
      </c>
      <c r="DX30" s="980" t="str">
        <f>IFERROR(IF($CB30&lt;&gt;"OK","",DI30*'DATA TABLES_Project'!$B$290+IF(DP30&lt;0,0,DP30*'DATA TABLES_Project'!$B$291)),"")</f>
        <v/>
      </c>
      <c r="DY30" s="925" t="str">
        <f>IFERROR(IF($CB30&lt;&gt;"OK","",DJ30*'DATA TABLES_Project'!$B$290+IF(DQ30&lt;0,0,DQ30*'DATA TABLES_Project'!$B$291)),"")</f>
        <v/>
      </c>
      <c r="DZ30" s="925" t="str">
        <f t="shared" ref="DZ30" si="159">IFERROR(IF($CB30&lt;&gt;"OK","",AS30),"")</f>
        <v/>
      </c>
      <c r="EA30" s="925" t="str">
        <f>IFERROR(IF(CB30&lt;&gt;"OK","",CN30*'DATA TABLES_Project'!$B$250*CZ30*1.03),"")</f>
        <v/>
      </c>
      <c r="EB30" s="925" t="str">
        <f t="shared" ref="EB30" si="160">IFERROR(IF(CB30&lt;&gt;"OK","",CN30*CZ30*1.03),"")</f>
        <v/>
      </c>
      <c r="EC30" s="925" t="str">
        <f>IFERROR(IF(CB30&lt;&gt;"OK","",CZ30*DZ30*'DATA TABLES_Project'!$C$250*0.92),"")</f>
        <v/>
      </c>
      <c r="ED30" s="925" t="str">
        <f>IFERROR(IF(CB30&lt;&gt;"OK","",CZ30*DZ30*'DATA TABLES_Project'!$C$250*0.92),"")</f>
        <v/>
      </c>
      <c r="EE30" s="925" t="str">
        <f t="shared" ref="EE30" si="161">IFERROR(IF(CB30&lt;&gt;"OK","",CZ30*DZ30*0.92),"")</f>
        <v/>
      </c>
      <c r="EF30" s="925" t="str">
        <f t="shared" ref="EF30" si="162">IFERROR(IF(CB30&lt;&gt;"OK","",CZ30*DZ30*0.92),"")</f>
        <v/>
      </c>
      <c r="EG30" s="925" t="str">
        <f>IFERROR(IF($CB30&lt;&gt;"OK","",CM30*'DATA TABLES_Project'!$B$290+CO30*'DATA TABLES_Project'!$B$291),"")</f>
        <v/>
      </c>
      <c r="EH30" s="925" t="str">
        <f>IFERROR(IF($CB30&lt;&gt;"OK","",DD30*'DATA TABLES_Project'!$B$290+DK30*'DATA TABLES_Project'!$B$291),"")</f>
        <v/>
      </c>
      <c r="EI30" s="925" t="str">
        <f>IFERROR(IF($CB30&lt;&gt;"OK","",DE30*'DATA TABLES_Project'!$B$290+DL30*'DATA TABLES_Project'!$B$291),"")</f>
        <v/>
      </c>
      <c r="EJ30" s="925" t="str">
        <f>IFERROR(IF($CB30&lt;&gt;"OK","",DF30*'DATA TABLES_Project'!$B$290+DM30*'DATA TABLES_Project'!$B$291),"")</f>
        <v/>
      </c>
      <c r="EK30" s="925" t="str">
        <f>IFERROR(IF($CB30&lt;&gt;"OK","",DG30*'DATA TABLES_Project'!$B$290+DN30*'DATA TABLES_Project'!$B$291),"")</f>
        <v/>
      </c>
      <c r="EL30" s="925" t="str">
        <f>IFERROR(IF($CB30&lt;&gt;"OK","",DH30*'DATA TABLES_Project'!$B$290+DO30*'DATA TABLES_Project'!$B$291),"")</f>
        <v/>
      </c>
      <c r="EM30" s="925" t="str">
        <f>IFERROR(IF($CB30&lt;&gt;"OK","",DI30*'DATA TABLES_Project'!$B$290+DP30*'DATA TABLES_Project'!$B$291),"")</f>
        <v/>
      </c>
      <c r="EN30" s="925" t="str">
        <f>IFERROR(IF($CB30&lt;&gt;"OK","",DJ30*'DATA TABLES_Project'!$B$290+DQ30*'DATA TABLES_Project'!$B$291),"")</f>
        <v/>
      </c>
    </row>
    <row r="31" spans="1:144" customFormat="1" ht="15.75" customHeight="1">
      <c r="A31" s="462"/>
      <c r="B31" s="994"/>
      <c r="C31" s="998"/>
      <c r="D31" s="999"/>
      <c r="E31" s="1000"/>
      <c r="F31" s="964"/>
      <c r="G31" s="965"/>
      <c r="H31" s="965"/>
      <c r="I31" s="965"/>
      <c r="J31" s="965"/>
      <c r="K31" s="966"/>
      <c r="L31" s="964"/>
      <c r="M31" s="965"/>
      <c r="N31" s="965"/>
      <c r="O31" s="965"/>
      <c r="P31" s="965"/>
      <c r="Q31" s="966"/>
      <c r="R31" s="1044"/>
      <c r="S31" s="1044"/>
      <c r="T31" s="1044"/>
      <c r="U31" s="1044"/>
      <c r="V31" s="1044"/>
      <c r="W31" s="1044"/>
      <c r="X31" s="1045"/>
      <c r="Y31" s="1045"/>
      <c r="Z31" s="1045"/>
      <c r="AA31" s="1045"/>
      <c r="AB31" s="1045"/>
      <c r="AC31" s="1045"/>
      <c r="AD31" s="964"/>
      <c r="AE31" s="965"/>
      <c r="AF31" s="965"/>
      <c r="AG31" s="965"/>
      <c r="AH31" s="965"/>
      <c r="AI31" s="966"/>
      <c r="AJ31" s="952"/>
      <c r="AK31" s="953"/>
      <c r="AL31" s="954"/>
      <c r="AM31" s="952"/>
      <c r="AN31" s="953"/>
      <c r="AO31" s="954"/>
      <c r="AP31" s="958"/>
      <c r="AQ31" s="959"/>
      <c r="AR31" s="960"/>
      <c r="AS31" s="958"/>
      <c r="AT31" s="959"/>
      <c r="AU31" s="960"/>
      <c r="AV31" s="968"/>
      <c r="AW31" s="969"/>
      <c r="AX31" s="969"/>
      <c r="AY31" s="969"/>
      <c r="AZ31" s="969"/>
      <c r="BA31" s="970"/>
      <c r="BB31" s="947"/>
      <c r="BC31" s="948"/>
      <c r="BD31" s="947"/>
      <c r="BE31" s="948"/>
      <c r="BF31" s="1089"/>
      <c r="BG31" s="1090"/>
      <c r="BH31" s="1094"/>
      <c r="BI31" s="1095"/>
      <c r="BJ31" s="1096"/>
      <c r="BK31" s="1078"/>
      <c r="BL31" s="1079"/>
      <c r="BM31" s="1080"/>
      <c r="BN31" s="1084"/>
      <c r="BO31" s="1085"/>
      <c r="BP31" s="1086"/>
      <c r="BS31" s="967"/>
      <c r="BT31" s="967"/>
      <c r="BV31" s="926"/>
      <c r="BW31" s="926"/>
      <c r="BX31" s="926"/>
      <c r="BY31" s="927"/>
      <c r="BZ31" s="928"/>
      <c r="CB31" s="986"/>
      <c r="CC31" s="925"/>
      <c r="CD31" s="925"/>
      <c r="CE31" s="925"/>
      <c r="CF31" s="925"/>
      <c r="CG31" s="925"/>
      <c r="CH31" s="925"/>
      <c r="CI31" s="925"/>
      <c r="CJ31" s="977"/>
      <c r="CK31" s="977"/>
      <c r="CL31" s="977"/>
      <c r="CM31" s="977"/>
      <c r="CN31" s="977"/>
      <c r="CO31" s="977"/>
      <c r="CP31" s="977"/>
      <c r="CQ31" s="977"/>
      <c r="CR31" s="977"/>
      <c r="CS31" s="983"/>
      <c r="CT31" s="1056"/>
      <c r="CU31" s="979"/>
      <c r="CV31" s="925"/>
      <c r="CW31" s="925"/>
      <c r="CX31" s="925"/>
      <c r="CY31" s="925"/>
      <c r="CZ31" s="925"/>
      <c r="DA31" s="925"/>
      <c r="DD31" s="981"/>
      <c r="DE31" s="925"/>
      <c r="DF31" s="981"/>
      <c r="DG31" s="925"/>
      <c r="DH31" s="925"/>
      <c r="DI31" s="925"/>
      <c r="DJ31" s="925"/>
      <c r="DK31" s="925"/>
      <c r="DL31" s="925"/>
      <c r="DM31" s="925"/>
      <c r="DN31" s="925"/>
      <c r="DO31" s="925"/>
      <c r="DP31" s="925"/>
      <c r="DQ31" s="925"/>
      <c r="DR31" s="981"/>
      <c r="DS31" s="981"/>
      <c r="DT31" s="981"/>
      <c r="DU31" s="981"/>
      <c r="DV31" s="981"/>
      <c r="DW31" s="981"/>
      <c r="DX31" s="981"/>
      <c r="DY31" s="925"/>
      <c r="DZ31" s="925"/>
      <c r="EA31" s="925"/>
      <c r="EB31" s="925"/>
      <c r="EC31" s="925"/>
      <c r="ED31" s="925"/>
      <c r="EE31" s="925"/>
      <c r="EF31" s="925"/>
      <c r="EG31" s="925"/>
      <c r="EH31" s="925"/>
      <c r="EI31" s="925"/>
      <c r="EJ31" s="925"/>
      <c r="EK31" s="925"/>
      <c r="EL31" s="925"/>
      <c r="EM31" s="925"/>
      <c r="EN31" s="925"/>
    </row>
    <row r="32" spans="1:144" customFormat="1" ht="16.350000000000001" customHeight="1">
      <c r="A32" s="462"/>
      <c r="B32" s="994">
        <v>8</v>
      </c>
      <c r="C32" s="995"/>
      <c r="D32" s="996"/>
      <c r="E32" s="997"/>
      <c r="F32" s="961"/>
      <c r="G32" s="962"/>
      <c r="H32" s="962"/>
      <c r="I32" s="962"/>
      <c r="J32" s="962"/>
      <c r="K32" s="963"/>
      <c r="L32" s="961"/>
      <c r="M32" s="962"/>
      <c r="N32" s="962"/>
      <c r="O32" s="962"/>
      <c r="P32" s="962"/>
      <c r="Q32" s="963"/>
      <c r="R32" s="1044"/>
      <c r="S32" s="1044"/>
      <c r="T32" s="1044"/>
      <c r="U32" s="1044"/>
      <c r="V32" s="1044"/>
      <c r="W32" s="1044"/>
      <c r="X32" s="1045"/>
      <c r="Y32" s="1045"/>
      <c r="Z32" s="1045"/>
      <c r="AA32" s="1045"/>
      <c r="AB32" s="1045"/>
      <c r="AC32" s="1045"/>
      <c r="AD32" s="961"/>
      <c r="AE32" s="962"/>
      <c r="AF32" s="962"/>
      <c r="AG32" s="962"/>
      <c r="AH32" s="962"/>
      <c r="AI32" s="963"/>
      <c r="AJ32" s="949"/>
      <c r="AK32" s="950"/>
      <c r="AL32" s="951"/>
      <c r="AM32" s="949"/>
      <c r="AN32" s="950"/>
      <c r="AO32" s="951"/>
      <c r="AP32" s="955"/>
      <c r="AQ32" s="956"/>
      <c r="AR32" s="957"/>
      <c r="AS32" s="955"/>
      <c r="AT32" s="956"/>
      <c r="AU32" s="957"/>
      <c r="AV32" s="968"/>
      <c r="AW32" s="969"/>
      <c r="AX32" s="970"/>
      <c r="AY32" s="968"/>
      <c r="AZ32" s="969"/>
      <c r="BA32" s="970"/>
      <c r="BB32" s="945"/>
      <c r="BC32" s="946"/>
      <c r="BD32" s="945"/>
      <c r="BE32" s="946"/>
      <c r="BF32" s="1087" t="str">
        <f t="shared" ref="BF32" si="163">IF(CB32="OK",ROUND(BB32+BD32,2),"")</f>
        <v/>
      </c>
      <c r="BG32" s="1088"/>
      <c r="BH32" s="1091" t="str">
        <f t="shared" ref="BH32" si="164">IFERROR(IF(AND($CB32="OK",$CU32="OK"),$CI32,IF($CB32&lt;&gt;"OK",$CB32,$CU32)),"")</f>
        <v/>
      </c>
      <c r="BI32" s="1092"/>
      <c r="BJ32" s="1093"/>
      <c r="BK32" s="1075" t="str">
        <f t="shared" ref="BK32" si="165">IF($CB32="OK",CM32,"")</f>
        <v/>
      </c>
      <c r="BL32" s="1076"/>
      <c r="BM32" s="1077"/>
      <c r="BN32" s="1081" t="str">
        <f t="shared" ref="BN32" si="166">IF($CB32="OK",$CR32,"")</f>
        <v/>
      </c>
      <c r="BO32" s="1082"/>
      <c r="BP32" s="1083"/>
      <c r="BS32" s="967"/>
      <c r="BT32" s="967"/>
      <c r="BV32" s="926" t="str">
        <f t="shared" ref="BV32" si="167">IFERROR(ROUND(IF(AND(CB32="OK",CU32="OK"),CT32,""),0),"")</f>
        <v/>
      </c>
      <c r="BW32" s="926" t="str">
        <f t="shared" ref="BW32" si="168">IFERROR(ROUND(IF(AND(CB32="OK",CU32="OK"),BV32/3,""),0),"")</f>
        <v/>
      </c>
      <c r="BX32" s="926"/>
      <c r="BY32" s="927"/>
      <c r="BZ32" s="928"/>
      <c r="CB32" s="986" t="str">
        <f>IF(AND(C32="",F32="",R32="",AD32="",U32="",X32="",L32="",AJ32="",AV32="",AM32="",AP32="",AY32="",AV33="",BB32="",BD32="",AA32="",AS32=""),"",
IF(OR(C32="",F32="",R32="",AD32="",U32="",X32="",L32="",AJ32="",AV32="",AM32="",AP32="",AY32="",AV33="",BB32="",BD32="",AA32="",AS32=""),"Missing Fields",
IF(AND(M02S04F04disp="Required",M02S04F04=""),"TA Info Incomplete",
"OK")))</f>
        <v/>
      </c>
      <c r="CC32" s="925" t="str">
        <f>IF(AND(CB32="OK",CU32="OK"),INDEX(Tbl_Cust_Plug[Measure Number], MATCH(F32,Tbl_Cust_Plug[Proj Desc 1],0)),"")</f>
        <v/>
      </c>
      <c r="CD32" s="925"/>
      <c r="CE32" s="925" t="str">
        <f t="shared" ref="CE32" si="169">IF(CB32="OK","Measure","")</f>
        <v/>
      </c>
      <c r="CF32" s="925" t="str">
        <f t="shared" ref="CF32" si="170">IF(CB32="OK",1,"")</f>
        <v/>
      </c>
      <c r="CG32" s="978" t="str">
        <f t="shared" ref="CG32" si="171">IFERROR(CI32/CF32,"")</f>
        <v/>
      </c>
      <c r="CH32" s="978" t="str">
        <f>IF(CB32="OK",IF(CM32&gt;0,CM32*Incent_Rate_kWh,0)+IF(CO32&gt;0,CO32*Incent_Rate_thm,0),"")</f>
        <v/>
      </c>
      <c r="CI32" s="978" t="str">
        <f>IFERROR(IF($CB32="OK",IF(INCENTTOCOST_CUST&gt;CostCap_Cust,
CH32*CostCap_Cust/INCENTTOCOST_CUST,CH32),""),"")</f>
        <v/>
      </c>
      <c r="CJ32" s="977">
        <f t="shared" ref="CJ32" si="172">CM32</f>
        <v>0</v>
      </c>
      <c r="CK32" s="977">
        <f t="shared" ref="CK32" si="173">CN32</f>
        <v>0</v>
      </c>
      <c r="CL32" s="977">
        <f t="shared" ref="CL32" si="174">CO32</f>
        <v>0</v>
      </c>
      <c r="CM32" s="977">
        <f>R32-AJ32</f>
        <v>0</v>
      </c>
      <c r="CN32" s="977">
        <f>U32-AM32</f>
        <v>0</v>
      </c>
      <c r="CO32" s="977">
        <f t="shared" ref="CO32" si="175">IF(CR32&gt;0,CR32,0)</f>
        <v>0</v>
      </c>
      <c r="CP32" s="977">
        <f t="shared" ref="CP32" si="176">CM32</f>
        <v>0</v>
      </c>
      <c r="CQ32" s="977">
        <f t="shared" ref="CQ32" si="177">CN32</f>
        <v>0</v>
      </c>
      <c r="CR32" s="977">
        <f>X32-AP32</f>
        <v>0</v>
      </c>
      <c r="CS32" s="983"/>
      <c r="CT32" s="1056" t="str">
        <f>IF(CB32="OK",INDEX(Tbl_Cust_Plug[EUL], MATCH(F32,Tbl_Cust_Plug[Proj Desc 1],0)),"")</f>
        <v/>
      </c>
      <c r="CU32" s="979" t="str">
        <f t="shared" ref="CU32" si="178">IFERROR(IF(AND($CM32&lt;=0,$CN32&lt;=0,$CO32&lt;=0),"No Savings","OK"),"")</f>
        <v>No Savings</v>
      </c>
      <c r="CV32" s="925" t="str">
        <f t="shared" ref="CV32" si="179">IF(AND(CB32="OK",CU32="OK"),"1","")</f>
        <v/>
      </c>
      <c r="CW32" s="925" t="str">
        <f>IFERROR(IF($CB32="OK",ROUND($AQ$14*SUM(BB32:BE33)/SUM($BF$18:$BG$37),2),""),"")</f>
        <v/>
      </c>
      <c r="CX32" s="925" t="str">
        <f>IFERROR(IF(M02S04F04="Customer/Self-Installed",CW32,IF($CB32="OK",CW32+BD32,"")),"")</f>
        <v/>
      </c>
      <c r="CY32" s="925" t="str">
        <f>IFERROR(IF($CB32="OK",CX32+BB32,""),"")</f>
        <v/>
      </c>
      <c r="CZ32" s="925" t="str">
        <f>IF(CB32="OK",INDEX(MEASURES3_M!$O$46, MATCH(F32,MEASURES3_M!$C$46,0)),"")</f>
        <v/>
      </c>
      <c r="DA32" s="925" t="str">
        <f>IF(CB32="OK",INDEX(MEASURES3_M!$P$46, MATCH(F32,MEASURES3_M!$C$46,0)),"")</f>
        <v/>
      </c>
      <c r="DD32" s="980" t="str">
        <f>IFERROR(IF(CB32&lt;&gt;"OK","",CM32*VLOOKUP('DATA TABLES_Project'!$C$247,'DATA TABLES_Project'!$A$250:$B$285,2,FALSE)),"")</f>
        <v/>
      </c>
      <c r="DE32" s="925" t="str">
        <f t="shared" ref="DE32" si="180">IFERROR(IF(CB32&lt;&gt;"OK","",CM32*CZ32*0.92),"")</f>
        <v/>
      </c>
      <c r="DF32" s="980" t="str">
        <f>IFERROR(IF(CB32&lt;&gt;"OK","",CM32*CZ32*0.92*VLOOKUP('DATA TABLES_Project'!$C$247,'DATA TABLES_Project'!$A$250:$B$285,2,FALSE)),"")</f>
        <v/>
      </c>
      <c r="DG32" s="925" t="str">
        <f t="shared" ref="DG32" si="181">IFERROR(IF(CB32&lt;&gt;"OK","",CM32*BV32),IF(BX32="Dual",(CM32*BW32)+((BY32-AJ32)*(BV32-BW32)),""))</f>
        <v/>
      </c>
      <c r="DH32" s="925" t="str">
        <f ca="1">IFERROR(IF(CB32&lt;&gt;"OK","",IF(OR(BX32="Single",BX32=""), CM32*BV32*AVERAGE(INDEX('DATA TABLES_Project'!$B$250:$B$285, MATCH('DATA TABLES_Project'!$C$247,'DATA TABLES_Project'!$A$250:$A$285, 0)):OFFSET(INDEX('DATA TABLES_Project'!$B$250:$B$285, MATCH('DATA TABLES_Project'!$C$247,'DATA TABLES_Project'!$A$250:$A$285, 0)),BV32-1,0)),CM32*BW32*AVERAGE(INDEX('DATA TABLES_Project'!$B$250:$B$285, MATCH('DATA TABLES_Project'!$C$247,'DATA TABLES_Project'!$A$250:$A$285, 0)):OFFSET(INDEX('DATA TABLES_Project'!$B$250:$B$285, MATCH('DATA TABLES_Project'!$C$247,'DATA TABLES_Project'!$A$250:$A$285, 0)),BW32-1,0)) + ((BY32-AJ32)*(BV32-BW32)*AVERAGE(OFFSET(INDEX('DATA TABLES_Project'!$B$250:$B$285, MATCH('DATA TABLES_Project'!$C$247,'DATA TABLES_Project'!$A$250:$A$285, 0)),BW32,0):OFFSET(INDEX('DATA TABLES_Project'!$B$250:$B$285, MATCH('DATA TABLES_Project'!$C$247,'DATA TABLES_Project'!$A$250:$A$285, 0)),BV32-1,0))))), "")</f>
        <v/>
      </c>
      <c r="DI32" s="925" t="str">
        <f t="shared" ref="DI32" si="182">IFERROR(IF(CB32&lt;&gt;"OK","",IF(BX32="Dual",(CM32*BW32)+((BY32-AJ32)*(BV32-BW32))*CZ32*0.92,CM32*CZ32*BV32*0.92)),"")</f>
        <v/>
      </c>
      <c r="DJ32" s="925" t="str">
        <f ca="1">IFERROR(IF(CB32&lt;&gt;"OK","",IF(OR(BX32="Single",BX32=""),0.92*CZ32*CM32*BV32*AVERAGE(INDEX('DATA TABLES_Project'!$B$250:$B$285, MATCH('DATA TABLES_Project'!$C$247,'DATA TABLES_Project'!$A$250:$A$285, 0)):OFFSET(INDEX('DATA TABLES_Project'!$B$250:$B$285, MATCH('DATA TABLES_Project'!$C$247,'DATA TABLES_Project'!$A$250:$A$285, 0)),BV32-1,0)),0.92*CZ32*CM32*BW32*AVERAGE(INDEX('DATA TABLES_Project'!$B$250:$B$285, MATCH('DATA TABLES_Project'!$C$247,'DATA TABLES_Project'!$A$250:$A$285, 0)):OFFSET(INDEX('DATA TABLES_Project'!$B$250:$B$285, MATCH('DATA TABLES_Project'!$C$247,'DATA TABLES_Project'!$A$250:$A$285, 0)),BW32-1,0)) + (0.92*CZ32*(BY32-AJ32)*(BV32-BW32)*AVERAGE(OFFSET(INDEX('DATA TABLES_Project'!$B$250:$B$285, MATCH('DATA TABLES_Project'!$C$247,'DATA TABLES_Project'!$A$250:$A$285, 0)),BW32,0):OFFSET(INDEX('DATA TABLES_Project'!$B$250:$B$285, MATCH('DATA TABLES_Project'!$C$247,'DATA TABLES_Project'!$A$250:$A$285, 0)),BV32-1,0))))), "")</f>
        <v/>
      </c>
      <c r="DK32" s="925" t="str">
        <f>IFERROR(IF(CB32&lt;&gt;"OK","",CO32*'DATA TABLES_Project'!$C$250),"")</f>
        <v/>
      </c>
      <c r="DL32" s="925" t="str">
        <f t="shared" ref="DL32" si="183">IFERROR(IF(CB32&lt;&gt;"OK","",CO32*DA32*0.92),"")</f>
        <v/>
      </c>
      <c r="DM32" s="925" t="str">
        <f>IFERROR(IF(CB32&lt;&gt;"OK","",CO32*'DATA TABLES_Project'!$C$250*DA32*0.92),"")</f>
        <v/>
      </c>
      <c r="DN32" s="925" t="str">
        <f t="shared" ref="DN32" si="184">IFERROR(IF(CB32&lt;&gt;"OK","",CO32*BV32),IF(BX32="Dual",(CO32*BW32)+((BZ32-AP32)*(BV32-BW32)),""))</f>
        <v/>
      </c>
      <c r="DO32" s="925" t="str">
        <f ca="1">IFERROR(IF(CB32&lt;&gt;"OK","",CO32*BV32*AVERAGE('DATA TABLES_Project'!$C$250:OFFSET('DATA TABLES_Project'!$C$250,BV32,0))),IF(BX32="Dual",(CO32*BW32*AVERAGE('DATA TABLES_Project'!$C$251:$C$259))+((BZ32-AP32)*(BV32-BW32)*AVERAGE('DATA TABLES_Project'!$C$260:$C$279)),""))</f>
        <v/>
      </c>
      <c r="DP32" s="925" t="str">
        <f t="shared" ref="DP32" si="185">IFERROR(IF(CB32&lt;&gt;"OK","",IF(BX32="Dual",((CO32*BW32)+(BZ32-AP32)*(BV32-BW32))*DA32*0.92,CO32*BV32*DA32*0.92)),"")</f>
        <v/>
      </c>
      <c r="DQ32" s="925" t="str">
        <f ca="1">IFERROR(IF(CB32&lt;&gt;"OK","",IF(BX32="Dual",(0.92*DA32*CO32*BW32*AVERAGE('DATA TABLES_Project'!$C$251:$C$259))+(0.92*DA32*(BZ32-AP32)*(BV32-BW32)*AVERAGE('DATA TABLES_Project'!$C$260:$C$279)),0.92*DA32*CO32*BV32*AVERAGE('DATA TABLES_Project'!$C$250:OFFSET('DATA TABLES_Project'!$C$250,BV32,0)))),"")</f>
        <v/>
      </c>
      <c r="DR32" s="980" t="str">
        <f>IFERROR(IF($CB32&lt;&gt;"OK","",CM32*'DATA TABLES_Project'!$B$290+IF(CO32&lt;0,0,CO32*'DATA TABLES_Project'!$B$291)),"")</f>
        <v/>
      </c>
      <c r="DS32" s="980" t="str">
        <f>IFERROR(IF($CB32&lt;&gt;"OK","",DD32*'DATA TABLES_Project'!$B$290+IF(DK32&lt;0,0,DK32*'DATA TABLES_Project'!$B$291)),"")</f>
        <v/>
      </c>
      <c r="DT32" s="980" t="str">
        <f>IFERROR(IF($CB32&lt;&gt;"OK","",DE32*'DATA TABLES_Project'!$B$290+IF(DL32&lt;0,0,DL32*'DATA TABLES_Project'!$B$291)),"")</f>
        <v/>
      </c>
      <c r="DU32" s="980" t="str">
        <f>IFERROR(IF($CB32&lt;&gt;"OK","",DF32*'DATA TABLES_Project'!$B$290+IF(DM32&lt;0,0,DM32*'DATA TABLES_Project'!$B$291)),"")</f>
        <v/>
      </c>
      <c r="DV32" s="980" t="str">
        <f>IFERROR(IF($CB32&lt;&gt;"OK","",DG32*'DATA TABLES_Project'!$B$290+IF(DN32&lt;0,0,DN32*'DATA TABLES_Project'!$B$291)),"")</f>
        <v/>
      </c>
      <c r="DW32" s="980" t="str">
        <f>IFERROR(IF($CB32&lt;&gt;"OK","",DH32*'DATA TABLES_Project'!$B$290+IF(DO32&lt;0,0,DO32*'DATA TABLES_Project'!$B$291)),"")</f>
        <v/>
      </c>
      <c r="DX32" s="980" t="str">
        <f>IFERROR(IF($CB32&lt;&gt;"OK","",DI32*'DATA TABLES_Project'!$B$290+IF(DP32&lt;0,0,DP32*'DATA TABLES_Project'!$B$291)),"")</f>
        <v/>
      </c>
      <c r="DY32" s="925" t="str">
        <f>IFERROR(IF($CB32&lt;&gt;"OK","",DJ32*'DATA TABLES_Project'!$B$290+IF(DQ32&lt;0,0,DQ32*'DATA TABLES_Project'!$B$291)),"")</f>
        <v/>
      </c>
      <c r="DZ32" s="925" t="str">
        <f t="shared" ref="DZ32" si="186">IFERROR(IF($CB32&lt;&gt;"OK","",AS32),"")</f>
        <v/>
      </c>
      <c r="EA32" s="925" t="str">
        <f>IFERROR(IF(CB32&lt;&gt;"OK","",CN32*'DATA TABLES_Project'!$B$250*CZ32*1.03),"")</f>
        <v/>
      </c>
      <c r="EB32" s="925" t="str">
        <f t="shared" ref="EB32" si="187">IFERROR(IF(CB32&lt;&gt;"OK","",CN32*CZ32*1.03),"")</f>
        <v/>
      </c>
      <c r="EC32" s="925" t="str">
        <f>IFERROR(IF(CB32&lt;&gt;"OK","",CZ32*DZ32*'DATA TABLES_Project'!$C$250*0.92),"")</f>
        <v/>
      </c>
      <c r="ED32" s="925" t="str">
        <f>IFERROR(IF(CB32&lt;&gt;"OK","",CZ32*DZ32*'DATA TABLES_Project'!$C$250*0.92),"")</f>
        <v/>
      </c>
      <c r="EE32" s="925" t="str">
        <f t="shared" ref="EE32" si="188">IFERROR(IF(CB32&lt;&gt;"OK","",CZ32*DZ32*0.92),"")</f>
        <v/>
      </c>
      <c r="EF32" s="925" t="str">
        <f t="shared" ref="EF32" si="189">IFERROR(IF(CB32&lt;&gt;"OK","",CZ32*DZ32*0.92),"")</f>
        <v/>
      </c>
      <c r="EG32" s="925" t="str">
        <f>IFERROR(IF($CB32&lt;&gt;"OK","",CM32*'DATA TABLES_Project'!$B$290+CO32*'DATA TABLES_Project'!$B$291),"")</f>
        <v/>
      </c>
      <c r="EH32" s="925" t="str">
        <f>IFERROR(IF($CB32&lt;&gt;"OK","",DD32*'DATA TABLES_Project'!$B$290+DK32*'DATA TABLES_Project'!$B$291),"")</f>
        <v/>
      </c>
      <c r="EI32" s="925" t="str">
        <f>IFERROR(IF($CB32&lt;&gt;"OK","",DE32*'DATA TABLES_Project'!$B$290+DL32*'DATA TABLES_Project'!$B$291),"")</f>
        <v/>
      </c>
      <c r="EJ32" s="925" t="str">
        <f>IFERROR(IF($CB32&lt;&gt;"OK","",DF32*'DATA TABLES_Project'!$B$290+DM32*'DATA TABLES_Project'!$B$291),"")</f>
        <v/>
      </c>
      <c r="EK32" s="925" t="str">
        <f>IFERROR(IF($CB32&lt;&gt;"OK","",DG32*'DATA TABLES_Project'!$B$290+DN32*'DATA TABLES_Project'!$B$291),"")</f>
        <v/>
      </c>
      <c r="EL32" s="925" t="str">
        <f>IFERROR(IF($CB32&lt;&gt;"OK","",DH32*'DATA TABLES_Project'!$B$290+DO32*'DATA TABLES_Project'!$B$291),"")</f>
        <v/>
      </c>
      <c r="EM32" s="925" t="str">
        <f>IFERROR(IF($CB32&lt;&gt;"OK","",DI32*'DATA TABLES_Project'!$B$290+DP32*'DATA TABLES_Project'!$B$291),"")</f>
        <v/>
      </c>
      <c r="EN32" s="925" t="str">
        <f>IFERROR(IF($CB32&lt;&gt;"OK","",DJ32*'DATA TABLES_Project'!$B$290+DQ32*'DATA TABLES_Project'!$B$291),"")</f>
        <v/>
      </c>
    </row>
    <row r="33" spans="1:144" customFormat="1" ht="16.350000000000001" customHeight="1">
      <c r="A33" s="462"/>
      <c r="B33" s="994"/>
      <c r="C33" s="998"/>
      <c r="D33" s="999"/>
      <c r="E33" s="1000"/>
      <c r="F33" s="964"/>
      <c r="G33" s="965"/>
      <c r="H33" s="965"/>
      <c r="I33" s="965"/>
      <c r="J33" s="965"/>
      <c r="K33" s="966"/>
      <c r="L33" s="964"/>
      <c r="M33" s="965"/>
      <c r="N33" s="965"/>
      <c r="O33" s="965"/>
      <c r="P33" s="965"/>
      <c r="Q33" s="966"/>
      <c r="R33" s="1044"/>
      <c r="S33" s="1044"/>
      <c r="T33" s="1044"/>
      <c r="U33" s="1044"/>
      <c r="V33" s="1044"/>
      <c r="W33" s="1044"/>
      <c r="X33" s="1045"/>
      <c r="Y33" s="1045"/>
      <c r="Z33" s="1045"/>
      <c r="AA33" s="1045"/>
      <c r="AB33" s="1045"/>
      <c r="AC33" s="1045"/>
      <c r="AD33" s="964"/>
      <c r="AE33" s="965"/>
      <c r="AF33" s="965"/>
      <c r="AG33" s="965"/>
      <c r="AH33" s="965"/>
      <c r="AI33" s="966"/>
      <c r="AJ33" s="952"/>
      <c r="AK33" s="953"/>
      <c r="AL33" s="954"/>
      <c r="AM33" s="952"/>
      <c r="AN33" s="953"/>
      <c r="AO33" s="954"/>
      <c r="AP33" s="958"/>
      <c r="AQ33" s="959"/>
      <c r="AR33" s="960"/>
      <c r="AS33" s="958"/>
      <c r="AT33" s="959"/>
      <c r="AU33" s="960"/>
      <c r="AV33" s="968"/>
      <c r="AW33" s="969"/>
      <c r="AX33" s="969"/>
      <c r="AY33" s="969"/>
      <c r="AZ33" s="969"/>
      <c r="BA33" s="970"/>
      <c r="BB33" s="947"/>
      <c r="BC33" s="948"/>
      <c r="BD33" s="947"/>
      <c r="BE33" s="948"/>
      <c r="BF33" s="1089"/>
      <c r="BG33" s="1090"/>
      <c r="BH33" s="1094"/>
      <c r="BI33" s="1095"/>
      <c r="BJ33" s="1096"/>
      <c r="BK33" s="1078"/>
      <c r="BL33" s="1079"/>
      <c r="BM33" s="1080"/>
      <c r="BN33" s="1084"/>
      <c r="BO33" s="1085"/>
      <c r="BP33" s="1086"/>
      <c r="BS33" s="967"/>
      <c r="BT33" s="967"/>
      <c r="BV33" s="926"/>
      <c r="BW33" s="926"/>
      <c r="BX33" s="926"/>
      <c r="BY33" s="927"/>
      <c r="BZ33" s="928"/>
      <c r="CB33" s="986"/>
      <c r="CC33" s="925"/>
      <c r="CD33" s="925"/>
      <c r="CE33" s="925"/>
      <c r="CF33" s="925"/>
      <c r="CG33" s="925"/>
      <c r="CH33" s="925"/>
      <c r="CI33" s="925"/>
      <c r="CJ33" s="977"/>
      <c r="CK33" s="977"/>
      <c r="CL33" s="977"/>
      <c r="CM33" s="977"/>
      <c r="CN33" s="977"/>
      <c r="CO33" s="977"/>
      <c r="CP33" s="977"/>
      <c r="CQ33" s="977"/>
      <c r="CR33" s="977"/>
      <c r="CS33" s="983"/>
      <c r="CT33" s="1056"/>
      <c r="CU33" s="979"/>
      <c r="CV33" s="925"/>
      <c r="CW33" s="925"/>
      <c r="CX33" s="925"/>
      <c r="CY33" s="925"/>
      <c r="CZ33" s="925"/>
      <c r="DA33" s="925"/>
      <c r="DD33" s="981"/>
      <c r="DE33" s="925"/>
      <c r="DF33" s="981"/>
      <c r="DG33" s="925"/>
      <c r="DH33" s="925"/>
      <c r="DI33" s="925"/>
      <c r="DJ33" s="925"/>
      <c r="DK33" s="925"/>
      <c r="DL33" s="925"/>
      <c r="DM33" s="925"/>
      <c r="DN33" s="925"/>
      <c r="DO33" s="925"/>
      <c r="DP33" s="925"/>
      <c r="DQ33" s="925"/>
      <c r="DR33" s="981"/>
      <c r="DS33" s="981"/>
      <c r="DT33" s="981"/>
      <c r="DU33" s="981"/>
      <c r="DV33" s="981"/>
      <c r="DW33" s="981"/>
      <c r="DX33" s="981"/>
      <c r="DY33" s="925"/>
      <c r="DZ33" s="925"/>
      <c r="EA33" s="925"/>
      <c r="EB33" s="925"/>
      <c r="EC33" s="925"/>
      <c r="ED33" s="925"/>
      <c r="EE33" s="925"/>
      <c r="EF33" s="925"/>
      <c r="EG33" s="925"/>
      <c r="EH33" s="925"/>
      <c r="EI33" s="925"/>
      <c r="EJ33" s="925"/>
      <c r="EK33" s="925"/>
      <c r="EL33" s="925"/>
      <c r="EM33" s="925"/>
      <c r="EN33" s="925"/>
    </row>
    <row r="34" spans="1:144" customFormat="1" ht="16.350000000000001" customHeight="1">
      <c r="A34" s="462"/>
      <c r="B34" s="994">
        <v>9</v>
      </c>
      <c r="C34" s="995"/>
      <c r="D34" s="996"/>
      <c r="E34" s="997"/>
      <c r="F34" s="961"/>
      <c r="G34" s="962"/>
      <c r="H34" s="962"/>
      <c r="I34" s="962"/>
      <c r="J34" s="962"/>
      <c r="K34" s="963"/>
      <c r="L34" s="961"/>
      <c r="M34" s="962"/>
      <c r="N34" s="962"/>
      <c r="O34" s="962"/>
      <c r="P34" s="962"/>
      <c r="Q34" s="963"/>
      <c r="R34" s="1044"/>
      <c r="S34" s="1044"/>
      <c r="T34" s="1044"/>
      <c r="U34" s="1044"/>
      <c r="V34" s="1044"/>
      <c r="W34" s="1044"/>
      <c r="X34" s="1045"/>
      <c r="Y34" s="1045"/>
      <c r="Z34" s="1045"/>
      <c r="AA34" s="1045"/>
      <c r="AB34" s="1045"/>
      <c r="AC34" s="1045"/>
      <c r="AD34" s="961"/>
      <c r="AE34" s="962"/>
      <c r="AF34" s="962"/>
      <c r="AG34" s="962"/>
      <c r="AH34" s="962"/>
      <c r="AI34" s="963"/>
      <c r="AJ34" s="949"/>
      <c r="AK34" s="950"/>
      <c r="AL34" s="951"/>
      <c r="AM34" s="949"/>
      <c r="AN34" s="950"/>
      <c r="AO34" s="951"/>
      <c r="AP34" s="955"/>
      <c r="AQ34" s="956"/>
      <c r="AR34" s="957"/>
      <c r="AS34" s="955"/>
      <c r="AT34" s="956"/>
      <c r="AU34" s="957"/>
      <c r="AV34" s="968"/>
      <c r="AW34" s="969"/>
      <c r="AX34" s="970"/>
      <c r="AY34" s="968"/>
      <c r="AZ34" s="969"/>
      <c r="BA34" s="970"/>
      <c r="BB34" s="945"/>
      <c r="BC34" s="946"/>
      <c r="BD34" s="945"/>
      <c r="BE34" s="946"/>
      <c r="BF34" s="1087" t="str">
        <f t="shared" ref="BF34" si="190">IF(CB34="OK",ROUND(BB34+BD34,2),"")</f>
        <v/>
      </c>
      <c r="BG34" s="1088"/>
      <c r="BH34" s="1091" t="str">
        <f t="shared" ref="BH34" si="191">IFERROR(IF(AND($CB34="OK",$CU34="OK"),$CI34,IF($CB34&lt;&gt;"OK",$CB34,$CU34)),"")</f>
        <v/>
      </c>
      <c r="BI34" s="1092"/>
      <c r="BJ34" s="1093"/>
      <c r="BK34" s="1075" t="str">
        <f t="shared" ref="BK34" si="192">IF($CB34="OK",CM34,"")</f>
        <v/>
      </c>
      <c r="BL34" s="1076"/>
      <c r="BM34" s="1077"/>
      <c r="BN34" s="1081" t="str">
        <f t="shared" ref="BN34" si="193">IF($CB34="OK",$CR34,"")</f>
        <v/>
      </c>
      <c r="BO34" s="1082"/>
      <c r="BP34" s="1083"/>
      <c r="BS34" s="967"/>
      <c r="BT34" s="967"/>
      <c r="BV34" s="926" t="str">
        <f t="shared" ref="BV34" si="194">IFERROR(ROUND(IF(AND(CB34="OK",CU34="OK"),CT34,""),0),"")</f>
        <v/>
      </c>
      <c r="BW34" s="926" t="str">
        <f t="shared" ref="BW34" si="195">IFERROR(ROUND(IF(AND(CB34="OK",CU34="OK"),BV34/3,""),0),"")</f>
        <v/>
      </c>
      <c r="BX34" s="926"/>
      <c r="BY34" s="927"/>
      <c r="BZ34" s="928"/>
      <c r="CB34" s="986" t="str">
        <f>IF(AND(C34="",F34="",R34="",AD34="",U34="",X34="",L34="",AJ34="",AV34="",AM34="",AP34="",AY34="",AV35="",BB34="",BD34="",AA34="",AS34=""),"",
IF(OR(C34="",F34="",R34="",AD34="",U34="",X34="",L34="",AJ34="",AV34="",AM34="",AP34="",AY34="",AV35="",BB34="",BD34="",AA34="",AS34=""),"Missing Fields",
IF(AND(M02S04F04disp="Required",M02S04F04=""),"TA Info Incomplete",
"OK")))</f>
        <v/>
      </c>
      <c r="CC34" s="925" t="str">
        <f>IF(AND(CB34="OK",CU34="OK"),INDEX(Tbl_Cust_Plug[Measure Number], MATCH(F34,Tbl_Cust_Plug[Proj Desc 1],0)),"")</f>
        <v/>
      </c>
      <c r="CD34" s="925"/>
      <c r="CE34" s="925" t="str">
        <f t="shared" ref="CE34" si="196">IF(CB34="OK","Measure","")</f>
        <v/>
      </c>
      <c r="CF34" s="925" t="str">
        <f t="shared" ref="CF34" si="197">IF(CB34="OK",1,"")</f>
        <v/>
      </c>
      <c r="CG34" s="978" t="str">
        <f t="shared" ref="CG34" si="198">IFERROR(CI34/CF34,"")</f>
        <v/>
      </c>
      <c r="CH34" s="978" t="str">
        <f>IF(CB34="OK",IF(CM34&gt;0,CM34*Incent_Rate_kWh,0)+IF(CO34&gt;0,CO34*Incent_Rate_thm,0),"")</f>
        <v/>
      </c>
      <c r="CI34" s="978" t="str">
        <f>IFERROR(IF($CB34="OK",IF(INCENTTOCOST_CUST&gt;CostCap_Cust,
CH34*CostCap_Cust/INCENTTOCOST_CUST,CH34),""),"")</f>
        <v/>
      </c>
      <c r="CJ34" s="977">
        <f t="shared" ref="CJ34" si="199">CM34</f>
        <v>0</v>
      </c>
      <c r="CK34" s="977">
        <f t="shared" ref="CK34" si="200">CN34</f>
        <v>0</v>
      </c>
      <c r="CL34" s="977">
        <f t="shared" ref="CL34" si="201">CO34</f>
        <v>0</v>
      </c>
      <c r="CM34" s="977">
        <f>R34-AJ34</f>
        <v>0</v>
      </c>
      <c r="CN34" s="977">
        <f>U34-AM34</f>
        <v>0</v>
      </c>
      <c r="CO34" s="977">
        <f t="shared" ref="CO34" si="202">IF(CR34&gt;0,CR34,0)</f>
        <v>0</v>
      </c>
      <c r="CP34" s="977">
        <f t="shared" ref="CP34" si="203">CM34</f>
        <v>0</v>
      </c>
      <c r="CQ34" s="977">
        <f t="shared" ref="CQ34" si="204">CN34</f>
        <v>0</v>
      </c>
      <c r="CR34" s="977">
        <f>X34-AP34</f>
        <v>0</v>
      </c>
      <c r="CS34" s="983"/>
      <c r="CT34" s="1056" t="str">
        <f>IF(CB34="OK",INDEX(Tbl_Cust_Plug[EUL], MATCH(F34,Tbl_Cust_Plug[Proj Desc 1],0)),"")</f>
        <v/>
      </c>
      <c r="CU34" s="979" t="str">
        <f t="shared" ref="CU34" si="205">IFERROR(IF(AND($CM34&lt;=0,$CN34&lt;=0,$CO34&lt;=0),"No Savings","OK"),"")</f>
        <v>No Savings</v>
      </c>
      <c r="CV34" s="925" t="str">
        <f t="shared" ref="CV34" si="206">IF(AND(CB34="OK",CU34="OK"),"1","")</f>
        <v/>
      </c>
      <c r="CW34" s="925" t="str">
        <f>IFERROR(IF($CB34="OK",ROUND($AQ$14*SUM(BB34:BE35)/SUM($BF$18:$BG$37),2),""),"")</f>
        <v/>
      </c>
      <c r="CX34" s="925" t="str">
        <f>IFERROR(IF(M02S04F04="Customer/Self-Installed",CW34,IF($CB34="OK",CW34+BD34,"")),"")</f>
        <v/>
      </c>
      <c r="CY34" s="925" t="str">
        <f>IFERROR(IF($CB34="OK",CX34+BB34,""),"")</f>
        <v/>
      </c>
      <c r="CZ34" s="925" t="str">
        <f>IF(CB34="OK",INDEX(MEASURES3_M!$O$46, MATCH(F34,MEASURES3_M!$C$46,0)),"")</f>
        <v/>
      </c>
      <c r="DA34" s="925" t="str">
        <f>IF(CB34="OK",INDEX(MEASURES3_M!$P$46, MATCH(F34,MEASURES3_M!$C$46,0)),"")</f>
        <v/>
      </c>
      <c r="DD34" s="980" t="str">
        <f>IFERROR(IF(CB34&lt;&gt;"OK","",CM34*VLOOKUP('DATA TABLES_Project'!$C$247,'DATA TABLES_Project'!$A$250:$B$285,2,FALSE)),"")</f>
        <v/>
      </c>
      <c r="DE34" s="925" t="str">
        <f t="shared" ref="DE34" si="207">IFERROR(IF(CB34&lt;&gt;"OK","",CM34*CZ34*0.92),"")</f>
        <v/>
      </c>
      <c r="DF34" s="980" t="str">
        <f>IFERROR(IF(CB34&lt;&gt;"OK","",CM34*CZ34*0.92*VLOOKUP('DATA TABLES_Project'!$C$247,'DATA TABLES_Project'!$A$250:$B$285,2,FALSE)),"")</f>
        <v/>
      </c>
      <c r="DG34" s="925" t="str">
        <f t="shared" ref="DG34" si="208">IFERROR(IF(CB34&lt;&gt;"OK","",CM34*BV34),IF(BX34="Dual",(CM34*BW34)+((BY34-AJ34)*(BV34-BW34)),""))</f>
        <v/>
      </c>
      <c r="DH34" s="925" t="str">
        <f ca="1">IFERROR(IF(CB34&lt;&gt;"OK","",IF(OR(BX34="Single",BX34=""), CM34*BV34*AVERAGE(INDEX('DATA TABLES_Project'!$B$250:$B$285, MATCH('DATA TABLES_Project'!$C$247,'DATA TABLES_Project'!$A$250:$A$285, 0)):OFFSET(INDEX('DATA TABLES_Project'!$B$250:$B$285, MATCH('DATA TABLES_Project'!$C$247,'DATA TABLES_Project'!$A$250:$A$285, 0)),BV34-1,0)),CM34*BW34*AVERAGE(INDEX('DATA TABLES_Project'!$B$250:$B$285, MATCH('DATA TABLES_Project'!$C$247,'DATA TABLES_Project'!$A$250:$A$285, 0)):OFFSET(INDEX('DATA TABLES_Project'!$B$250:$B$285, MATCH('DATA TABLES_Project'!$C$247,'DATA TABLES_Project'!$A$250:$A$285, 0)),BW34-1,0)) + ((BY34-AJ34)*(BV34-BW34)*AVERAGE(OFFSET(INDEX('DATA TABLES_Project'!$B$250:$B$285, MATCH('DATA TABLES_Project'!$C$247,'DATA TABLES_Project'!$A$250:$A$285, 0)),BW34,0):OFFSET(INDEX('DATA TABLES_Project'!$B$250:$B$285, MATCH('DATA TABLES_Project'!$C$247,'DATA TABLES_Project'!$A$250:$A$285, 0)),BV34-1,0))))), "")</f>
        <v/>
      </c>
      <c r="DI34" s="925" t="str">
        <f t="shared" ref="DI34" si="209">IFERROR(IF(CB34&lt;&gt;"OK","",IF(BX34="Dual",(CM34*BW34)+((BY34-AJ34)*(BV34-BW34))*CZ34*0.92,CM34*CZ34*BV34*0.92)),"")</f>
        <v/>
      </c>
      <c r="DJ34" s="925" t="str">
        <f ca="1">IFERROR(IF(CB34&lt;&gt;"OK","",IF(OR(BX34="Single",BX34=""),0.92*CZ34*CM34*BV34*AVERAGE(INDEX('DATA TABLES_Project'!$B$250:$B$285, MATCH('DATA TABLES_Project'!$C$247,'DATA TABLES_Project'!$A$250:$A$285, 0)):OFFSET(INDEX('DATA TABLES_Project'!$B$250:$B$285, MATCH('DATA TABLES_Project'!$C$247,'DATA TABLES_Project'!$A$250:$A$285, 0)),BV34-1,0)),0.92*CZ34*CM34*BW34*AVERAGE(INDEX('DATA TABLES_Project'!$B$250:$B$285, MATCH('DATA TABLES_Project'!$C$247,'DATA TABLES_Project'!$A$250:$A$285, 0)):OFFSET(INDEX('DATA TABLES_Project'!$B$250:$B$285, MATCH('DATA TABLES_Project'!$C$247,'DATA TABLES_Project'!$A$250:$A$285, 0)),BW34-1,0)) + (0.92*CZ34*(BY34-AJ34)*(BV34-BW34)*AVERAGE(OFFSET(INDEX('DATA TABLES_Project'!$B$250:$B$285, MATCH('DATA TABLES_Project'!$C$247,'DATA TABLES_Project'!$A$250:$A$285, 0)),BW34,0):OFFSET(INDEX('DATA TABLES_Project'!$B$250:$B$285, MATCH('DATA TABLES_Project'!$C$247,'DATA TABLES_Project'!$A$250:$A$285, 0)),BV34-1,0))))), "")</f>
        <v/>
      </c>
      <c r="DK34" s="925" t="str">
        <f>IFERROR(IF(CB34&lt;&gt;"OK","",CO34*'DATA TABLES_Project'!$C$250),"")</f>
        <v/>
      </c>
      <c r="DL34" s="925" t="str">
        <f t="shared" ref="DL34" si="210">IFERROR(IF(CB34&lt;&gt;"OK","",CO34*DA34*0.92),"")</f>
        <v/>
      </c>
      <c r="DM34" s="925" t="str">
        <f>IFERROR(IF(CB34&lt;&gt;"OK","",CO34*'DATA TABLES_Project'!$C$250*DA34*0.92),"")</f>
        <v/>
      </c>
      <c r="DN34" s="925" t="str">
        <f t="shared" ref="DN34" si="211">IFERROR(IF(CB34&lt;&gt;"OK","",CO34*BV34),IF(BX34="Dual",(CO34*BW34)+((BZ34-AP34)*(BV34-BW34)),""))</f>
        <v/>
      </c>
      <c r="DO34" s="925" t="str">
        <f ca="1">IFERROR(IF(CB34&lt;&gt;"OK","",CO34*BV34*AVERAGE('DATA TABLES_Project'!$C$250:OFFSET('DATA TABLES_Project'!$C$250,BV34,0))),IF(BX34="Dual",(CO34*BW34*AVERAGE('DATA TABLES_Project'!$C$251:$C$259))+((BZ34-AP34)*(BV34-BW34)*AVERAGE('DATA TABLES_Project'!$C$260:$C$279)),""))</f>
        <v/>
      </c>
      <c r="DP34" s="925" t="str">
        <f t="shared" ref="DP34" si="212">IFERROR(IF(CB34&lt;&gt;"OK","",IF(BX34="Dual",((CO34*BW34)+(BZ34-AP34)*(BV34-BW34))*DA34*0.92,CO34*BV34*DA34*0.92)),"")</f>
        <v/>
      </c>
      <c r="DQ34" s="925" t="str">
        <f ca="1">IFERROR(IF(CB34&lt;&gt;"OK","",IF(BX34="Dual",(0.92*DA34*CO34*BW34*AVERAGE('DATA TABLES_Project'!$C$251:$C$259))+(0.92*DA34*(BZ34-AP34)*(BV34-BW34)*AVERAGE('DATA TABLES_Project'!$C$260:$C$279)),0.92*DA34*CO34*BV34*AVERAGE('DATA TABLES_Project'!$C$250:OFFSET('DATA TABLES_Project'!$C$250,BV34,0)))),"")</f>
        <v/>
      </c>
      <c r="DR34" s="980" t="str">
        <f>IFERROR(IF($CB34&lt;&gt;"OK","",CM34*'DATA TABLES_Project'!$B$290+IF(CO34&lt;0,0,CO34*'DATA TABLES_Project'!$B$291)),"")</f>
        <v/>
      </c>
      <c r="DS34" s="980" t="str">
        <f>IFERROR(IF($CB34&lt;&gt;"OK","",DD34*'DATA TABLES_Project'!$B$290+IF(DK34&lt;0,0,DK34*'DATA TABLES_Project'!$B$291)),"")</f>
        <v/>
      </c>
      <c r="DT34" s="980" t="str">
        <f>IFERROR(IF($CB34&lt;&gt;"OK","",DE34*'DATA TABLES_Project'!$B$290+IF(DL34&lt;0,0,DL34*'DATA TABLES_Project'!$B$291)),"")</f>
        <v/>
      </c>
      <c r="DU34" s="980" t="str">
        <f>IFERROR(IF($CB34&lt;&gt;"OK","",DF34*'DATA TABLES_Project'!$B$290+IF(DM34&lt;0,0,DM34*'DATA TABLES_Project'!$B$291)),"")</f>
        <v/>
      </c>
      <c r="DV34" s="980" t="str">
        <f>IFERROR(IF($CB34&lt;&gt;"OK","",DG34*'DATA TABLES_Project'!$B$290+IF(DN34&lt;0,0,DN34*'DATA TABLES_Project'!$B$291)),"")</f>
        <v/>
      </c>
      <c r="DW34" s="980" t="str">
        <f>IFERROR(IF($CB34&lt;&gt;"OK","",DH34*'DATA TABLES_Project'!$B$290+IF(DO34&lt;0,0,DO34*'DATA TABLES_Project'!$B$291)),"")</f>
        <v/>
      </c>
      <c r="DX34" s="980" t="str">
        <f>IFERROR(IF($CB34&lt;&gt;"OK","",DI34*'DATA TABLES_Project'!$B$290+IF(DP34&lt;0,0,DP34*'DATA TABLES_Project'!$B$291)),"")</f>
        <v/>
      </c>
      <c r="DY34" s="925" t="str">
        <f>IFERROR(IF($CB34&lt;&gt;"OK","",DJ34*'DATA TABLES_Project'!$B$290+IF(DQ34&lt;0,0,DQ34*'DATA TABLES_Project'!$B$291)),"")</f>
        <v/>
      </c>
      <c r="DZ34" s="925" t="str">
        <f t="shared" ref="DZ34" si="213">IFERROR(IF($CB34&lt;&gt;"OK","",AS34),"")</f>
        <v/>
      </c>
      <c r="EA34" s="925" t="str">
        <f>IFERROR(IF(CB34&lt;&gt;"OK","",CN34*'DATA TABLES_Project'!$B$250*CZ34*1.03),"")</f>
        <v/>
      </c>
      <c r="EB34" s="925" t="str">
        <f t="shared" ref="EB34" si="214">IFERROR(IF(CB34&lt;&gt;"OK","",CN34*CZ34*1.03),"")</f>
        <v/>
      </c>
      <c r="EC34" s="925" t="str">
        <f>IFERROR(IF(CB34&lt;&gt;"OK","",CZ34*DZ34*'DATA TABLES_Project'!$C$250*0.92),"")</f>
        <v/>
      </c>
      <c r="ED34" s="925" t="str">
        <f>IFERROR(IF(CB34&lt;&gt;"OK","",CZ34*DZ34*'DATA TABLES_Project'!$C$250*0.92),"")</f>
        <v/>
      </c>
      <c r="EE34" s="925" t="str">
        <f t="shared" ref="EE34" si="215">IFERROR(IF(CB34&lt;&gt;"OK","",CZ34*DZ34*0.92),"")</f>
        <v/>
      </c>
      <c r="EF34" s="925" t="str">
        <f t="shared" ref="EF34" si="216">IFERROR(IF(CB34&lt;&gt;"OK","",CZ34*DZ34*0.92),"")</f>
        <v/>
      </c>
      <c r="EG34" s="925" t="str">
        <f>IFERROR(IF($CB34&lt;&gt;"OK","",CM34*'DATA TABLES_Project'!$B$290+CO34*'DATA TABLES_Project'!$B$291),"")</f>
        <v/>
      </c>
      <c r="EH34" s="925" t="str">
        <f>IFERROR(IF($CB34&lt;&gt;"OK","",DD34*'DATA TABLES_Project'!$B$290+DK34*'DATA TABLES_Project'!$B$291),"")</f>
        <v/>
      </c>
      <c r="EI34" s="925" t="str">
        <f>IFERROR(IF($CB34&lt;&gt;"OK","",DE34*'DATA TABLES_Project'!$B$290+DL34*'DATA TABLES_Project'!$B$291),"")</f>
        <v/>
      </c>
      <c r="EJ34" s="925" t="str">
        <f>IFERROR(IF($CB34&lt;&gt;"OK","",DF34*'DATA TABLES_Project'!$B$290+DM34*'DATA TABLES_Project'!$B$291),"")</f>
        <v/>
      </c>
      <c r="EK34" s="925" t="str">
        <f>IFERROR(IF($CB34&lt;&gt;"OK","",DG34*'DATA TABLES_Project'!$B$290+DN34*'DATA TABLES_Project'!$B$291),"")</f>
        <v/>
      </c>
      <c r="EL34" s="925" t="str">
        <f>IFERROR(IF($CB34&lt;&gt;"OK","",DH34*'DATA TABLES_Project'!$B$290+DO34*'DATA TABLES_Project'!$B$291),"")</f>
        <v/>
      </c>
      <c r="EM34" s="925" t="str">
        <f>IFERROR(IF($CB34&lt;&gt;"OK","",DI34*'DATA TABLES_Project'!$B$290+DP34*'DATA TABLES_Project'!$B$291),"")</f>
        <v/>
      </c>
      <c r="EN34" s="925" t="str">
        <f>IFERROR(IF($CB34&lt;&gt;"OK","",DJ34*'DATA TABLES_Project'!$B$290+DQ34*'DATA TABLES_Project'!$B$291),"")</f>
        <v/>
      </c>
    </row>
    <row r="35" spans="1:144" customFormat="1" ht="16.350000000000001" customHeight="1">
      <c r="A35" s="462"/>
      <c r="B35" s="994"/>
      <c r="C35" s="998"/>
      <c r="D35" s="999"/>
      <c r="E35" s="1000"/>
      <c r="F35" s="964"/>
      <c r="G35" s="965"/>
      <c r="H35" s="965"/>
      <c r="I35" s="965"/>
      <c r="J35" s="965"/>
      <c r="K35" s="966"/>
      <c r="L35" s="964"/>
      <c r="M35" s="965"/>
      <c r="N35" s="965"/>
      <c r="O35" s="965"/>
      <c r="P35" s="965"/>
      <c r="Q35" s="966"/>
      <c r="R35" s="1044"/>
      <c r="S35" s="1044"/>
      <c r="T35" s="1044"/>
      <c r="U35" s="1044"/>
      <c r="V35" s="1044"/>
      <c r="W35" s="1044"/>
      <c r="X35" s="1045"/>
      <c r="Y35" s="1045"/>
      <c r="Z35" s="1045"/>
      <c r="AA35" s="1045"/>
      <c r="AB35" s="1045"/>
      <c r="AC35" s="1045"/>
      <c r="AD35" s="964"/>
      <c r="AE35" s="965"/>
      <c r="AF35" s="965"/>
      <c r="AG35" s="965"/>
      <c r="AH35" s="965"/>
      <c r="AI35" s="966"/>
      <c r="AJ35" s="952"/>
      <c r="AK35" s="953"/>
      <c r="AL35" s="954"/>
      <c r="AM35" s="952"/>
      <c r="AN35" s="953"/>
      <c r="AO35" s="954"/>
      <c r="AP35" s="958"/>
      <c r="AQ35" s="959"/>
      <c r="AR35" s="960"/>
      <c r="AS35" s="958"/>
      <c r="AT35" s="959"/>
      <c r="AU35" s="960"/>
      <c r="AV35" s="968"/>
      <c r="AW35" s="969"/>
      <c r="AX35" s="969"/>
      <c r="AY35" s="969"/>
      <c r="AZ35" s="969"/>
      <c r="BA35" s="970"/>
      <c r="BB35" s="947"/>
      <c r="BC35" s="948"/>
      <c r="BD35" s="947"/>
      <c r="BE35" s="948"/>
      <c r="BF35" s="1089"/>
      <c r="BG35" s="1090"/>
      <c r="BH35" s="1094"/>
      <c r="BI35" s="1095"/>
      <c r="BJ35" s="1096"/>
      <c r="BK35" s="1078"/>
      <c r="BL35" s="1079"/>
      <c r="BM35" s="1080"/>
      <c r="BN35" s="1084"/>
      <c r="BO35" s="1085"/>
      <c r="BP35" s="1086"/>
      <c r="BS35" s="967"/>
      <c r="BT35" s="967"/>
      <c r="BV35" s="926"/>
      <c r="BW35" s="926"/>
      <c r="BX35" s="926"/>
      <c r="BY35" s="927"/>
      <c r="BZ35" s="928"/>
      <c r="CB35" s="986"/>
      <c r="CC35" s="925"/>
      <c r="CD35" s="925"/>
      <c r="CE35" s="925"/>
      <c r="CF35" s="925"/>
      <c r="CG35" s="925"/>
      <c r="CH35" s="925"/>
      <c r="CI35" s="925"/>
      <c r="CJ35" s="977"/>
      <c r="CK35" s="977"/>
      <c r="CL35" s="977"/>
      <c r="CM35" s="977"/>
      <c r="CN35" s="977"/>
      <c r="CO35" s="977"/>
      <c r="CP35" s="977"/>
      <c r="CQ35" s="977"/>
      <c r="CR35" s="977"/>
      <c r="CS35" s="983"/>
      <c r="CT35" s="1056"/>
      <c r="CU35" s="979"/>
      <c r="CV35" s="925"/>
      <c r="CW35" s="925"/>
      <c r="CX35" s="925"/>
      <c r="CY35" s="925"/>
      <c r="CZ35" s="925"/>
      <c r="DA35" s="925"/>
      <c r="DD35" s="981"/>
      <c r="DE35" s="925"/>
      <c r="DF35" s="981"/>
      <c r="DG35" s="925"/>
      <c r="DH35" s="925"/>
      <c r="DI35" s="925"/>
      <c r="DJ35" s="925"/>
      <c r="DK35" s="925"/>
      <c r="DL35" s="925"/>
      <c r="DM35" s="925"/>
      <c r="DN35" s="925"/>
      <c r="DO35" s="925"/>
      <c r="DP35" s="925"/>
      <c r="DQ35" s="925"/>
      <c r="DR35" s="981"/>
      <c r="DS35" s="981"/>
      <c r="DT35" s="981"/>
      <c r="DU35" s="981"/>
      <c r="DV35" s="981"/>
      <c r="DW35" s="981"/>
      <c r="DX35" s="981"/>
      <c r="DY35" s="925"/>
      <c r="DZ35" s="925"/>
      <c r="EA35" s="925"/>
      <c r="EB35" s="925"/>
      <c r="EC35" s="925"/>
      <c r="ED35" s="925"/>
      <c r="EE35" s="925"/>
      <c r="EF35" s="925"/>
      <c r="EG35" s="925"/>
      <c r="EH35" s="925"/>
      <c r="EI35" s="925"/>
      <c r="EJ35" s="925"/>
      <c r="EK35" s="925"/>
      <c r="EL35" s="925"/>
      <c r="EM35" s="925"/>
      <c r="EN35" s="925"/>
    </row>
    <row r="36" spans="1:144" customFormat="1" ht="16.350000000000001" customHeight="1">
      <c r="A36" s="462"/>
      <c r="B36" s="994">
        <v>10</v>
      </c>
      <c r="C36" s="995"/>
      <c r="D36" s="996"/>
      <c r="E36" s="997"/>
      <c r="F36" s="961"/>
      <c r="G36" s="962"/>
      <c r="H36" s="962"/>
      <c r="I36" s="962"/>
      <c r="J36" s="962"/>
      <c r="K36" s="963"/>
      <c r="L36" s="961"/>
      <c r="M36" s="962"/>
      <c r="N36" s="962"/>
      <c r="O36" s="962"/>
      <c r="P36" s="962"/>
      <c r="Q36" s="963"/>
      <c r="R36" s="1044"/>
      <c r="S36" s="1044"/>
      <c r="T36" s="1044"/>
      <c r="U36" s="1044"/>
      <c r="V36" s="1044"/>
      <c r="W36" s="1044"/>
      <c r="X36" s="1045"/>
      <c r="Y36" s="1045"/>
      <c r="Z36" s="1045"/>
      <c r="AA36" s="1045"/>
      <c r="AB36" s="1045"/>
      <c r="AC36" s="1045"/>
      <c r="AD36" s="961"/>
      <c r="AE36" s="962"/>
      <c r="AF36" s="962"/>
      <c r="AG36" s="962"/>
      <c r="AH36" s="962"/>
      <c r="AI36" s="963"/>
      <c r="AJ36" s="949"/>
      <c r="AK36" s="950"/>
      <c r="AL36" s="951"/>
      <c r="AM36" s="949"/>
      <c r="AN36" s="950"/>
      <c r="AO36" s="951"/>
      <c r="AP36" s="955"/>
      <c r="AQ36" s="956"/>
      <c r="AR36" s="957"/>
      <c r="AS36" s="955"/>
      <c r="AT36" s="956"/>
      <c r="AU36" s="957"/>
      <c r="AV36" s="968"/>
      <c r="AW36" s="969"/>
      <c r="AX36" s="970"/>
      <c r="AY36" s="968"/>
      <c r="AZ36" s="969"/>
      <c r="BA36" s="970"/>
      <c r="BB36" s="945"/>
      <c r="BC36" s="946"/>
      <c r="BD36" s="945"/>
      <c r="BE36" s="946"/>
      <c r="BF36" s="1087" t="str">
        <f t="shared" ref="BF36" si="217">IF(CB36="OK",ROUND(BB36+BD36,2),"")</f>
        <v/>
      </c>
      <c r="BG36" s="1088"/>
      <c r="BH36" s="1091" t="str">
        <f t="shared" ref="BH36" si="218">IFERROR(IF(AND($CB36="OK",$CU36="OK"),$CI36,IF($CB36&lt;&gt;"OK",$CB36,$CU36)),"")</f>
        <v/>
      </c>
      <c r="BI36" s="1092"/>
      <c r="BJ36" s="1093"/>
      <c r="BK36" s="1075" t="str">
        <f t="shared" ref="BK36" si="219">IF($CB36="OK",CM36,"")</f>
        <v/>
      </c>
      <c r="BL36" s="1076"/>
      <c r="BM36" s="1077"/>
      <c r="BN36" s="1081" t="str">
        <f t="shared" ref="BN36" si="220">IF($CB36="OK",$CR36,"")</f>
        <v/>
      </c>
      <c r="BO36" s="1082"/>
      <c r="BP36" s="1083"/>
      <c r="BS36" s="967"/>
      <c r="BT36" s="967"/>
      <c r="BV36" s="926" t="str">
        <f t="shared" ref="BV36" si="221">IFERROR(ROUND(IF(AND(CB36="OK",CU36="OK"),CT36,""),0),"")</f>
        <v/>
      </c>
      <c r="BW36" s="926" t="str">
        <f t="shared" ref="BW36" si="222">IFERROR(ROUND(IF(AND(CB36="OK",CU36="OK"),BV36/3,""),0),"")</f>
        <v/>
      </c>
      <c r="BX36" s="926"/>
      <c r="BY36" s="927"/>
      <c r="BZ36" s="928"/>
      <c r="CB36" s="986" t="str">
        <f>IF(AND(C36="",F36="",R36="",AD36="",U36="",X36="",L36="",AJ36="",AV36="",AM36="",AP36="",AY36="",AV37="",BB36="",BD36="",AA36="",AS36=""),"",
IF(OR(C36="",F36="",R36="",AD36="",U36="",X36="",L36="",AJ36="",AV36="",AM36="",AP36="",AY36="",AV37="",BB36="",BD36="",AA36="",AS36=""),"Missing Fields",
IF(AND(M02S04F04disp="Required",M02S04F04=""),"TA Info Incomplete",
"OK")))</f>
        <v/>
      </c>
      <c r="CC36" s="925" t="str">
        <f>IF(AND(CB36="OK",CU36="OK"),INDEX(Tbl_Cust_Plug[Measure Number], MATCH(F36,Tbl_Cust_Plug[Proj Desc 1],0)),"")</f>
        <v/>
      </c>
      <c r="CD36" s="925"/>
      <c r="CE36" s="925" t="str">
        <f t="shared" ref="CE36" si="223">IF(CB36="OK","Measure","")</f>
        <v/>
      </c>
      <c r="CF36" s="925" t="str">
        <f t="shared" ref="CF36" si="224">IF(CB36="OK",1,"")</f>
        <v/>
      </c>
      <c r="CG36" s="978" t="str">
        <f t="shared" ref="CG36" si="225">IFERROR(CI36/CF36,"")</f>
        <v/>
      </c>
      <c r="CH36" s="978" t="str">
        <f>IF(CB36="OK",IF(CM36&gt;0,CM36*Incent_Rate_kWh,0)+IF(CO36&gt;0,CO36*Incent_Rate_thm,0),"")</f>
        <v/>
      </c>
      <c r="CI36" s="978" t="str">
        <f>IFERROR(IF($CB36="OK",IF(INCENTTOCOST_CUST&gt;CostCap_Cust,
CH36*CostCap_Cust/INCENTTOCOST_CUST,CH36),""),"")</f>
        <v/>
      </c>
      <c r="CJ36" s="977">
        <f t="shared" ref="CJ36" si="226">CM36</f>
        <v>0</v>
      </c>
      <c r="CK36" s="977">
        <f t="shared" ref="CK36" si="227">CN36</f>
        <v>0</v>
      </c>
      <c r="CL36" s="977">
        <f t="shared" ref="CL36" si="228">CO36</f>
        <v>0</v>
      </c>
      <c r="CM36" s="977">
        <f>R36-AJ36</f>
        <v>0</v>
      </c>
      <c r="CN36" s="977">
        <f>U36-AM36</f>
        <v>0</v>
      </c>
      <c r="CO36" s="977">
        <f t="shared" ref="CO36" si="229">IF(CR36&gt;0,CR36,0)</f>
        <v>0</v>
      </c>
      <c r="CP36" s="977">
        <f t="shared" ref="CP36" si="230">CM36</f>
        <v>0</v>
      </c>
      <c r="CQ36" s="977">
        <f t="shared" ref="CQ36" si="231">CN36</f>
        <v>0</v>
      </c>
      <c r="CR36" s="977">
        <f>X36-AP36</f>
        <v>0</v>
      </c>
      <c r="CS36" s="983"/>
      <c r="CT36" s="1056" t="str">
        <f>IF(CB36="OK",INDEX(Tbl_Cust_Plug[EUL], MATCH(F36,Tbl_Cust_Plug[Proj Desc 1],0)),"")</f>
        <v/>
      </c>
      <c r="CU36" s="979" t="str">
        <f t="shared" ref="CU36" si="232">IFERROR(IF(AND($CM36&lt;=0,$CN36&lt;=0,$CO36&lt;=0),"No Savings","OK"),"")</f>
        <v>No Savings</v>
      </c>
      <c r="CV36" s="925" t="str">
        <f t="shared" ref="CV36" si="233">IF(AND(CB36="OK",CU36="OK"),"1","")</f>
        <v/>
      </c>
      <c r="CW36" s="925" t="str">
        <f>IFERROR(IF($CB36="OK",ROUND($AQ$14*SUM(BB36:BE37)/SUM($BF$18:$BG$37),2),""),"")</f>
        <v/>
      </c>
      <c r="CX36" s="925" t="str">
        <f>IFERROR(IF(M02S04F04="Customer/Self-Installed",CW36,IF($CB36="OK",CW36+BD36,"")),"")</f>
        <v/>
      </c>
      <c r="CY36" s="925" t="str">
        <f>IFERROR(IF($CB36="OK",CX36+BB36,""),"")</f>
        <v/>
      </c>
      <c r="CZ36" s="925" t="str">
        <f>IF(CB36="OK",INDEX(MEASURES3_M!$O$46, MATCH(F36,MEASURES3_M!$C$46,0)),"")</f>
        <v/>
      </c>
      <c r="DA36" s="925" t="str">
        <f>IF(CB36="OK",INDEX(MEASURES3_M!$P$46, MATCH(F36,MEASURES3_M!$C$46,0)),"")</f>
        <v/>
      </c>
      <c r="DD36" s="980" t="str">
        <f>IFERROR(IF(CB36&lt;&gt;"OK","",CM36*VLOOKUP('DATA TABLES_Project'!$C$247,'DATA TABLES_Project'!$A$250:$B$285,2,FALSE)),"")</f>
        <v/>
      </c>
      <c r="DE36" s="925" t="str">
        <f t="shared" ref="DE36" si="234">IFERROR(IF(CB36&lt;&gt;"OK","",CM36*CZ36*0.92),"")</f>
        <v/>
      </c>
      <c r="DF36" s="980" t="str">
        <f>IFERROR(IF(CB36&lt;&gt;"OK","",CM36*CZ36*0.92*VLOOKUP('DATA TABLES_Project'!$C$247,'DATA TABLES_Project'!$A$250:$B$285,2,FALSE)),"")</f>
        <v/>
      </c>
      <c r="DG36" s="925" t="str">
        <f t="shared" ref="DG36" si="235">IFERROR(IF(CB36&lt;&gt;"OK","",CM36*BV36),IF(BX36="Dual",(CM36*BW36)+((BY36-AJ36)*(BV36-BW36)),""))</f>
        <v/>
      </c>
      <c r="DH36" s="925" t="str">
        <f ca="1">IFERROR(IF(CB36&lt;&gt;"OK","",IF(OR(BX36="Single",BX36=""), CM36*BV36*AVERAGE(INDEX('DATA TABLES_Project'!$B$250:$B$285, MATCH('DATA TABLES_Project'!$C$247,'DATA TABLES_Project'!$A$250:$A$285, 0)):OFFSET(INDEX('DATA TABLES_Project'!$B$250:$B$285, MATCH('DATA TABLES_Project'!$C$247,'DATA TABLES_Project'!$A$250:$A$285, 0)),BV36-1,0)),CM36*BW36*AVERAGE(INDEX('DATA TABLES_Project'!$B$250:$B$285, MATCH('DATA TABLES_Project'!$C$247,'DATA TABLES_Project'!$A$250:$A$285, 0)):OFFSET(INDEX('DATA TABLES_Project'!$B$250:$B$285, MATCH('DATA TABLES_Project'!$C$247,'DATA TABLES_Project'!$A$250:$A$285, 0)),BW36-1,0)) + ((BY36-AJ36)*(BV36-BW36)*AVERAGE(OFFSET(INDEX('DATA TABLES_Project'!$B$250:$B$285, MATCH('DATA TABLES_Project'!$C$247,'DATA TABLES_Project'!$A$250:$A$285, 0)),BW36,0):OFFSET(INDEX('DATA TABLES_Project'!$B$250:$B$285, MATCH('DATA TABLES_Project'!$C$247,'DATA TABLES_Project'!$A$250:$A$285, 0)),BV36-1,0))))), "")</f>
        <v/>
      </c>
      <c r="DI36" s="925" t="str">
        <f t="shared" ref="DI36" si="236">IFERROR(IF(CB36&lt;&gt;"OK","",IF(BX36="Dual",(CM36*BW36)+((BY36-AJ36)*(BV36-BW36))*CZ36*0.92,CM36*CZ36*BV36*0.92)),"")</f>
        <v/>
      </c>
      <c r="DJ36" s="925" t="str">
        <f ca="1">IFERROR(IF(CB36&lt;&gt;"OK","",IF(OR(BX36="Single",BX36=""),0.92*CZ36*CM36*BV36*AVERAGE(INDEX('DATA TABLES_Project'!$B$250:$B$285, MATCH('DATA TABLES_Project'!$C$247,'DATA TABLES_Project'!$A$250:$A$285, 0)):OFFSET(INDEX('DATA TABLES_Project'!$B$250:$B$285, MATCH('DATA TABLES_Project'!$C$247,'DATA TABLES_Project'!$A$250:$A$285, 0)),BV36-1,0)),0.92*CZ36*CM36*BW36*AVERAGE(INDEX('DATA TABLES_Project'!$B$250:$B$285, MATCH('DATA TABLES_Project'!$C$247,'DATA TABLES_Project'!$A$250:$A$285, 0)):OFFSET(INDEX('DATA TABLES_Project'!$B$250:$B$285, MATCH('DATA TABLES_Project'!$C$247,'DATA TABLES_Project'!$A$250:$A$285, 0)),BW36-1,0)) + (0.92*CZ36*(BY36-AJ36)*(BV36-BW36)*AVERAGE(OFFSET(INDEX('DATA TABLES_Project'!$B$250:$B$285, MATCH('DATA TABLES_Project'!$C$247,'DATA TABLES_Project'!$A$250:$A$285, 0)),BW36,0):OFFSET(INDEX('DATA TABLES_Project'!$B$250:$B$285, MATCH('DATA TABLES_Project'!$C$247,'DATA TABLES_Project'!$A$250:$A$285, 0)),BV36-1,0))))), "")</f>
        <v/>
      </c>
      <c r="DK36" s="925" t="str">
        <f>IFERROR(IF(CB36&lt;&gt;"OK","",CO36*'DATA TABLES_Project'!$C$250),"")</f>
        <v/>
      </c>
      <c r="DL36" s="925" t="str">
        <f t="shared" ref="DL36" si="237">IFERROR(IF(CB36&lt;&gt;"OK","",CO36*DA36*0.92),"")</f>
        <v/>
      </c>
      <c r="DM36" s="925" t="str">
        <f>IFERROR(IF(CB36&lt;&gt;"OK","",CO36*'DATA TABLES_Project'!$C$250*DA36*0.92),"")</f>
        <v/>
      </c>
      <c r="DN36" s="925" t="str">
        <f t="shared" ref="DN36" si="238">IFERROR(IF(CB36&lt;&gt;"OK","",CO36*BV36),IF(BX36="Dual",(CO36*BW36)+((BZ36-AP36)*(BV36-BW36)),""))</f>
        <v/>
      </c>
      <c r="DO36" s="925" t="str">
        <f ca="1">IFERROR(IF(CB36&lt;&gt;"OK","",CO36*BV36*AVERAGE('DATA TABLES_Project'!$C$250:OFFSET('DATA TABLES_Project'!$C$250,BV36,0))),IF(BX36="Dual",(CO36*BW36*AVERAGE('DATA TABLES_Project'!$C$251:$C$259))+((BZ36-AP36)*(BV36-BW36)*AVERAGE('DATA TABLES_Project'!$C$260:$C$279)),""))</f>
        <v/>
      </c>
      <c r="DP36" s="925" t="str">
        <f t="shared" ref="DP36" si="239">IFERROR(IF(CB36&lt;&gt;"OK","",IF(BX36="Dual",((CO36*BW36)+(BZ36-AP36)*(BV36-BW36))*DA36*0.92,CO36*BV36*DA36*0.92)),"")</f>
        <v/>
      </c>
      <c r="DQ36" s="925" t="str">
        <f ca="1">IFERROR(IF(CB36&lt;&gt;"OK","",IF(BX36="Dual",(0.92*DA36*CO36*BW36*AVERAGE('DATA TABLES_Project'!$C$251:$C$259))+(0.92*DA36*(BZ36-AP36)*(BV36-BW36)*AVERAGE('DATA TABLES_Project'!$C$260:$C$279)),0.92*DA36*CO36*BV36*AVERAGE('DATA TABLES_Project'!$C$250:OFFSET('DATA TABLES_Project'!$C$250,BV36,0)))),"")</f>
        <v/>
      </c>
      <c r="DR36" s="980" t="str">
        <f>IFERROR(IF($CB36&lt;&gt;"OK","",CM36*'DATA TABLES_Project'!$B$290+IF(CO36&lt;0,0,CO36*'DATA TABLES_Project'!$B$291)),"")</f>
        <v/>
      </c>
      <c r="DS36" s="980" t="str">
        <f>IFERROR(IF($CB36&lt;&gt;"OK","",DD36*'DATA TABLES_Project'!$B$290+IF(DK36&lt;0,0,DK36*'DATA TABLES_Project'!$B$291)),"")</f>
        <v/>
      </c>
      <c r="DT36" s="980" t="str">
        <f>IFERROR(IF($CB36&lt;&gt;"OK","",DE36*'DATA TABLES_Project'!$B$290+IF(DL36&lt;0,0,DL36*'DATA TABLES_Project'!$B$291)),"")</f>
        <v/>
      </c>
      <c r="DU36" s="980" t="str">
        <f>IFERROR(IF($CB36&lt;&gt;"OK","",DF36*'DATA TABLES_Project'!$B$290+IF(DM36&lt;0,0,DM36*'DATA TABLES_Project'!$B$291)),"")</f>
        <v/>
      </c>
      <c r="DV36" s="980" t="str">
        <f>IFERROR(IF($CB36&lt;&gt;"OK","",DG36*'DATA TABLES_Project'!$B$290+IF(DN36&lt;0,0,DN36*'DATA TABLES_Project'!$B$291)),"")</f>
        <v/>
      </c>
      <c r="DW36" s="980" t="str">
        <f>IFERROR(IF($CB36&lt;&gt;"OK","",DH36*'DATA TABLES_Project'!$B$290+IF(DO36&lt;0,0,DO36*'DATA TABLES_Project'!$B$291)),"")</f>
        <v/>
      </c>
      <c r="DX36" s="980" t="str">
        <f>IFERROR(IF($CB36&lt;&gt;"OK","",DI36*'DATA TABLES_Project'!$B$290+IF(DP36&lt;0,0,DP36*'DATA TABLES_Project'!$B$291)),"")</f>
        <v/>
      </c>
      <c r="DY36" s="925" t="str">
        <f>IFERROR(IF($CB36&lt;&gt;"OK","",DJ36*'DATA TABLES_Project'!$B$290+IF(DQ36&lt;0,0,DQ36*'DATA TABLES_Project'!$B$291)),"")</f>
        <v/>
      </c>
      <c r="DZ36" s="925" t="str">
        <f t="shared" ref="DZ36" si="240">IFERROR(IF($CB36&lt;&gt;"OK","",AS36),"")</f>
        <v/>
      </c>
      <c r="EA36" s="925" t="str">
        <f>IFERROR(IF(CB36&lt;&gt;"OK","",CN36*'DATA TABLES_Project'!$B$250*CZ36*1.03),"")</f>
        <v/>
      </c>
      <c r="EB36" s="925" t="str">
        <f t="shared" ref="EB36" si="241">IFERROR(IF(CB36&lt;&gt;"OK","",CN36*CZ36*1.03),"")</f>
        <v/>
      </c>
      <c r="EC36" s="925" t="str">
        <f>IFERROR(IF(CB36&lt;&gt;"OK","",CZ36*DZ36*'DATA TABLES_Project'!$C$250*0.92),"")</f>
        <v/>
      </c>
      <c r="ED36" s="925" t="str">
        <f>IFERROR(IF(CB36&lt;&gt;"OK","",CZ36*DZ36*'DATA TABLES_Project'!$C$250*0.92),"")</f>
        <v/>
      </c>
      <c r="EE36" s="925" t="str">
        <f t="shared" ref="EE36" si="242">IFERROR(IF(CB36&lt;&gt;"OK","",CZ36*DZ36*0.92),"")</f>
        <v/>
      </c>
      <c r="EF36" s="925" t="str">
        <f t="shared" ref="EF36" si="243">IFERROR(IF(CB36&lt;&gt;"OK","",CZ36*DZ36*0.92),"")</f>
        <v/>
      </c>
      <c r="EG36" s="925" t="str">
        <f>IFERROR(IF($CB36&lt;&gt;"OK","",CM36*'DATA TABLES_Project'!$B$290+CO36*'DATA TABLES_Project'!$B$291),"")</f>
        <v/>
      </c>
      <c r="EH36" s="925" t="str">
        <f>IFERROR(IF($CB36&lt;&gt;"OK","",DD36*'DATA TABLES_Project'!$B$290+DK36*'DATA TABLES_Project'!$B$291),"")</f>
        <v/>
      </c>
      <c r="EI36" s="925" t="str">
        <f>IFERROR(IF($CB36&lt;&gt;"OK","",DE36*'DATA TABLES_Project'!$B$290+DL36*'DATA TABLES_Project'!$B$291),"")</f>
        <v/>
      </c>
      <c r="EJ36" s="925" t="str">
        <f>IFERROR(IF($CB36&lt;&gt;"OK","",DF36*'DATA TABLES_Project'!$B$290+DM36*'DATA TABLES_Project'!$B$291),"")</f>
        <v/>
      </c>
      <c r="EK36" s="925" t="str">
        <f>IFERROR(IF($CB36&lt;&gt;"OK","",DG36*'DATA TABLES_Project'!$B$290+DN36*'DATA TABLES_Project'!$B$291),"")</f>
        <v/>
      </c>
      <c r="EL36" s="925" t="str">
        <f>IFERROR(IF($CB36&lt;&gt;"OK","",DH36*'DATA TABLES_Project'!$B$290+DO36*'DATA TABLES_Project'!$B$291),"")</f>
        <v/>
      </c>
      <c r="EM36" s="925" t="str">
        <f>IFERROR(IF($CB36&lt;&gt;"OK","",DI36*'DATA TABLES_Project'!$B$290+DP36*'DATA TABLES_Project'!$B$291),"")</f>
        <v/>
      </c>
      <c r="EN36" s="925" t="str">
        <f>IFERROR(IF($CB36&lt;&gt;"OK","",DJ36*'DATA TABLES_Project'!$B$290+DQ36*'DATA TABLES_Project'!$B$291),"")</f>
        <v/>
      </c>
    </row>
    <row r="37" spans="1:144" customFormat="1" ht="16.350000000000001" customHeight="1">
      <c r="A37" s="462"/>
      <c r="B37" s="994"/>
      <c r="C37" s="998"/>
      <c r="D37" s="999"/>
      <c r="E37" s="1000"/>
      <c r="F37" s="964"/>
      <c r="G37" s="965"/>
      <c r="H37" s="965"/>
      <c r="I37" s="965"/>
      <c r="J37" s="965"/>
      <c r="K37" s="966"/>
      <c r="L37" s="964"/>
      <c r="M37" s="965"/>
      <c r="N37" s="965"/>
      <c r="O37" s="965"/>
      <c r="P37" s="965"/>
      <c r="Q37" s="966"/>
      <c r="R37" s="1044"/>
      <c r="S37" s="1044"/>
      <c r="T37" s="1044"/>
      <c r="U37" s="1044"/>
      <c r="V37" s="1044"/>
      <c r="W37" s="1044"/>
      <c r="X37" s="1045"/>
      <c r="Y37" s="1045"/>
      <c r="Z37" s="1045"/>
      <c r="AA37" s="1045"/>
      <c r="AB37" s="1045"/>
      <c r="AC37" s="1045"/>
      <c r="AD37" s="964"/>
      <c r="AE37" s="965"/>
      <c r="AF37" s="965"/>
      <c r="AG37" s="965"/>
      <c r="AH37" s="965"/>
      <c r="AI37" s="966"/>
      <c r="AJ37" s="952"/>
      <c r="AK37" s="953"/>
      <c r="AL37" s="954"/>
      <c r="AM37" s="952"/>
      <c r="AN37" s="953"/>
      <c r="AO37" s="954"/>
      <c r="AP37" s="958"/>
      <c r="AQ37" s="959"/>
      <c r="AR37" s="960"/>
      <c r="AS37" s="958"/>
      <c r="AT37" s="959"/>
      <c r="AU37" s="960"/>
      <c r="AV37" s="968"/>
      <c r="AW37" s="969"/>
      <c r="AX37" s="969"/>
      <c r="AY37" s="969"/>
      <c r="AZ37" s="969"/>
      <c r="BA37" s="970"/>
      <c r="BB37" s="947"/>
      <c r="BC37" s="948"/>
      <c r="BD37" s="947"/>
      <c r="BE37" s="948"/>
      <c r="BF37" s="1089"/>
      <c r="BG37" s="1090"/>
      <c r="BH37" s="1094"/>
      <c r="BI37" s="1095"/>
      <c r="BJ37" s="1096"/>
      <c r="BK37" s="1078"/>
      <c r="BL37" s="1079"/>
      <c r="BM37" s="1080"/>
      <c r="BN37" s="1084"/>
      <c r="BO37" s="1085"/>
      <c r="BP37" s="1086"/>
      <c r="BS37" s="967"/>
      <c r="BT37" s="967"/>
      <c r="BV37" s="926"/>
      <c r="BW37" s="926"/>
      <c r="BX37" s="926"/>
      <c r="BY37" s="927"/>
      <c r="BZ37" s="928"/>
      <c r="CB37" s="986"/>
      <c r="CC37" s="925"/>
      <c r="CD37" s="925"/>
      <c r="CE37" s="925"/>
      <c r="CF37" s="925"/>
      <c r="CG37" s="925"/>
      <c r="CH37" s="925"/>
      <c r="CI37" s="925"/>
      <c r="CJ37" s="977"/>
      <c r="CK37" s="977"/>
      <c r="CL37" s="977"/>
      <c r="CM37" s="977"/>
      <c r="CN37" s="977"/>
      <c r="CO37" s="977"/>
      <c r="CP37" s="977"/>
      <c r="CQ37" s="977"/>
      <c r="CR37" s="977"/>
      <c r="CS37" s="983"/>
      <c r="CT37" s="1056"/>
      <c r="CU37" s="979"/>
      <c r="CV37" s="925"/>
      <c r="CW37" s="925"/>
      <c r="CX37" s="925"/>
      <c r="CY37" s="925"/>
      <c r="CZ37" s="925"/>
      <c r="DA37" s="925"/>
      <c r="DD37" s="981"/>
      <c r="DE37" s="925"/>
      <c r="DF37" s="981"/>
      <c r="DG37" s="925"/>
      <c r="DH37" s="925"/>
      <c r="DI37" s="925"/>
      <c r="DJ37" s="925"/>
      <c r="DK37" s="925"/>
      <c r="DL37" s="925"/>
      <c r="DM37" s="925"/>
      <c r="DN37" s="925"/>
      <c r="DO37" s="925"/>
      <c r="DP37" s="925"/>
      <c r="DQ37" s="925"/>
      <c r="DR37" s="981"/>
      <c r="DS37" s="981"/>
      <c r="DT37" s="981"/>
      <c r="DU37" s="981"/>
      <c r="DV37" s="981"/>
      <c r="DW37" s="981"/>
      <c r="DX37" s="981"/>
      <c r="DY37" s="925"/>
      <c r="DZ37" s="925"/>
      <c r="EA37" s="925"/>
      <c r="EB37" s="925"/>
      <c r="EC37" s="925"/>
      <c r="ED37" s="925"/>
      <c r="EE37" s="925"/>
      <c r="EF37" s="925"/>
      <c r="EG37" s="925"/>
      <c r="EH37" s="925"/>
      <c r="EI37" s="925"/>
      <c r="EJ37" s="925"/>
      <c r="EK37" s="925"/>
      <c r="EL37" s="925"/>
      <c r="EM37" s="925"/>
      <c r="EN37" s="925"/>
    </row>
    <row r="38" spans="1:144" customFormat="1" ht="16.350000000000001" customHeight="1">
      <c r="A38" s="462"/>
      <c r="B38" s="462"/>
      <c r="C38" s="462"/>
      <c r="D38" s="462"/>
      <c r="E38" s="462"/>
      <c r="F38" s="462"/>
      <c r="G38" s="462"/>
      <c r="H38" s="462"/>
      <c r="I38" s="462"/>
      <c r="J38" s="462"/>
      <c r="K38" s="462"/>
      <c r="L38" s="47"/>
      <c r="M38" s="47"/>
      <c r="N38" s="47"/>
      <c r="O38" s="47"/>
      <c r="P38" s="462"/>
      <c r="Q38" s="462"/>
      <c r="R38" s="462"/>
      <c r="S38" s="462"/>
      <c r="T38" s="462"/>
      <c r="U38" s="47"/>
      <c r="V38" s="47"/>
      <c r="W38" s="47"/>
      <c r="X38" s="47"/>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7"/>
      <c r="BB38" s="47"/>
      <c r="BC38" s="465"/>
      <c r="BD38" s="465"/>
      <c r="BE38" s="462"/>
      <c r="BF38" s="462"/>
      <c r="BG38" s="465"/>
      <c r="BH38" s="462"/>
      <c r="BI38" s="462"/>
      <c r="BJ38" s="462"/>
      <c r="CC38" s="12"/>
      <c r="CD38" s="12"/>
      <c r="CE38" s="12"/>
      <c r="CF38" s="12"/>
      <c r="CG38" s="12"/>
      <c r="CH38" s="12"/>
    </row>
    <row r="39" spans="1:144" customFormat="1" ht="16.350000000000001" hidden="1" customHeight="1">
      <c r="L39" s="12"/>
      <c r="M39" s="12"/>
      <c r="N39" s="12"/>
      <c r="O39" s="12"/>
      <c r="U39" s="12"/>
      <c r="V39" s="12"/>
      <c r="W39" s="12"/>
      <c r="X39" s="12"/>
      <c r="BA39" s="12"/>
      <c r="BB39" s="12"/>
      <c r="BC39" s="89"/>
      <c r="BD39" s="89"/>
      <c r="BG39" s="89"/>
      <c r="CC39" s="12"/>
      <c r="CD39" s="12"/>
      <c r="CE39" s="12"/>
      <c r="CF39" s="12"/>
      <c r="CG39" s="12"/>
      <c r="CH39" s="12"/>
    </row>
    <row r="40" spans="1:144" customFormat="1" ht="16.350000000000001" hidden="1" customHeight="1">
      <c r="L40" s="12"/>
      <c r="M40" s="12"/>
      <c r="N40" s="12"/>
      <c r="O40" s="12"/>
      <c r="U40" s="12"/>
      <c r="V40" s="12"/>
      <c r="W40" s="12"/>
      <c r="X40" s="12"/>
      <c r="BA40" s="12"/>
      <c r="BB40" s="12"/>
      <c r="BC40" s="89"/>
      <c r="BD40" s="89"/>
      <c r="BG40" s="89"/>
      <c r="CC40" s="12"/>
      <c r="CD40" s="12"/>
      <c r="CE40" s="12"/>
      <c r="CF40" s="12"/>
      <c r="CG40" s="12"/>
      <c r="CH40" s="12"/>
    </row>
    <row r="41" spans="1:144" customFormat="1" ht="16.350000000000001" hidden="1" customHeight="1">
      <c r="L41" s="12"/>
      <c r="M41" s="12"/>
      <c r="N41" s="12"/>
      <c r="O41" s="12"/>
      <c r="U41" s="12"/>
      <c r="V41" s="12"/>
      <c r="W41" s="12"/>
      <c r="X41" s="12"/>
      <c r="BA41" s="12"/>
      <c r="BB41" s="12"/>
      <c r="BC41" s="89"/>
      <c r="BD41" s="89"/>
      <c r="BG41" s="89"/>
      <c r="CC41" s="12"/>
      <c r="CD41" s="12"/>
      <c r="CE41" s="12"/>
      <c r="CF41" s="12"/>
      <c r="CG41" s="12"/>
      <c r="CH41" s="12"/>
    </row>
    <row r="42" spans="1:144" customFormat="1" ht="16.350000000000001" hidden="1" customHeight="1">
      <c r="L42" s="12"/>
      <c r="M42" s="12"/>
      <c r="N42" s="12"/>
      <c r="O42" s="12"/>
      <c r="U42" s="12"/>
      <c r="V42" s="12"/>
      <c r="W42" s="12"/>
      <c r="X42" s="12"/>
      <c r="BA42" s="12"/>
      <c r="BB42" s="12"/>
      <c r="BC42" s="89"/>
      <c r="BD42" s="89"/>
      <c r="BG42" s="89"/>
      <c r="CC42" s="12"/>
      <c r="CD42" s="12"/>
      <c r="CE42" s="12"/>
      <c r="CF42" s="12"/>
      <c r="CG42" s="12"/>
      <c r="CH42" s="12"/>
    </row>
    <row r="43" spans="1:144" customFormat="1" ht="16.350000000000001" hidden="1" customHeight="1">
      <c r="L43" s="12"/>
      <c r="M43" s="12"/>
      <c r="N43" s="12"/>
      <c r="O43" s="12"/>
      <c r="U43" s="12"/>
      <c r="V43" s="12"/>
      <c r="W43" s="12"/>
      <c r="X43" s="12"/>
      <c r="BA43" s="12"/>
      <c r="BB43" s="12"/>
      <c r="BC43" s="89"/>
      <c r="BD43" s="89"/>
      <c r="BG43" s="89"/>
      <c r="CC43" s="12"/>
      <c r="CD43" s="12"/>
      <c r="CE43" s="12"/>
      <c r="CF43" s="12"/>
      <c r="CG43" s="12"/>
      <c r="CH43" s="12"/>
    </row>
    <row r="44" spans="1:144" customFormat="1" ht="16.350000000000001" hidden="1" customHeight="1">
      <c r="L44" s="12"/>
      <c r="M44" s="12"/>
      <c r="N44" s="12"/>
      <c r="O44" s="12"/>
      <c r="U44" s="12"/>
      <c r="V44" s="12"/>
      <c r="W44" s="12"/>
      <c r="X44" s="12"/>
      <c r="BA44" s="12"/>
      <c r="BB44" s="12"/>
      <c r="BC44" s="89"/>
      <c r="BD44" s="89"/>
      <c r="BG44" s="89"/>
      <c r="CC44" s="12"/>
      <c r="CD44" s="12"/>
      <c r="CE44" s="12"/>
      <c r="CF44" s="12"/>
      <c r="CG44" s="12"/>
      <c r="CH44" s="12"/>
    </row>
    <row r="45" spans="1:144" customFormat="1" ht="16.350000000000001" hidden="1" customHeight="1">
      <c r="L45" s="12"/>
      <c r="M45" s="12"/>
      <c r="N45" s="12"/>
      <c r="O45" s="12"/>
      <c r="U45" s="12"/>
      <c r="V45" s="12"/>
      <c r="W45" s="12"/>
      <c r="X45" s="12"/>
      <c r="BA45" s="12"/>
      <c r="BB45" s="12"/>
      <c r="BC45" s="89"/>
      <c r="BD45" s="89"/>
      <c r="BG45" s="89"/>
      <c r="CC45" s="12"/>
      <c r="CD45" s="12"/>
      <c r="CE45" s="12"/>
      <c r="CF45" s="12"/>
      <c r="CG45" s="12"/>
      <c r="CH45" s="12"/>
    </row>
    <row r="46" spans="1:144" customFormat="1" ht="16.350000000000001" hidden="1" customHeight="1">
      <c r="L46" s="12"/>
      <c r="M46" s="12"/>
      <c r="N46" s="12"/>
      <c r="O46" s="12"/>
      <c r="U46" s="12"/>
      <c r="V46" s="12"/>
      <c r="W46" s="12"/>
      <c r="X46" s="12"/>
      <c r="BA46" s="12"/>
      <c r="BB46" s="12"/>
      <c r="BC46" s="89"/>
      <c r="BD46" s="89"/>
      <c r="BG46" s="89"/>
      <c r="CC46" s="12"/>
      <c r="CD46" s="12"/>
      <c r="CE46" s="12"/>
      <c r="CF46" s="12"/>
      <c r="CG46" s="12"/>
      <c r="CH46" s="12"/>
    </row>
    <row r="47" spans="1:144" customFormat="1" ht="16.350000000000001" hidden="1" customHeight="1">
      <c r="L47" s="12"/>
      <c r="M47" s="12"/>
      <c r="N47" s="12"/>
      <c r="O47" s="12"/>
      <c r="U47" s="12"/>
      <c r="V47" s="12"/>
      <c r="W47" s="12"/>
      <c r="X47" s="12"/>
      <c r="BA47" s="12"/>
      <c r="BB47" s="12"/>
      <c r="BC47" s="89"/>
      <c r="BD47" s="89"/>
      <c r="BG47" s="89"/>
      <c r="CC47" s="12"/>
      <c r="CD47" s="12"/>
      <c r="CE47" s="12"/>
      <c r="CF47" s="12"/>
      <c r="CG47" s="12"/>
      <c r="CH47" s="12"/>
    </row>
    <row r="48" spans="1:144" ht="16.350000000000001" hidden="1" customHeight="1">
      <c r="AY48" s="51"/>
      <c r="AZ48" s="52"/>
      <c r="BC48" s="102"/>
      <c r="BD48" s="102"/>
      <c r="BE48" s="52"/>
      <c r="BG48" s="90"/>
    </row>
    <row r="49" spans="51:59" ht="16.350000000000001" hidden="1" customHeight="1">
      <c r="AY49" s="51"/>
      <c r="AZ49" s="52"/>
      <c r="BC49" s="102"/>
      <c r="BD49" s="102"/>
      <c r="BE49" s="52"/>
      <c r="BG49" s="90"/>
    </row>
    <row r="50" spans="51:59" ht="16.350000000000001" hidden="1" customHeight="1">
      <c r="AY50" s="51"/>
      <c r="AZ50" s="52"/>
      <c r="BC50" s="102"/>
      <c r="BD50" s="102"/>
      <c r="BE50" s="52"/>
      <c r="BG50" s="90"/>
    </row>
    <row r="51" spans="51:59" ht="16.350000000000001" hidden="1" customHeight="1">
      <c r="AY51" s="51"/>
      <c r="AZ51" s="52"/>
      <c r="BC51" s="102"/>
      <c r="BD51" s="102"/>
      <c r="BE51" s="52"/>
      <c r="BG51" s="90"/>
    </row>
    <row r="52" spans="51:59" ht="16.350000000000001" hidden="1" customHeight="1">
      <c r="AY52" s="51"/>
      <c r="AZ52" s="52"/>
      <c r="BC52" s="102"/>
      <c r="BD52" s="102"/>
      <c r="BE52" s="52"/>
      <c r="BG52" s="90"/>
    </row>
    <row r="53" spans="51:59" ht="16.350000000000001" hidden="1" customHeight="1">
      <c r="AY53" s="51"/>
      <c r="AZ53" s="52"/>
      <c r="BC53" s="102"/>
      <c r="BD53" s="102"/>
      <c r="BE53" s="52"/>
      <c r="BG53" s="90"/>
    </row>
    <row r="54" spans="51:59" ht="16.350000000000001" hidden="1" customHeight="1">
      <c r="AY54" s="51"/>
      <c r="AZ54" s="52"/>
      <c r="BC54" s="102"/>
      <c r="BD54" s="102"/>
      <c r="BE54" s="52"/>
      <c r="BG54" s="90"/>
    </row>
    <row r="55" spans="51:59" ht="16.350000000000001" hidden="1" customHeight="1">
      <c r="AY55" s="51"/>
      <c r="AZ55" s="52"/>
      <c r="BC55" s="102"/>
      <c r="BD55" s="102"/>
      <c r="BE55" s="52"/>
      <c r="BG55" s="90"/>
    </row>
    <row r="56" spans="51:59" ht="16.350000000000001" hidden="1" customHeight="1">
      <c r="AY56" s="51"/>
      <c r="AZ56" s="52"/>
      <c r="BC56" s="102"/>
      <c r="BD56" s="102"/>
      <c r="BE56" s="52"/>
      <c r="BG56" s="90"/>
    </row>
    <row r="57" spans="51:59" ht="16.350000000000001" hidden="1" customHeight="1">
      <c r="AY57" s="51"/>
      <c r="AZ57" s="52"/>
      <c r="BC57" s="102"/>
      <c r="BD57" s="102"/>
      <c r="BE57" s="52"/>
      <c r="BG57" s="90"/>
    </row>
    <row r="58" spans="51:59" ht="16.350000000000001" hidden="1" customHeight="1">
      <c r="AY58" s="51"/>
      <c r="AZ58" s="52"/>
      <c r="BC58" s="102"/>
      <c r="BD58" s="102"/>
      <c r="BE58" s="52"/>
      <c r="BG58" s="90"/>
    </row>
    <row r="59" spans="51:59" ht="16.350000000000001" hidden="1" customHeight="1">
      <c r="AY59" s="51"/>
      <c r="AZ59" s="52"/>
      <c r="BC59" s="102"/>
      <c r="BD59" s="102"/>
      <c r="BE59" s="52"/>
      <c r="BG59" s="90"/>
    </row>
    <row r="60" spans="51:59" ht="16.350000000000001" hidden="1" customHeight="1">
      <c r="AY60" s="51"/>
      <c r="AZ60" s="52"/>
      <c r="BC60" s="102"/>
      <c r="BD60" s="102"/>
      <c r="BE60" s="52"/>
      <c r="BG60" s="90"/>
    </row>
    <row r="61" spans="51:59" ht="16.350000000000001" hidden="1" customHeight="1">
      <c r="AY61" s="51"/>
      <c r="AZ61" s="52"/>
      <c r="BC61" s="102"/>
      <c r="BD61" s="102"/>
      <c r="BE61" s="52"/>
      <c r="BG61" s="90"/>
    </row>
    <row r="62" spans="51:59" ht="16.350000000000001" hidden="1" customHeight="1">
      <c r="AY62" s="51"/>
      <c r="AZ62" s="52"/>
      <c r="BC62" s="102"/>
      <c r="BD62" s="102"/>
      <c r="BE62" s="52"/>
      <c r="BG62" s="90"/>
    </row>
    <row r="63" spans="51:59" ht="16.350000000000001" hidden="1" customHeight="1">
      <c r="AY63" s="51"/>
      <c r="AZ63" s="52"/>
      <c r="BC63" s="102"/>
      <c r="BD63" s="102"/>
      <c r="BE63" s="52"/>
      <c r="BG63" s="90"/>
    </row>
    <row r="64" spans="51:59" ht="16.350000000000001" hidden="1" customHeight="1">
      <c r="AY64" s="51"/>
      <c r="AZ64" s="52"/>
      <c r="BC64" s="102"/>
      <c r="BD64" s="102"/>
      <c r="BE64" s="52"/>
      <c r="BG64" s="90"/>
    </row>
    <row r="65" spans="51:59" ht="16.350000000000001" hidden="1" customHeight="1">
      <c r="AY65" s="51"/>
      <c r="AZ65" s="52"/>
      <c r="BC65" s="102"/>
      <c r="BD65" s="102"/>
      <c r="BE65" s="52"/>
      <c r="BG65" s="90"/>
    </row>
    <row r="66" spans="51:59" ht="16.350000000000001" hidden="1" customHeight="1">
      <c r="AY66" s="51"/>
      <c r="AZ66" s="52"/>
      <c r="BC66" s="102"/>
      <c r="BD66" s="102"/>
      <c r="BE66" s="52"/>
      <c r="BG66" s="90"/>
    </row>
    <row r="67" spans="51:59" ht="16.350000000000001" hidden="1" customHeight="1">
      <c r="AY67" s="51"/>
      <c r="AZ67" s="52"/>
      <c r="BC67" s="102"/>
      <c r="BD67" s="102"/>
      <c r="BE67" s="52"/>
      <c r="BG67" s="90"/>
    </row>
    <row r="68" spans="51:59" ht="16.350000000000001" hidden="1" customHeight="1">
      <c r="AY68" s="51"/>
      <c r="AZ68" s="52"/>
      <c r="BC68" s="102"/>
      <c r="BD68" s="102"/>
      <c r="BE68" s="52"/>
      <c r="BG68" s="90"/>
    </row>
    <row r="69" spans="51:59" ht="16.350000000000001" hidden="1" customHeight="1">
      <c r="AY69" s="51"/>
      <c r="AZ69" s="52"/>
      <c r="BC69" s="102"/>
      <c r="BD69" s="102"/>
      <c r="BE69" s="52"/>
      <c r="BG69" s="90"/>
    </row>
    <row r="70" spans="51:59" ht="16.350000000000001" hidden="1" customHeight="1">
      <c r="AY70" s="51"/>
      <c r="AZ70" s="52"/>
      <c r="BC70" s="102"/>
      <c r="BD70" s="102"/>
      <c r="BE70" s="52"/>
      <c r="BG70" s="90"/>
    </row>
    <row r="71" spans="51:59" ht="16.350000000000001" hidden="1" customHeight="1">
      <c r="AY71" s="51"/>
      <c r="AZ71" s="52"/>
      <c r="BC71" s="102"/>
      <c r="BD71" s="102"/>
      <c r="BE71" s="52"/>
      <c r="BG71" s="90"/>
    </row>
    <row r="72" spans="51:59" ht="16.350000000000001" hidden="1" customHeight="1">
      <c r="AY72" s="51"/>
      <c r="AZ72" s="52"/>
      <c r="BC72" s="102"/>
      <c r="BD72" s="102"/>
      <c r="BE72" s="52"/>
      <c r="BG72" s="90"/>
    </row>
    <row r="73" spans="51:59" ht="16.350000000000001" hidden="1" customHeight="1">
      <c r="AY73" s="51"/>
      <c r="AZ73" s="52"/>
      <c r="BC73" s="102"/>
      <c r="BD73" s="102"/>
      <c r="BE73" s="52"/>
      <c r="BG73" s="90"/>
    </row>
    <row r="74" spans="51:59" ht="16.350000000000001" hidden="1" customHeight="1">
      <c r="AY74" s="51"/>
      <c r="AZ74" s="52"/>
      <c r="BC74" s="102"/>
      <c r="BD74" s="102"/>
      <c r="BE74" s="52"/>
      <c r="BG74" s="90"/>
    </row>
    <row r="75" spans="51:59" ht="16.350000000000001" hidden="1" customHeight="1">
      <c r="AY75" s="51"/>
      <c r="AZ75" s="52"/>
      <c r="BC75" s="102"/>
      <c r="BD75" s="102"/>
      <c r="BE75" s="52"/>
      <c r="BG75" s="90"/>
    </row>
    <row r="76" spans="51:59" ht="16.350000000000001" hidden="1" customHeight="1">
      <c r="AY76" s="51"/>
      <c r="AZ76" s="52"/>
      <c r="BC76" s="102"/>
      <c r="BD76" s="102"/>
      <c r="BE76" s="52"/>
      <c r="BG76" s="90"/>
    </row>
    <row r="77" spans="51:59" ht="16.350000000000001" hidden="1" customHeight="1">
      <c r="AY77" s="51"/>
      <c r="AZ77" s="52"/>
      <c r="BC77" s="102"/>
      <c r="BD77" s="102"/>
      <c r="BE77" s="52"/>
      <c r="BG77" s="90"/>
    </row>
    <row r="78" spans="51:59" ht="16.350000000000001" hidden="1" customHeight="1">
      <c r="AY78" s="51"/>
      <c r="AZ78" s="52"/>
      <c r="BC78" s="102"/>
      <c r="BD78" s="102"/>
      <c r="BE78" s="52"/>
      <c r="BG78" s="90"/>
    </row>
    <row r="79" spans="51:59" ht="16.350000000000001" hidden="1" customHeight="1">
      <c r="AY79" s="51"/>
      <c r="AZ79" s="52"/>
      <c r="BC79" s="102"/>
      <c r="BD79" s="102"/>
      <c r="BE79" s="52"/>
      <c r="BG79" s="90"/>
    </row>
    <row r="80" spans="51:59" ht="16.350000000000001" hidden="1" customHeight="1">
      <c r="AY80" s="51"/>
      <c r="AZ80" s="52"/>
      <c r="BC80" s="102"/>
      <c r="BD80" s="102"/>
      <c r="BE80" s="52"/>
      <c r="BG80" s="90"/>
    </row>
    <row r="81" spans="51:59" ht="16.350000000000001" hidden="1" customHeight="1">
      <c r="AY81" s="51"/>
      <c r="AZ81" s="52"/>
      <c r="BC81" s="102"/>
      <c r="BD81" s="102"/>
      <c r="BE81" s="52"/>
      <c r="BG81" s="90"/>
    </row>
    <row r="82" spans="51:59" ht="16.350000000000001" hidden="1" customHeight="1">
      <c r="AY82" s="51"/>
      <c r="AZ82" s="52"/>
      <c r="BC82" s="102"/>
      <c r="BD82" s="102"/>
      <c r="BE82" s="52"/>
      <c r="BG82" s="90"/>
    </row>
    <row r="83" spans="51:59" ht="16.350000000000001" hidden="1" customHeight="1">
      <c r="AY83" s="51"/>
      <c r="AZ83" s="52"/>
      <c r="BC83" s="102"/>
      <c r="BD83" s="102"/>
      <c r="BE83" s="52"/>
      <c r="BG83" s="90"/>
    </row>
    <row r="84" spans="51:59" ht="16.350000000000001" hidden="1" customHeight="1">
      <c r="AY84" s="51"/>
      <c r="AZ84" s="52"/>
      <c r="BC84" s="102"/>
      <c r="BD84" s="102"/>
      <c r="BE84" s="52"/>
      <c r="BG84" s="90"/>
    </row>
    <row r="85" spans="51:59" ht="16.350000000000001" hidden="1" customHeight="1">
      <c r="AY85" s="51"/>
      <c r="AZ85" s="52"/>
      <c r="BC85" s="102"/>
      <c r="BD85" s="102"/>
      <c r="BE85" s="52"/>
      <c r="BG85" s="90"/>
    </row>
    <row r="86" spans="51:59" ht="16.350000000000001" hidden="1" customHeight="1">
      <c r="AY86" s="51"/>
      <c r="AZ86" s="52"/>
      <c r="BC86" s="102"/>
      <c r="BD86" s="102"/>
      <c r="BE86" s="52"/>
      <c r="BG86" s="90"/>
    </row>
    <row r="87" spans="51:59" ht="16.350000000000001" hidden="1" customHeight="1">
      <c r="AY87" s="51"/>
      <c r="AZ87" s="52"/>
      <c r="BC87" s="102"/>
      <c r="BD87" s="102"/>
      <c r="BE87" s="52"/>
      <c r="BG87" s="90"/>
    </row>
    <row r="88" spans="51:59" ht="16.350000000000001" hidden="1" customHeight="1">
      <c r="AY88" s="51"/>
      <c r="AZ88" s="52"/>
      <c r="BC88" s="102"/>
      <c r="BD88" s="102"/>
      <c r="BE88" s="52"/>
      <c r="BG88" s="90"/>
    </row>
    <row r="89" spans="51:59" ht="16.350000000000001" hidden="1" customHeight="1">
      <c r="AY89" s="51"/>
      <c r="AZ89" s="52"/>
      <c r="BC89" s="102"/>
      <c r="BD89" s="102"/>
      <c r="BE89" s="52"/>
      <c r="BG89" s="90"/>
    </row>
    <row r="90" spans="51:59" ht="16.350000000000001" hidden="1" customHeight="1">
      <c r="AY90" s="51"/>
      <c r="AZ90" s="52"/>
      <c r="BC90" s="102"/>
      <c r="BD90" s="102"/>
      <c r="BE90" s="52"/>
      <c r="BG90" s="90"/>
    </row>
    <row r="91" spans="51:59" ht="16.350000000000001" hidden="1" customHeight="1">
      <c r="AY91" s="51"/>
      <c r="AZ91" s="52"/>
      <c r="BC91" s="102"/>
      <c r="BD91" s="102"/>
      <c r="BE91" s="52"/>
      <c r="BG91" s="90"/>
    </row>
    <row r="92" spans="51:59" ht="16.350000000000001" hidden="1" customHeight="1">
      <c r="AY92" s="51"/>
      <c r="AZ92" s="52"/>
      <c r="BC92" s="102"/>
      <c r="BD92" s="102"/>
      <c r="BE92" s="52"/>
      <c r="BG92" s="90"/>
    </row>
    <row r="93" spans="51:59" ht="16.350000000000001" hidden="1" customHeight="1">
      <c r="AY93" s="51"/>
      <c r="AZ93" s="52"/>
      <c r="BC93" s="102"/>
      <c r="BD93" s="102"/>
      <c r="BE93" s="52"/>
      <c r="BG93" s="90"/>
    </row>
    <row r="94" spans="51:59" ht="16.350000000000001" hidden="1" customHeight="1">
      <c r="AY94" s="51"/>
      <c r="AZ94" s="52"/>
      <c r="BC94" s="102"/>
      <c r="BD94" s="102"/>
      <c r="BE94" s="52"/>
      <c r="BG94" s="90"/>
    </row>
    <row r="95" spans="51:59" ht="16.350000000000001" hidden="1" customHeight="1">
      <c r="AY95" s="51"/>
      <c r="AZ95" s="52"/>
      <c r="BC95" s="102"/>
      <c r="BD95" s="102"/>
      <c r="BE95" s="52"/>
      <c r="BG95" s="90"/>
    </row>
    <row r="96" spans="51:59" ht="16.350000000000001" hidden="1" customHeight="1">
      <c r="AY96" s="51"/>
      <c r="AZ96" s="52"/>
      <c r="BC96" s="102"/>
      <c r="BD96" s="102"/>
      <c r="BE96" s="52"/>
      <c r="BG96" s="90"/>
    </row>
    <row r="97" spans="51:59" ht="16.350000000000001" hidden="1" customHeight="1">
      <c r="AY97" s="51"/>
      <c r="AZ97" s="52"/>
      <c r="BC97" s="102"/>
      <c r="BD97" s="102"/>
      <c r="BE97" s="52"/>
      <c r="BG97" s="90"/>
    </row>
    <row r="98" spans="51:59" ht="16.350000000000001" hidden="1" customHeight="1">
      <c r="AY98" s="51"/>
      <c r="AZ98" s="52"/>
      <c r="BC98" s="102"/>
      <c r="BD98" s="102"/>
      <c r="BE98" s="52"/>
      <c r="BG98" s="90"/>
    </row>
    <row r="99" spans="51:59" ht="16.350000000000001" hidden="1" customHeight="1">
      <c r="AY99" s="51"/>
      <c r="AZ99" s="52"/>
      <c r="BC99" s="102"/>
      <c r="BD99" s="102"/>
      <c r="BE99" s="52"/>
      <c r="BG99" s="90"/>
    </row>
    <row r="100" spans="51:59" ht="16.350000000000001" hidden="1" customHeight="1">
      <c r="AY100" s="51"/>
      <c r="AZ100" s="52"/>
      <c r="BC100" s="102"/>
      <c r="BD100" s="102"/>
      <c r="BE100" s="52"/>
      <c r="BG100" s="90"/>
    </row>
    <row r="101" spans="51:59" ht="16.350000000000001" hidden="1" customHeight="1">
      <c r="AY101" s="51"/>
      <c r="AZ101" s="52"/>
      <c r="BC101" s="102"/>
      <c r="BD101" s="102"/>
      <c r="BE101" s="52"/>
      <c r="BG101" s="90"/>
    </row>
    <row r="102" spans="51:59" ht="16.350000000000001" hidden="1" customHeight="1">
      <c r="AY102" s="51"/>
      <c r="AZ102" s="52"/>
      <c r="BC102" s="102"/>
      <c r="BD102" s="102"/>
      <c r="BE102" s="52"/>
      <c r="BG102" s="90"/>
    </row>
    <row r="103" spans="51:59" ht="16.350000000000001" hidden="1" customHeight="1">
      <c r="AY103" s="51"/>
      <c r="AZ103" s="52"/>
      <c r="BC103" s="102"/>
      <c r="BD103" s="102"/>
      <c r="BE103" s="52"/>
      <c r="BG103" s="90"/>
    </row>
    <row r="104" spans="51:59" ht="16.350000000000001" hidden="1" customHeight="1">
      <c r="AY104" s="51"/>
      <c r="AZ104" s="52"/>
      <c r="BC104" s="102"/>
      <c r="BD104" s="102"/>
      <c r="BE104" s="52"/>
      <c r="BG104" s="90"/>
    </row>
    <row r="105" spans="51:59" ht="16.350000000000001" hidden="1" customHeight="1">
      <c r="AY105" s="51"/>
      <c r="AZ105" s="52"/>
      <c r="BC105" s="102"/>
      <c r="BD105" s="102"/>
      <c r="BE105" s="52"/>
      <c r="BG105" s="90"/>
    </row>
    <row r="106" spans="51:59" ht="16.350000000000001" hidden="1" customHeight="1">
      <c r="AY106" s="51"/>
      <c r="AZ106" s="52"/>
      <c r="BC106" s="102"/>
      <c r="BD106" s="102"/>
      <c r="BE106" s="52"/>
      <c r="BG106" s="90"/>
    </row>
    <row r="107" spans="51:59" ht="16.350000000000001" hidden="1" customHeight="1">
      <c r="AY107" s="51"/>
      <c r="AZ107" s="52"/>
      <c r="BC107" s="102"/>
      <c r="BD107" s="102"/>
      <c r="BE107" s="52"/>
      <c r="BG107" s="90"/>
    </row>
    <row r="108" spans="51:59" ht="16.350000000000001" hidden="1" customHeight="1">
      <c r="AY108" s="51"/>
      <c r="AZ108" s="52"/>
      <c r="BC108" s="102"/>
      <c r="BD108" s="102"/>
      <c r="BE108" s="52"/>
      <c r="BG108" s="90"/>
    </row>
    <row r="109" spans="51:59" ht="16.350000000000001" hidden="1" customHeight="1">
      <c r="AY109" s="51"/>
      <c r="AZ109" s="52"/>
      <c r="BC109" s="102"/>
      <c r="BD109" s="102"/>
      <c r="BE109" s="52"/>
      <c r="BG109" s="90"/>
    </row>
    <row r="110" spans="51:59" ht="16.350000000000001" hidden="1" customHeight="1">
      <c r="AY110" s="51"/>
      <c r="AZ110" s="52"/>
      <c r="BC110" s="102"/>
      <c r="BD110" s="102"/>
      <c r="BE110" s="52"/>
      <c r="BG110" s="90"/>
    </row>
    <row r="111" spans="51:59" ht="16.350000000000001" hidden="1" customHeight="1">
      <c r="AY111" s="51"/>
      <c r="AZ111" s="52"/>
      <c r="BC111" s="102"/>
      <c r="BD111" s="102"/>
      <c r="BE111" s="52"/>
      <c r="BG111" s="90"/>
    </row>
    <row r="112" spans="51:59" ht="16.350000000000001" hidden="1" customHeight="1">
      <c r="AY112" s="51"/>
      <c r="AZ112" s="52"/>
      <c r="BC112" s="102"/>
      <c r="BD112" s="102"/>
      <c r="BE112" s="52"/>
      <c r="BG112" s="90"/>
    </row>
    <row r="113" spans="51:59" ht="16.350000000000001" hidden="1" customHeight="1">
      <c r="AY113" s="51"/>
      <c r="AZ113" s="52"/>
      <c r="BC113" s="102"/>
      <c r="BD113" s="102"/>
      <c r="BE113" s="52"/>
      <c r="BG113" s="90"/>
    </row>
    <row r="114" spans="51:59" ht="16.350000000000001" hidden="1" customHeight="1">
      <c r="AY114" s="51"/>
      <c r="AZ114" s="52"/>
      <c r="BC114" s="102"/>
      <c r="BD114" s="102"/>
      <c r="BE114" s="52"/>
      <c r="BG114" s="90"/>
    </row>
    <row r="115" spans="51:59" ht="16.350000000000001" hidden="1" customHeight="1">
      <c r="AY115" s="51"/>
      <c r="AZ115" s="52"/>
      <c r="BC115" s="102"/>
      <c r="BD115" s="102"/>
      <c r="BE115" s="52"/>
      <c r="BG115" s="90"/>
    </row>
    <row r="116" spans="51:59" ht="16.350000000000001" hidden="1" customHeight="1">
      <c r="AY116" s="51"/>
      <c r="AZ116" s="52"/>
      <c r="BC116" s="102"/>
      <c r="BD116" s="102"/>
      <c r="BE116" s="52"/>
      <c r="BG116" s="90"/>
    </row>
    <row r="117" spans="51:59" ht="16.350000000000001" hidden="1" customHeight="1">
      <c r="AY117" s="51"/>
      <c r="AZ117" s="52"/>
      <c r="BC117" s="102"/>
      <c r="BD117" s="102"/>
      <c r="BE117" s="52"/>
      <c r="BG117" s="90"/>
    </row>
    <row r="118" spans="51:59" ht="16.350000000000001" hidden="1" customHeight="1">
      <c r="AY118" s="51"/>
      <c r="AZ118" s="52"/>
      <c r="BC118" s="102"/>
      <c r="BD118" s="102"/>
      <c r="BE118" s="52"/>
      <c r="BG118" s="90"/>
    </row>
    <row r="119" spans="51:59" ht="16.350000000000001" hidden="1" customHeight="1">
      <c r="AY119" s="51"/>
      <c r="AZ119" s="52"/>
      <c r="BC119" s="102"/>
      <c r="BD119" s="102"/>
      <c r="BE119" s="52"/>
      <c r="BG119" s="90"/>
    </row>
    <row r="120" spans="51:59" ht="16.350000000000001" hidden="1" customHeight="1">
      <c r="AY120" s="51"/>
      <c r="AZ120" s="52"/>
      <c r="BC120" s="102"/>
      <c r="BD120" s="102"/>
      <c r="BE120" s="52"/>
      <c r="BG120" s="90"/>
    </row>
    <row r="121" spans="51:59" ht="16.350000000000001" hidden="1" customHeight="1">
      <c r="AY121" s="51"/>
      <c r="AZ121" s="52"/>
      <c r="BC121" s="102"/>
      <c r="BD121" s="102"/>
      <c r="BE121" s="52"/>
      <c r="BG121" s="90"/>
    </row>
    <row r="122" spans="51:59" ht="16.350000000000001" hidden="1" customHeight="1">
      <c r="AY122" s="51"/>
      <c r="AZ122" s="52"/>
      <c r="BC122" s="102"/>
      <c r="BD122" s="102"/>
      <c r="BE122" s="52"/>
      <c r="BG122" s="90"/>
    </row>
    <row r="123" spans="51:59" ht="16.350000000000001" hidden="1" customHeight="1">
      <c r="AY123" s="51"/>
      <c r="AZ123" s="52"/>
      <c r="BC123" s="102"/>
      <c r="BD123" s="102"/>
      <c r="BE123" s="52"/>
      <c r="BG123" s="90"/>
    </row>
    <row r="124" spans="51:59" ht="16.350000000000001" hidden="1" customHeight="1">
      <c r="AY124" s="51"/>
      <c r="AZ124" s="52"/>
      <c r="BC124" s="102"/>
      <c r="BD124" s="102"/>
      <c r="BE124" s="52"/>
      <c r="BG124" s="90"/>
    </row>
    <row r="125" spans="51:59" ht="16.350000000000001" hidden="1" customHeight="1">
      <c r="AY125" s="51"/>
      <c r="AZ125" s="52"/>
      <c r="BC125" s="102"/>
      <c r="BD125" s="102"/>
      <c r="BE125" s="52"/>
      <c r="BG125" s="90"/>
    </row>
    <row r="126" spans="51:59" ht="16.350000000000001" hidden="1" customHeight="1">
      <c r="AY126" s="51"/>
      <c r="AZ126" s="52"/>
      <c r="BC126" s="102"/>
      <c r="BD126" s="102"/>
      <c r="BE126" s="52"/>
      <c r="BG126" s="90"/>
    </row>
    <row r="127" spans="51:59" ht="16.350000000000001" hidden="1" customHeight="1">
      <c r="AY127" s="51"/>
      <c r="AZ127" s="52"/>
      <c r="BC127" s="102"/>
      <c r="BD127" s="102"/>
      <c r="BE127" s="52"/>
      <c r="BG127" s="90"/>
    </row>
    <row r="128" spans="51:59" ht="16.350000000000001" hidden="1" customHeight="1">
      <c r="AY128" s="51"/>
      <c r="AZ128" s="52"/>
      <c r="BC128" s="102"/>
      <c r="BD128" s="102"/>
      <c r="BE128" s="52"/>
      <c r="BG128" s="90"/>
    </row>
    <row r="129" spans="51:59" ht="16.350000000000001" hidden="1" customHeight="1">
      <c r="AY129" s="51"/>
      <c r="AZ129" s="52"/>
      <c r="BC129" s="102"/>
      <c r="BD129" s="102"/>
      <c r="BE129" s="52"/>
      <c r="BG129" s="90"/>
    </row>
    <row r="130" spans="51:59" ht="16.350000000000001" hidden="1" customHeight="1">
      <c r="AY130" s="51"/>
      <c r="AZ130" s="52"/>
      <c r="BC130" s="102"/>
      <c r="BD130" s="102"/>
      <c r="BE130" s="52"/>
      <c r="BG130" s="90"/>
    </row>
    <row r="131" spans="51:59" ht="16.350000000000001" hidden="1" customHeight="1">
      <c r="AY131" s="51"/>
      <c r="AZ131" s="52"/>
      <c r="BC131" s="102"/>
      <c r="BD131" s="102"/>
      <c r="BE131" s="52"/>
      <c r="BG131" s="90"/>
    </row>
    <row r="132" spans="51:59" ht="16.350000000000001" hidden="1" customHeight="1">
      <c r="AY132" s="51"/>
      <c r="AZ132" s="52"/>
      <c r="BC132" s="102"/>
      <c r="BD132" s="102"/>
      <c r="BE132" s="52"/>
      <c r="BG132" s="90"/>
    </row>
    <row r="133" spans="51:59" ht="16.350000000000001" hidden="1" customHeight="1">
      <c r="AY133" s="51"/>
      <c r="AZ133" s="52"/>
      <c r="BC133" s="102"/>
      <c r="BD133" s="102"/>
      <c r="BE133" s="52"/>
      <c r="BG133" s="90"/>
    </row>
    <row r="134" spans="51:59" ht="16.350000000000001" hidden="1" customHeight="1">
      <c r="AY134" s="51"/>
      <c r="AZ134" s="52"/>
      <c r="BC134" s="102"/>
      <c r="BD134" s="102"/>
      <c r="BE134" s="52"/>
      <c r="BG134" s="90"/>
    </row>
    <row r="135" spans="51:59" ht="16.350000000000001" hidden="1" customHeight="1">
      <c r="AY135" s="51"/>
      <c r="AZ135" s="52"/>
      <c r="BC135" s="102"/>
      <c r="BD135" s="102"/>
      <c r="BE135" s="52"/>
      <c r="BG135" s="90"/>
    </row>
    <row r="136" spans="51:59" ht="16.350000000000001" hidden="1" customHeight="1">
      <c r="AY136" s="51"/>
      <c r="AZ136" s="52"/>
      <c r="BC136" s="102"/>
      <c r="BD136" s="102"/>
      <c r="BE136" s="52"/>
      <c r="BG136" s="90"/>
    </row>
    <row r="137" spans="51:59" ht="16.350000000000001" hidden="1" customHeight="1">
      <c r="AY137" s="51"/>
      <c r="AZ137" s="52"/>
      <c r="BC137" s="102"/>
      <c r="BD137" s="102"/>
      <c r="BE137" s="52"/>
      <c r="BG137" s="90"/>
    </row>
    <row r="138" spans="51:59" ht="16.350000000000001" hidden="1" customHeight="1">
      <c r="AY138" s="51"/>
      <c r="AZ138" s="52"/>
      <c r="BC138" s="102"/>
      <c r="BD138" s="102"/>
      <c r="BE138" s="52"/>
      <c r="BG138" s="90"/>
    </row>
    <row r="139" spans="51:59" ht="16.350000000000001" hidden="1" customHeight="1">
      <c r="AY139" s="51"/>
      <c r="AZ139" s="52"/>
      <c r="BC139" s="102"/>
      <c r="BD139" s="102"/>
      <c r="BE139" s="52"/>
      <c r="BG139" s="90"/>
    </row>
    <row r="140" spans="51:59" ht="16.350000000000001" hidden="1" customHeight="1">
      <c r="AY140" s="51"/>
      <c r="AZ140" s="52"/>
      <c r="BC140" s="102"/>
      <c r="BD140" s="102"/>
      <c r="BE140" s="52"/>
      <c r="BG140" s="90"/>
    </row>
    <row r="141" spans="51:59" ht="16.350000000000001" hidden="1" customHeight="1">
      <c r="AY141" s="51"/>
      <c r="AZ141" s="52"/>
      <c r="BC141" s="102"/>
      <c r="BD141" s="102"/>
      <c r="BE141" s="52"/>
      <c r="BG141" s="90"/>
    </row>
    <row r="142" spans="51:59" ht="16.350000000000001" hidden="1" customHeight="1">
      <c r="AY142" s="51"/>
      <c r="AZ142" s="52"/>
      <c r="BC142" s="102"/>
      <c r="BD142" s="102"/>
      <c r="BE142" s="52"/>
      <c r="BG142" s="90"/>
    </row>
    <row r="143" spans="51:59" ht="16.350000000000001" hidden="1" customHeight="1">
      <c r="AY143" s="51"/>
      <c r="AZ143" s="52"/>
      <c r="BC143" s="102"/>
      <c r="BD143" s="102"/>
      <c r="BE143" s="52"/>
      <c r="BG143" s="90"/>
    </row>
    <row r="144" spans="51:59" ht="16.350000000000001" hidden="1" customHeight="1">
      <c r="AY144" s="51"/>
      <c r="AZ144" s="52"/>
      <c r="BC144" s="102"/>
      <c r="BD144" s="102"/>
      <c r="BE144" s="52"/>
      <c r="BG144" s="90"/>
    </row>
    <row r="145" spans="51:59" ht="16.350000000000001" hidden="1" customHeight="1">
      <c r="AY145" s="51"/>
      <c r="AZ145" s="52"/>
      <c r="BC145" s="102"/>
      <c r="BD145" s="102"/>
      <c r="BE145" s="52"/>
      <c r="BG145" s="90"/>
    </row>
    <row r="146" spans="51:59" ht="16.350000000000001" hidden="1" customHeight="1">
      <c r="AY146" s="51"/>
      <c r="AZ146" s="52"/>
      <c r="BC146" s="102"/>
      <c r="BD146" s="102"/>
      <c r="BE146" s="52"/>
      <c r="BG146" s="90"/>
    </row>
    <row r="147" spans="51:59" ht="16.350000000000001" hidden="1" customHeight="1">
      <c r="AY147" s="51"/>
      <c r="AZ147" s="52"/>
      <c r="BC147" s="102"/>
      <c r="BD147" s="102"/>
      <c r="BE147" s="52"/>
      <c r="BG147" s="90"/>
    </row>
    <row r="148" spans="51:59" ht="16.350000000000001" hidden="1" customHeight="1">
      <c r="AY148" s="51"/>
      <c r="AZ148" s="52"/>
      <c r="BC148" s="102"/>
      <c r="BD148" s="102"/>
      <c r="BE148" s="52"/>
      <c r="BG148" s="90"/>
    </row>
    <row r="149" spans="51:59" ht="16.350000000000001" hidden="1" customHeight="1">
      <c r="AY149" s="51"/>
      <c r="AZ149" s="52"/>
      <c r="BC149" s="102"/>
      <c r="BD149" s="102"/>
      <c r="BE149" s="52"/>
      <c r="BG149" s="90"/>
    </row>
    <row r="150" spans="51:59" ht="16.350000000000001" hidden="1" customHeight="1">
      <c r="AY150" s="51"/>
      <c r="AZ150" s="52"/>
      <c r="BC150" s="102"/>
      <c r="BD150" s="102"/>
      <c r="BE150" s="52"/>
      <c r="BG150" s="90"/>
    </row>
    <row r="151" spans="51:59" ht="16.350000000000001" hidden="1" customHeight="1">
      <c r="AY151" s="51"/>
      <c r="AZ151" s="52"/>
      <c r="BC151" s="102"/>
      <c r="BD151" s="102"/>
      <c r="BE151" s="52"/>
      <c r="BG151" s="90"/>
    </row>
    <row r="152" spans="51:59" ht="16.350000000000001" hidden="1" customHeight="1">
      <c r="AY152" s="51"/>
      <c r="AZ152" s="52"/>
      <c r="BC152" s="102"/>
      <c r="BD152" s="102"/>
      <c r="BE152" s="52"/>
      <c r="BG152" s="90"/>
    </row>
    <row r="153" spans="51:59" ht="16.350000000000001" hidden="1" customHeight="1">
      <c r="AY153" s="51"/>
      <c r="AZ153" s="52"/>
      <c r="BC153" s="102"/>
      <c r="BD153" s="102"/>
      <c r="BE153" s="52"/>
      <c r="BG153" s="90"/>
    </row>
    <row r="154" spans="51:59" ht="16.350000000000001" hidden="1" customHeight="1">
      <c r="AY154" s="51"/>
      <c r="AZ154" s="52"/>
      <c r="BC154" s="102"/>
      <c r="BD154" s="102"/>
      <c r="BE154" s="52"/>
      <c r="BG154" s="90"/>
    </row>
    <row r="155" spans="51:59" ht="16.350000000000001" hidden="1" customHeight="1">
      <c r="AY155" s="51"/>
      <c r="AZ155" s="52"/>
      <c r="BC155" s="102"/>
      <c r="BD155" s="102"/>
      <c r="BE155" s="52"/>
      <c r="BG155" s="90"/>
    </row>
    <row r="156" spans="51:59" ht="16.350000000000001" hidden="1" customHeight="1">
      <c r="AY156" s="51"/>
      <c r="AZ156" s="52"/>
      <c r="BC156" s="102"/>
      <c r="BD156" s="102"/>
      <c r="BE156" s="52"/>
      <c r="BG156" s="90"/>
    </row>
    <row r="157" spans="51:59" ht="16.350000000000001" hidden="1" customHeight="1">
      <c r="AY157" s="51"/>
      <c r="AZ157" s="52"/>
      <c r="BC157" s="102"/>
      <c r="BD157" s="102"/>
      <c r="BE157" s="52"/>
      <c r="BG157" s="90"/>
    </row>
    <row r="158" spans="51:59" ht="16.350000000000001" hidden="1" customHeight="1">
      <c r="AY158" s="51"/>
      <c r="AZ158" s="52"/>
      <c r="BC158" s="102"/>
      <c r="BD158" s="102"/>
      <c r="BE158" s="52"/>
      <c r="BG158" s="90"/>
    </row>
    <row r="159" spans="51:59" ht="16.350000000000001" hidden="1" customHeight="1">
      <c r="AY159" s="51"/>
      <c r="AZ159" s="52"/>
      <c r="BC159" s="102"/>
      <c r="BD159" s="102"/>
      <c r="BE159" s="52"/>
      <c r="BG159" s="90"/>
    </row>
    <row r="160" spans="51:59" ht="16.350000000000001" hidden="1" customHeight="1">
      <c r="AY160" s="51"/>
      <c r="AZ160" s="52"/>
      <c r="BC160" s="102"/>
      <c r="BD160" s="102"/>
      <c r="BE160" s="52"/>
      <c r="BG160" s="90"/>
    </row>
    <row r="161" spans="51:59" ht="16.350000000000001" hidden="1" customHeight="1">
      <c r="AY161" s="51"/>
      <c r="AZ161" s="52"/>
      <c r="BC161" s="102"/>
      <c r="BD161" s="102"/>
      <c r="BE161" s="52"/>
      <c r="BG161" s="90"/>
    </row>
    <row r="162" spans="51:59" ht="16.350000000000001" hidden="1" customHeight="1">
      <c r="AY162" s="51"/>
      <c r="AZ162" s="52"/>
      <c r="BC162" s="102"/>
      <c r="BD162" s="102"/>
      <c r="BE162" s="52"/>
      <c r="BG162" s="90"/>
    </row>
    <row r="163" spans="51:59" ht="16.350000000000001" hidden="1" customHeight="1">
      <c r="AY163" s="51"/>
      <c r="AZ163" s="52"/>
      <c r="BC163" s="102"/>
      <c r="BD163" s="102"/>
      <c r="BE163" s="52"/>
      <c r="BG163" s="90"/>
    </row>
    <row r="164" spans="51:59" ht="16.350000000000001" hidden="1" customHeight="1">
      <c r="AY164" s="51"/>
      <c r="AZ164" s="52"/>
      <c r="BC164" s="102"/>
      <c r="BD164" s="102"/>
      <c r="BE164" s="52"/>
      <c r="BG164" s="90"/>
    </row>
    <row r="165" spans="51:59" ht="16.350000000000001" hidden="1" customHeight="1">
      <c r="AY165" s="51"/>
      <c r="AZ165" s="52"/>
      <c r="BC165" s="102"/>
      <c r="BD165" s="102"/>
      <c r="BE165" s="52"/>
      <c r="BG165" s="90"/>
    </row>
    <row r="166" spans="51:59" ht="16.350000000000001" hidden="1" customHeight="1">
      <c r="AY166" s="51"/>
      <c r="AZ166" s="52"/>
      <c r="BC166" s="102"/>
      <c r="BD166" s="102"/>
      <c r="BE166" s="52"/>
      <c r="BG166" s="90"/>
    </row>
    <row r="167" spans="51:59" ht="16.350000000000001" hidden="1" customHeight="1">
      <c r="AY167" s="51"/>
      <c r="AZ167" s="52"/>
      <c r="BC167" s="102"/>
      <c r="BD167" s="102"/>
      <c r="BE167" s="52"/>
      <c r="BG167" s="90"/>
    </row>
    <row r="168" spans="51:59" ht="16.350000000000001" hidden="1" customHeight="1">
      <c r="AY168" s="51"/>
      <c r="AZ168" s="52"/>
      <c r="BC168" s="102"/>
      <c r="BD168" s="102"/>
      <c r="BE168" s="52"/>
      <c r="BG168" s="90"/>
    </row>
    <row r="169" spans="51:59" ht="16.350000000000001" hidden="1" customHeight="1">
      <c r="AY169" s="51"/>
      <c r="AZ169" s="52"/>
      <c r="BC169" s="102"/>
      <c r="BD169" s="102"/>
      <c r="BE169" s="52"/>
      <c r="BG169" s="90"/>
    </row>
    <row r="170" spans="51:59" ht="16.350000000000001" hidden="1" customHeight="1">
      <c r="AY170" s="51"/>
      <c r="AZ170" s="52"/>
      <c r="BC170" s="102"/>
      <c r="BD170" s="102"/>
      <c r="BE170" s="52"/>
      <c r="BG170" s="90"/>
    </row>
    <row r="171" spans="51:59" ht="16.350000000000001" hidden="1" customHeight="1">
      <c r="AY171" s="51"/>
      <c r="AZ171" s="52"/>
      <c r="BC171" s="102"/>
      <c r="BD171" s="102"/>
      <c r="BE171" s="52"/>
      <c r="BG171" s="90"/>
    </row>
    <row r="172" spans="51:59" ht="16.350000000000001" hidden="1" customHeight="1">
      <c r="AY172" s="51"/>
      <c r="AZ172" s="52"/>
      <c r="BC172" s="102"/>
      <c r="BD172" s="102"/>
      <c r="BE172" s="52"/>
      <c r="BG172" s="90"/>
    </row>
    <row r="173" spans="51:59" ht="16.350000000000001" hidden="1" customHeight="1">
      <c r="AY173" s="51"/>
      <c r="AZ173" s="52"/>
      <c r="BC173" s="102"/>
      <c r="BD173" s="102"/>
      <c r="BE173" s="52"/>
      <c r="BG173" s="90"/>
    </row>
    <row r="174" spans="51:59" ht="16.350000000000001" hidden="1" customHeight="1">
      <c r="AY174" s="51"/>
      <c r="AZ174" s="52"/>
      <c r="BC174" s="102"/>
      <c r="BD174" s="102"/>
      <c r="BE174" s="52"/>
      <c r="BG174" s="90"/>
    </row>
    <row r="175" spans="51:59" ht="16.350000000000001" hidden="1" customHeight="1">
      <c r="AY175" s="51"/>
      <c r="AZ175" s="52"/>
      <c r="BC175" s="102"/>
      <c r="BD175" s="102"/>
      <c r="BE175" s="52"/>
      <c r="BG175" s="90"/>
    </row>
    <row r="176" spans="51:59" ht="16.350000000000001" hidden="1" customHeight="1">
      <c r="AY176" s="51"/>
      <c r="AZ176" s="52"/>
      <c r="BC176" s="102"/>
      <c r="BD176" s="102"/>
      <c r="BE176" s="52"/>
      <c r="BG176" s="90"/>
    </row>
    <row r="177" spans="51:59" ht="16.350000000000001" hidden="1" customHeight="1">
      <c r="AY177" s="51"/>
      <c r="AZ177" s="52"/>
      <c r="BC177" s="102"/>
      <c r="BD177" s="102"/>
      <c r="BE177" s="52"/>
      <c r="BG177" s="90"/>
    </row>
    <row r="178" spans="51:59" ht="16.350000000000001" hidden="1" customHeight="1">
      <c r="AY178" s="51"/>
      <c r="AZ178" s="52"/>
      <c r="BC178" s="102"/>
      <c r="BD178" s="102"/>
      <c r="BE178" s="52"/>
      <c r="BG178" s="90"/>
    </row>
    <row r="179" spans="51:59" ht="16.350000000000001" hidden="1" customHeight="1">
      <c r="AY179" s="51"/>
      <c r="AZ179" s="52"/>
      <c r="BC179" s="102"/>
      <c r="BD179" s="102"/>
      <c r="BE179" s="52"/>
      <c r="BG179" s="90"/>
    </row>
    <row r="180" spans="51:59" ht="16.350000000000001" hidden="1" customHeight="1">
      <c r="AY180" s="51"/>
      <c r="AZ180" s="52"/>
      <c r="BC180" s="102"/>
      <c r="BD180" s="102"/>
      <c r="BE180" s="52"/>
      <c r="BG180" s="90"/>
    </row>
    <row r="181" spans="51:59" ht="16.350000000000001" hidden="1" customHeight="1">
      <c r="AY181" s="51"/>
      <c r="AZ181" s="52"/>
      <c r="BC181" s="102"/>
      <c r="BD181" s="102"/>
      <c r="BE181" s="52"/>
      <c r="BG181" s="90"/>
    </row>
    <row r="182" spans="51:59" ht="16.350000000000001" hidden="1" customHeight="1">
      <c r="AY182" s="51"/>
      <c r="AZ182" s="52"/>
      <c r="BC182" s="102"/>
      <c r="BD182" s="102"/>
      <c r="BE182" s="52"/>
      <c r="BG182" s="90"/>
    </row>
    <row r="183" spans="51:59" ht="16.350000000000001" hidden="1" customHeight="1">
      <c r="AY183" s="51"/>
      <c r="AZ183" s="52"/>
      <c r="BC183" s="102"/>
      <c r="BD183" s="102"/>
      <c r="BE183" s="52"/>
      <c r="BG183" s="90"/>
    </row>
    <row r="184" spans="51:59" ht="16.350000000000001" hidden="1" customHeight="1">
      <c r="AY184" s="51"/>
      <c r="AZ184" s="52"/>
      <c r="BC184" s="102"/>
      <c r="BD184" s="102"/>
      <c r="BE184" s="52"/>
      <c r="BG184" s="90"/>
    </row>
    <row r="185" spans="51:59" ht="16.350000000000001" hidden="1" customHeight="1">
      <c r="AY185" s="51"/>
      <c r="AZ185" s="52"/>
      <c r="BC185" s="102"/>
      <c r="BD185" s="102"/>
      <c r="BE185" s="52"/>
      <c r="BG185" s="90"/>
    </row>
    <row r="186" spans="51:59" ht="16.350000000000001" hidden="1" customHeight="1">
      <c r="AY186" s="51"/>
      <c r="AZ186" s="52"/>
      <c r="BC186" s="102"/>
      <c r="BD186" s="102"/>
      <c r="BE186" s="52"/>
      <c r="BG186" s="90"/>
    </row>
    <row r="187" spans="51:59" ht="16.350000000000001" hidden="1" customHeight="1">
      <c r="AY187" s="51"/>
      <c r="AZ187" s="52"/>
      <c r="BC187" s="102"/>
      <c r="BD187" s="102"/>
      <c r="BE187" s="52"/>
      <c r="BG187" s="90"/>
    </row>
    <row r="188" spans="51:59" ht="16.350000000000001" hidden="1" customHeight="1">
      <c r="AY188" s="51"/>
      <c r="AZ188" s="52"/>
      <c r="BC188" s="102"/>
      <c r="BD188" s="102"/>
      <c r="BE188" s="52"/>
      <c r="BG188" s="90"/>
    </row>
    <row r="189" spans="51:59" ht="16.350000000000001" hidden="1" customHeight="1">
      <c r="AY189" s="51"/>
      <c r="AZ189" s="52"/>
      <c r="BC189" s="102"/>
      <c r="BD189" s="102"/>
      <c r="BE189" s="52"/>
      <c r="BG189" s="90"/>
    </row>
    <row r="190" spans="51:59" ht="16.350000000000001" hidden="1" customHeight="1">
      <c r="AY190" s="51"/>
      <c r="AZ190" s="52"/>
      <c r="BC190" s="102"/>
      <c r="BD190" s="102"/>
      <c r="BE190" s="52"/>
      <c r="BG190" s="90"/>
    </row>
    <row r="191" spans="51:59" ht="16.350000000000001" hidden="1" customHeight="1">
      <c r="AY191" s="51"/>
      <c r="AZ191" s="52"/>
      <c r="BC191" s="102"/>
      <c r="BD191" s="102"/>
      <c r="BE191" s="52"/>
      <c r="BG191" s="90"/>
    </row>
    <row r="192" spans="51:59" ht="16.350000000000001" hidden="1" customHeight="1">
      <c r="AY192" s="51"/>
      <c r="AZ192" s="52"/>
      <c r="BC192" s="102"/>
      <c r="BD192" s="102"/>
      <c r="BE192" s="52"/>
      <c r="BG192" s="90"/>
    </row>
    <row r="193" spans="1:70" ht="16.350000000000001" hidden="1" customHeight="1">
      <c r="AY193" s="51"/>
      <c r="AZ193" s="52"/>
      <c r="BC193" s="102"/>
      <c r="BD193" s="102"/>
      <c r="BE193" s="52"/>
      <c r="BG193" s="90"/>
    </row>
    <row r="194" spans="1:70" ht="16.350000000000001" hidden="1" customHeight="1">
      <c r="AY194" s="51"/>
      <c r="AZ194" s="52"/>
      <c r="BC194" s="102"/>
      <c r="BD194" s="102"/>
      <c r="BE194" s="52"/>
      <c r="BG194" s="90"/>
    </row>
    <row r="195" spans="1:70" ht="16.350000000000001" hidden="1" customHeight="1">
      <c r="AY195" s="51"/>
      <c r="AZ195" s="52"/>
      <c r="BC195" s="102"/>
      <c r="BD195" s="102"/>
      <c r="BE195" s="52"/>
      <c r="BG195" s="90"/>
    </row>
    <row r="196" spans="1:70" ht="16.350000000000001" hidden="1" customHeight="1">
      <c r="O196" s="1097"/>
      <c r="P196" s="1097"/>
      <c r="Q196" s="1097"/>
      <c r="R196" s="1097"/>
      <c r="S196" s="1097"/>
      <c r="T196" s="1097"/>
      <c r="U196" s="1097"/>
      <c r="V196" s="1097"/>
      <c r="W196" s="1097"/>
      <c r="X196" s="1097"/>
      <c r="Y196" s="1097"/>
      <c r="Z196" s="1097"/>
      <c r="AA196" s="1097"/>
      <c r="AB196" s="1097"/>
      <c r="AC196" s="1097"/>
      <c r="AD196" s="1097"/>
      <c r="AE196" s="109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row>
    <row r="197" spans="1:70" ht="16.350000000000001" hidden="1" customHeight="1">
      <c r="O197" s="1097"/>
      <c r="P197" s="1097"/>
      <c r="Q197" s="1097"/>
      <c r="R197" s="1097"/>
      <c r="S197" s="1097"/>
      <c r="T197" s="1097"/>
      <c r="U197" s="1097"/>
      <c r="V197" s="1097"/>
      <c r="W197" s="1097"/>
      <c r="X197" s="1097"/>
      <c r="Y197" s="1097"/>
      <c r="Z197" s="1097"/>
      <c r="AA197" s="1097"/>
      <c r="AB197" s="1097"/>
      <c r="AC197" s="1097"/>
      <c r="AD197" s="1097"/>
      <c r="AE197" s="109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row>
    <row r="198" spans="1:70" ht="16.350000000000001" hidden="1" customHeight="1">
      <c r="O198" s="1097"/>
      <c r="P198" s="1097"/>
      <c r="Q198" s="1097"/>
      <c r="R198" s="1097"/>
      <c r="S198" s="1097"/>
      <c r="T198" s="1097"/>
      <c r="U198" s="1097"/>
      <c r="V198" s="1097"/>
      <c r="W198" s="1097"/>
      <c r="X198" s="1097"/>
      <c r="Y198" s="1097"/>
      <c r="Z198" s="1097"/>
      <c r="AA198" s="1097"/>
      <c r="AB198" s="1097"/>
      <c r="AC198" s="1097"/>
      <c r="AD198" s="1097"/>
      <c r="AE198" s="1097"/>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row>
    <row r="199" spans="1:70" ht="16.350000000000001" hidden="1" customHeight="1">
      <c r="AY199" s="51"/>
      <c r="AZ199" s="52"/>
      <c r="BC199" s="102"/>
      <c r="BD199" s="102"/>
      <c r="BE199" s="52"/>
      <c r="BG199" s="90"/>
    </row>
    <row r="200" spans="1:70" customFormat="1"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03"/>
      <c r="BH200" s="503"/>
      <c r="BI200" s="503"/>
      <c r="BJ200" s="515"/>
      <c r="BK200" s="502"/>
      <c r="BL200" s="502"/>
      <c r="BM200" s="502"/>
      <c r="BN200" s="502"/>
      <c r="BO200" s="502"/>
      <c r="BP200" s="502"/>
      <c r="BQ200" s="502"/>
      <c r="BR200" s="502"/>
    </row>
    <row r="201" spans="1:70" customFormat="1"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03"/>
      <c r="BH201" s="503"/>
      <c r="BI201" s="503"/>
      <c r="BJ201" s="515"/>
      <c r="BK201" s="502"/>
      <c r="BL201" s="502"/>
      <c r="BM201" s="502"/>
      <c r="BN201" s="502"/>
      <c r="BO201" s="502"/>
      <c r="BP201" s="502"/>
      <c r="BQ201" s="502"/>
      <c r="BR201" s="502"/>
    </row>
    <row r="202" spans="1:70" customFormat="1"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03"/>
      <c r="BH202" s="503"/>
      <c r="BI202" s="503"/>
      <c r="BJ202" s="515"/>
      <c r="BK202" s="502"/>
      <c r="BL202" s="502"/>
      <c r="BM202" s="502"/>
      <c r="BN202" s="502"/>
      <c r="BO202" s="502"/>
      <c r="BP202" s="502"/>
      <c r="BQ202" s="502"/>
      <c r="BR202" s="502"/>
    </row>
    <row r="203" spans="1:70" ht="16.350000000000001" hidden="1" customHeight="1"/>
    <row r="204" spans="1:70" ht="16.350000000000001" hidden="1" customHeight="1"/>
    <row r="205" spans="1:70" ht="15" hidden="1" customHeight="1"/>
    <row r="206" spans="1:70" ht="15" hidden="1" customHeight="1"/>
  </sheetData>
  <sheetProtection algorithmName="SHA-512" hashValue="+8//4sHSZI0scklW9vinlqZZPwvvTTuAgjbycZSVT1yFkPdIx208CKxUZ920RbgEWu5d3fjku/hLRCHXPOUr2g==" saltValue="dz/YkZV/6VRXMhdKgTlPnQ==" spinCount="100000" sheet="1" objects="1" scenarios="1" selectLockedCells="1"/>
  <mergeCells count="1014">
    <mergeCell ref="DA34:DA35"/>
    <mergeCell ref="CZ36:CZ37"/>
    <mergeCell ref="DA36:DA37"/>
    <mergeCell ref="CZ24:CZ25"/>
    <mergeCell ref="DA24:DA25"/>
    <mergeCell ref="CZ26:CZ27"/>
    <mergeCell ref="DA26:DA27"/>
    <mergeCell ref="CZ28:CZ29"/>
    <mergeCell ref="DA28:DA29"/>
    <mergeCell ref="CZ30:CZ31"/>
    <mergeCell ref="DA30:DA31"/>
    <mergeCell ref="CZ32:CZ33"/>
    <mergeCell ref="DA32:DA33"/>
    <mergeCell ref="BW24:BW25"/>
    <mergeCell ref="BX24:BX25"/>
    <mergeCell ref="BY24:BY25"/>
    <mergeCell ref="BZ24:BZ25"/>
    <mergeCell ref="CN26:CN27"/>
    <mergeCell ref="CE26:CE27"/>
    <mergeCell ref="CF26:CF27"/>
    <mergeCell ref="CG26:CG27"/>
    <mergeCell ref="CH26:CH27"/>
    <mergeCell ref="CI26:CI27"/>
    <mergeCell ref="CB24:CB25"/>
    <mergeCell ref="CG28:CG29"/>
    <mergeCell ref="CH28:CH29"/>
    <mergeCell ref="CI28:CI29"/>
    <mergeCell ref="CT24:CT25"/>
    <mergeCell ref="CS26:CS27"/>
    <mergeCell ref="BX30:BX31"/>
    <mergeCell ref="BY30:BY31"/>
    <mergeCell ref="BZ30:BZ31"/>
    <mergeCell ref="BV26:BV27"/>
    <mergeCell ref="BW26:BW27"/>
    <mergeCell ref="BX26:BX27"/>
    <mergeCell ref="BY26:BY27"/>
    <mergeCell ref="BZ26:BZ27"/>
    <mergeCell ref="BW34:BW35"/>
    <mergeCell ref="BX34:BX35"/>
    <mergeCell ref="BY34:BY35"/>
    <mergeCell ref="BZ34:BZ35"/>
    <mergeCell ref="BV36:BV37"/>
    <mergeCell ref="BW36:BW37"/>
    <mergeCell ref="BX36:BX37"/>
    <mergeCell ref="BY36:BY37"/>
    <mergeCell ref="BZ36:BZ37"/>
    <mergeCell ref="BZ32:BZ33"/>
    <mergeCell ref="BV14:BZ15"/>
    <mergeCell ref="BV16:BV17"/>
    <mergeCell ref="BW16:BW17"/>
    <mergeCell ref="BX16:BX17"/>
    <mergeCell ref="BY16:BY17"/>
    <mergeCell ref="BZ16:BZ17"/>
    <mergeCell ref="BV18:BV19"/>
    <mergeCell ref="BW18:BW19"/>
    <mergeCell ref="BX18:BX19"/>
    <mergeCell ref="BY18:BY19"/>
    <mergeCell ref="BZ18:BZ19"/>
    <mergeCell ref="BV20:BV21"/>
    <mergeCell ref="BW20:BW21"/>
    <mergeCell ref="BX20:BX21"/>
    <mergeCell ref="BY20:BY21"/>
    <mergeCell ref="BZ20:BZ21"/>
    <mergeCell ref="BV22:BV23"/>
    <mergeCell ref="DX34:DX35"/>
    <mergeCell ref="DE36:DE37"/>
    <mergeCell ref="DF36:DF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V36:DV37"/>
    <mergeCell ref="DW36:DW37"/>
    <mergeCell ref="DX36:DX37"/>
    <mergeCell ref="DN34:DN35"/>
    <mergeCell ref="DO34:DO35"/>
    <mergeCell ref="DP34:DP35"/>
    <mergeCell ref="DQ34:DQ35"/>
    <mergeCell ref="DR34:DR35"/>
    <mergeCell ref="DS34:DS35"/>
    <mergeCell ref="DT34:DT35"/>
    <mergeCell ref="DU34:DU35"/>
    <mergeCell ref="DV34:DV35"/>
    <mergeCell ref="DE34:DE35"/>
    <mergeCell ref="DF34:DF35"/>
    <mergeCell ref="DG34:DG35"/>
    <mergeCell ref="DH34:DH35"/>
    <mergeCell ref="DI34:DI35"/>
    <mergeCell ref="DJ34:DJ35"/>
    <mergeCell ref="DK34:DK35"/>
    <mergeCell ref="DL34:DL35"/>
    <mergeCell ref="DM34:DM35"/>
    <mergeCell ref="DW34:DW35"/>
    <mergeCell ref="DX30:DX31"/>
    <mergeCell ref="DE32:DE33"/>
    <mergeCell ref="DF32:DF33"/>
    <mergeCell ref="DG32:DG33"/>
    <mergeCell ref="DH32:DH33"/>
    <mergeCell ref="DI32:DI33"/>
    <mergeCell ref="DJ32:DJ33"/>
    <mergeCell ref="DK32:DK33"/>
    <mergeCell ref="DL32:DL33"/>
    <mergeCell ref="DM32:DM33"/>
    <mergeCell ref="DN32:DN33"/>
    <mergeCell ref="DO32:DO33"/>
    <mergeCell ref="DP32:DP33"/>
    <mergeCell ref="DQ32:DQ33"/>
    <mergeCell ref="DR32:DR33"/>
    <mergeCell ref="DS32:DS33"/>
    <mergeCell ref="DT32:DT33"/>
    <mergeCell ref="DU32:DU33"/>
    <mergeCell ref="DV32:DV33"/>
    <mergeCell ref="DW32:DW33"/>
    <mergeCell ref="DX32:DX33"/>
    <mergeCell ref="DN30:DN31"/>
    <mergeCell ref="DO30:DO31"/>
    <mergeCell ref="DP30:DP31"/>
    <mergeCell ref="DQ30:DQ31"/>
    <mergeCell ref="DR30:DR31"/>
    <mergeCell ref="DS30:DS31"/>
    <mergeCell ref="DT30:DT31"/>
    <mergeCell ref="DU30:DU31"/>
    <mergeCell ref="DV30:DV31"/>
    <mergeCell ref="DE30:DE31"/>
    <mergeCell ref="DF30:DF31"/>
    <mergeCell ref="DG30:DG31"/>
    <mergeCell ref="DH30:DH31"/>
    <mergeCell ref="DI30:DI31"/>
    <mergeCell ref="DJ30:DJ31"/>
    <mergeCell ref="DK30:DK31"/>
    <mergeCell ref="DL30:DL31"/>
    <mergeCell ref="DM30:DM31"/>
    <mergeCell ref="DW30:DW31"/>
    <mergeCell ref="DM26:DM27"/>
    <mergeCell ref="DN26:DN27"/>
    <mergeCell ref="DO26:DO27"/>
    <mergeCell ref="DP26:DP27"/>
    <mergeCell ref="DQ26:DQ27"/>
    <mergeCell ref="DR26:DR27"/>
    <mergeCell ref="DS26:DS27"/>
    <mergeCell ref="DT26:DT27"/>
    <mergeCell ref="DU26:DU27"/>
    <mergeCell ref="DV26:DV27"/>
    <mergeCell ref="DW26:DW27"/>
    <mergeCell ref="DX26:DX27"/>
    <mergeCell ref="DE28:DE29"/>
    <mergeCell ref="DF28:DF29"/>
    <mergeCell ref="DG28:DG29"/>
    <mergeCell ref="DH28:DH29"/>
    <mergeCell ref="DI28:DI29"/>
    <mergeCell ref="DJ28:DJ29"/>
    <mergeCell ref="DK28:DK29"/>
    <mergeCell ref="DL28:DL29"/>
    <mergeCell ref="DM28:DM29"/>
    <mergeCell ref="DN28:DN29"/>
    <mergeCell ref="DO28:DO29"/>
    <mergeCell ref="DP28:DP29"/>
    <mergeCell ref="DQ28:DQ29"/>
    <mergeCell ref="DR28:DR29"/>
    <mergeCell ref="DS28:DS29"/>
    <mergeCell ref="DT28:DT29"/>
    <mergeCell ref="DU28:DU29"/>
    <mergeCell ref="DV28:DV29"/>
    <mergeCell ref="DW28:DW29"/>
    <mergeCell ref="DX28:DX29"/>
    <mergeCell ref="DE26:DE27"/>
    <mergeCell ref="DF26:DF27"/>
    <mergeCell ref="DG26:DG27"/>
    <mergeCell ref="DH26:DH27"/>
    <mergeCell ref="DI26:DI27"/>
    <mergeCell ref="DJ26:DJ27"/>
    <mergeCell ref="DK26:DK27"/>
    <mergeCell ref="DL26:DL27"/>
    <mergeCell ref="DX22:DX23"/>
    <mergeCell ref="DE24:DE25"/>
    <mergeCell ref="DF24:DF25"/>
    <mergeCell ref="DG24:DG25"/>
    <mergeCell ref="DH24:DH25"/>
    <mergeCell ref="DI24:DI25"/>
    <mergeCell ref="DJ24:DJ25"/>
    <mergeCell ref="DK24:DK25"/>
    <mergeCell ref="DL24:DL25"/>
    <mergeCell ref="DM24:DM25"/>
    <mergeCell ref="DN24:DN25"/>
    <mergeCell ref="DO24:DO25"/>
    <mergeCell ref="DP24:DP25"/>
    <mergeCell ref="DQ24:DQ25"/>
    <mergeCell ref="DR24:DR25"/>
    <mergeCell ref="DS24:DS25"/>
    <mergeCell ref="DT24:DT25"/>
    <mergeCell ref="DU24:DU25"/>
    <mergeCell ref="DV24:DV25"/>
    <mergeCell ref="DW24:DW25"/>
    <mergeCell ref="DX24:DX25"/>
    <mergeCell ref="DM22:DM23"/>
    <mergeCell ref="DN22:DN23"/>
    <mergeCell ref="DO22:DO23"/>
    <mergeCell ref="DP22:DP23"/>
    <mergeCell ref="DQ22:DQ23"/>
    <mergeCell ref="DR22:DR23"/>
    <mergeCell ref="DS22:DS23"/>
    <mergeCell ref="DT22:DT23"/>
    <mergeCell ref="DU22:DU23"/>
    <mergeCell ref="DV18:DV19"/>
    <mergeCell ref="DO18:DO19"/>
    <mergeCell ref="DP18:DP19"/>
    <mergeCell ref="DQ18:DQ19"/>
    <mergeCell ref="DR18:DR19"/>
    <mergeCell ref="DS18:DS19"/>
    <mergeCell ref="DT18:DT19"/>
    <mergeCell ref="DU18:DU19"/>
    <mergeCell ref="DV22:DV23"/>
    <mergeCell ref="DW22:DW23"/>
    <mergeCell ref="DW18:DW19"/>
    <mergeCell ref="DX18:DX19"/>
    <mergeCell ref="DE20:DE21"/>
    <mergeCell ref="DF20:DF21"/>
    <mergeCell ref="DG20:DG21"/>
    <mergeCell ref="DH20:DH21"/>
    <mergeCell ref="DI20:DI21"/>
    <mergeCell ref="DJ20:DJ21"/>
    <mergeCell ref="DK20:DK21"/>
    <mergeCell ref="DL20:DL21"/>
    <mergeCell ref="DM20:DM21"/>
    <mergeCell ref="DN20:DN21"/>
    <mergeCell ref="DO20:DO21"/>
    <mergeCell ref="DP20:DP21"/>
    <mergeCell ref="DQ20:DQ21"/>
    <mergeCell ref="DR20:DR21"/>
    <mergeCell ref="DS20:DS21"/>
    <mergeCell ref="DT20:DT21"/>
    <mergeCell ref="DU20:DU21"/>
    <mergeCell ref="DV20:DV21"/>
    <mergeCell ref="DW20:DW21"/>
    <mergeCell ref="DX20:DX21"/>
    <mergeCell ref="DM18:DM19"/>
    <mergeCell ref="DN18:DN19"/>
    <mergeCell ref="DE18:DE19"/>
    <mergeCell ref="DF18:DF19"/>
    <mergeCell ref="DG18:DG19"/>
    <mergeCell ref="DH18:DH19"/>
    <mergeCell ref="DI18:DI19"/>
    <mergeCell ref="DJ18:DJ19"/>
    <mergeCell ref="DK18:DK19"/>
    <mergeCell ref="DL18:DL19"/>
    <mergeCell ref="DE22:DE23"/>
    <mergeCell ref="DF22:DF23"/>
    <mergeCell ref="DG22:DG23"/>
    <mergeCell ref="DH22:DH23"/>
    <mergeCell ref="DI22:DI23"/>
    <mergeCell ref="DJ22:DJ23"/>
    <mergeCell ref="DK22:DK23"/>
    <mergeCell ref="DL22:DL23"/>
    <mergeCell ref="CY34:CY35"/>
    <mergeCell ref="CY36:CY37"/>
    <mergeCell ref="CW13:CY14"/>
    <mergeCell ref="CY16:CY17"/>
    <mergeCell ref="CY18:CY19"/>
    <mergeCell ref="CY20:CY21"/>
    <mergeCell ref="CY22:CY23"/>
    <mergeCell ref="CY24:CY25"/>
    <mergeCell ref="CY26:CY27"/>
    <mergeCell ref="CY28:CY29"/>
    <mergeCell ref="CY30:CY31"/>
    <mergeCell ref="CX26:CX27"/>
    <mergeCell ref="DD18:DD19"/>
    <mergeCell ref="DD20:DD21"/>
    <mergeCell ref="DD22:DD23"/>
    <mergeCell ref="DD24:DD25"/>
    <mergeCell ref="DD26:DD27"/>
    <mergeCell ref="DD28:DD29"/>
    <mergeCell ref="DD30:DD31"/>
    <mergeCell ref="DD32:DD33"/>
    <mergeCell ref="DD34:DD35"/>
    <mergeCell ref="DD36:DD37"/>
    <mergeCell ref="CZ16:CZ17"/>
    <mergeCell ref="DA16:DA17"/>
    <mergeCell ref="CZ18:CZ19"/>
    <mergeCell ref="DA18:DA19"/>
    <mergeCell ref="CZ20:CZ21"/>
    <mergeCell ref="DA20:DA21"/>
    <mergeCell ref="CZ22:CZ23"/>
    <mergeCell ref="DA22:DA23"/>
    <mergeCell ref="CY32:CY33"/>
    <mergeCell ref="CZ34:CZ35"/>
    <mergeCell ref="C26:E27"/>
    <mergeCell ref="F26:K27"/>
    <mergeCell ref="L26:Q27"/>
    <mergeCell ref="C28:E29"/>
    <mergeCell ref="F28:K29"/>
    <mergeCell ref="L28:Q29"/>
    <mergeCell ref="C18:E19"/>
    <mergeCell ref="F18:K19"/>
    <mergeCell ref="L18:Q19"/>
    <mergeCell ref="C24:E25"/>
    <mergeCell ref="F24:K25"/>
    <mergeCell ref="L24:Q25"/>
    <mergeCell ref="CF20:CF21"/>
    <mergeCell ref="CG20:CG21"/>
    <mergeCell ref="CH20:CH21"/>
    <mergeCell ref="CI20:CI21"/>
    <mergeCell ref="CR18:CR19"/>
    <mergeCell ref="CO22:CO23"/>
    <mergeCell ref="CP22:CP23"/>
    <mergeCell ref="CG22:CG23"/>
    <mergeCell ref="CH22:CH23"/>
    <mergeCell ref="CI22:CI23"/>
    <mergeCell ref="CJ22:CJ23"/>
    <mergeCell ref="CK22:CK23"/>
    <mergeCell ref="AP20:AR21"/>
    <mergeCell ref="AP22:AR23"/>
    <mergeCell ref="BB20:BC21"/>
    <mergeCell ref="BD20:BE21"/>
    <mergeCell ref="CJ20:CJ21"/>
    <mergeCell ref="CK20:CK21"/>
    <mergeCell ref="CL20:CL21"/>
    <mergeCell ref="CM20:CM21"/>
    <mergeCell ref="CS18:CS19"/>
    <mergeCell ref="CT18:CT19"/>
    <mergeCell ref="CL22:CL23"/>
    <mergeCell ref="CE24:CE25"/>
    <mergeCell ref="CF24:CF25"/>
    <mergeCell ref="CG24:CG25"/>
    <mergeCell ref="CM26:CM27"/>
    <mergeCell ref="C36:E37"/>
    <mergeCell ref="F36:K37"/>
    <mergeCell ref="L36:Q37"/>
    <mergeCell ref="C30:E31"/>
    <mergeCell ref="F30:K31"/>
    <mergeCell ref="L30:Q31"/>
    <mergeCell ref="C32:E33"/>
    <mergeCell ref="F32:K33"/>
    <mergeCell ref="L32:Q33"/>
    <mergeCell ref="C34:E35"/>
    <mergeCell ref="F34:K35"/>
    <mergeCell ref="L34:Q35"/>
    <mergeCell ref="BS20:BS21"/>
    <mergeCell ref="BS34:BS35"/>
    <mergeCell ref="BT34:BT35"/>
    <mergeCell ref="BT20:BT21"/>
    <mergeCell ref="AP36:AR37"/>
    <mergeCell ref="AS32:AU33"/>
    <mergeCell ref="CO20:CO21"/>
    <mergeCell ref="CP20:CP21"/>
    <mergeCell ref="CQ20:CQ21"/>
    <mergeCell ref="C20:E21"/>
    <mergeCell ref="F20:K21"/>
    <mergeCell ref="CM22:CM23"/>
    <mergeCell ref="CN22:CN23"/>
    <mergeCell ref="AS16:AU17"/>
    <mergeCell ref="AS18:AU19"/>
    <mergeCell ref="BT24:BT25"/>
    <mergeCell ref="BS26:BS27"/>
    <mergeCell ref="BT26:BT27"/>
    <mergeCell ref="BS28:BS29"/>
    <mergeCell ref="BT28:BT29"/>
    <mergeCell ref="BS30:BS31"/>
    <mergeCell ref="BT30:BT31"/>
    <mergeCell ref="BH20:BJ21"/>
    <mergeCell ref="BH26:BJ27"/>
    <mergeCell ref="AS20:AU21"/>
    <mergeCell ref="AS22:AU23"/>
    <mergeCell ref="AS24:AU25"/>
    <mergeCell ref="AS26:AU27"/>
    <mergeCell ref="AS28:AU29"/>
    <mergeCell ref="AP16:AR17"/>
    <mergeCell ref="BT18:BT19"/>
    <mergeCell ref="BS24:BS25"/>
    <mergeCell ref="BK18:BM19"/>
    <mergeCell ref="BN18:BP19"/>
    <mergeCell ref="AV16:AX16"/>
    <mergeCell ref="AY16:BA16"/>
    <mergeCell ref="AV17:BA17"/>
    <mergeCell ref="BB16:BE16"/>
    <mergeCell ref="BB17:BC17"/>
    <mergeCell ref="AP26:AR27"/>
    <mergeCell ref="AP28:AR29"/>
    <mergeCell ref="AP30:AR31"/>
    <mergeCell ref="BD17:BE17"/>
    <mergeCell ref="BF16:BG17"/>
    <mergeCell ref="BK16:BM17"/>
    <mergeCell ref="F1:I3"/>
    <mergeCell ref="J1:M3"/>
    <mergeCell ref="AT1:AW3"/>
    <mergeCell ref="AX1:BA3"/>
    <mergeCell ref="BB1:BG3"/>
    <mergeCell ref="AP9:AS11"/>
    <mergeCell ref="AT9:AW11"/>
    <mergeCell ref="AX9:BA11"/>
    <mergeCell ref="Y12:AB13"/>
    <mergeCell ref="AC12:AG13"/>
    <mergeCell ref="AH12:AK13"/>
    <mergeCell ref="AL12:AO13"/>
    <mergeCell ref="BG5:BI7"/>
    <mergeCell ref="BG8:BI8"/>
    <mergeCell ref="AQ12:BA13"/>
    <mergeCell ref="K9:N11"/>
    <mergeCell ref="O9:R11"/>
    <mergeCell ref="S9:V11"/>
    <mergeCell ref="AF9:AJ11"/>
    <mergeCell ref="AK9:AO11"/>
    <mergeCell ref="W9:Z11"/>
    <mergeCell ref="AA9:AE11"/>
    <mergeCell ref="AP1:AS3"/>
    <mergeCell ref="O196:AY197"/>
    <mergeCell ref="O198:AZ198"/>
    <mergeCell ref="BH1:BK3"/>
    <mergeCell ref="AX4:BA4"/>
    <mergeCell ref="BB4:BF4"/>
    <mergeCell ref="BG4:BJ4"/>
    <mergeCell ref="Y14:AB14"/>
    <mergeCell ref="AC14:AG14"/>
    <mergeCell ref="AH14:AK14"/>
    <mergeCell ref="AL14:AO14"/>
    <mergeCell ref="AM18:AO19"/>
    <mergeCell ref="U18:W19"/>
    <mergeCell ref="R16:T17"/>
    <mergeCell ref="U16:W17"/>
    <mergeCell ref="X16:Z17"/>
    <mergeCell ref="AJ16:AL17"/>
    <mergeCell ref="L15:Z15"/>
    <mergeCell ref="AA15:AU15"/>
    <mergeCell ref="L20:Q21"/>
    <mergeCell ref="L22:Q23"/>
    <mergeCell ref="U24:W25"/>
    <mergeCell ref="X24:Z25"/>
    <mergeCell ref="AJ24:AL25"/>
    <mergeCell ref="U30:W31"/>
    <mergeCell ref="AQ14:BA14"/>
    <mergeCell ref="AY26:BA26"/>
    <mergeCell ref="AV27:BA27"/>
    <mergeCell ref="AA36:AC37"/>
    <mergeCell ref="AD36:AI37"/>
    <mergeCell ref="AA30:AC31"/>
    <mergeCell ref="AA32:AC33"/>
    <mergeCell ref="BH18:BJ19"/>
    <mergeCell ref="B18:B19"/>
    <mergeCell ref="R18:T19"/>
    <mergeCell ref="CQ16:CQ17"/>
    <mergeCell ref="CB16:CB17"/>
    <mergeCell ref="CC16:CC17"/>
    <mergeCell ref="X18:Z19"/>
    <mergeCell ref="AJ18:AL19"/>
    <mergeCell ref="C16:E17"/>
    <mergeCell ref="F16:K17"/>
    <mergeCell ref="L16:Q17"/>
    <mergeCell ref="CD16:CD17"/>
    <mergeCell ref="CE16:CE17"/>
    <mergeCell ref="CF16:CF17"/>
    <mergeCell ref="BH16:BJ17"/>
    <mergeCell ref="AM16:AO17"/>
    <mergeCell ref="BS16:BS17"/>
    <mergeCell ref="BT16:BT17"/>
    <mergeCell ref="AA16:AC17"/>
    <mergeCell ref="AD16:AI17"/>
    <mergeCell ref="CL16:CL17"/>
    <mergeCell ref="CM16:CM17"/>
    <mergeCell ref="CN16:CN17"/>
    <mergeCell ref="CO16:CO17"/>
    <mergeCell ref="CP16:CP17"/>
    <mergeCell ref="CG16:CG17"/>
    <mergeCell ref="CH16:CH17"/>
    <mergeCell ref="CI16:CI17"/>
    <mergeCell ref="CJ16:CJ17"/>
    <mergeCell ref="CK16:CK17"/>
    <mergeCell ref="CE18:CE19"/>
    <mergeCell ref="BN16:BP17"/>
    <mergeCell ref="BF18:BG19"/>
    <mergeCell ref="B20:B21"/>
    <mergeCell ref="R20:T21"/>
    <mergeCell ref="U20:W21"/>
    <mergeCell ref="X20:Z21"/>
    <mergeCell ref="AJ20:AL21"/>
    <mergeCell ref="AM20:AO21"/>
    <mergeCell ref="CM18:CM19"/>
    <mergeCell ref="CN18:CN19"/>
    <mergeCell ref="CO18:CO19"/>
    <mergeCell ref="CP18:CP19"/>
    <mergeCell ref="CQ18:CQ19"/>
    <mergeCell ref="CH18:CH19"/>
    <mergeCell ref="CI18:CI19"/>
    <mergeCell ref="CJ18:CJ19"/>
    <mergeCell ref="CB20:CB21"/>
    <mergeCell ref="CC20:CC21"/>
    <mergeCell ref="CD20:CD21"/>
    <mergeCell ref="CK18:CK19"/>
    <mergeCell ref="CL18:CL19"/>
    <mergeCell ref="CC18:CC19"/>
    <mergeCell ref="CD18:CD19"/>
    <mergeCell ref="CF18:CF19"/>
    <mergeCell ref="CG18:CG19"/>
    <mergeCell ref="CB18:CB19"/>
    <mergeCell ref="BS18:BS19"/>
    <mergeCell ref="AD18:AI19"/>
    <mergeCell ref="AA18:AC19"/>
    <mergeCell ref="AV18:AX18"/>
    <mergeCell ref="AY18:BA18"/>
    <mergeCell ref="AV19:BA19"/>
    <mergeCell ref="BB18:BC19"/>
    <mergeCell ref="BD18:BE19"/>
    <mergeCell ref="CN20:CN21"/>
    <mergeCell ref="CE20:CE21"/>
    <mergeCell ref="AD20:AI21"/>
    <mergeCell ref="AA20:AC21"/>
    <mergeCell ref="BW22:BW23"/>
    <mergeCell ref="BX22:BX23"/>
    <mergeCell ref="BY22:BY23"/>
    <mergeCell ref="BZ22:BZ23"/>
    <mergeCell ref="BV24:BV25"/>
    <mergeCell ref="B24:B25"/>
    <mergeCell ref="R24:T25"/>
    <mergeCell ref="CQ22:CQ23"/>
    <mergeCell ref="CB22:CB23"/>
    <mergeCell ref="CC22:CC23"/>
    <mergeCell ref="CD22:CD23"/>
    <mergeCell ref="CE22:CE23"/>
    <mergeCell ref="AM24:AO25"/>
    <mergeCell ref="CF22:CF23"/>
    <mergeCell ref="BH22:BJ23"/>
    <mergeCell ref="C22:E23"/>
    <mergeCell ref="F22:K23"/>
    <mergeCell ref="BB24:BC25"/>
    <mergeCell ref="BD24:BE25"/>
    <mergeCell ref="BF24:BG25"/>
    <mergeCell ref="BH24:BJ25"/>
    <mergeCell ref="BS22:BS23"/>
    <mergeCell ref="BT22:BT23"/>
    <mergeCell ref="AD22:AI23"/>
    <mergeCell ref="AA22:AC23"/>
    <mergeCell ref="B22:B23"/>
    <mergeCell ref="R22:T23"/>
    <mergeCell ref="U22:W23"/>
    <mergeCell ref="X22:Z23"/>
    <mergeCell ref="AJ22:AL23"/>
    <mergeCell ref="AM22:AO23"/>
    <mergeCell ref="B26:B27"/>
    <mergeCell ref="R26:T27"/>
    <mergeCell ref="U26:W27"/>
    <mergeCell ref="X26:Z27"/>
    <mergeCell ref="AJ26:AL27"/>
    <mergeCell ref="AM26:AO27"/>
    <mergeCell ref="CM24:CM25"/>
    <mergeCell ref="CN24:CN25"/>
    <mergeCell ref="CO24:CO25"/>
    <mergeCell ref="CP24:CP25"/>
    <mergeCell ref="CQ24:CQ25"/>
    <mergeCell ref="CH24:CH25"/>
    <mergeCell ref="CI24:CI25"/>
    <mergeCell ref="CJ24:CJ25"/>
    <mergeCell ref="CB26:CB27"/>
    <mergeCell ref="CC26:CC27"/>
    <mergeCell ref="CO26:CO27"/>
    <mergeCell ref="CP26:CP27"/>
    <mergeCell ref="CQ26:CQ27"/>
    <mergeCell ref="CK26:CK27"/>
    <mergeCell ref="CL26:CL27"/>
    <mergeCell ref="AV26:AX26"/>
    <mergeCell ref="CD26:CD27"/>
    <mergeCell ref="CK24:CK25"/>
    <mergeCell ref="CL24:CL25"/>
    <mergeCell ref="CC24:CC25"/>
    <mergeCell ref="CD24:CD25"/>
    <mergeCell ref="AD24:AI25"/>
    <mergeCell ref="AD26:AI27"/>
    <mergeCell ref="AA24:AC25"/>
    <mergeCell ref="AA26:AC27"/>
    <mergeCell ref="AP24:AR25"/>
    <mergeCell ref="CC30:CC31"/>
    <mergeCell ref="BV32:BV33"/>
    <mergeCell ref="BW32:BW33"/>
    <mergeCell ref="BX32:BX33"/>
    <mergeCell ref="BY32:BY33"/>
    <mergeCell ref="BB34:BC35"/>
    <mergeCell ref="B28:B29"/>
    <mergeCell ref="BB30:BC31"/>
    <mergeCell ref="BD30:BE31"/>
    <mergeCell ref="BF30:BG31"/>
    <mergeCell ref="BK30:BM31"/>
    <mergeCell ref="BN30:BP31"/>
    <mergeCell ref="AY30:BA30"/>
    <mergeCell ref="AV31:BA31"/>
    <mergeCell ref="X30:Z31"/>
    <mergeCell ref="R28:T29"/>
    <mergeCell ref="U28:W29"/>
    <mergeCell ref="X28:Z29"/>
    <mergeCell ref="AS30:AU31"/>
    <mergeCell ref="AJ28:AL29"/>
    <mergeCell ref="AM28:AO29"/>
    <mergeCell ref="AV28:AX28"/>
    <mergeCell ref="AY28:BA28"/>
    <mergeCell ref="AJ30:AL31"/>
    <mergeCell ref="BV34:BV35"/>
    <mergeCell ref="B30:B31"/>
    <mergeCell ref="R30:T31"/>
    <mergeCell ref="BH30:BJ31"/>
    <mergeCell ref="AD28:AI29"/>
    <mergeCell ref="AD30:AI31"/>
    <mergeCell ref="AD32:AI33"/>
    <mergeCell ref="AA28:AC29"/>
    <mergeCell ref="CQ28:CQ29"/>
    <mergeCell ref="B32:B33"/>
    <mergeCell ref="R32:T33"/>
    <mergeCell ref="U32:W33"/>
    <mergeCell ref="X32:Z33"/>
    <mergeCell ref="AJ32:AL33"/>
    <mergeCell ref="AM32:AO33"/>
    <mergeCell ref="CM30:CM31"/>
    <mergeCell ref="CN30:CN31"/>
    <mergeCell ref="CO30:CO31"/>
    <mergeCell ref="CH30:CH31"/>
    <mergeCell ref="CI30:CI31"/>
    <mergeCell ref="CJ30:CJ31"/>
    <mergeCell ref="CB32:CB33"/>
    <mergeCell ref="CC32:CC33"/>
    <mergeCell ref="CD32:CD33"/>
    <mergeCell ref="CB28:CB29"/>
    <mergeCell ref="CC28:CC29"/>
    <mergeCell ref="CD28:CD29"/>
    <mergeCell ref="CE28:CE29"/>
    <mergeCell ref="AM30:AO31"/>
    <mergeCell ref="CF28:CF29"/>
    <mergeCell ref="BH28:BJ29"/>
    <mergeCell ref="BV28:BV29"/>
    <mergeCell ref="BW28:BW29"/>
    <mergeCell ref="BX28:BX29"/>
    <mergeCell ref="BY28:BY29"/>
    <mergeCell ref="BZ28:BZ29"/>
    <mergeCell ref="BV30:BV31"/>
    <mergeCell ref="BW30:BW31"/>
    <mergeCell ref="BS32:BS33"/>
    <mergeCell ref="CL32:CL33"/>
    <mergeCell ref="AV32:AX32"/>
    <mergeCell ref="AY32:BA32"/>
    <mergeCell ref="AV33:BA33"/>
    <mergeCell ref="AJ34:AL35"/>
    <mergeCell ref="AM34:AO35"/>
    <mergeCell ref="BB32:BC33"/>
    <mergeCell ref="BD32:BE33"/>
    <mergeCell ref="BF32:BG33"/>
    <mergeCell ref="BK32:BM33"/>
    <mergeCell ref="BN32:BP33"/>
    <mergeCell ref="CF34:CF35"/>
    <mergeCell ref="AS34:AU35"/>
    <mergeCell ref="BH32:BJ33"/>
    <mergeCell ref="AP32:AR33"/>
    <mergeCell ref="AV35:BA35"/>
    <mergeCell ref="BD34:BE35"/>
    <mergeCell ref="BF34:BG35"/>
    <mergeCell ref="B36:B37"/>
    <mergeCell ref="R36:T37"/>
    <mergeCell ref="CQ34:CQ35"/>
    <mergeCell ref="CR34:CR35"/>
    <mergeCell ref="CS34:CS35"/>
    <mergeCell ref="CT34:CT35"/>
    <mergeCell ref="CL34:CL35"/>
    <mergeCell ref="CM34:CM35"/>
    <mergeCell ref="CN34:CN35"/>
    <mergeCell ref="CO34:CO35"/>
    <mergeCell ref="CP34:CP35"/>
    <mergeCell ref="CG34:CG35"/>
    <mergeCell ref="CH34:CH35"/>
    <mergeCell ref="CI34:CI35"/>
    <mergeCell ref="CJ34:CJ35"/>
    <mergeCell ref="CK34:CK35"/>
    <mergeCell ref="CB34:CB35"/>
    <mergeCell ref="CC34:CC35"/>
    <mergeCell ref="CD34:CD35"/>
    <mergeCell ref="CE34:CE35"/>
    <mergeCell ref="AM36:AO37"/>
    <mergeCell ref="BH34:BJ35"/>
    <mergeCell ref="B34:B35"/>
    <mergeCell ref="U36:W37"/>
    <mergeCell ref="AD34:AI35"/>
    <mergeCell ref="AP34:AR35"/>
    <mergeCell ref="U34:W35"/>
    <mergeCell ref="R34:T35"/>
    <mergeCell ref="X34:Z35"/>
    <mergeCell ref="AA34:AC35"/>
    <mergeCell ref="AV34:AX34"/>
    <mergeCell ref="AY34:BA34"/>
    <mergeCell ref="CU16:CU17"/>
    <mergeCell ref="CU18:CU19"/>
    <mergeCell ref="CU20:CU21"/>
    <mergeCell ref="CU22:CU23"/>
    <mergeCell ref="CU24:CU25"/>
    <mergeCell ref="CU26:CU27"/>
    <mergeCell ref="CU28:CU29"/>
    <mergeCell ref="CU30:CU31"/>
    <mergeCell ref="CU32:CU33"/>
    <mergeCell ref="X36:Z37"/>
    <mergeCell ref="AJ36:AL37"/>
    <mergeCell ref="CR36:CR37"/>
    <mergeCell ref="CS36:CS37"/>
    <mergeCell ref="CM36:CM37"/>
    <mergeCell ref="CN36:CN37"/>
    <mergeCell ref="CO36:CO37"/>
    <mergeCell ref="CP36:CP37"/>
    <mergeCell ref="CQ36:CQ37"/>
    <mergeCell ref="CH36:CH37"/>
    <mergeCell ref="CI36:CI37"/>
    <mergeCell ref="CJ36:CJ37"/>
    <mergeCell ref="CK36:CK37"/>
    <mergeCell ref="CL36:CL37"/>
    <mergeCell ref="CC36:CC37"/>
    <mergeCell ref="CD36:CD37"/>
    <mergeCell ref="CE36:CE37"/>
    <mergeCell ref="CG36:CG37"/>
    <mergeCell ref="BS36:BS37"/>
    <mergeCell ref="BT36:BT37"/>
    <mergeCell ref="CB36:CB37"/>
    <mergeCell ref="AS36:AU37"/>
    <mergeCell ref="CM32:CM33"/>
    <mergeCell ref="CV16:CV17"/>
    <mergeCell ref="CW16:CW17"/>
    <mergeCell ref="CX16:CX17"/>
    <mergeCell ref="CV18:CV19"/>
    <mergeCell ref="CW18:CW19"/>
    <mergeCell ref="CX18:CX19"/>
    <mergeCell ref="CV20:CV21"/>
    <mergeCell ref="CW20:CW21"/>
    <mergeCell ref="CX20:CX21"/>
    <mergeCell ref="CR32:CR33"/>
    <mergeCell ref="CS32:CS33"/>
    <mergeCell ref="CJ32:CJ33"/>
    <mergeCell ref="CK32:CK33"/>
    <mergeCell ref="CU34:CU35"/>
    <mergeCell ref="CT32:CT33"/>
    <mergeCell ref="CR30:CR31"/>
    <mergeCell ref="CS30:CS31"/>
    <mergeCell ref="CT30:CT31"/>
    <mergeCell ref="CP30:CP31"/>
    <mergeCell ref="CQ30:CQ31"/>
    <mergeCell ref="CJ28:CJ29"/>
    <mergeCell ref="CK28:CK29"/>
    <mergeCell ref="CP28:CP29"/>
    <mergeCell ref="CJ26:CJ27"/>
    <mergeCell ref="CR22:CR23"/>
    <mergeCell ref="CS22:CS23"/>
    <mergeCell ref="CR24:CR25"/>
    <mergeCell ref="CS24:CS25"/>
    <mergeCell ref="CS20:CS21"/>
    <mergeCell ref="CR16:CR17"/>
    <mergeCell ref="CS16:CS17"/>
    <mergeCell ref="CT16:CT17"/>
    <mergeCell ref="CT20:CT21"/>
    <mergeCell ref="CR20:CR21"/>
    <mergeCell ref="CV28:CV29"/>
    <mergeCell ref="CW28:CW29"/>
    <mergeCell ref="CX28:CX29"/>
    <mergeCell ref="CV30:CV31"/>
    <mergeCell ref="CW30:CW31"/>
    <mergeCell ref="CX30:CX31"/>
    <mergeCell ref="CV32:CV33"/>
    <mergeCell ref="CW32:CW33"/>
    <mergeCell ref="CX32:CX33"/>
    <mergeCell ref="CS28:CS29"/>
    <mergeCell ref="CT28:CT29"/>
    <mergeCell ref="CV22:CV23"/>
    <mergeCell ref="CW22:CW23"/>
    <mergeCell ref="CX22:CX23"/>
    <mergeCell ref="CV24:CV25"/>
    <mergeCell ref="CW24:CW25"/>
    <mergeCell ref="CX24:CX25"/>
    <mergeCell ref="CV26:CV27"/>
    <mergeCell ref="CW26:CW27"/>
    <mergeCell ref="CR28:CR29"/>
    <mergeCell ref="CR26:CR27"/>
    <mergeCell ref="CT22:CT23"/>
    <mergeCell ref="AP18:AR19"/>
    <mergeCell ref="BF20:BG21"/>
    <mergeCell ref="BK20:BM21"/>
    <mergeCell ref="AV29:BA29"/>
    <mergeCell ref="AV30:AX30"/>
    <mergeCell ref="BK24:BM25"/>
    <mergeCell ref="AV24:AX24"/>
    <mergeCell ref="AY24:BA24"/>
    <mergeCell ref="BK26:BM27"/>
    <mergeCell ref="BN26:BP27"/>
    <mergeCell ref="BB28:BC29"/>
    <mergeCell ref="BD28:BE29"/>
    <mergeCell ref="BF28:BG29"/>
    <mergeCell ref="BK28:BM29"/>
    <mergeCell ref="BN28:BP29"/>
    <mergeCell ref="BN20:BP21"/>
    <mergeCell ref="BB22:BC23"/>
    <mergeCell ref="BD22:BE23"/>
    <mergeCell ref="BF22:BG23"/>
    <mergeCell ref="BK22:BM23"/>
    <mergeCell ref="BN22:BP23"/>
    <mergeCell ref="AV20:AX20"/>
    <mergeCell ref="AY20:BA20"/>
    <mergeCell ref="AV21:BA21"/>
    <mergeCell ref="AV22:AX22"/>
    <mergeCell ref="AY22:BA22"/>
    <mergeCell ref="AV23:BA23"/>
    <mergeCell ref="AV25:BA25"/>
    <mergeCell ref="BB26:BC27"/>
    <mergeCell ref="BD26:BE27"/>
    <mergeCell ref="BF26:BG27"/>
    <mergeCell ref="CV36:CV37"/>
    <mergeCell ref="CW36:CW37"/>
    <mergeCell ref="CX36:CX37"/>
    <mergeCell ref="CV34:CV35"/>
    <mergeCell ref="CW34:CW35"/>
    <mergeCell ref="CX34:CX35"/>
    <mergeCell ref="CT36:CT37"/>
    <mergeCell ref="CF36:CF37"/>
    <mergeCell ref="BN24:BP25"/>
    <mergeCell ref="CB30:CB31"/>
    <mergeCell ref="CO32:CO33"/>
    <mergeCell ref="CP32:CP33"/>
    <mergeCell ref="CD30:CD31"/>
    <mergeCell ref="CE30:CE31"/>
    <mergeCell ref="CF30:CF31"/>
    <mergeCell ref="CG30:CG31"/>
    <mergeCell ref="CT26:CT27"/>
    <mergeCell ref="CQ32:CQ33"/>
    <mergeCell ref="CL28:CL29"/>
    <mergeCell ref="CM28:CM29"/>
    <mergeCell ref="CN28:CN29"/>
    <mergeCell ref="CO28:CO29"/>
    <mergeCell ref="CK30:CK31"/>
    <mergeCell ref="CL30:CL31"/>
    <mergeCell ref="CU36:CU37"/>
    <mergeCell ref="CN32:CN33"/>
    <mergeCell ref="CE32:CE33"/>
    <mergeCell ref="CF32:CF33"/>
    <mergeCell ref="CG32:CG33"/>
    <mergeCell ref="CH32:CH33"/>
    <mergeCell ref="CI32:CI33"/>
    <mergeCell ref="BT32:BT33"/>
    <mergeCell ref="R200:AR201"/>
    <mergeCell ref="DY36:DY37"/>
    <mergeCell ref="DZ36:DZ37"/>
    <mergeCell ref="DY18:DY19"/>
    <mergeCell ref="DZ18:DZ19"/>
    <mergeCell ref="DY20:DY21"/>
    <mergeCell ref="DZ20:DZ21"/>
    <mergeCell ref="DY22:DY23"/>
    <mergeCell ref="DZ22:DZ23"/>
    <mergeCell ref="DY24:DY25"/>
    <mergeCell ref="DZ24:DZ25"/>
    <mergeCell ref="DY26:DY27"/>
    <mergeCell ref="DZ26:DZ27"/>
    <mergeCell ref="DY28:DY29"/>
    <mergeCell ref="DZ28:DZ29"/>
    <mergeCell ref="DY30:DY31"/>
    <mergeCell ref="DZ30:DZ31"/>
    <mergeCell ref="DY32:DY33"/>
    <mergeCell ref="DZ32:DZ33"/>
    <mergeCell ref="DY34:DY35"/>
    <mergeCell ref="DZ34:DZ35"/>
    <mergeCell ref="AV36:AX36"/>
    <mergeCell ref="AY36:BA36"/>
    <mergeCell ref="BK34:BM35"/>
    <mergeCell ref="BN34:BP35"/>
    <mergeCell ref="BB36:BC37"/>
    <mergeCell ref="BD36:BE37"/>
    <mergeCell ref="BF36:BG37"/>
    <mergeCell ref="BH36:BJ37"/>
    <mergeCell ref="BK36:BM37"/>
    <mergeCell ref="BN36:BP37"/>
    <mergeCell ref="AV37:BA37"/>
    <mergeCell ref="EJ18:EJ19"/>
    <mergeCell ref="EK18:EK19"/>
    <mergeCell ref="EL18:EL19"/>
    <mergeCell ref="EM18:EM19"/>
    <mergeCell ref="EN18:EN19"/>
    <mergeCell ref="EA20:EA21"/>
    <mergeCell ref="EB20:EB21"/>
    <mergeCell ref="EC20:EC21"/>
    <mergeCell ref="ED20:ED21"/>
    <mergeCell ref="EE20:EE21"/>
    <mergeCell ref="EF20:EF21"/>
    <mergeCell ref="EG20:EG21"/>
    <mergeCell ref="EH20:EH21"/>
    <mergeCell ref="EI20:EI21"/>
    <mergeCell ref="EJ20:EJ21"/>
    <mergeCell ref="EK20:EK21"/>
    <mergeCell ref="EL20:EL21"/>
    <mergeCell ref="EM20:EM21"/>
    <mergeCell ref="EN20:EN21"/>
    <mergeCell ref="EA18:EA19"/>
    <mergeCell ref="EB18:EB19"/>
    <mergeCell ref="EC18:EC19"/>
    <mergeCell ref="ED18:ED19"/>
    <mergeCell ref="EE18:EE19"/>
    <mergeCell ref="EF18:EF19"/>
    <mergeCell ref="EG18:EG19"/>
    <mergeCell ref="EH18:EH19"/>
    <mergeCell ref="EI18:EI19"/>
    <mergeCell ref="EJ22:EJ23"/>
    <mergeCell ref="EK22:EK23"/>
    <mergeCell ref="EL22:EL23"/>
    <mergeCell ref="EM22:EM23"/>
    <mergeCell ref="EN22:EN23"/>
    <mergeCell ref="EA24:EA25"/>
    <mergeCell ref="EB24:EB25"/>
    <mergeCell ref="EC24:EC25"/>
    <mergeCell ref="ED24:ED25"/>
    <mergeCell ref="EE24:EE25"/>
    <mergeCell ref="EF24:EF25"/>
    <mergeCell ref="EG24:EG25"/>
    <mergeCell ref="EH24:EH25"/>
    <mergeCell ref="EI24:EI25"/>
    <mergeCell ref="EJ24:EJ25"/>
    <mergeCell ref="EK24:EK25"/>
    <mergeCell ref="EL24:EL25"/>
    <mergeCell ref="EM24:EM25"/>
    <mergeCell ref="EN24:EN25"/>
    <mergeCell ref="EA22:EA23"/>
    <mergeCell ref="EB22:EB23"/>
    <mergeCell ref="EC22:EC23"/>
    <mergeCell ref="ED22:ED23"/>
    <mergeCell ref="EE22:EE23"/>
    <mergeCell ref="EF22:EF23"/>
    <mergeCell ref="EG22:EG23"/>
    <mergeCell ref="EH22:EH23"/>
    <mergeCell ref="EI22:EI23"/>
    <mergeCell ref="EJ26:EJ27"/>
    <mergeCell ref="EK26:EK27"/>
    <mergeCell ref="EL26:EL27"/>
    <mergeCell ref="EM26:EM27"/>
    <mergeCell ref="EN26:EN27"/>
    <mergeCell ref="EA28:EA29"/>
    <mergeCell ref="EB28:EB29"/>
    <mergeCell ref="EC28:EC29"/>
    <mergeCell ref="ED28:ED29"/>
    <mergeCell ref="EE28:EE29"/>
    <mergeCell ref="EF28:EF29"/>
    <mergeCell ref="EG28:EG29"/>
    <mergeCell ref="EH28:EH29"/>
    <mergeCell ref="EI28:EI29"/>
    <mergeCell ref="EJ28:EJ29"/>
    <mergeCell ref="EK28:EK29"/>
    <mergeCell ref="EL28:EL29"/>
    <mergeCell ref="EM28:EM29"/>
    <mergeCell ref="EN28:EN29"/>
    <mergeCell ref="EA26:EA27"/>
    <mergeCell ref="EB26:EB27"/>
    <mergeCell ref="EC26:EC27"/>
    <mergeCell ref="ED26:ED27"/>
    <mergeCell ref="EE26:EE27"/>
    <mergeCell ref="EF26:EF27"/>
    <mergeCell ref="EG26:EG27"/>
    <mergeCell ref="EH26:EH27"/>
    <mergeCell ref="EI26:EI27"/>
    <mergeCell ref="EJ30:EJ31"/>
    <mergeCell ref="EK30:EK31"/>
    <mergeCell ref="EL30:EL31"/>
    <mergeCell ref="EM30:EM31"/>
    <mergeCell ref="EN30:EN31"/>
    <mergeCell ref="EA32:EA33"/>
    <mergeCell ref="EB32:EB33"/>
    <mergeCell ref="EC32:EC33"/>
    <mergeCell ref="ED32:ED33"/>
    <mergeCell ref="EE32:EE33"/>
    <mergeCell ref="EF32:EF33"/>
    <mergeCell ref="EG32:EG33"/>
    <mergeCell ref="EH32:EH33"/>
    <mergeCell ref="EI32:EI33"/>
    <mergeCell ref="EJ32:EJ33"/>
    <mergeCell ref="EK32:EK33"/>
    <mergeCell ref="EL32:EL33"/>
    <mergeCell ref="EM32:EM33"/>
    <mergeCell ref="EN32:EN33"/>
    <mergeCell ref="EA30:EA31"/>
    <mergeCell ref="EB30:EB31"/>
    <mergeCell ref="EC30:EC31"/>
    <mergeCell ref="ED30:ED31"/>
    <mergeCell ref="EE30:EE31"/>
    <mergeCell ref="EF30:EF31"/>
    <mergeCell ref="EG30:EG31"/>
    <mergeCell ref="EH30:EH31"/>
    <mergeCell ref="EI30:EI31"/>
    <mergeCell ref="EJ34:EJ35"/>
    <mergeCell ref="EK34:EK35"/>
    <mergeCell ref="EL34:EL35"/>
    <mergeCell ref="EM34:EM35"/>
    <mergeCell ref="EN34:EN35"/>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A34:EA35"/>
    <mergeCell ref="EB34:EB35"/>
    <mergeCell ref="EC34:EC35"/>
    <mergeCell ref="ED34:ED35"/>
    <mergeCell ref="EE34:EE35"/>
    <mergeCell ref="EF34:EF35"/>
    <mergeCell ref="EG34:EG35"/>
    <mergeCell ref="EH34:EH35"/>
    <mergeCell ref="EI34:EI35"/>
  </mergeCells>
  <conditionalFormatting sqref="C18 L18 AD18 AJ18 AM18 AP18 AY18 BB18 BD18 AV18:AV37 C20 L20 AD20 AJ20 AM20 AP20 AY20 BB20 BD20 C22 L22 AD22 AJ22 AM22 AP22 AY22 BB22 BD22 C24 L24 AD24 AJ24 AM24 AP24 AY24 BB24 BD24 C26 L26 AD26 AJ26 AM26 AP26 AY26 BB26 BD26 C28 L28 AD28 AJ28 AM28 AP28 AY28 BB28 BD28 C30 L30 AD30 AJ30 AM30 AP30 AY30 BB30 BD30 C32 L32 AD32 AJ32 AM32 AP32 AY32 BB32 BD32 C34 L34 AD34 AJ34 AM34 AP34 AY34 BB34 BD34 C36 L36 AD36 AJ36 AM36 AP36 AY36 BB36 BD36">
    <cfRule type="expression" dxfId="296" priority="11">
      <formula>AND(ISBLANK($F18)=FALSE,OR(ISBLANK(C18)=TRUE,C18=""))</formula>
    </cfRule>
  </conditionalFormatting>
  <conditionalFormatting sqref="R18:AC37">
    <cfRule type="expression" dxfId="295" priority="3">
      <formula>AND(ISBLANK($F18)=FALSE,OR(ISBLANK(R18)=TRUE,R18=""))</formula>
    </cfRule>
  </conditionalFormatting>
  <conditionalFormatting sqref="AS18 AS20 AS22 AS24 AS26 AS28 AS30 AS32 AS34 AS36">
    <cfRule type="expression" dxfId="294" priority="2">
      <formula>AND(ISBLANK($F18)=FALSE,OR(ISBLANK(AS18)=TRUE,AS18=""))</formula>
    </cfRule>
  </conditionalFormatting>
  <conditionalFormatting sqref="AV18 AY18 AV20 AY20 AV22 AY22 AV24 AY24 AV26 AY26 AV28 AY28 AV30 AY30 AV32 AY32 AV34 AY34 AV36 AY36">
    <cfRule type="expression" dxfId="293" priority="2104">
      <formula>AND($F18&lt;&gt;"",$P18&lt;&gt;"",AV18="")</formula>
    </cfRule>
  </conditionalFormatting>
  <conditionalFormatting sqref="AV19 AV21 AV23 AV25 AV27 AV29 AV31 AV33 AV35 AV37">
    <cfRule type="expression" dxfId="292" priority="7">
      <formula>AND($F18&lt;&gt;"",AV19="")</formula>
    </cfRule>
  </conditionalFormatting>
  <conditionalFormatting sqref="BA8:BF8">
    <cfRule type="expression" dxfId="291" priority="4">
      <formula>IF($AO$8=PROJSTATMEASURE,FALSE,TRUE)</formula>
    </cfRule>
  </conditionalFormatting>
  <conditionalFormatting sqref="BH18 BH20 BH22 BH24 BH26 BH28 BH30 BH32 BH34 BH36">
    <cfRule type="expression" dxfId="290" priority="2239" stopIfTrue="1">
      <formula>ISNUMBER($BH18)=FALSE</formula>
    </cfRule>
    <cfRule type="expression" dxfId="289" priority="2240">
      <formula>$BH18 &lt;&gt; #REF!</formula>
    </cfRule>
  </conditionalFormatting>
  <conditionalFormatting sqref="BY18:BZ37">
    <cfRule type="expression" dxfId="288" priority="1">
      <formula>$BX18&lt;&gt;"Dual"</formula>
    </cfRule>
  </conditionalFormatting>
  <dataValidations xWindow="257" yWindow="813" count="20">
    <dataValidation type="list" allowBlank="1" showInputMessage="1" showErrorMessage="1" prompt="Select Custom Measure Category." sqref="F18 F20 F22 F24 F26 F28 F30 F32 F34 F36" xr:uid="{A8E6A197-463A-4C67-B57A-713E563E5F39}">
      <formula1>List_Cust_Plug</formula1>
    </dataValidation>
    <dataValidation type="decimal" allowBlank="1" showInputMessage="1" showErrorMessage="1" prompt="This is the TOTAL Labor Cost of the measure, NOT a per unit basis." sqref="BD18 BD20 BD22 BD24 BD26 BD28 BD30 BD32 BD34 BD36" xr:uid="{B58E8878-444E-4749-803F-07B4EA5F7B48}">
      <formula1>0</formula1>
      <formula2>999999999</formula2>
    </dataValidation>
    <dataValidation type="decimal" allowBlank="1" showInputMessage="1" showErrorMessage="1" prompt="This is the TOTAL Material Cost of the measure, NOT a per unit basis." sqref="BB18 BB20 BB22 BB24 BB26 BB28 BB30 BB32 BB34 BB36" xr:uid="{32745D06-C555-46BE-BD35-0F85F2647176}">
      <formula1>0</formula1>
      <formula2>999999999</formula2>
    </dataValidation>
    <dataValidation allowBlank="1" showInputMessage="1" showErrorMessage="1" prompt="Install Location should describe the area where the equipment is installed. (e.g. Room 201, Garage, Mechanical Room)." sqref="C18 C20 C22 C24 C26 C28 C30 C32 C34 C36" xr:uid="{191A3C3D-B8D0-4669-A738-A666D4C2D568}"/>
    <dataValidation allowBlank="1" showInputMessage="1" showErrorMessage="1" prompt="Enter the Manufacturer name as it appears in technical documents and invoices." sqref="AV18 AV20 AV22 AV24 AV26 AV28 AV30 AV32 AV34 AV36" xr:uid="{FFDA89B5-CD5F-4380-9F90-B6DCE81B070E}"/>
    <dataValidation allowBlank="1" showInputMessage="1" showErrorMessage="1" prompt="Enter the Model number as it appears in technical documents and invoices." sqref="AY18 AY20 AY22 AY24 AY26 AY28 AY30 AY32 AY34 AY36" xr:uid="{AFCA04D4-8F7E-48EB-9D37-8BB0F31DEBC2}"/>
    <dataValidation allowBlank="1" showInputMessage="1" showErrorMessage="1" prompt="Provide a brief description of the Existing Equipment." sqref="L18 L20 L22 L24 L26 L28 L30 L32 L34 L36" xr:uid="{C0D8681E-4D44-4B3F-9BC9-A3DB39240EFA}"/>
    <dataValidation allowBlank="1" showInputMessage="1" showErrorMessage="1" prompt="Enter the Serial number as it appears in technical documents and invoices." sqref="AV19 AV21 AV23 AV25 AV27 AV29 AV31 AV33 AV35 AV37" xr:uid="{CAEEFE3C-D6FB-4476-81C5-D8E623CAC3D4}"/>
    <dataValidation type="custom" operator="greaterThanOrEqual" allowBlank="1" showInputMessage="1" showErrorMessage="1" errorTitle="Invalid Entry" error="Please enter no more than 4 decimals." prompt="Enter the Total Annual kWh Usage for the Existing measure, NOT per unit." sqref="R18:T37" xr:uid="{E4A54CF3-A57D-469E-B287-1752640D1F5E}">
      <formula1>AND(R18&gt;=0,R18=ROUND(R18,4))</formula1>
    </dataValidation>
    <dataValidation type="custom" operator="greaterThanOrEqual" allowBlank="1" showInputMessage="1" showErrorMessage="1" errorTitle="Invalid Entry" error="Please enter no more than 6 decimals." prompt="Enter the Total Annual kW Demand for the Existing measure, NOT per unit." sqref="U18:W37" xr:uid="{C782B286-1D6F-4551-806F-9B154078E05C}">
      <formula1>AND(U18&gt;=0,U18=ROUND(U18,6))</formula1>
    </dataValidation>
    <dataValidation type="custom" operator="greaterThanOrEqual" allowBlank="1" showInputMessage="1" showErrorMessage="1" errorTitle="Invalid Entry" error="Please enter no more than 4 decimals." prompt="Enter the Total Annual kWh Usage for the Proposed measure, NOT per unit." sqref="AJ18 AJ20 AJ22 AJ24 AJ26 AJ28 AJ30 AJ32 AJ34 AJ36" xr:uid="{48C5A162-72BE-45FF-A520-AB483C78BBE7}">
      <formula1>AND(AJ18&gt;=0,AJ18=ROUND(AJ18,4))</formula1>
    </dataValidation>
    <dataValidation type="custom" operator="greaterThanOrEqual" allowBlank="1" showInputMessage="1" showErrorMessage="1" errorTitle="Invalid Entry" error="Please enter no more than 6 decimals." prompt="Enter the Total Annual kW Demand for the Proposed measure, NOT per unit." sqref="AM18 AM20 AM22 AM24 AM26 AM28 AM30 AM32 AM34 AM36" xr:uid="{818A6EA0-E527-407A-BA82-50710FCF40CB}">
      <formula1>AND(AM18&gt;=0,AM18=ROUND(AM18,6))</formula1>
    </dataValidation>
    <dataValidation type="textLength" errorStyle="warning" operator="lessThan" allowBlank="1" showInputMessage="1" showErrorMessage="1" errorTitle="*Important*" error="Text length must be less than 255 characters." prompt="Provide a brief description of the Proposed Equipment." sqref="AD18 AD20 AD22 AD24 AD26 AD28 AD30 AD32 AD34 AD36" xr:uid="{D6084752-37FF-4033-89CC-D212133BEF46}">
      <formula1>255</formula1>
    </dataValidation>
    <dataValidation type="custom" operator="greaterThanOrEqual" allowBlank="1" showInputMessage="1" showErrorMessage="1" errorTitle="Invalid Entry" error="Please enter no more than 6 decimals." prompt="Enter the Total Annual therm Usage for the Existing measure, NOT per unit." sqref="X18:Z37" xr:uid="{578B14EF-2019-4E40-836D-2B5430677750}">
      <formula1>AND(X18&gt;=0,X18=ROUND(X18,6))</formula1>
    </dataValidation>
    <dataValidation type="custom" operator="greaterThanOrEqual" allowBlank="1" showInputMessage="1" showErrorMessage="1" errorTitle="Invalid Entry" error="Please enter no more than 6 decimals." prompt="Enter the Peak Dayl therm Usage for the Existing measure, NOT per unit." sqref="AA18:AC37" xr:uid="{BF1B2C4B-B452-4B8E-8032-509431921FBC}">
      <formula1>AND(AA18&gt;=0,AA18=ROUND(AA18,6))</formula1>
    </dataValidation>
    <dataValidation type="custom" operator="greaterThanOrEqual" allowBlank="1" showInputMessage="1" showErrorMessage="1" errorTitle="Invalid Entry" error="Please enter no more than 6 decimals." prompt="Enter the Total Annual therm Usage for the Proposed measure, NOT per unit." sqref="AP18:AR37" xr:uid="{14662CE3-BCA4-4A43-AC0E-2C8C2F19ED19}">
      <formula1>AND(AP18&gt;=0,AP18=ROUND(AP18,6))</formula1>
    </dataValidation>
    <dataValidation type="custom" operator="greaterThanOrEqual" allowBlank="1" showInputMessage="1" showErrorMessage="1" errorTitle="Invalid Entry" error="Please enter no more than 6 decimals." prompt="Enter the Peak Day therm Usage for the Proposed measure, NOT per unit." sqref="AS18:AU37" xr:uid="{7B82DA65-1428-42E9-8BBF-010500829E51}">
      <formula1>AND(AS18&gt;=0,AS18=ROUND(AS18,6))</formula1>
    </dataValidation>
    <dataValidation type="custom" allowBlank="1" showInputMessage="1" showErrorMessage="1" sqref="BZ18:BZ37" xr:uid="{55CF484D-5958-43B7-BA0E-07AEC01C9976}">
      <formula1>AND(BZ18&gt;=0,BZ18=ROUND(BZ18,6))</formula1>
    </dataValidation>
    <dataValidation type="custom" allowBlank="1" showInputMessage="1" showErrorMessage="1" sqref="BY18:BY37" xr:uid="{632A350C-BE26-4AC8-B72C-D11884415856}">
      <formula1>AND(BY18&gt;=0,BY18=ROUND(BY18,4))</formula1>
    </dataValidation>
    <dataValidation type="whole" operator="greaterThan" allowBlank="1" showInputMessage="1" showErrorMessage="1" sqref="BV18:BW37" xr:uid="{9C486F4D-4D58-46FE-8C1D-60B0096A192F}">
      <formula1>0</formula1>
    </dataValidation>
  </dataValidations>
  <hyperlinks>
    <hyperlink ref="J1:M3" location="'M01-S02'!J1" tooltip="Instructions" display="'M01-S02'!J1" xr:uid="{460FD8B0-6CE8-4CA9-827D-E34E5F22E188}"/>
    <hyperlink ref="AX1:BA3" location="'M05-S05'!AL1" tooltip=" " display="'M05-S05'!AL1" xr:uid="{E2A6CB05-F1F8-451A-8CC1-043869AB9C31}"/>
    <hyperlink ref="BH1:BK3" location="'M01-S03'!AP1" tooltip="Contact" display="'M01-S03'!AP1" xr:uid="{1DB06A18-ACC0-4E29-ACA5-7C8220D7429E}"/>
    <hyperlink ref="AT1:AW3" location="'M05-S04'!AH1" tooltip=" " display="'M05-S04'!AH1" xr:uid="{3D919B75-2BC4-46A2-B9AC-24EC4A7F0B8B}"/>
    <hyperlink ref="AP1:AS3" location="'M05-S05'!AL1" tooltip=" " display="'M05-S05'!AL1" xr:uid="{D0517023-10F4-4B0C-AA78-246703FA9BCD}"/>
    <hyperlink ref="W9:Z11" location="Custom_WH_Tax" tooltip="Refrigeration" display="Custom_WH_Tax" xr:uid="{394D2EF7-60E2-4ABE-AD4E-247EC8ABAF03}"/>
    <hyperlink ref="AP9:AS11" location="Custom_PL_Tax" tooltip="Motors and Drives" display="Custom_PL_Tax" xr:uid="{3FAD52BD-EA7C-4647-9074-DFD09576041E}"/>
    <hyperlink ref="K9:N11" location="Custom_Lighting_Tax" display="Custom_Lighting_Tax" xr:uid="{EA381E6B-B73A-4BEF-BF3D-6A4DDC95FDC1}"/>
    <hyperlink ref="O9:R11" location="Custom_HVAC_Tax" display="Custom_HVAC_Tax" xr:uid="{06FADA84-C016-465C-B4A6-D685D99F6840}"/>
    <hyperlink ref="S9:V11" location="Custom_Heating_Tax" display="Custom_Heating_Tax" xr:uid="{56182AFB-50F8-4A7F-8250-CC1E62896A5B}"/>
    <hyperlink ref="AF9:AJ11" location="Custom_FS_Tax" display="Custom_FS_Tax" xr:uid="{55B18948-359E-48E4-B2FB-21E066318022}"/>
    <hyperlink ref="AK9:AO11" location="Custom_AG_Tax" display="Custom_AG_Tax" xr:uid="{B151B9EE-2B35-4DC4-AB5E-05F5E81E4596}"/>
    <hyperlink ref="AT9:AW11" location="Custom_RA_Tax" display="Custom_RA_Tax" xr:uid="{6E67D1BE-130E-4CFC-85EB-25F6BD88F2D2}"/>
    <hyperlink ref="AX9:BA11" location="Custom_Misc_Tax" display="Custom_Misc_Tax" xr:uid="{B6819993-11D7-48B5-B502-F2B3D5FA6125}"/>
    <hyperlink ref="AA9:AE11" location="Custom_Refrig_Tax" display="Custom_Refrig_Tax" xr:uid="{6B9D0C3F-A068-4623-A754-F4C8FB111FD0}"/>
  </hyperlinks>
  <printOptions horizontalCentered="1"/>
  <pageMargins left="0" right="0" top="0.25" bottom="0.25" header="0.25" footer="0.25"/>
  <pageSetup scale="48" fitToHeight="0" orientation="landscape" r:id="rId1"/>
  <drawing r:id="rId2"/>
  <extLst>
    <ext xmlns:x14="http://schemas.microsoft.com/office/spreadsheetml/2009/9/main" uri="{CCE6A557-97BC-4b89-ADB6-D9C93CAAB3DF}">
      <x14:dataValidations xmlns:xm="http://schemas.microsoft.com/office/excel/2006/main" xWindow="257" yWindow="813" count="1">
        <x14:dataValidation type="list" allowBlank="1" showInputMessage="1" showErrorMessage="1" xr:uid="{A4A0AB33-C7CC-4AED-A84E-86E75560D219}">
          <x14:formula1>
            <xm:f>'DATA TABLES_Project'!$A$112:$A$113</xm:f>
          </x14:formula1>
          <xm:sqref>BX18:BX37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10831-4F0D-4E2E-A847-BB126DC4145D}">
  <sheetPr codeName="Sheet38">
    <tabColor rgb="FF142C41"/>
    <pageSetUpPr fitToPage="1"/>
  </sheetPr>
  <dimension ref="A1:EN206"/>
  <sheetViews>
    <sheetView showGridLines="0" showRowColHeaders="0" zoomScale="90" zoomScaleNormal="90" workbookViewId="0">
      <selection activeCell="AQ14" sqref="AQ14:BA14"/>
    </sheetView>
  </sheetViews>
  <sheetFormatPr defaultColWidth="0" defaultRowHeight="0" customHeight="1" zeroHeight="1"/>
  <cols>
    <col min="1" max="62" width="4.5703125" style="568" customWidth="1"/>
    <col min="63" max="70" width="4.5703125" style="502" customWidth="1"/>
    <col min="71" max="71" width="11.5703125" style="12" hidden="1" customWidth="1"/>
    <col min="72" max="72" width="80.5703125" style="12" hidden="1" customWidth="1"/>
    <col min="73" max="73" width="4.5703125" style="12" hidden="1" customWidth="1"/>
    <col min="74" max="76" width="12" style="12" hidden="1" customWidth="1"/>
    <col min="77" max="77" width="13.5703125" style="12" hidden="1" customWidth="1"/>
    <col min="78" max="78" width="15.140625" style="12" hidden="1" customWidth="1"/>
    <col min="79" max="79" width="4.5703125" style="12" hidden="1" customWidth="1"/>
    <col min="80" max="98" width="12" style="12" hidden="1" customWidth="1"/>
    <col min="99" max="99" width="8.5703125" style="12" hidden="1" customWidth="1"/>
    <col min="100" max="102" width="12" style="12" hidden="1" customWidth="1"/>
    <col min="103" max="103" width="8.5703125" style="12" hidden="1" customWidth="1"/>
    <col min="104" max="107" width="12" style="12" hidden="1" customWidth="1"/>
    <col min="108" max="128" width="28.5703125" style="12" hidden="1" customWidth="1"/>
    <col min="129" max="129" width="26.7109375" style="12" hidden="1" customWidth="1"/>
    <col min="130" max="130" width="15.85546875" style="12" hidden="1" customWidth="1"/>
    <col min="131" max="144" width="32.5703125" style="12" hidden="1" customWidth="1"/>
    <col min="145" max="16384" width="4.5703125" style="12" hidden="1"/>
  </cols>
  <sheetData>
    <row r="1" spans="1:112" customFormat="1" ht="16.350000000000001" customHeight="1">
      <c r="A1" s="12"/>
      <c r="B1" s="36"/>
      <c r="C1" s="36"/>
      <c r="D1" s="36"/>
      <c r="E1" s="36"/>
      <c r="F1" s="750" t="str">
        <f>M1S1</f>
        <v>WELCOME</v>
      </c>
      <c r="G1" s="750"/>
      <c r="H1" s="750"/>
      <c r="I1" s="750"/>
      <c r="J1" s="727" t="str">
        <f>M1S2</f>
        <v>INSTRUCTIONS</v>
      </c>
      <c r="K1" s="727"/>
      <c r="L1" s="727"/>
      <c r="M1" s="727"/>
      <c r="N1" s="166"/>
      <c r="O1" s="166"/>
      <c r="P1" s="166"/>
      <c r="Q1" s="166"/>
      <c r="R1" s="166"/>
      <c r="S1" s="166"/>
      <c r="T1" s="166"/>
      <c r="U1" s="189"/>
      <c r="V1" s="190" t="s">
        <v>118</v>
      </c>
      <c r="W1" s="190"/>
      <c r="X1" s="190"/>
      <c r="Y1" s="190"/>
      <c r="Z1" s="166"/>
      <c r="AA1" s="166"/>
      <c r="AB1" s="166"/>
      <c r="AC1" s="166"/>
      <c r="AD1" s="166"/>
      <c r="AE1" s="166"/>
      <c r="AF1" s="166"/>
      <c r="AG1" s="166"/>
      <c r="AH1" s="166"/>
      <c r="AI1" s="166"/>
      <c r="AJ1" s="166"/>
      <c r="AP1" s="734" t="str">
        <f>IF(ACTIVEINSPECT="Yes","Complete "&amp;M5S4,"")</f>
        <v/>
      </c>
      <c r="AQ1" s="734"/>
      <c r="AR1" s="734"/>
      <c r="AS1" s="734"/>
      <c r="AT1" s="730" t="str">
        <f>IF(ACTIVEOFFER="Yes","Sign "&amp;M5S6,"")</f>
        <v>Sign OBR: Repayment Agreement</v>
      </c>
      <c r="AU1" s="730"/>
      <c r="AV1" s="730"/>
      <c r="AW1" s="730"/>
      <c r="AX1" s="730" t="str">
        <f>IF(ACTIVECOMPL="Yes","Sign "&amp;M5S5,"")</f>
        <v xml:space="preserve">Sign Project Completion Certification </v>
      </c>
      <c r="AY1" s="730"/>
      <c r="AZ1" s="730"/>
      <c r="BA1" s="730"/>
      <c r="BB1" s="732" t="str">
        <f>M1S4</f>
        <v>INCENTIVE RATES &amp; REQUIREMENTS</v>
      </c>
      <c r="BC1" s="732"/>
      <c r="BD1" s="732"/>
      <c r="BE1" s="732"/>
      <c r="BF1" s="732"/>
      <c r="BG1" s="732"/>
      <c r="BH1" s="722" t="s">
        <v>119</v>
      </c>
      <c r="BI1" s="723"/>
      <c r="BJ1" s="723"/>
      <c r="BK1" s="723"/>
      <c r="BL1" s="676"/>
      <c r="BM1" s="676"/>
      <c r="BN1" s="676"/>
      <c r="BO1" s="676"/>
      <c r="BP1" s="676"/>
      <c r="BQ1" s="676"/>
      <c r="BR1" s="676"/>
    </row>
    <row r="2" spans="1:112" customFormat="1" ht="16.350000000000001" customHeight="1">
      <c r="B2" s="36"/>
      <c r="C2" s="36"/>
      <c r="D2" s="36"/>
      <c r="E2" s="36"/>
      <c r="F2" s="750"/>
      <c r="G2" s="750"/>
      <c r="H2" s="750"/>
      <c r="I2" s="750"/>
      <c r="J2" s="728"/>
      <c r="K2" s="728"/>
      <c r="L2" s="728"/>
      <c r="M2" s="728"/>
      <c r="N2" s="166"/>
      <c r="O2" s="166"/>
      <c r="P2" s="166"/>
      <c r="Q2" s="166"/>
      <c r="R2" s="166"/>
      <c r="S2" s="166"/>
      <c r="T2" s="166"/>
      <c r="U2" s="189"/>
      <c r="V2" s="190"/>
      <c r="W2" s="190"/>
      <c r="X2" s="190"/>
      <c r="Y2" s="190"/>
      <c r="Z2" s="166"/>
      <c r="AA2" s="166"/>
      <c r="AB2" s="166"/>
      <c r="AC2" s="166"/>
      <c r="AD2" s="166"/>
      <c r="AE2" s="166"/>
      <c r="AF2" s="166"/>
      <c r="AG2" s="166"/>
      <c r="AH2" s="166"/>
      <c r="AI2" s="166"/>
      <c r="AJ2" s="166"/>
      <c r="AP2" s="734"/>
      <c r="AQ2" s="734"/>
      <c r="AR2" s="734"/>
      <c r="AS2" s="734"/>
      <c r="AT2" s="730"/>
      <c r="AU2" s="730"/>
      <c r="AV2" s="730"/>
      <c r="AW2" s="730"/>
      <c r="AX2" s="730"/>
      <c r="AY2" s="730"/>
      <c r="AZ2" s="730"/>
      <c r="BA2" s="730"/>
      <c r="BB2" s="732"/>
      <c r="BC2" s="732"/>
      <c r="BD2" s="732"/>
      <c r="BE2" s="732"/>
      <c r="BF2" s="732"/>
      <c r="BG2" s="732"/>
      <c r="BH2" s="723"/>
      <c r="BI2" s="723"/>
      <c r="BJ2" s="723"/>
      <c r="BK2" s="723"/>
      <c r="BL2" s="676"/>
      <c r="BM2" s="676"/>
      <c r="BN2" s="676"/>
      <c r="BO2" s="676"/>
      <c r="BP2" s="676"/>
      <c r="BQ2" s="676"/>
      <c r="BR2" s="676"/>
    </row>
    <row r="3" spans="1:112" s="614" customFormat="1" ht="16.350000000000001" customHeight="1" thickBot="1">
      <c r="B3" s="627"/>
      <c r="C3" s="627"/>
      <c r="D3" s="627"/>
      <c r="E3" s="627"/>
      <c r="F3" s="875"/>
      <c r="G3" s="875"/>
      <c r="H3" s="875"/>
      <c r="I3" s="875"/>
      <c r="J3" s="876"/>
      <c r="K3" s="876"/>
      <c r="L3" s="876"/>
      <c r="M3" s="876"/>
      <c r="N3" s="608"/>
      <c r="O3" s="608"/>
      <c r="P3" s="608"/>
      <c r="Q3" s="608"/>
      <c r="R3" s="608"/>
      <c r="S3" s="608"/>
      <c r="T3" s="608"/>
      <c r="U3" s="608"/>
      <c r="V3" s="609"/>
      <c r="W3" s="609"/>
      <c r="X3" s="609"/>
      <c r="Y3" s="609"/>
      <c r="AP3" s="868"/>
      <c r="AQ3" s="868"/>
      <c r="AR3" s="868"/>
      <c r="AS3" s="868"/>
      <c r="AT3" s="869"/>
      <c r="AU3" s="869"/>
      <c r="AV3" s="869"/>
      <c r="AW3" s="869"/>
      <c r="AX3" s="869"/>
      <c r="AY3" s="869"/>
      <c r="AZ3" s="869"/>
      <c r="BA3" s="869"/>
      <c r="BB3" s="1009"/>
      <c r="BC3" s="1009"/>
      <c r="BD3" s="1009"/>
      <c r="BE3" s="1009"/>
      <c r="BF3" s="1009"/>
      <c r="BG3" s="1009"/>
      <c r="BH3" s="871"/>
      <c r="BI3" s="871"/>
      <c r="BJ3" s="871"/>
      <c r="BK3" s="871"/>
      <c r="BL3" s="677"/>
      <c r="BM3" s="677"/>
      <c r="BN3" s="677"/>
      <c r="BO3" s="677"/>
      <c r="BP3" s="677"/>
      <c r="BQ3" s="677"/>
      <c r="BR3" s="677"/>
    </row>
    <row r="4" spans="1:112" s="496" customFormat="1" ht="16.350000000000001" customHeight="1">
      <c r="A4" s="632"/>
      <c r="B4" s="632"/>
      <c r="C4" s="632"/>
      <c r="D4" s="632"/>
      <c r="E4" s="632"/>
      <c r="F4" s="632"/>
      <c r="G4" s="632"/>
      <c r="H4" s="632"/>
      <c r="I4" s="632"/>
      <c r="J4" s="632"/>
      <c r="K4" s="632"/>
      <c r="L4" s="632"/>
      <c r="M4" s="632"/>
      <c r="N4" s="633"/>
      <c r="O4" s="498"/>
      <c r="P4" s="632"/>
      <c r="Q4" s="632"/>
      <c r="R4" s="632"/>
      <c r="S4" s="632"/>
      <c r="T4" s="634" t="s">
        <v>707</v>
      </c>
      <c r="U4" s="635" t="str">
        <f>M05S07F07</f>
        <v>Custom</v>
      </c>
      <c r="V4" s="649"/>
      <c r="W4" s="649"/>
      <c r="X4" s="636"/>
      <c r="Y4" s="636"/>
      <c r="Z4" s="636"/>
      <c r="AA4" s="632"/>
      <c r="AB4" s="632"/>
      <c r="AC4" s="634" t="s">
        <v>708</v>
      </c>
      <c r="AD4" s="635" t="str">
        <f>IF(M02S02F02="","[Project Name]",LEFT(M02S02F02,25))</f>
        <v>[Project Name]</v>
      </c>
      <c r="AE4" s="649"/>
      <c r="AF4" s="647"/>
      <c r="AG4" s="647"/>
      <c r="AH4" s="647"/>
      <c r="AI4" s="647"/>
      <c r="AJ4" s="647"/>
      <c r="AK4" s="647"/>
      <c r="AL4" s="634" t="s">
        <v>709</v>
      </c>
      <c r="AM4" s="637" t="str">
        <f>IF(M02S02F27="Yes",Status_Final,Status_Pre)</f>
        <v>Draft Pre-Application</v>
      </c>
      <c r="AN4" s="649"/>
      <c r="AO4" s="498"/>
      <c r="AP4" s="632"/>
      <c r="AQ4" s="632"/>
      <c r="AR4" s="498"/>
      <c r="AS4" s="498"/>
      <c r="AT4" s="632"/>
      <c r="AU4" s="632"/>
      <c r="AV4" s="632"/>
      <c r="AW4" s="634" t="s">
        <v>710</v>
      </c>
      <c r="AX4" s="872">
        <f>Incent_Total_Cap_All</f>
        <v>0</v>
      </c>
      <c r="AY4" s="872"/>
      <c r="AZ4" s="872"/>
      <c r="BA4" s="872"/>
      <c r="BB4" s="873" t="s">
        <v>711</v>
      </c>
      <c r="BC4" s="873"/>
      <c r="BD4" s="873"/>
      <c r="BE4" s="873"/>
      <c r="BF4" s="873"/>
      <c r="BG4" s="872" t="str">
        <f>OBR_Amount_Requested</f>
        <v/>
      </c>
      <c r="BH4" s="872"/>
      <c r="BI4" s="872"/>
      <c r="BJ4" s="872"/>
      <c r="BK4" s="498"/>
      <c r="BL4" s="617"/>
      <c r="BM4" s="617"/>
      <c r="BN4" s="617"/>
      <c r="BO4" s="617"/>
      <c r="BP4" s="617"/>
      <c r="BQ4" s="617"/>
      <c r="BR4" s="617"/>
    </row>
    <row r="5" spans="1:112" customFormat="1"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142"/>
      <c r="BK5" s="142"/>
    </row>
    <row r="6" spans="1:112" customFormat="1"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112" customFormat="1"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112"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14"/>
      <c r="BK8" s="614"/>
    </row>
    <row r="9" spans="1:112" s="50" customFormat="1" ht="16.350000000000001" customHeight="1">
      <c r="A9" s="43"/>
      <c r="B9" s="44"/>
      <c r="C9" s="44"/>
      <c r="D9" s="44"/>
      <c r="E9" s="44"/>
      <c r="F9" s="43"/>
      <c r="G9" s="43"/>
      <c r="H9" s="43"/>
      <c r="I9" s="43"/>
      <c r="J9" s="43"/>
      <c r="K9" s="1051" t="str">
        <f>M4S2</f>
        <v>Lighting &amp; Lighting Controls</v>
      </c>
      <c r="L9" s="1014"/>
      <c r="M9" s="1014"/>
      <c r="N9" s="1014"/>
      <c r="O9" s="1005" t="str">
        <f>M4S3</f>
        <v>HVAC</v>
      </c>
      <c r="P9" s="1005"/>
      <c r="Q9" s="1005"/>
      <c r="R9" s="1005"/>
      <c r="S9" s="1005" t="str">
        <f>M4S4</f>
        <v>Heating</v>
      </c>
      <c r="T9" s="1005"/>
      <c r="U9" s="1005"/>
      <c r="V9" s="1005"/>
      <c r="W9" s="1005" t="str">
        <f>M4S5</f>
        <v>Water Heating &amp; Boilers</v>
      </c>
      <c r="X9" s="1005"/>
      <c r="Y9" s="1005"/>
      <c r="Z9" s="1005"/>
      <c r="AA9" s="1029" t="str">
        <f>M4S6</f>
        <v>Refrigeration</v>
      </c>
      <c r="AB9" s="1030"/>
      <c r="AC9" s="1030"/>
      <c r="AD9" s="1030"/>
      <c r="AE9" s="1031"/>
      <c r="AF9" s="1010" t="str">
        <f>M4S7</f>
        <v>Food Service</v>
      </c>
      <c r="AG9" s="1011"/>
      <c r="AH9" s="1011"/>
      <c r="AI9" s="1011"/>
      <c r="AJ9" s="1012"/>
      <c r="AK9" s="1010" t="str">
        <f>M4S8</f>
        <v>Agriculture</v>
      </c>
      <c r="AL9" s="1011"/>
      <c r="AM9" s="1011"/>
      <c r="AN9" s="1011"/>
      <c r="AO9" s="1012"/>
      <c r="AP9" s="1005" t="str">
        <f>M4S9</f>
        <v>Plug Load</v>
      </c>
      <c r="AQ9" s="1005"/>
      <c r="AR9" s="1005"/>
      <c r="AS9" s="1005"/>
      <c r="AT9" s="1054" t="str">
        <f>M4S10</f>
        <v>Residential Appliances</v>
      </c>
      <c r="AU9" s="1054"/>
      <c r="AV9" s="1054"/>
      <c r="AW9" s="1054"/>
      <c r="AX9" s="1005" t="str">
        <f>M4S11</f>
        <v>Miscellaneous</v>
      </c>
      <c r="AY9" s="1005"/>
      <c r="AZ9" s="1005"/>
      <c r="BA9" s="1005"/>
      <c r="BB9"/>
      <c r="BC9"/>
      <c r="BD9"/>
      <c r="BE9"/>
      <c r="BF9"/>
      <c r="BG9"/>
      <c r="BH9"/>
      <c r="BI9"/>
      <c r="BJ9"/>
      <c r="BK9"/>
      <c r="BL9"/>
      <c r="BM9"/>
      <c r="BN9"/>
      <c r="BO9"/>
      <c r="BP9"/>
      <c r="BQ9"/>
      <c r="BR9"/>
      <c r="BS9"/>
      <c r="DD9"/>
      <c r="DE9"/>
      <c r="DF9"/>
      <c r="DG9"/>
      <c r="DH9"/>
    </row>
    <row r="10" spans="1:112" s="50" customFormat="1" ht="16.350000000000001" customHeight="1">
      <c r="A10" s="43"/>
      <c r="B10" s="44"/>
      <c r="C10" s="44"/>
      <c r="D10" s="44"/>
      <c r="E10" s="44"/>
      <c r="F10" s="43"/>
      <c r="G10" s="43"/>
      <c r="H10" s="43"/>
      <c r="I10" s="43"/>
      <c r="J10" s="43"/>
      <c r="K10" s="1051"/>
      <c r="L10" s="1014"/>
      <c r="M10" s="1014"/>
      <c r="N10" s="1014"/>
      <c r="O10" s="1005"/>
      <c r="P10" s="1005"/>
      <c r="Q10" s="1005"/>
      <c r="R10" s="1005"/>
      <c r="S10" s="1005"/>
      <c r="T10" s="1005"/>
      <c r="U10" s="1005"/>
      <c r="V10" s="1005"/>
      <c r="W10" s="1005"/>
      <c r="X10" s="1005"/>
      <c r="Y10" s="1005"/>
      <c r="Z10" s="1005"/>
      <c r="AA10" s="1032"/>
      <c r="AB10" s="1033"/>
      <c r="AC10" s="1033"/>
      <c r="AD10" s="1033"/>
      <c r="AE10" s="1034"/>
      <c r="AF10" s="1013"/>
      <c r="AG10" s="1014"/>
      <c r="AH10" s="1014"/>
      <c r="AI10" s="1014"/>
      <c r="AJ10" s="1015"/>
      <c r="AK10" s="1013"/>
      <c r="AL10" s="1014"/>
      <c r="AM10" s="1014"/>
      <c r="AN10" s="1014"/>
      <c r="AO10" s="1015"/>
      <c r="AP10" s="1005"/>
      <c r="AQ10" s="1005"/>
      <c r="AR10" s="1005"/>
      <c r="AS10" s="1005"/>
      <c r="AT10" s="1054"/>
      <c r="AU10" s="1054"/>
      <c r="AV10" s="1054"/>
      <c r="AW10" s="1054"/>
      <c r="AX10" s="1005"/>
      <c r="AY10" s="1005"/>
      <c r="AZ10" s="1005"/>
      <c r="BA10" s="1005"/>
      <c r="BB10"/>
      <c r="BC10"/>
      <c r="BD10"/>
      <c r="BE10"/>
      <c r="BF10"/>
      <c r="BG10"/>
      <c r="BH10"/>
      <c r="BI10"/>
      <c r="BJ10"/>
      <c r="BK10"/>
      <c r="BL10"/>
      <c r="BM10"/>
      <c r="BN10"/>
      <c r="BO10"/>
      <c r="BP10"/>
      <c r="BQ10"/>
      <c r="BR10"/>
      <c r="DD10"/>
      <c r="DE10"/>
      <c r="DF10"/>
      <c r="DG10"/>
      <c r="DH10"/>
    </row>
    <row r="11" spans="1:112" ht="16.350000000000001" customHeight="1">
      <c r="A11"/>
      <c r="B11" s="49"/>
      <c r="C11" s="49"/>
      <c r="D11" s="49"/>
      <c r="E11" s="49"/>
      <c r="F11"/>
      <c r="G11"/>
      <c r="H11"/>
      <c r="I11"/>
      <c r="J11"/>
      <c r="K11" s="1052"/>
      <c r="L11" s="1053"/>
      <c r="M11" s="1053"/>
      <c r="N11" s="1053"/>
      <c r="O11" s="1006"/>
      <c r="P11" s="1006"/>
      <c r="Q11" s="1006"/>
      <c r="R11" s="1006"/>
      <c r="S11" s="1006"/>
      <c r="T11" s="1006"/>
      <c r="U11" s="1006"/>
      <c r="V11" s="1006"/>
      <c r="W11" s="1006"/>
      <c r="X11" s="1006"/>
      <c r="Y11" s="1006"/>
      <c r="Z11" s="1006"/>
      <c r="AA11" s="1035"/>
      <c r="AB11" s="1036"/>
      <c r="AC11" s="1036"/>
      <c r="AD11" s="1036"/>
      <c r="AE11" s="1037"/>
      <c r="AF11" s="1016"/>
      <c r="AG11" s="1017"/>
      <c r="AH11" s="1017"/>
      <c r="AI11" s="1017"/>
      <c r="AJ11" s="1018"/>
      <c r="AK11" s="1016"/>
      <c r="AL11" s="1017"/>
      <c r="AM11" s="1017"/>
      <c r="AN11" s="1017"/>
      <c r="AO11" s="1018"/>
      <c r="AP11" s="1006"/>
      <c r="AQ11" s="1006"/>
      <c r="AR11" s="1006"/>
      <c r="AS11" s="1006"/>
      <c r="AT11" s="1055"/>
      <c r="AU11" s="1055"/>
      <c r="AV11" s="1055"/>
      <c r="AW11" s="1055"/>
      <c r="AX11" s="1006"/>
      <c r="AY11" s="1006"/>
      <c r="AZ11" s="1006"/>
      <c r="BA11" s="1006"/>
      <c r="BB11"/>
      <c r="BC11"/>
      <c r="BD11"/>
      <c r="BE11"/>
      <c r="BF11"/>
      <c r="BG11"/>
      <c r="BH11"/>
      <c r="BI11"/>
      <c r="BJ11"/>
      <c r="BK11"/>
      <c r="BL11"/>
      <c r="BM11"/>
      <c r="BN11"/>
      <c r="BO11"/>
      <c r="BP11"/>
      <c r="BQ11"/>
      <c r="BR11"/>
      <c r="DD11"/>
      <c r="DE11"/>
      <c r="DF11"/>
      <c r="DG11"/>
      <c r="DH11"/>
    </row>
    <row r="12" spans="1:112" ht="16.350000000000001" customHeight="1">
      <c r="A12"/>
      <c r="B12"/>
      <c r="C12" s="41"/>
      <c r="D12" s="41"/>
      <c r="E12" s="41"/>
      <c r="F12" s="41"/>
      <c r="G12"/>
      <c r="H12"/>
      <c r="I12"/>
      <c r="J12"/>
      <c r="K12"/>
      <c r="L12"/>
      <c r="M12"/>
      <c r="N12"/>
      <c r="O12"/>
      <c r="P12"/>
      <c r="Q12"/>
      <c r="R12"/>
      <c r="S12"/>
      <c r="T12"/>
      <c r="U12"/>
      <c r="V12"/>
      <c r="W12"/>
      <c r="X12"/>
      <c r="Y12" s="1004">
        <f>IFERROR(SUM(BF18:BG195,AQ14),0)</f>
        <v>0</v>
      </c>
      <c r="Z12" s="1004"/>
      <c r="AA12" s="1004"/>
      <c r="AB12" s="1004"/>
      <c r="AC12" s="1004">
        <f>IFERROR(SUM(BH18:BJ195),0)</f>
        <v>0</v>
      </c>
      <c r="AD12" s="1004"/>
      <c r="AE12" s="1004"/>
      <c r="AF12" s="1004"/>
      <c r="AG12" s="1004"/>
      <c r="AH12" s="1007">
        <f>IFERROR(SUMIF(BH18:BJ195,"&gt;0",BK18:BM195),0)</f>
        <v>0</v>
      </c>
      <c r="AI12" s="1007"/>
      <c r="AJ12" s="1007"/>
      <c r="AK12" s="1007"/>
      <c r="AL12" s="1008">
        <f>IFERROR(SUMIF(BH18:BJ195,"&gt;0",BN18:BP195),0)</f>
        <v>0</v>
      </c>
      <c r="AM12" s="1008"/>
      <c r="AN12" s="1008"/>
      <c r="AO12" s="1008"/>
      <c r="AP12"/>
      <c r="AQ12" s="1019" t="s">
        <v>1399</v>
      </c>
      <c r="AR12" s="1019"/>
      <c r="AS12" s="1019"/>
      <c r="AT12" s="1020"/>
      <c r="AU12" s="1020"/>
      <c r="AV12" s="1020"/>
      <c r="AW12" s="1020"/>
      <c r="AX12" s="1019"/>
      <c r="AY12" s="1019"/>
      <c r="AZ12" s="1019"/>
      <c r="BA12" s="1019"/>
      <c r="BB12"/>
      <c r="BC12"/>
      <c r="BD12"/>
      <c r="BE12"/>
      <c r="BF12"/>
      <c r="BG12"/>
      <c r="BH12"/>
      <c r="BI12"/>
      <c r="BJ12"/>
      <c r="BK12"/>
      <c r="BL12"/>
      <c r="BM12"/>
      <c r="BN12"/>
      <c r="BO12"/>
      <c r="BP12"/>
      <c r="BQ12"/>
      <c r="BR12"/>
      <c r="DD12"/>
      <c r="DE12"/>
      <c r="DF12"/>
      <c r="DG12"/>
      <c r="DH12"/>
    </row>
    <row r="13" spans="1:112" ht="16.350000000000001" customHeight="1">
      <c r="A13" s="41"/>
      <c r="B13" s="41"/>
      <c r="C13"/>
      <c r="D13"/>
      <c r="E13"/>
      <c r="F13"/>
      <c r="G13"/>
      <c r="H13"/>
      <c r="I13"/>
      <c r="J13"/>
      <c r="K13"/>
      <c r="L13"/>
      <c r="M13"/>
      <c r="N13"/>
      <c r="O13"/>
      <c r="P13"/>
      <c r="Q13"/>
      <c r="R13"/>
      <c r="S13"/>
      <c r="T13"/>
      <c r="U13"/>
      <c r="V13"/>
      <c r="W13"/>
      <c r="X13"/>
      <c r="Y13" s="1004"/>
      <c r="Z13" s="1004"/>
      <c r="AA13" s="1004"/>
      <c r="AB13" s="1004"/>
      <c r="AC13" s="1004"/>
      <c r="AD13" s="1004"/>
      <c r="AE13" s="1004"/>
      <c r="AF13" s="1004"/>
      <c r="AG13" s="1004"/>
      <c r="AH13" s="1007"/>
      <c r="AI13" s="1007"/>
      <c r="AJ13" s="1007"/>
      <c r="AK13" s="1007"/>
      <c r="AL13" s="1008"/>
      <c r="AM13" s="1008"/>
      <c r="AN13" s="1008"/>
      <c r="AO13" s="1008"/>
      <c r="AP13"/>
      <c r="AQ13" s="1020"/>
      <c r="AR13" s="1020"/>
      <c r="AS13" s="1020"/>
      <c r="AT13" s="1020"/>
      <c r="AU13" s="1020"/>
      <c r="AV13" s="1020"/>
      <c r="AW13" s="1020"/>
      <c r="AX13" s="1020"/>
      <c r="AY13" s="1020"/>
      <c r="AZ13" s="1020"/>
      <c r="BA13" s="1020"/>
      <c r="BB13"/>
      <c r="BC13"/>
      <c r="BD13"/>
      <c r="BE13"/>
      <c r="BF13"/>
      <c r="BG13"/>
      <c r="BH13"/>
      <c r="BI13"/>
      <c r="BJ13"/>
      <c r="BK13"/>
      <c r="BL13"/>
      <c r="BM13"/>
      <c r="BN13"/>
      <c r="BO13"/>
      <c r="BP13"/>
      <c r="BQ13"/>
      <c r="BR13"/>
      <c r="CW13" s="1041" t="s">
        <v>1400</v>
      </c>
      <c r="CX13" s="1041"/>
      <c r="CY13" s="1041"/>
      <c r="DD13"/>
      <c r="DE13"/>
      <c r="DF13"/>
      <c r="DG13"/>
      <c r="DH13"/>
    </row>
    <row r="14" spans="1:112" ht="16.350000000000001" customHeight="1">
      <c r="A14"/>
      <c r="B14"/>
      <c r="C14"/>
      <c r="D14"/>
      <c r="E14"/>
      <c r="F14"/>
      <c r="G14"/>
      <c r="H14"/>
      <c r="I14"/>
      <c r="J14"/>
      <c r="K14"/>
      <c r="L14"/>
      <c r="M14"/>
      <c r="N14"/>
      <c r="O14"/>
      <c r="P14"/>
      <c r="Q14"/>
      <c r="R14"/>
      <c r="S14"/>
      <c r="T14"/>
      <c r="U14"/>
      <c r="V14"/>
      <c r="W14"/>
      <c r="X14"/>
      <c r="Y14" s="1003" t="s">
        <v>1401</v>
      </c>
      <c r="Z14" s="1003"/>
      <c r="AA14" s="1003"/>
      <c r="AB14" s="1003"/>
      <c r="AC14" s="1003" t="s">
        <v>1402</v>
      </c>
      <c r="AD14" s="1003"/>
      <c r="AE14" s="1003"/>
      <c r="AF14" s="1003"/>
      <c r="AG14" s="1003"/>
      <c r="AH14" s="1003" t="s">
        <v>1403</v>
      </c>
      <c r="AI14" s="1003"/>
      <c r="AJ14" s="1003"/>
      <c r="AK14" s="1003"/>
      <c r="AL14" s="1003" t="s">
        <v>1403</v>
      </c>
      <c r="AM14" s="1003"/>
      <c r="AN14" s="1003"/>
      <c r="AO14" s="1003"/>
      <c r="AP14"/>
      <c r="AQ14" s="1021"/>
      <c r="AR14" s="1021"/>
      <c r="AS14" s="1021"/>
      <c r="AT14" s="1021"/>
      <c r="AU14" s="1021"/>
      <c r="AV14" s="1021"/>
      <c r="AW14" s="1021"/>
      <c r="AX14" s="1021"/>
      <c r="AY14" s="1021"/>
      <c r="AZ14" s="1021"/>
      <c r="BA14" s="1021"/>
      <c r="BB14"/>
      <c r="BC14"/>
      <c r="BD14"/>
      <c r="BE14"/>
      <c r="BF14"/>
      <c r="BG14"/>
      <c r="BH14"/>
      <c r="BI14"/>
      <c r="BJ14"/>
      <c r="BK14"/>
      <c r="BL14"/>
      <c r="BM14"/>
      <c r="BN14"/>
      <c r="BO14"/>
      <c r="BP14"/>
      <c r="BQ14"/>
      <c r="BR14"/>
      <c r="BV14" s="1040" t="s">
        <v>1404</v>
      </c>
      <c r="BW14" s="1040"/>
      <c r="BX14" s="1040"/>
      <c r="BY14" s="1040"/>
      <c r="BZ14" s="1040"/>
      <c r="CW14" s="1041"/>
      <c r="CX14" s="1041"/>
      <c r="CY14" s="1041"/>
      <c r="DD14"/>
      <c r="DE14"/>
      <c r="DF14"/>
      <c r="DG14"/>
      <c r="DH14"/>
    </row>
    <row r="15" spans="1:112" ht="16.350000000000001" customHeight="1">
      <c r="A15"/>
      <c r="B15"/>
      <c r="C15"/>
      <c r="D15" s="47"/>
      <c r="E15" s="47"/>
      <c r="F15" s="47"/>
      <c r="G15" s="47"/>
      <c r="H15" s="47"/>
      <c r="I15" s="47"/>
      <c r="J15" s="47"/>
      <c r="K15" s="47"/>
      <c r="L15" s="1038" t="s">
        <v>1405</v>
      </c>
      <c r="M15" s="1038"/>
      <c r="N15" s="1038"/>
      <c r="O15" s="1038"/>
      <c r="P15" s="1038"/>
      <c r="Q15" s="1038"/>
      <c r="R15" s="1038"/>
      <c r="S15" s="1038"/>
      <c r="T15" s="1038"/>
      <c r="U15" s="1038"/>
      <c r="V15" s="1038"/>
      <c r="W15" s="1038"/>
      <c r="X15" s="1038"/>
      <c r="Y15" s="1038"/>
      <c r="Z15" s="1038"/>
      <c r="AA15" s="1038" t="s">
        <v>1406</v>
      </c>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679"/>
      <c r="AW15" s="679"/>
      <c r="AX15" s="679"/>
      <c r="AY15" s="679"/>
      <c r="AZ15" s="679"/>
      <c r="BA15" s="679"/>
      <c r="BB15"/>
      <c r="BC15"/>
      <c r="BD15"/>
      <c r="BE15"/>
      <c r="BF15"/>
      <c r="BG15"/>
      <c r="BH15"/>
      <c r="BI15"/>
      <c r="BJ15"/>
      <c r="BK15"/>
      <c r="BL15"/>
      <c r="BM15"/>
      <c r="BN15"/>
      <c r="BO15"/>
      <c r="BP15"/>
      <c r="BQ15"/>
      <c r="BR15"/>
      <c r="BS15"/>
      <c r="BT15"/>
      <c r="BU15"/>
      <c r="BV15" s="1040"/>
      <c r="BW15" s="1040"/>
      <c r="BX15" s="1040"/>
      <c r="BY15" s="1040"/>
      <c r="BZ15" s="1040"/>
      <c r="CA15"/>
      <c r="CB15"/>
      <c r="CC15"/>
      <c r="CD15"/>
      <c r="CE15"/>
      <c r="CF15"/>
      <c r="CG15"/>
      <c r="CH15"/>
      <c r="CI15"/>
      <c r="CJ15"/>
      <c r="CK15"/>
      <c r="CL15"/>
      <c r="CM15"/>
      <c r="CN15"/>
      <c r="CO15"/>
      <c r="CP15"/>
      <c r="CQ15"/>
      <c r="CR15"/>
      <c r="CS15"/>
      <c r="CT15"/>
      <c r="CW15" s="595"/>
      <c r="CX15" s="595"/>
      <c r="CY15" s="595"/>
    </row>
    <row r="16" spans="1:112" ht="16.350000000000001" customHeight="1">
      <c r="A16" s="12"/>
      <c r="B16"/>
      <c r="C16" s="992" t="s">
        <v>1407</v>
      </c>
      <c r="D16" s="992"/>
      <c r="E16" s="992"/>
      <c r="F16" s="991" t="s">
        <v>1408</v>
      </c>
      <c r="G16" s="991"/>
      <c r="H16" s="991"/>
      <c r="I16" s="991"/>
      <c r="J16" s="991"/>
      <c r="K16" s="991"/>
      <c r="L16" s="991" t="s">
        <v>1409</v>
      </c>
      <c r="M16" s="991"/>
      <c r="N16" s="991"/>
      <c r="O16" s="991"/>
      <c r="P16" s="991"/>
      <c r="Q16" s="991"/>
      <c r="R16" s="991" t="s">
        <v>1410</v>
      </c>
      <c r="S16" s="991"/>
      <c r="T16" s="991"/>
      <c r="U16" s="991" t="s">
        <v>1411</v>
      </c>
      <c r="V16" s="991"/>
      <c r="W16" s="991"/>
      <c r="X16" s="991" t="s">
        <v>1412</v>
      </c>
      <c r="Y16" s="991"/>
      <c r="Z16" s="991"/>
      <c r="AA16" s="991" t="s">
        <v>1413</v>
      </c>
      <c r="AB16" s="991"/>
      <c r="AC16" s="991"/>
      <c r="AD16" s="1022" t="s">
        <v>1409</v>
      </c>
      <c r="AE16" s="991"/>
      <c r="AF16" s="991"/>
      <c r="AG16" s="991"/>
      <c r="AH16" s="991"/>
      <c r="AI16" s="991"/>
      <c r="AJ16" s="991" t="s">
        <v>1410</v>
      </c>
      <c r="AK16" s="991"/>
      <c r="AL16" s="991"/>
      <c r="AM16" s="991" t="s">
        <v>1411</v>
      </c>
      <c r="AN16" s="991"/>
      <c r="AO16" s="991"/>
      <c r="AP16" s="991" t="s">
        <v>1412</v>
      </c>
      <c r="AQ16" s="991"/>
      <c r="AR16" s="991"/>
      <c r="AS16" s="991" t="s">
        <v>1413</v>
      </c>
      <c r="AT16" s="991"/>
      <c r="AU16" s="991"/>
      <c r="AV16" s="1057" t="s">
        <v>1414</v>
      </c>
      <c r="AW16" s="1057"/>
      <c r="AX16" s="1057"/>
      <c r="AY16" s="1057" t="s">
        <v>1415</v>
      </c>
      <c r="AZ16" s="1057"/>
      <c r="BA16" s="1057"/>
      <c r="BB16" s="989" t="s">
        <v>1416</v>
      </c>
      <c r="BC16" s="989"/>
      <c r="BD16" s="989"/>
      <c r="BE16" s="989"/>
      <c r="BF16" s="991" t="s">
        <v>224</v>
      </c>
      <c r="BG16" s="991"/>
      <c r="BH16" s="984" t="s">
        <v>1417</v>
      </c>
      <c r="BI16" s="984"/>
      <c r="BJ16" s="984"/>
      <c r="BK16" s="984" t="s">
        <v>1418</v>
      </c>
      <c r="BL16" s="984"/>
      <c r="BM16" s="984"/>
      <c r="BN16" s="984" t="s">
        <v>1419</v>
      </c>
      <c r="BO16" s="984"/>
      <c r="BP16" s="984"/>
      <c r="BQ16"/>
      <c r="BR16"/>
      <c r="BS16" s="987" t="s">
        <v>1420</v>
      </c>
      <c r="BT16" s="987" t="s">
        <v>1421</v>
      </c>
      <c r="BU16"/>
      <c r="BV16" s="987" t="s">
        <v>1422</v>
      </c>
      <c r="BW16" s="987" t="s">
        <v>1423</v>
      </c>
      <c r="BX16" s="987" t="s">
        <v>1424</v>
      </c>
      <c r="BY16" s="987" t="s">
        <v>1425</v>
      </c>
      <c r="BZ16" s="987" t="s">
        <v>1426</v>
      </c>
      <c r="CA16"/>
      <c r="CB16" s="987" t="s">
        <v>1427</v>
      </c>
      <c r="CC16" s="987" t="s">
        <v>779</v>
      </c>
      <c r="CD16" s="987" t="s">
        <v>1428</v>
      </c>
      <c r="CE16" s="987" t="s">
        <v>1429</v>
      </c>
      <c r="CF16" s="987" t="s">
        <v>1430</v>
      </c>
      <c r="CG16" s="987" t="s">
        <v>1431</v>
      </c>
      <c r="CH16" s="987" t="s">
        <v>1432</v>
      </c>
      <c r="CI16" s="987" t="s">
        <v>1433</v>
      </c>
      <c r="CJ16" s="987" t="s">
        <v>1434</v>
      </c>
      <c r="CK16" s="987" t="s">
        <v>1435</v>
      </c>
      <c r="CL16" s="987" t="s">
        <v>1436</v>
      </c>
      <c r="CM16" s="987" t="s">
        <v>1437</v>
      </c>
      <c r="CN16" s="987" t="s">
        <v>1438</v>
      </c>
      <c r="CO16" s="987" t="s">
        <v>1439</v>
      </c>
      <c r="CP16" s="987" t="s">
        <v>1440</v>
      </c>
      <c r="CQ16" s="987" t="s">
        <v>1441</v>
      </c>
      <c r="CR16" s="987" t="s">
        <v>1442</v>
      </c>
      <c r="CS16" s="987" t="s">
        <v>1443</v>
      </c>
      <c r="CT16" s="987" t="s">
        <v>1444</v>
      </c>
      <c r="CU16" s="987" t="s">
        <v>1445</v>
      </c>
      <c r="CV16" s="919" t="s">
        <v>1446</v>
      </c>
      <c r="CW16" s="919" t="s">
        <v>1447</v>
      </c>
      <c r="CX16" s="919" t="s">
        <v>1448</v>
      </c>
      <c r="CY16" s="1042" t="s">
        <v>1449</v>
      </c>
      <c r="CZ16" s="1042" t="s">
        <v>1450</v>
      </c>
      <c r="DA16" s="1042" t="s">
        <v>1491</v>
      </c>
    </row>
    <row r="17" spans="1:144" ht="16.350000000000001" customHeight="1">
      <c r="A17" s="12"/>
      <c r="B17" s="12"/>
      <c r="C17" s="993"/>
      <c r="D17" s="993"/>
      <c r="E17" s="993"/>
      <c r="F17" s="990"/>
      <c r="G17" s="990"/>
      <c r="H17" s="990"/>
      <c r="I17" s="990"/>
      <c r="J17" s="990"/>
      <c r="K17" s="990"/>
      <c r="L17" s="990"/>
      <c r="M17" s="990"/>
      <c r="N17" s="990"/>
      <c r="O17" s="990"/>
      <c r="P17" s="990"/>
      <c r="Q17" s="990"/>
      <c r="R17" s="991"/>
      <c r="S17" s="991"/>
      <c r="T17" s="991"/>
      <c r="U17" s="991"/>
      <c r="V17" s="991"/>
      <c r="W17" s="991"/>
      <c r="X17" s="991"/>
      <c r="Y17" s="991"/>
      <c r="Z17" s="991"/>
      <c r="AA17" s="991"/>
      <c r="AB17" s="991"/>
      <c r="AC17" s="991"/>
      <c r="AD17" s="1023"/>
      <c r="AE17" s="990"/>
      <c r="AF17" s="990"/>
      <c r="AG17" s="990"/>
      <c r="AH17" s="990"/>
      <c r="AI17" s="990"/>
      <c r="AJ17" s="990"/>
      <c r="AK17" s="990"/>
      <c r="AL17" s="990"/>
      <c r="AM17" s="990"/>
      <c r="AN17" s="990"/>
      <c r="AO17" s="990"/>
      <c r="AP17" s="990"/>
      <c r="AQ17" s="990"/>
      <c r="AR17" s="990"/>
      <c r="AS17" s="991"/>
      <c r="AT17" s="991"/>
      <c r="AU17" s="991"/>
      <c r="AV17" s="1039" t="s">
        <v>1451</v>
      </c>
      <c r="AW17" s="1039"/>
      <c r="AX17" s="1039"/>
      <c r="AY17" s="1039"/>
      <c r="AZ17" s="1039"/>
      <c r="BA17" s="1039"/>
      <c r="BB17" s="990" t="s">
        <v>1452</v>
      </c>
      <c r="BC17" s="990"/>
      <c r="BD17" s="990" t="s">
        <v>1453</v>
      </c>
      <c r="BE17" s="990"/>
      <c r="BF17" s="990"/>
      <c r="BG17" s="990"/>
      <c r="BH17" s="985"/>
      <c r="BI17" s="985"/>
      <c r="BJ17" s="985"/>
      <c r="BK17" s="985"/>
      <c r="BL17" s="985"/>
      <c r="BM17" s="985"/>
      <c r="BN17" s="985"/>
      <c r="BO17" s="985"/>
      <c r="BP17" s="985"/>
      <c r="BQ17"/>
      <c r="BR17"/>
      <c r="BS17" s="987"/>
      <c r="BT17" s="987"/>
      <c r="BU17"/>
      <c r="BV17" s="988"/>
      <c r="BW17" s="988"/>
      <c r="BX17" s="988"/>
      <c r="BY17" s="988"/>
      <c r="BZ17" s="988"/>
      <c r="CA17"/>
      <c r="CB17" s="988"/>
      <c r="CC17" s="988"/>
      <c r="CD17" s="988"/>
      <c r="CE17" s="988"/>
      <c r="CF17" s="988"/>
      <c r="CG17" s="988"/>
      <c r="CH17" s="988"/>
      <c r="CI17" s="988"/>
      <c r="CJ17" s="988"/>
      <c r="CK17" s="988"/>
      <c r="CL17" s="988"/>
      <c r="CM17" s="988"/>
      <c r="CN17" s="988"/>
      <c r="CO17" s="988"/>
      <c r="CP17" s="988"/>
      <c r="CQ17" s="988"/>
      <c r="CR17" s="988"/>
      <c r="CS17" s="988"/>
      <c r="CT17" s="988"/>
      <c r="CU17" s="987"/>
      <c r="CV17" s="919"/>
      <c r="CW17" s="919"/>
      <c r="CX17" s="919"/>
      <c r="CY17" s="1042"/>
      <c r="CZ17" s="1042"/>
      <c r="DA17" s="1042"/>
      <c r="DD17" s="670" t="s">
        <v>1454</v>
      </c>
      <c r="DE17" s="670" t="s">
        <v>1455</v>
      </c>
      <c r="DF17" s="670" t="s">
        <v>1456</v>
      </c>
      <c r="DG17" s="670" t="s">
        <v>1457</v>
      </c>
      <c r="DH17" s="670" t="s">
        <v>1458</v>
      </c>
      <c r="DI17" s="670" t="s">
        <v>1459</v>
      </c>
      <c r="DJ17" s="670" t="s">
        <v>1460</v>
      </c>
      <c r="DK17" s="670" t="s">
        <v>1461</v>
      </c>
      <c r="DL17" s="670" t="s">
        <v>1462</v>
      </c>
      <c r="DM17" s="670" t="s">
        <v>1463</v>
      </c>
      <c r="DN17" s="670" t="s">
        <v>1464</v>
      </c>
      <c r="DO17" s="670" t="s">
        <v>1465</v>
      </c>
      <c r="DP17" s="670" t="s">
        <v>1466</v>
      </c>
      <c r="DQ17" s="670" t="s">
        <v>1467</v>
      </c>
      <c r="DR17" s="670" t="s">
        <v>1468</v>
      </c>
      <c r="DS17" s="670" t="s">
        <v>1469</v>
      </c>
      <c r="DT17" s="670" t="s">
        <v>1470</v>
      </c>
      <c r="DU17" s="670" t="s">
        <v>1471</v>
      </c>
      <c r="DV17" s="670" t="s">
        <v>1472</v>
      </c>
      <c r="DW17" s="670" t="s">
        <v>1473</v>
      </c>
      <c r="DX17" s="670" t="s">
        <v>1474</v>
      </c>
      <c r="DY17" s="670" t="s">
        <v>1475</v>
      </c>
      <c r="DZ17" s="670" t="s">
        <v>1476</v>
      </c>
      <c r="EA17" s="703" t="s">
        <v>1477</v>
      </c>
      <c r="EB17" s="703" t="s">
        <v>1478</v>
      </c>
      <c r="EC17" s="703" t="s">
        <v>1479</v>
      </c>
      <c r="ED17" s="703" t="s">
        <v>1480</v>
      </c>
      <c r="EE17" s="703" t="s">
        <v>1481</v>
      </c>
      <c r="EF17" s="703" t="s">
        <v>1482</v>
      </c>
      <c r="EG17" s="703" t="s">
        <v>1483</v>
      </c>
      <c r="EH17" s="703" t="s">
        <v>1484</v>
      </c>
      <c r="EI17" s="703" t="s">
        <v>1485</v>
      </c>
      <c r="EJ17" s="703" t="s">
        <v>1486</v>
      </c>
      <c r="EK17" s="703" t="s">
        <v>1487</v>
      </c>
      <c r="EL17" s="703" t="s">
        <v>1488</v>
      </c>
      <c r="EM17" s="703" t="s">
        <v>1489</v>
      </c>
      <c r="EN17" s="703" t="s">
        <v>1490</v>
      </c>
    </row>
    <row r="18" spans="1:144" ht="16.350000000000001" customHeight="1">
      <c r="A18" s="47"/>
      <c r="B18" s="994">
        <v>1</v>
      </c>
      <c r="C18" s="995"/>
      <c r="D18" s="996"/>
      <c r="E18" s="997"/>
      <c r="F18" s="961"/>
      <c r="G18" s="962"/>
      <c r="H18" s="962"/>
      <c r="I18" s="962"/>
      <c r="J18" s="962"/>
      <c r="K18" s="963"/>
      <c r="L18" s="961"/>
      <c r="M18" s="962"/>
      <c r="N18" s="962"/>
      <c r="O18" s="962"/>
      <c r="P18" s="962"/>
      <c r="Q18" s="963"/>
      <c r="R18" s="1044"/>
      <c r="S18" s="1044"/>
      <c r="T18" s="1044"/>
      <c r="U18" s="1044"/>
      <c r="V18" s="1044"/>
      <c r="W18" s="1044"/>
      <c r="X18" s="1045"/>
      <c r="Y18" s="1045"/>
      <c r="Z18" s="1045"/>
      <c r="AA18" s="1045"/>
      <c r="AB18" s="1045"/>
      <c r="AC18" s="1045"/>
      <c r="AD18" s="961"/>
      <c r="AE18" s="962"/>
      <c r="AF18" s="962"/>
      <c r="AG18" s="962"/>
      <c r="AH18" s="962"/>
      <c r="AI18" s="963"/>
      <c r="AJ18" s="949"/>
      <c r="AK18" s="950"/>
      <c r="AL18" s="951"/>
      <c r="AM18" s="949"/>
      <c r="AN18" s="950"/>
      <c r="AO18" s="951"/>
      <c r="AP18" s="955"/>
      <c r="AQ18" s="956"/>
      <c r="AR18" s="957"/>
      <c r="AS18" s="955"/>
      <c r="AT18" s="956"/>
      <c r="AU18" s="957"/>
      <c r="AV18" s="968"/>
      <c r="AW18" s="969"/>
      <c r="AX18" s="970"/>
      <c r="AY18" s="968"/>
      <c r="AZ18" s="969"/>
      <c r="BA18" s="970"/>
      <c r="BB18" s="945"/>
      <c r="BC18" s="946"/>
      <c r="BD18" s="945"/>
      <c r="BE18" s="946"/>
      <c r="BF18" s="929" t="str">
        <f>IF(CB18="OK",ROUND(BB18+BD18,2),"")</f>
        <v/>
      </c>
      <c r="BG18" s="930"/>
      <c r="BH18" s="971" t="str">
        <f>IFERROR(IF(AND($CB18="OK",$CU18="OK"),$CI18,IF($CB18&lt;&gt;"OK",$CB18,$CU18)),"")</f>
        <v/>
      </c>
      <c r="BI18" s="972"/>
      <c r="BJ18" s="973"/>
      <c r="BK18" s="933" t="str">
        <f>IF($CB18="OK",CM18,"")</f>
        <v/>
      </c>
      <c r="BL18" s="934"/>
      <c r="BM18" s="935"/>
      <c r="BN18" s="939" t="str">
        <f>IF($CB18="OK",$CR18,"")</f>
        <v/>
      </c>
      <c r="BO18" s="940"/>
      <c r="BP18" s="941"/>
      <c r="BQ18"/>
      <c r="BR18"/>
      <c r="BS18" s="967"/>
      <c r="BT18" s="967"/>
      <c r="BU18"/>
      <c r="BV18" s="926" t="str">
        <f>IFERROR(ROUND(IF(AND(CB18="OK",CU18="OK"),CT18,""),0),"")</f>
        <v/>
      </c>
      <c r="BW18" s="926" t="str">
        <f>IFERROR(ROUND(IF(AND(CB18="OK",CU18="OK"),BV18/3,""),0),"")</f>
        <v/>
      </c>
      <c r="BX18" s="926"/>
      <c r="BY18" s="927"/>
      <c r="BZ18" s="928"/>
      <c r="CA18"/>
      <c r="CB18" s="986" t="str">
        <f>IF(AND(C18="",F18="",R18="",AD18="",U18="",X18="",L18="",AJ18="",AV18="",AM18="",AP18="",AY18="",AV19="",BB18="",BD18="",AA18="",AS18=""),"",
IF(OR(C18="",F18="",R18="",AD18="",U18="",X18="",L18="",AJ18="",AV18="",AM18="",AP18="",AY18="",AV19="",BB18="",BD18="",AA18="",AS18=""),"Missing Fields",
IF(AND(M02S04F04disp="Required",M02S04F04=""),"TA Info Incomplete",
"OK")))</f>
        <v/>
      </c>
      <c r="CC18" s="925" t="str">
        <f>IF(AND(CB18="OK",CU18="OK"),INDEX(Tbl_Cust_Res[Measure Number], MATCH(F18,Tbl_Cust_Res[Proj Desc 1],0)),"")</f>
        <v/>
      </c>
      <c r="CD18" s="925"/>
      <c r="CE18" s="925" t="str">
        <f>IF(CB18="OK","Measure","")</f>
        <v/>
      </c>
      <c r="CF18" s="925" t="str">
        <f>IF(CB18="OK",1,"")</f>
        <v/>
      </c>
      <c r="CG18" s="978" t="str">
        <f>IFERROR(CI18/CF18,"")</f>
        <v/>
      </c>
      <c r="CH18" s="978" t="str">
        <f>IF(CB18="OK",IF(CM18&gt;0,CM18*Incent_Rate_kWh,0)+IF(CO18&gt;0,CO18*Incent_Rate_thm,0),"")</f>
        <v/>
      </c>
      <c r="CI18" s="978" t="str">
        <f>IFERROR(IF($CB18="OK",IF(INCENTTOCOST_CUST&gt;CostCap_Cust,
CH18*CostCap_Cust/INCENTTOCOST_CUST,CH18),""),"")</f>
        <v/>
      </c>
      <c r="CJ18" s="977">
        <f t="shared" ref="CJ18" si="0">CM18</f>
        <v>0</v>
      </c>
      <c r="CK18" s="977">
        <f>CN18</f>
        <v>0</v>
      </c>
      <c r="CL18" s="977">
        <f>CO18</f>
        <v>0</v>
      </c>
      <c r="CM18" s="977">
        <f>R18-AJ18</f>
        <v>0</v>
      </c>
      <c r="CN18" s="977">
        <f>U18-AM18</f>
        <v>0</v>
      </c>
      <c r="CO18" s="977">
        <f>IF(CR18&gt;0,CR18,0)</f>
        <v>0</v>
      </c>
      <c r="CP18" s="977">
        <f>CM18</f>
        <v>0</v>
      </c>
      <c r="CQ18" s="977">
        <f>CN18</f>
        <v>0</v>
      </c>
      <c r="CR18" s="977">
        <f>X18-AP18</f>
        <v>0</v>
      </c>
      <c r="CS18" s="983"/>
      <c r="CT18" s="1056" t="str">
        <f>IF(CB18="OK",INDEX(Tbl_Cust_Res[EUL], MATCH(F18,Tbl_Cust_Res[Proj Desc 1],0)),"")</f>
        <v/>
      </c>
      <c r="CU18" s="979" t="str">
        <f>IFERROR(IF(AND($CM18&lt;=0,$CN18&lt;=0,$CO18&lt;=0),"No Savings","OK"),"")</f>
        <v>No Savings</v>
      </c>
      <c r="CV18" s="925" t="str">
        <f>IF(AND(CB18="OK",CU18="OK"),"1","")</f>
        <v/>
      </c>
      <c r="CW18" s="1043" t="str">
        <f>IFERROR(IF($CB18="OK",ROUND($AQ$14-SUM($CW$20:$CW$37),2),""),"")</f>
        <v/>
      </c>
      <c r="CX18" s="925" t="str">
        <f>IFERROR(IF(M02S04F04="Customer/Self-Installed",CW18,IF($CB18="OK",CW18+BD18,"")),"")</f>
        <v/>
      </c>
      <c r="CY18" s="925" t="str">
        <f>IFERROR(IF($CB18="OK",CX18+BB18,""),"")</f>
        <v/>
      </c>
      <c r="CZ18" s="925" t="str">
        <f>IF(CB18="OK",INDEX(MEASURES3_M!$O$50, MATCH(F18,MEASURES3_M!$C$50,0)),"")</f>
        <v/>
      </c>
      <c r="DA18" s="925" t="str">
        <f>IF(CB18="OK",INDEX(MEASURES3_M!$P$50, MATCH(F18,MEASURES3_M!$C$50,0)),"")</f>
        <v/>
      </c>
      <c r="DD18" s="980" t="str">
        <f>IFERROR(IF(CB18&lt;&gt;"OK","",CM18*VLOOKUP('DATA TABLES_Project'!$C$247,'DATA TABLES_Project'!$A$250:$B$285,2,FALSE)),"")</f>
        <v/>
      </c>
      <c r="DE18" s="925" t="str">
        <f>IFERROR(IF(CB18&lt;&gt;"OK","",CM18*CZ18*0.92),"")</f>
        <v/>
      </c>
      <c r="DF18" s="925" t="str">
        <f>IFERROR(IF(CB18&lt;&gt;"OK","",CM18*CZ18*0.92*VLOOKUP('DATA TABLES_Project'!$C$247,'DATA TABLES_Project'!$A$250:$B$285,2,FALSE)),"")</f>
        <v/>
      </c>
      <c r="DG18" s="925" t="str">
        <f>IFERROR(IF(CB18&lt;&gt;"OK","",CM18*BV18),IF(BX18="Dual",(CM18*BW18)+((BY18-AJ18)*(BV18-BW18)),""))</f>
        <v/>
      </c>
      <c r="DH18" s="925" t="str">
        <f ca="1">IFERROR(IF(CB18&lt;&gt;"OK","",IF(OR(BX18="Single",BX18=""), CM18*BV18*AVERAGE(INDEX('DATA TABLES_Project'!$B$250:$B$285, MATCH('DATA TABLES_Project'!$C$247,'DATA TABLES_Project'!$A$250:$A$285, 0)):OFFSET(INDEX('DATA TABLES_Project'!$B$250:$B$285, MATCH('DATA TABLES_Project'!$C$247,'DATA TABLES_Project'!$A$250:$A$285, 0)),BV18-1,0)),CM18*BW18*AVERAGE(INDEX('DATA TABLES_Project'!$B$250:$B$285, MATCH('DATA TABLES_Project'!$C$247,'DATA TABLES_Project'!$A$250:$A$285, 0)):OFFSET(INDEX('DATA TABLES_Project'!$B$250:$B$285, MATCH('DATA TABLES_Project'!$C$247,'DATA TABLES_Project'!$A$250:$A$285, 0)),BW18-1,0)) + ((BY18-AJ18)*(BV18-BW18)*AVERAGE(OFFSET(INDEX('DATA TABLES_Project'!$B$250:$B$285, MATCH('DATA TABLES_Project'!$C$247,'DATA TABLES_Project'!$A$250:$A$285, 0)),BW18,0):OFFSET(INDEX('DATA TABLES_Project'!$B$250:$B$285, MATCH('DATA TABLES_Project'!$C$247,'DATA TABLES_Project'!$A$250:$A$285, 0)),BV18-1,0))))), "")</f>
        <v/>
      </c>
      <c r="DI18" s="925" t="str">
        <f>IFERROR(IF(CB18&lt;&gt;"OK","",IF(BX18="Dual",(CM18*BW18)+((BY18-AJ18)*(BV18-BW18))*CZ18*0.92,CM18*CZ18*BV18*0.92)),"")</f>
        <v/>
      </c>
      <c r="DJ18" s="925" t="str">
        <f ca="1">IFERROR(IF(CB18&lt;&gt;"OK","",IF(OR(BX18="Single",BX18=""),0.92*CZ18*CM18*BV18*AVERAGE(INDEX('DATA TABLES_Project'!$B$250:$B$285, MATCH('DATA TABLES_Project'!$C$247,'DATA TABLES_Project'!$A$250:$A$285, 0)):OFFSET(INDEX('DATA TABLES_Project'!$B$250:$B$285, MATCH('DATA TABLES_Project'!$C$247,'DATA TABLES_Project'!$A$250:$A$285, 0)),BV18-1,0)),0.92*CZ18*CM18*BW18*AVERAGE(INDEX('DATA TABLES_Project'!$B$250:$B$285, MATCH('DATA TABLES_Project'!$C$247,'DATA TABLES_Project'!$A$250:$A$285, 0)):OFFSET(INDEX('DATA TABLES_Project'!$B$250:$B$285, MATCH('DATA TABLES_Project'!$C$247,'DATA TABLES_Project'!$A$250:$A$285, 0)),BW18-1,0)) + (0.92*CZ18*(BY18-AJ18)*(BV18-BW18)*AVERAGE(OFFSET(INDEX('DATA TABLES_Project'!$B$250:$B$285, MATCH('DATA TABLES_Project'!$C$247,'DATA TABLES_Project'!$A$250:$A$285, 0)),BW18,0):OFFSET(INDEX('DATA TABLES_Project'!$B$250:$B$285, MATCH('DATA TABLES_Project'!$C$247,'DATA TABLES_Project'!$A$250:$A$285, 0)),BV18-1,0))))), "")</f>
        <v/>
      </c>
      <c r="DK18" s="925" t="str">
        <f>IFERROR(IF(CB18&lt;&gt;"OK","",CO18*'DATA TABLES_Project'!$C$250),"")</f>
        <v/>
      </c>
      <c r="DL18" s="925" t="str">
        <f>IFERROR(IF(CB18&lt;&gt;"OK","",CO18*DA18*0.92),"")</f>
        <v/>
      </c>
      <c r="DM18" s="925" t="str">
        <f>IFERROR(IF(CB18&lt;&gt;"OK","",CO18*'DATA TABLES_Project'!$C$250*DA18*0.92),"")</f>
        <v/>
      </c>
      <c r="DN18" s="925" t="str">
        <f>IFERROR(IF(CB18&lt;&gt;"OK","",CO18*BV18),IF(BX18="Dual",(CO18*BW18)+((BZ18-AP18)*(BV18-BW18)),""))</f>
        <v/>
      </c>
      <c r="DO18" s="925" t="str">
        <f ca="1">IFERROR(IF(CB18&lt;&gt;"OK","",CO18*BV18*AVERAGE('DATA TABLES_Project'!$C$250:OFFSET('DATA TABLES_Project'!$C$250,BV18,0))),IF(BX18="Dual",(CO18*BW18*AVERAGE('DATA TABLES_Project'!$C$251:$C$259))+((BZ18-AP18)*(BV18-BW18)*AVERAGE('DATA TABLES_Project'!$C$260:$C$279)),""))</f>
        <v/>
      </c>
      <c r="DP18" s="925" t="str">
        <f>IFERROR(IF(CB18&lt;&gt;"OK","",IF(BX18="Dual",((CO18*BW18)+(BZ18-AP18)*(BV18-BW18))*DA18*0.92,CO18*BV18*DA18*0.92)),"")</f>
        <v/>
      </c>
      <c r="DQ18" s="925" t="str">
        <f ca="1">IFERROR(IF(CB18&lt;&gt;"OK","",IF(BX18="Dual",(0.92*DA18*CO18*BW18*AVERAGE('DATA TABLES_Project'!$C$251:$C$259))+(0.92*DA18*(BZ18-AP18)*(BV18-BW18)*AVERAGE('DATA TABLES_Project'!$C$260:$C$279)),0.92*DA18*CO18*BV18*AVERAGE('DATA TABLES_Project'!$C$250:OFFSET('DATA TABLES_Project'!$C$250,BV18,0)))),"")</f>
        <v/>
      </c>
      <c r="DR18" s="925" t="str">
        <f>IFERROR(IF($CB18&lt;&gt;"OK","",CM18*'DATA TABLES_Project'!$B$290+IF(CO18&lt;0,0,CO18*'DATA TABLES_Project'!$B$291)),"")</f>
        <v/>
      </c>
      <c r="DS18" s="925" t="str">
        <f>IFERROR(IF($CB18&lt;&gt;"OK","",DD18*'DATA TABLES_Project'!$B$290+IF(DK18&lt;0,0,DK18*'DATA TABLES_Project'!$B$291)),"")</f>
        <v/>
      </c>
      <c r="DT18" s="925" t="str">
        <f>IFERROR(IF($CB18&lt;&gt;"OK","",DE18*'DATA TABLES_Project'!$B$290+IF(DL18&lt;0,0,DL18*'DATA TABLES_Project'!$B$291)),"")</f>
        <v/>
      </c>
      <c r="DU18" s="925" t="str">
        <f>IFERROR(IF($CB18&lt;&gt;"OK","",DF18*'DATA TABLES_Project'!$B$290+IF(DM18&lt;0,0,DM18*'DATA TABLES_Project'!$B$291)),"")</f>
        <v/>
      </c>
      <c r="DV18" s="925" t="str">
        <f>IFERROR(IF($CB18&lt;&gt;"OK","",DG18*'DATA TABLES_Project'!$B$290+IF(DN18&lt;0,0,DN18*'DATA TABLES_Project'!$B$291)),"")</f>
        <v/>
      </c>
      <c r="DW18" s="925" t="str">
        <f>IFERROR(IF($CB18&lt;&gt;"OK","",DH18*'DATA TABLES_Project'!$B$290+IF(DO18&lt;0,0,DO18*'DATA TABLES_Project'!$B$291)),"")</f>
        <v/>
      </c>
      <c r="DX18" s="925" t="str">
        <f>IFERROR(IF($CB18&lt;&gt;"OK","",DI18*'DATA TABLES_Project'!$B$290+IF(DP18&lt;0,0,DP18*'DATA TABLES_Project'!$B$291)),"")</f>
        <v/>
      </c>
      <c r="DY18" s="925" t="str">
        <f>IFERROR(IF($CB18&lt;&gt;"OK","",DJ18*'DATA TABLES_Project'!$B$290+IF(DQ18&lt;0,0,DQ18*'DATA TABLES_Project'!$B$291)),"")</f>
        <v/>
      </c>
      <c r="DZ18" s="925" t="str">
        <f>IFERROR(IF($CB18&lt;&gt;"OK","",AS18),"")</f>
        <v/>
      </c>
      <c r="EA18" s="925" t="str">
        <f>IFERROR(IF(CB18&lt;&gt;"OK","",CN18*'DATA TABLES_Project'!$B$250*CZ18*1.03),"")</f>
        <v/>
      </c>
      <c r="EB18" s="925" t="str">
        <f>IFERROR(IF(CB18&lt;&gt;"OK","",CN18*CZ18*1.03),"")</f>
        <v/>
      </c>
      <c r="EC18" s="925" t="str">
        <f>IFERROR(IF(CB18&lt;&gt;"OK","",CZ18*DZ18*'DATA TABLES_Project'!$C$250*0.92),"")</f>
        <v/>
      </c>
      <c r="ED18" s="925" t="str">
        <f>IFERROR(IF(CB18&lt;&gt;"OK","",CZ18*DZ18*'DATA TABLES_Project'!$C$250*0.92),"")</f>
        <v/>
      </c>
      <c r="EE18" s="925" t="str">
        <f>IFERROR(IF(CB18&lt;&gt;"OK","",CZ18*DZ18*0.92),"")</f>
        <v/>
      </c>
      <c r="EF18" s="925" t="str">
        <f>IFERROR(IF(CB18&lt;&gt;"OK","",CZ18*DZ18*0.92),"")</f>
        <v/>
      </c>
      <c r="EG18" s="925" t="str">
        <f>IFERROR(IF($CB18&lt;&gt;"OK","",CM18*'DATA TABLES_Project'!$B$290+CO18*'DATA TABLES_Project'!$B$291),"")</f>
        <v/>
      </c>
      <c r="EH18" s="925" t="str">
        <f>IFERROR(IF($CB18&lt;&gt;"OK","",DD18*'DATA TABLES_Project'!$B$290+DK18*'DATA TABLES_Project'!$B$291),"")</f>
        <v/>
      </c>
      <c r="EI18" s="925" t="str">
        <f>IFERROR(IF($CB18&lt;&gt;"OK","",DE18*'DATA TABLES_Project'!$B$290+DL18*'DATA TABLES_Project'!$B$291),"")</f>
        <v/>
      </c>
      <c r="EJ18" s="925" t="str">
        <f>IFERROR(IF($CB18&lt;&gt;"OK","",DF18*'DATA TABLES_Project'!$B$290+DM18*'DATA TABLES_Project'!$B$291),"")</f>
        <v/>
      </c>
      <c r="EK18" s="925" t="str">
        <f>IFERROR(IF($CB18&lt;&gt;"OK","",DG18*'DATA TABLES_Project'!$B$290+DN18*'DATA TABLES_Project'!$B$291),"")</f>
        <v/>
      </c>
      <c r="EL18" s="925" t="str">
        <f>IFERROR(IF($CB18&lt;&gt;"OK","",DH18*'DATA TABLES_Project'!$B$290+DO18*'DATA TABLES_Project'!$B$291),"")</f>
        <v/>
      </c>
      <c r="EM18" s="925" t="str">
        <f>IFERROR(IF($CB18&lt;&gt;"OK","",DI18*'DATA TABLES_Project'!$B$290+DP18*'DATA TABLES_Project'!$B$291),"")</f>
        <v/>
      </c>
      <c r="EN18" s="925" t="str">
        <f>IFERROR(IF($CB18&lt;&gt;"OK","",DJ18*'DATA TABLES_Project'!$B$290+DQ18*'DATA TABLES_Project'!$B$291),"")</f>
        <v/>
      </c>
    </row>
    <row r="19" spans="1:144" ht="16.350000000000001" customHeight="1">
      <c r="A19" s="47"/>
      <c r="B19" s="994"/>
      <c r="C19" s="998"/>
      <c r="D19" s="999"/>
      <c r="E19" s="1000"/>
      <c r="F19" s="964"/>
      <c r="G19" s="965"/>
      <c r="H19" s="965"/>
      <c r="I19" s="965"/>
      <c r="J19" s="965"/>
      <c r="K19" s="966"/>
      <c r="L19" s="964"/>
      <c r="M19" s="965"/>
      <c r="N19" s="965"/>
      <c r="O19" s="965"/>
      <c r="P19" s="965"/>
      <c r="Q19" s="966"/>
      <c r="R19" s="1044"/>
      <c r="S19" s="1044"/>
      <c r="T19" s="1044"/>
      <c r="U19" s="1044"/>
      <c r="V19" s="1044"/>
      <c r="W19" s="1044"/>
      <c r="X19" s="1045"/>
      <c r="Y19" s="1045"/>
      <c r="Z19" s="1045"/>
      <c r="AA19" s="1045"/>
      <c r="AB19" s="1045"/>
      <c r="AC19" s="1045"/>
      <c r="AD19" s="964"/>
      <c r="AE19" s="965"/>
      <c r="AF19" s="965"/>
      <c r="AG19" s="965"/>
      <c r="AH19" s="965"/>
      <c r="AI19" s="966"/>
      <c r="AJ19" s="952"/>
      <c r="AK19" s="953"/>
      <c r="AL19" s="954"/>
      <c r="AM19" s="952"/>
      <c r="AN19" s="953"/>
      <c r="AO19" s="954"/>
      <c r="AP19" s="958"/>
      <c r="AQ19" s="959"/>
      <c r="AR19" s="960"/>
      <c r="AS19" s="958"/>
      <c r="AT19" s="959"/>
      <c r="AU19" s="960"/>
      <c r="AV19" s="968"/>
      <c r="AW19" s="969"/>
      <c r="AX19" s="969"/>
      <c r="AY19" s="969"/>
      <c r="AZ19" s="969"/>
      <c r="BA19" s="970"/>
      <c r="BB19" s="947"/>
      <c r="BC19" s="948"/>
      <c r="BD19" s="947"/>
      <c r="BE19" s="948"/>
      <c r="BF19" s="931"/>
      <c r="BG19" s="932"/>
      <c r="BH19" s="974"/>
      <c r="BI19" s="975"/>
      <c r="BJ19" s="976"/>
      <c r="BK19" s="936"/>
      <c r="BL19" s="937"/>
      <c r="BM19" s="938"/>
      <c r="BN19" s="942"/>
      <c r="BO19" s="943"/>
      <c r="BP19" s="944"/>
      <c r="BQ19"/>
      <c r="BR19"/>
      <c r="BS19" s="967"/>
      <c r="BT19" s="967"/>
      <c r="BU19"/>
      <c r="BV19" s="926"/>
      <c r="BW19" s="926"/>
      <c r="BX19" s="926"/>
      <c r="BY19" s="927"/>
      <c r="BZ19" s="928"/>
      <c r="CA19"/>
      <c r="CB19" s="986"/>
      <c r="CC19" s="925"/>
      <c r="CD19" s="925"/>
      <c r="CE19" s="925"/>
      <c r="CF19" s="925"/>
      <c r="CG19" s="925"/>
      <c r="CH19" s="925"/>
      <c r="CI19" s="925"/>
      <c r="CJ19" s="977"/>
      <c r="CK19" s="977"/>
      <c r="CL19" s="977"/>
      <c r="CM19" s="977"/>
      <c r="CN19" s="977"/>
      <c r="CO19" s="977"/>
      <c r="CP19" s="977"/>
      <c r="CQ19" s="977"/>
      <c r="CR19" s="977"/>
      <c r="CS19" s="983"/>
      <c r="CT19" s="1056"/>
      <c r="CU19" s="979"/>
      <c r="CV19" s="925"/>
      <c r="CW19" s="1043"/>
      <c r="CX19" s="925"/>
      <c r="CY19" s="925"/>
      <c r="CZ19" s="925"/>
      <c r="DA19" s="925"/>
      <c r="DD19" s="981"/>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row>
    <row r="20" spans="1:144" customFormat="1" ht="16.350000000000001" customHeight="1">
      <c r="A20" s="462"/>
      <c r="B20" s="994">
        <v>2</v>
      </c>
      <c r="C20" s="995"/>
      <c r="D20" s="996"/>
      <c r="E20" s="997"/>
      <c r="F20" s="961"/>
      <c r="G20" s="962"/>
      <c r="H20" s="962"/>
      <c r="I20" s="962"/>
      <c r="J20" s="962"/>
      <c r="K20" s="963"/>
      <c r="L20" s="961"/>
      <c r="M20" s="962"/>
      <c r="N20" s="962"/>
      <c r="O20" s="962"/>
      <c r="P20" s="962"/>
      <c r="Q20" s="963"/>
      <c r="R20" s="1044"/>
      <c r="S20" s="1044"/>
      <c r="T20" s="1044"/>
      <c r="U20" s="1044"/>
      <c r="V20" s="1044"/>
      <c r="W20" s="1044"/>
      <c r="X20" s="1045"/>
      <c r="Y20" s="1045"/>
      <c r="Z20" s="1045"/>
      <c r="AA20" s="1045"/>
      <c r="AB20" s="1045"/>
      <c r="AC20" s="1045"/>
      <c r="AD20" s="961"/>
      <c r="AE20" s="962"/>
      <c r="AF20" s="962"/>
      <c r="AG20" s="962"/>
      <c r="AH20" s="962"/>
      <c r="AI20" s="963"/>
      <c r="AJ20" s="949"/>
      <c r="AK20" s="950"/>
      <c r="AL20" s="951"/>
      <c r="AM20" s="949"/>
      <c r="AN20" s="950"/>
      <c r="AO20" s="951"/>
      <c r="AP20" s="955"/>
      <c r="AQ20" s="956"/>
      <c r="AR20" s="957"/>
      <c r="AS20" s="955"/>
      <c r="AT20" s="956"/>
      <c r="AU20" s="957"/>
      <c r="AV20" s="968"/>
      <c r="AW20" s="969"/>
      <c r="AX20" s="970"/>
      <c r="AY20" s="968"/>
      <c r="AZ20" s="969"/>
      <c r="BA20" s="970"/>
      <c r="BB20" s="945"/>
      <c r="BC20" s="946"/>
      <c r="BD20" s="945"/>
      <c r="BE20" s="946"/>
      <c r="BF20" s="929" t="str">
        <f t="shared" ref="BF20" si="1">IF(CB20="OK",ROUND(BB20+BD20,2),"")</f>
        <v/>
      </c>
      <c r="BG20" s="930"/>
      <c r="BH20" s="971" t="str">
        <f t="shared" ref="BH20" si="2">IFERROR(IF(AND($CB20="OK",$CU20="OK"),$CI20,IF($CB20&lt;&gt;"OK",$CB20,$CU20)),"")</f>
        <v/>
      </c>
      <c r="BI20" s="972"/>
      <c r="BJ20" s="973"/>
      <c r="BK20" s="933" t="str">
        <f t="shared" ref="BK20" si="3">IF($CB20="OK",CM20,"")</f>
        <v/>
      </c>
      <c r="BL20" s="934"/>
      <c r="BM20" s="935"/>
      <c r="BN20" s="939" t="str">
        <f t="shared" ref="BN20" si="4">IF($CB20="OK",$CR20,"")</f>
        <v/>
      </c>
      <c r="BO20" s="940"/>
      <c r="BP20" s="941"/>
      <c r="BS20" s="967"/>
      <c r="BT20" s="967"/>
      <c r="BV20" s="926" t="str">
        <f t="shared" ref="BV20" si="5">IFERROR(ROUND(IF(AND(CB20="OK",CU20="OK"),CT20,""),0),"")</f>
        <v/>
      </c>
      <c r="BW20" s="926" t="str">
        <f t="shared" ref="BW20" si="6">IFERROR(ROUND(IF(AND(CB20="OK",CU20="OK"),BV20/3,""),0),"")</f>
        <v/>
      </c>
      <c r="BX20" s="926"/>
      <c r="BY20" s="927"/>
      <c r="BZ20" s="928"/>
      <c r="CB20" s="986" t="str">
        <f>IF(AND(C20="",F20="",R20="",AD20="",U20="",X20="",L20="",AJ20="",AV20="",AM20="",AP20="",AY20="",AV21="",BB20="",BD20="",AA20="",AS20=""),"",
IF(OR(C20="",F20="",R20="",AD20="",U20="",X20="",L20="",AJ20="",AV20="",AM20="",AP20="",AY20="",AV21="",BB20="",BD20="",AA20="",AS20=""),"Missing Fields",
IF(AND(M02S04F04disp="Required",M02S04F04=""),"TA Info Incomplete",
"OK")))</f>
        <v/>
      </c>
      <c r="CC20" s="925" t="str">
        <f>IF(AND(CB20="OK",CU20="OK"),INDEX(Tbl_Cust_Res[Measure Number], MATCH(F20,Tbl_Cust_Res[Proj Desc 1],0)),"")</f>
        <v/>
      </c>
      <c r="CD20" s="925"/>
      <c r="CE20" s="925" t="str">
        <f t="shared" ref="CE20" si="7">IF(CB20="OK","Measure","")</f>
        <v/>
      </c>
      <c r="CF20" s="925" t="str">
        <f t="shared" ref="CF20" si="8">IF(CB20="OK",1,"")</f>
        <v/>
      </c>
      <c r="CG20" s="978" t="str">
        <f t="shared" ref="CG20" si="9">IFERROR(CI20/CF20,"")</f>
        <v/>
      </c>
      <c r="CH20" s="978" t="str">
        <f>IF(CB20="OK",IF(CM20&gt;0,CM20*Incent_Rate_kWh,0)+IF(CO20&gt;0,CO20*Incent_Rate_thm,0),"")</f>
        <v/>
      </c>
      <c r="CI20" s="978" t="str">
        <f>IFERROR(IF($CB20="OK",IF(INCENTTOCOST_CUST&gt;CostCap_Cust,
CH20*CostCap_Cust/INCENTTOCOST_CUST,CH20),""),"")</f>
        <v/>
      </c>
      <c r="CJ20" s="977">
        <f t="shared" ref="CJ20" si="10">CM20</f>
        <v>0</v>
      </c>
      <c r="CK20" s="977">
        <f t="shared" ref="CK20" si="11">CN20</f>
        <v>0</v>
      </c>
      <c r="CL20" s="977">
        <f t="shared" ref="CL20" si="12">CO20</f>
        <v>0</v>
      </c>
      <c r="CM20" s="977">
        <f>R20-AJ20</f>
        <v>0</v>
      </c>
      <c r="CN20" s="977">
        <f>U20-AM20</f>
        <v>0</v>
      </c>
      <c r="CO20" s="977">
        <f t="shared" ref="CO20" si="13">IF(CR20&gt;0,CR20,0)</f>
        <v>0</v>
      </c>
      <c r="CP20" s="977">
        <f t="shared" ref="CP20" si="14">CM20</f>
        <v>0</v>
      </c>
      <c r="CQ20" s="977">
        <f t="shared" ref="CQ20" si="15">CN20</f>
        <v>0</v>
      </c>
      <c r="CR20" s="977">
        <f>X20-AP20</f>
        <v>0</v>
      </c>
      <c r="CS20" s="983"/>
      <c r="CT20" s="1056" t="str">
        <f>IF(CB20="OK",INDEX(Tbl_Cust_Res[EUL], MATCH(F20,Tbl_Cust_Res[Proj Desc 1],0)),"")</f>
        <v/>
      </c>
      <c r="CU20" s="979" t="str">
        <f t="shared" ref="CU20" si="16">IFERROR(IF(AND($CM20&lt;=0,$CN20&lt;=0,$CO20&lt;=0),"No Savings","OK"),"")</f>
        <v>No Savings</v>
      </c>
      <c r="CV20" s="925" t="str">
        <f t="shared" ref="CV20" si="17">IF(AND(CB20="OK",CU20="OK"),"1","")</f>
        <v/>
      </c>
      <c r="CW20" s="925" t="str">
        <f>IFERROR(IF($CB20="OK",ROUND($AQ$14*SUM(BB20:BE21)/SUM($BF$18:$BG$37),2),""),"")</f>
        <v/>
      </c>
      <c r="CX20" s="925" t="str">
        <f>IFERROR(IF(M02S04F04="Customer/Self-Installed",CW20,IF($CB20="OK",CW20+BD20,"")),"")</f>
        <v/>
      </c>
      <c r="CY20" s="925" t="str">
        <f>IFERROR(IF($CB20="OK",CX20+BB20,""),"")</f>
        <v/>
      </c>
      <c r="CZ20" s="925" t="str">
        <f>IF(CB20="OK",INDEX(MEASURES3_M!$O$50, MATCH(F20,MEASURES3_M!$C$50,0)),"")</f>
        <v/>
      </c>
      <c r="DA20" s="925" t="str">
        <f>IF(CB20="OK",INDEX(MEASURES3_M!$P$50, MATCH(F20,MEASURES3_M!$C$50,0)),"")</f>
        <v/>
      </c>
      <c r="DD20" s="980" t="str">
        <f>IFERROR(IF(CB20&lt;&gt;"OK","",CM20*VLOOKUP('DATA TABLES_Project'!$C$247,'DATA TABLES_Project'!$A$250:$B$285,2,FALSE)),"")</f>
        <v/>
      </c>
      <c r="DE20" s="925" t="str">
        <f t="shared" ref="DE20" si="18">IFERROR(IF(CB20&lt;&gt;"OK","",CM20*CZ20*0.92),"")</f>
        <v/>
      </c>
      <c r="DF20" s="980" t="str">
        <f>IFERROR(IF(CB20&lt;&gt;"OK","",CM20*CZ20*0.92*VLOOKUP('DATA TABLES_Project'!$C$247,'DATA TABLES_Project'!$A$250:$B$285,2,FALSE)),"")</f>
        <v/>
      </c>
      <c r="DG20" s="925" t="str">
        <f t="shared" ref="DG20" si="19">IFERROR(IF(CB20&lt;&gt;"OK","",CM20*BV20),IF(BX20="Dual",(CM20*BW20)+((BY20-AJ20)*(BV20-BW20)),""))</f>
        <v/>
      </c>
      <c r="DH20" s="925" t="str">
        <f ca="1">IFERROR(IF(CB20&lt;&gt;"OK","",IF(OR(BX20="Single",BX20=""), CM20*BV20*AVERAGE(INDEX('DATA TABLES_Project'!$B$250:$B$285, MATCH('DATA TABLES_Project'!$C$247,'DATA TABLES_Project'!$A$250:$A$285, 0)):OFFSET(INDEX('DATA TABLES_Project'!$B$250:$B$285, MATCH('DATA TABLES_Project'!$C$247,'DATA TABLES_Project'!$A$250:$A$285, 0)),BV20-1,0)),CM20*BW20*AVERAGE(INDEX('DATA TABLES_Project'!$B$250:$B$285, MATCH('DATA TABLES_Project'!$C$247,'DATA TABLES_Project'!$A$250:$A$285, 0)):OFFSET(INDEX('DATA TABLES_Project'!$B$250:$B$285, MATCH('DATA TABLES_Project'!$C$247,'DATA TABLES_Project'!$A$250:$A$285, 0)),BW20-1,0)) + ((BY20-AJ20)*(BV20-BW20)*AVERAGE(OFFSET(INDEX('DATA TABLES_Project'!$B$250:$B$285, MATCH('DATA TABLES_Project'!$C$247,'DATA TABLES_Project'!$A$250:$A$285, 0)),BW20,0):OFFSET(INDEX('DATA TABLES_Project'!$B$250:$B$285, MATCH('DATA TABLES_Project'!$C$247,'DATA TABLES_Project'!$A$250:$A$285, 0)),BV20-1,0))))), "")</f>
        <v/>
      </c>
      <c r="DI20" s="925" t="str">
        <f t="shared" ref="DI20" si="20">IFERROR(IF(CB20&lt;&gt;"OK","",IF(BX20="Dual",(CM20*BW20)+((BY20-AJ20)*(BV20-BW20))*CZ20*0.92,CM20*CZ20*BV20*0.92)),"")</f>
        <v/>
      </c>
      <c r="DJ20" s="925" t="str">
        <f ca="1">IFERROR(IF(CB20&lt;&gt;"OK","",IF(OR(BX20="Single",BX20=""),0.92*CZ20*CM20*BV20*AVERAGE(INDEX('DATA TABLES_Project'!$B$250:$B$285, MATCH('DATA TABLES_Project'!$C$247,'DATA TABLES_Project'!$A$250:$A$285, 0)):OFFSET(INDEX('DATA TABLES_Project'!$B$250:$B$285, MATCH('DATA TABLES_Project'!$C$247,'DATA TABLES_Project'!$A$250:$A$285, 0)),BV20-1,0)),0.92*CZ20*CM20*BW20*AVERAGE(INDEX('DATA TABLES_Project'!$B$250:$B$285, MATCH('DATA TABLES_Project'!$C$247,'DATA TABLES_Project'!$A$250:$A$285, 0)):OFFSET(INDEX('DATA TABLES_Project'!$B$250:$B$285, MATCH('DATA TABLES_Project'!$C$247,'DATA TABLES_Project'!$A$250:$A$285, 0)),BW20-1,0)) + (0.92*CZ20*(BY20-AJ20)*(BV20-BW20)*AVERAGE(OFFSET(INDEX('DATA TABLES_Project'!$B$250:$B$285, MATCH('DATA TABLES_Project'!$C$247,'DATA TABLES_Project'!$A$250:$A$285, 0)),BW20,0):OFFSET(INDEX('DATA TABLES_Project'!$B$250:$B$285, MATCH('DATA TABLES_Project'!$C$247,'DATA TABLES_Project'!$A$250:$A$285, 0)),BV20-1,0))))), "")</f>
        <v/>
      </c>
      <c r="DK20" s="925" t="str">
        <f>IFERROR(IF(CB20&lt;&gt;"OK","",CO20*'DATA TABLES_Project'!$C$250),"")</f>
        <v/>
      </c>
      <c r="DL20" s="925" t="str">
        <f t="shared" ref="DL20" si="21">IFERROR(IF(CB20&lt;&gt;"OK","",CO20*DA20*0.92),"")</f>
        <v/>
      </c>
      <c r="DM20" s="925" t="str">
        <f>IFERROR(IF(CB20&lt;&gt;"OK","",CO20*'DATA TABLES_Project'!$C$250*DA20*0.92),"")</f>
        <v/>
      </c>
      <c r="DN20" s="925" t="str">
        <f t="shared" ref="DN20" si="22">IFERROR(IF(CB20&lt;&gt;"OK","",CO20*BV20),IF(BX20="Dual",(CO20*BW20)+((BZ20-AP20)*(BV20-BW20)),""))</f>
        <v/>
      </c>
      <c r="DO20" s="925" t="str">
        <f ca="1">IFERROR(IF(CB20&lt;&gt;"OK","",CO20*BV20*AVERAGE('DATA TABLES_Project'!$C$250:OFFSET('DATA TABLES_Project'!$C$250,BV20,0))),IF(BX20="Dual",(CO20*BW20*AVERAGE('DATA TABLES_Project'!$C$251:$C$259))+((BZ20-AP20)*(BV20-BW20)*AVERAGE('DATA TABLES_Project'!$C$260:$C$279)),""))</f>
        <v/>
      </c>
      <c r="DP20" s="925" t="str">
        <f t="shared" ref="DP20" si="23">IFERROR(IF(CB20&lt;&gt;"OK","",IF(BX20="Dual",((CO20*BW20)+(BZ20-AP20)*(BV20-BW20))*DA20*0.92,CO20*BV20*DA20*0.92)),"")</f>
        <v/>
      </c>
      <c r="DQ20" s="925" t="str">
        <f ca="1">IFERROR(IF(CB20&lt;&gt;"OK","",IF(BX20="Dual",(0.92*DA20*CO20*BW20*AVERAGE('DATA TABLES_Project'!$C$251:$C$259))+(0.92*DA20*(BZ20-AP20)*(BV20-BW20)*AVERAGE('DATA TABLES_Project'!$C$260:$C$279)),0.92*DA20*CO20*BV20*AVERAGE('DATA TABLES_Project'!$C$250:OFFSET('DATA TABLES_Project'!$C$250,BV20,0)))),"")</f>
        <v/>
      </c>
      <c r="DR20" s="980" t="str">
        <f>IFERROR(IF($CB20&lt;&gt;"OK","",CM20*'DATA TABLES_Project'!$B$290+IF(CO20&lt;0,0,CO20*'DATA TABLES_Project'!$B$291)),"")</f>
        <v/>
      </c>
      <c r="DS20" s="980" t="str">
        <f>IFERROR(IF($CB20&lt;&gt;"OK","",DD20*'DATA TABLES_Project'!$B$290+IF(DK20&lt;0,0,DK20*'DATA TABLES_Project'!$B$291)),"")</f>
        <v/>
      </c>
      <c r="DT20" s="980" t="str">
        <f>IFERROR(IF($CB20&lt;&gt;"OK","",DE20*'DATA TABLES_Project'!$B$290+IF(DL20&lt;0,0,DL20*'DATA TABLES_Project'!$B$291)),"")</f>
        <v/>
      </c>
      <c r="DU20" s="980" t="str">
        <f>IFERROR(IF($CB20&lt;&gt;"OK","",DF20*'DATA TABLES_Project'!$B$290+IF(DM20&lt;0,0,DM20*'DATA TABLES_Project'!$B$291)),"")</f>
        <v/>
      </c>
      <c r="DV20" s="980" t="str">
        <f>IFERROR(IF($CB20&lt;&gt;"OK","",DG20*'DATA TABLES_Project'!$B$290+IF(DN20&lt;0,0,DN20*'DATA TABLES_Project'!$B$291)),"")</f>
        <v/>
      </c>
      <c r="DW20" s="980" t="str">
        <f>IFERROR(IF($CB20&lt;&gt;"OK","",DH20*'DATA TABLES_Project'!$B$290+IF(DO20&lt;0,0,DO20*'DATA TABLES_Project'!$B$291)),"")</f>
        <v/>
      </c>
      <c r="DX20" s="980" t="str">
        <f>IFERROR(IF($CB20&lt;&gt;"OK","",DI20*'DATA TABLES_Project'!$B$290+IF(DP20&lt;0,0,DP20*'DATA TABLES_Project'!$B$291)),"")</f>
        <v/>
      </c>
      <c r="DY20" s="925" t="str">
        <f>IFERROR(IF($CB20&lt;&gt;"OK","",DJ20*'DATA TABLES_Project'!$B$290+IF(DQ20&lt;0,0,DQ20*'DATA TABLES_Project'!$B$291)),"")</f>
        <v/>
      </c>
      <c r="DZ20" s="925" t="str">
        <f t="shared" ref="DZ20" si="24">IFERROR(IF($CB20&lt;&gt;"OK","",AS20),"")</f>
        <v/>
      </c>
      <c r="EA20" s="925" t="str">
        <f>IFERROR(IF(CB20&lt;&gt;"OK","",CN20*'DATA TABLES_Project'!$B$250*CZ20*1.03),"")</f>
        <v/>
      </c>
      <c r="EB20" s="925" t="str">
        <f t="shared" ref="EB20" si="25">IFERROR(IF(CB20&lt;&gt;"OK","",CN20*CZ20*1.03),"")</f>
        <v/>
      </c>
      <c r="EC20" s="925" t="str">
        <f>IFERROR(IF(CB20&lt;&gt;"OK","",CZ20*DZ20*'DATA TABLES_Project'!$C$250*0.92),"")</f>
        <v/>
      </c>
      <c r="ED20" s="925" t="str">
        <f>IFERROR(IF(CB20&lt;&gt;"OK","",CZ20*DZ20*'DATA TABLES_Project'!$C$250*0.92),"")</f>
        <v/>
      </c>
      <c r="EE20" s="925" t="str">
        <f t="shared" ref="EE20" si="26">IFERROR(IF(CB20&lt;&gt;"OK","",CZ20*DZ20*0.92),"")</f>
        <v/>
      </c>
      <c r="EF20" s="925" t="str">
        <f t="shared" ref="EF20" si="27">IFERROR(IF(CB20&lt;&gt;"OK","",CZ20*DZ20*0.92),"")</f>
        <v/>
      </c>
      <c r="EG20" s="925" t="str">
        <f>IFERROR(IF($CB20&lt;&gt;"OK","",CM20*'DATA TABLES_Project'!$B$290+CO20*'DATA TABLES_Project'!$B$291),"")</f>
        <v/>
      </c>
      <c r="EH20" s="925" t="str">
        <f>IFERROR(IF($CB20&lt;&gt;"OK","",DD20*'DATA TABLES_Project'!$B$290+DK20*'DATA TABLES_Project'!$B$291),"")</f>
        <v/>
      </c>
      <c r="EI20" s="925" t="str">
        <f>IFERROR(IF($CB20&lt;&gt;"OK","",DE20*'DATA TABLES_Project'!$B$290+DL20*'DATA TABLES_Project'!$B$291),"")</f>
        <v/>
      </c>
      <c r="EJ20" s="925" t="str">
        <f>IFERROR(IF($CB20&lt;&gt;"OK","",DF20*'DATA TABLES_Project'!$B$290+DM20*'DATA TABLES_Project'!$B$291),"")</f>
        <v/>
      </c>
      <c r="EK20" s="925" t="str">
        <f>IFERROR(IF($CB20&lt;&gt;"OK","",DG20*'DATA TABLES_Project'!$B$290+DN20*'DATA TABLES_Project'!$B$291),"")</f>
        <v/>
      </c>
      <c r="EL20" s="925" t="str">
        <f>IFERROR(IF($CB20&lt;&gt;"OK","",DH20*'DATA TABLES_Project'!$B$290+DO20*'DATA TABLES_Project'!$B$291),"")</f>
        <v/>
      </c>
      <c r="EM20" s="925" t="str">
        <f>IFERROR(IF($CB20&lt;&gt;"OK","",DI20*'DATA TABLES_Project'!$B$290+DP20*'DATA TABLES_Project'!$B$291),"")</f>
        <v/>
      </c>
      <c r="EN20" s="925" t="str">
        <f>IFERROR(IF($CB20&lt;&gt;"OK","",DJ20*'DATA TABLES_Project'!$B$290+DQ20*'DATA TABLES_Project'!$B$291),"")</f>
        <v/>
      </c>
    </row>
    <row r="21" spans="1:144" customFormat="1" ht="16.350000000000001" customHeight="1">
      <c r="A21" s="462"/>
      <c r="B21" s="994"/>
      <c r="C21" s="998"/>
      <c r="D21" s="999"/>
      <c r="E21" s="1000"/>
      <c r="F21" s="964"/>
      <c r="G21" s="965"/>
      <c r="H21" s="965"/>
      <c r="I21" s="965"/>
      <c r="J21" s="965"/>
      <c r="K21" s="966"/>
      <c r="L21" s="964"/>
      <c r="M21" s="965"/>
      <c r="N21" s="965"/>
      <c r="O21" s="965"/>
      <c r="P21" s="965"/>
      <c r="Q21" s="966"/>
      <c r="R21" s="1044"/>
      <c r="S21" s="1044"/>
      <c r="T21" s="1044"/>
      <c r="U21" s="1044"/>
      <c r="V21" s="1044"/>
      <c r="W21" s="1044"/>
      <c r="X21" s="1045"/>
      <c r="Y21" s="1045"/>
      <c r="Z21" s="1045"/>
      <c r="AA21" s="1045"/>
      <c r="AB21" s="1045"/>
      <c r="AC21" s="1045"/>
      <c r="AD21" s="964"/>
      <c r="AE21" s="965"/>
      <c r="AF21" s="965"/>
      <c r="AG21" s="965"/>
      <c r="AH21" s="965"/>
      <c r="AI21" s="966"/>
      <c r="AJ21" s="952"/>
      <c r="AK21" s="953"/>
      <c r="AL21" s="954"/>
      <c r="AM21" s="952"/>
      <c r="AN21" s="953"/>
      <c r="AO21" s="954"/>
      <c r="AP21" s="958"/>
      <c r="AQ21" s="959"/>
      <c r="AR21" s="960"/>
      <c r="AS21" s="958"/>
      <c r="AT21" s="959"/>
      <c r="AU21" s="960"/>
      <c r="AV21" s="968"/>
      <c r="AW21" s="969"/>
      <c r="AX21" s="969"/>
      <c r="AY21" s="969"/>
      <c r="AZ21" s="969"/>
      <c r="BA21" s="970"/>
      <c r="BB21" s="947"/>
      <c r="BC21" s="948"/>
      <c r="BD21" s="947"/>
      <c r="BE21" s="948"/>
      <c r="BF21" s="931"/>
      <c r="BG21" s="932"/>
      <c r="BH21" s="974"/>
      <c r="BI21" s="975"/>
      <c r="BJ21" s="976"/>
      <c r="BK21" s="936"/>
      <c r="BL21" s="937"/>
      <c r="BM21" s="938"/>
      <c r="BN21" s="942"/>
      <c r="BO21" s="943"/>
      <c r="BP21" s="944"/>
      <c r="BS21" s="967"/>
      <c r="BT21" s="967"/>
      <c r="BV21" s="926"/>
      <c r="BW21" s="926"/>
      <c r="BX21" s="926"/>
      <c r="BY21" s="927"/>
      <c r="BZ21" s="928"/>
      <c r="CB21" s="986"/>
      <c r="CC21" s="925"/>
      <c r="CD21" s="925"/>
      <c r="CE21" s="925"/>
      <c r="CF21" s="925"/>
      <c r="CG21" s="925"/>
      <c r="CH21" s="925"/>
      <c r="CI21" s="925"/>
      <c r="CJ21" s="977"/>
      <c r="CK21" s="977"/>
      <c r="CL21" s="977"/>
      <c r="CM21" s="977"/>
      <c r="CN21" s="977"/>
      <c r="CO21" s="977"/>
      <c r="CP21" s="977"/>
      <c r="CQ21" s="977"/>
      <c r="CR21" s="977"/>
      <c r="CS21" s="983"/>
      <c r="CT21" s="1056"/>
      <c r="CU21" s="979"/>
      <c r="CV21" s="925"/>
      <c r="CW21" s="925"/>
      <c r="CX21" s="925"/>
      <c r="CY21" s="925"/>
      <c r="CZ21" s="925"/>
      <c r="DA21" s="925"/>
      <c r="DD21" s="981"/>
      <c r="DE21" s="925"/>
      <c r="DF21" s="981"/>
      <c r="DG21" s="925"/>
      <c r="DH21" s="925"/>
      <c r="DI21" s="925"/>
      <c r="DJ21" s="925"/>
      <c r="DK21" s="925"/>
      <c r="DL21" s="925"/>
      <c r="DM21" s="925"/>
      <c r="DN21" s="925"/>
      <c r="DO21" s="925"/>
      <c r="DP21" s="925"/>
      <c r="DQ21" s="925"/>
      <c r="DR21" s="981"/>
      <c r="DS21" s="981"/>
      <c r="DT21" s="981"/>
      <c r="DU21" s="981"/>
      <c r="DV21" s="981"/>
      <c r="DW21" s="981"/>
      <c r="DX21" s="981"/>
      <c r="DY21" s="925"/>
      <c r="DZ21" s="925"/>
      <c r="EA21" s="925"/>
      <c r="EB21" s="925"/>
      <c r="EC21" s="925"/>
      <c r="ED21" s="925"/>
      <c r="EE21" s="925"/>
      <c r="EF21" s="925"/>
      <c r="EG21" s="925"/>
      <c r="EH21" s="925"/>
      <c r="EI21" s="925"/>
      <c r="EJ21" s="925"/>
      <c r="EK21" s="925"/>
      <c r="EL21" s="925"/>
      <c r="EM21" s="925"/>
      <c r="EN21" s="925"/>
    </row>
    <row r="22" spans="1:144" customFormat="1" ht="16.350000000000001" customHeight="1">
      <c r="A22" s="462"/>
      <c r="B22" s="994">
        <v>3</v>
      </c>
      <c r="C22" s="995"/>
      <c r="D22" s="996"/>
      <c r="E22" s="997"/>
      <c r="F22" s="961"/>
      <c r="G22" s="962"/>
      <c r="H22" s="962"/>
      <c r="I22" s="962"/>
      <c r="J22" s="962"/>
      <c r="K22" s="963"/>
      <c r="L22" s="961"/>
      <c r="M22" s="962"/>
      <c r="N22" s="962"/>
      <c r="O22" s="962"/>
      <c r="P22" s="962"/>
      <c r="Q22" s="963"/>
      <c r="R22" s="1044"/>
      <c r="S22" s="1044"/>
      <c r="T22" s="1044"/>
      <c r="U22" s="1044"/>
      <c r="V22" s="1044"/>
      <c r="W22" s="1044"/>
      <c r="X22" s="1045"/>
      <c r="Y22" s="1045"/>
      <c r="Z22" s="1045"/>
      <c r="AA22" s="1045"/>
      <c r="AB22" s="1045"/>
      <c r="AC22" s="1045"/>
      <c r="AD22" s="961"/>
      <c r="AE22" s="962"/>
      <c r="AF22" s="962"/>
      <c r="AG22" s="962"/>
      <c r="AH22" s="962"/>
      <c r="AI22" s="963"/>
      <c r="AJ22" s="949"/>
      <c r="AK22" s="950"/>
      <c r="AL22" s="951"/>
      <c r="AM22" s="949"/>
      <c r="AN22" s="950"/>
      <c r="AO22" s="951"/>
      <c r="AP22" s="955"/>
      <c r="AQ22" s="956"/>
      <c r="AR22" s="957"/>
      <c r="AS22" s="955"/>
      <c r="AT22" s="956"/>
      <c r="AU22" s="957"/>
      <c r="AV22" s="968"/>
      <c r="AW22" s="969"/>
      <c r="AX22" s="970"/>
      <c r="AY22" s="968"/>
      <c r="AZ22" s="969"/>
      <c r="BA22" s="970"/>
      <c r="BB22" s="945"/>
      <c r="BC22" s="946"/>
      <c r="BD22" s="945"/>
      <c r="BE22" s="946"/>
      <c r="BF22" s="929" t="str">
        <f t="shared" ref="BF22" si="28">IF(CB22="OK",ROUND(BB22+BD22,2),"")</f>
        <v/>
      </c>
      <c r="BG22" s="930"/>
      <c r="BH22" s="971" t="str">
        <f t="shared" ref="BH22" si="29">IFERROR(IF(AND($CB22="OK",$CU22="OK"),$CI22,IF($CB22&lt;&gt;"OK",$CB22,$CU22)),"")</f>
        <v/>
      </c>
      <c r="BI22" s="972"/>
      <c r="BJ22" s="973"/>
      <c r="BK22" s="933" t="str">
        <f t="shared" ref="BK22" si="30">IF($CB22="OK",CM22,"")</f>
        <v/>
      </c>
      <c r="BL22" s="934"/>
      <c r="BM22" s="935"/>
      <c r="BN22" s="939" t="str">
        <f t="shared" ref="BN22" si="31">IF($CB22="OK",$CR22,"")</f>
        <v/>
      </c>
      <c r="BO22" s="940"/>
      <c r="BP22" s="941"/>
      <c r="BS22" s="967"/>
      <c r="BT22" s="967"/>
      <c r="BV22" s="926" t="str">
        <f t="shared" ref="BV22" si="32">IFERROR(ROUND(IF(AND(CB22="OK",CU22="OK"),CT22,""),0),"")</f>
        <v/>
      </c>
      <c r="BW22" s="926" t="str">
        <f t="shared" ref="BW22" si="33">IFERROR(ROUND(IF(AND(CB22="OK",CU22="OK"),BV22/3,""),0),"")</f>
        <v/>
      </c>
      <c r="BX22" s="926"/>
      <c r="BY22" s="927"/>
      <c r="BZ22" s="928"/>
      <c r="CB22" s="986" t="str">
        <f>IF(AND(C22="",F22="",R22="",AD22="",U22="",X22="",L22="",AJ22="",AV22="",AM22="",AP22="",AY22="",AV23="",BB22="",BD22="",AA22="",AS22=""),"",
IF(OR(C22="",F22="",R22="",AD22="",U22="",X22="",L22="",AJ22="",AV22="",AM22="",AP22="",AY22="",AV23="",BB22="",BD22="",AA22="",AS22=""),"Missing Fields",
IF(AND(M02S04F04disp="Required",M02S04F04=""),"TA Info Incomplete",
"OK")))</f>
        <v/>
      </c>
      <c r="CC22" s="925" t="str">
        <f>IF(AND(CB22="OK",CU22="OK"),INDEX(Tbl_Cust_Res[Measure Number], MATCH(F22,Tbl_Cust_Res[Proj Desc 1],0)),"")</f>
        <v/>
      </c>
      <c r="CD22" s="925"/>
      <c r="CE22" s="925" t="str">
        <f t="shared" ref="CE22" si="34">IF(CB22="OK","Measure","")</f>
        <v/>
      </c>
      <c r="CF22" s="925" t="str">
        <f t="shared" ref="CF22" si="35">IF(CB22="OK",1,"")</f>
        <v/>
      </c>
      <c r="CG22" s="978" t="str">
        <f t="shared" ref="CG22" si="36">IFERROR(CI22/CF22,"")</f>
        <v/>
      </c>
      <c r="CH22" s="978" t="str">
        <f>IF(CB22="OK",IF(CM22&gt;0,CM22*Incent_Rate_kWh,0)+IF(CO22&gt;0,CO22*Incent_Rate_thm,0),"")</f>
        <v/>
      </c>
      <c r="CI22" s="978" t="str">
        <f>IFERROR(IF($CB22="OK",IF(INCENTTOCOST_CUST&gt;CostCap_Cust,
CH22*CostCap_Cust/INCENTTOCOST_CUST,CH22),""),"")</f>
        <v/>
      </c>
      <c r="CJ22" s="977">
        <f t="shared" ref="CJ22" si="37">CM22</f>
        <v>0</v>
      </c>
      <c r="CK22" s="977">
        <f t="shared" ref="CK22" si="38">CN22</f>
        <v>0</v>
      </c>
      <c r="CL22" s="977">
        <f t="shared" ref="CL22" si="39">CO22</f>
        <v>0</v>
      </c>
      <c r="CM22" s="977">
        <f>R22-AJ22</f>
        <v>0</v>
      </c>
      <c r="CN22" s="977">
        <f>U22-AM22</f>
        <v>0</v>
      </c>
      <c r="CO22" s="977">
        <f t="shared" ref="CO22" si="40">IF(CR22&gt;0,CR22,0)</f>
        <v>0</v>
      </c>
      <c r="CP22" s="977">
        <f t="shared" ref="CP22" si="41">CM22</f>
        <v>0</v>
      </c>
      <c r="CQ22" s="977">
        <f t="shared" ref="CQ22" si="42">CN22</f>
        <v>0</v>
      </c>
      <c r="CR22" s="977">
        <f>X22-AP22</f>
        <v>0</v>
      </c>
      <c r="CS22" s="983"/>
      <c r="CT22" s="1056" t="str">
        <f>IF(CB22="OK",INDEX(Tbl_Cust_Res[EUL], MATCH(F22,Tbl_Cust_Res[Proj Desc 1],0)),"")</f>
        <v/>
      </c>
      <c r="CU22" s="979" t="str">
        <f t="shared" ref="CU22" si="43">IFERROR(IF(AND($CM22&lt;=0,$CN22&lt;=0,$CO22&lt;=0),"No Savings","OK"),"")</f>
        <v>No Savings</v>
      </c>
      <c r="CV22" s="925" t="str">
        <f t="shared" ref="CV22" si="44">IF(AND(CB22="OK",CU22="OK"),"1","")</f>
        <v/>
      </c>
      <c r="CW22" s="925" t="str">
        <f>IFERROR(IF($CB22="OK",ROUND($AQ$14*SUM(BB22:BE23)/SUM($BF$18:$BG$37),2),""),"")</f>
        <v/>
      </c>
      <c r="CX22" s="925" t="str">
        <f>IFERROR(IF(M02S04F04="Customer/Self-Installed",CW22,IF($CB22="OK",CW22+BD22,"")),"")</f>
        <v/>
      </c>
      <c r="CY22" s="925" t="str">
        <f>IFERROR(IF($CB22="OK",CX22+BB22,""),"")</f>
        <v/>
      </c>
      <c r="CZ22" s="925" t="str">
        <f>IF(CB22="OK",INDEX(MEASURES3_M!$O$50, MATCH(F22,MEASURES3_M!$C$50,0)),"")</f>
        <v/>
      </c>
      <c r="DA22" s="925" t="str">
        <f>IF(CB22="OK",INDEX(MEASURES3_M!$P$50, MATCH(F22,MEASURES3_M!$C$50,0)),"")</f>
        <v/>
      </c>
      <c r="DD22" s="980" t="str">
        <f>IFERROR(IF(CB22&lt;&gt;"OK","",CM22*VLOOKUP('DATA TABLES_Project'!$C$247,'DATA TABLES_Project'!$A$250:$B$285,2,FALSE)),"")</f>
        <v/>
      </c>
      <c r="DE22" s="925" t="str">
        <f t="shared" ref="DE22" si="45">IFERROR(IF(CB22&lt;&gt;"OK","",CM22*CZ22*0.92),"")</f>
        <v/>
      </c>
      <c r="DF22" s="980" t="str">
        <f>IFERROR(IF(CB22&lt;&gt;"OK","",CM22*CZ22*0.92*VLOOKUP('DATA TABLES_Project'!$C$247,'DATA TABLES_Project'!$A$250:$B$285,2,FALSE)),"")</f>
        <v/>
      </c>
      <c r="DG22" s="925" t="str">
        <f t="shared" ref="DG22" si="46">IFERROR(IF(CB22&lt;&gt;"OK","",CM22*BV22),IF(BX22="Dual",(CM22*BW22)+((BY22-AJ22)*(BV22-BW22)),""))</f>
        <v/>
      </c>
      <c r="DH22" s="925" t="str">
        <f ca="1">IFERROR(IF(CB22&lt;&gt;"OK","",IF(OR(BX22="Single",BX22=""), CM22*BV22*AVERAGE(INDEX('DATA TABLES_Project'!$B$250:$B$285, MATCH('DATA TABLES_Project'!$C$247,'DATA TABLES_Project'!$A$250:$A$285, 0)):OFFSET(INDEX('DATA TABLES_Project'!$B$250:$B$285, MATCH('DATA TABLES_Project'!$C$247,'DATA TABLES_Project'!$A$250:$A$285, 0)),BV22-1,0)),CM22*BW22*AVERAGE(INDEX('DATA TABLES_Project'!$B$250:$B$285, MATCH('DATA TABLES_Project'!$C$247,'DATA TABLES_Project'!$A$250:$A$285, 0)):OFFSET(INDEX('DATA TABLES_Project'!$B$250:$B$285, MATCH('DATA TABLES_Project'!$C$247,'DATA TABLES_Project'!$A$250:$A$285, 0)),BW22-1,0)) + ((BY22-AJ22)*(BV22-BW22)*AVERAGE(OFFSET(INDEX('DATA TABLES_Project'!$B$250:$B$285, MATCH('DATA TABLES_Project'!$C$247,'DATA TABLES_Project'!$A$250:$A$285, 0)),BW22,0):OFFSET(INDEX('DATA TABLES_Project'!$B$250:$B$285, MATCH('DATA TABLES_Project'!$C$247,'DATA TABLES_Project'!$A$250:$A$285, 0)),BV22-1,0))))), "")</f>
        <v/>
      </c>
      <c r="DI22" s="925" t="str">
        <f t="shared" ref="DI22" si="47">IFERROR(IF(CB22&lt;&gt;"OK","",IF(BX22="Dual",(CM22*BW22)+((BY22-AJ22)*(BV22-BW22))*CZ22*0.92,CM22*CZ22*BV22*0.92)),"")</f>
        <v/>
      </c>
      <c r="DJ22" s="925" t="str">
        <f ca="1">IFERROR(IF(CB22&lt;&gt;"OK","",IF(OR(BX22="Single",BX22=""),0.92*CZ22*CM22*BV22*AVERAGE(INDEX('DATA TABLES_Project'!$B$250:$B$285, MATCH('DATA TABLES_Project'!$C$247,'DATA TABLES_Project'!$A$250:$A$285, 0)):OFFSET(INDEX('DATA TABLES_Project'!$B$250:$B$285, MATCH('DATA TABLES_Project'!$C$247,'DATA TABLES_Project'!$A$250:$A$285, 0)),BV22-1,0)),0.92*CZ22*CM22*BW22*AVERAGE(INDEX('DATA TABLES_Project'!$B$250:$B$285, MATCH('DATA TABLES_Project'!$C$247,'DATA TABLES_Project'!$A$250:$A$285, 0)):OFFSET(INDEX('DATA TABLES_Project'!$B$250:$B$285, MATCH('DATA TABLES_Project'!$C$247,'DATA TABLES_Project'!$A$250:$A$285, 0)),BW22-1,0)) + (0.92*CZ22*(BY22-AJ22)*(BV22-BW22)*AVERAGE(OFFSET(INDEX('DATA TABLES_Project'!$B$250:$B$285, MATCH('DATA TABLES_Project'!$C$247,'DATA TABLES_Project'!$A$250:$A$285, 0)),BW22,0):OFFSET(INDEX('DATA TABLES_Project'!$B$250:$B$285, MATCH('DATA TABLES_Project'!$C$247,'DATA TABLES_Project'!$A$250:$A$285, 0)),BV22-1,0))))), "")</f>
        <v/>
      </c>
      <c r="DK22" s="925" t="str">
        <f>IFERROR(IF(CB22&lt;&gt;"OK","",CO22*'DATA TABLES_Project'!$C$250),"")</f>
        <v/>
      </c>
      <c r="DL22" s="925" t="str">
        <f t="shared" ref="DL22" si="48">IFERROR(IF(CB22&lt;&gt;"OK","",CO22*DA22*0.92),"")</f>
        <v/>
      </c>
      <c r="DM22" s="925" t="str">
        <f>IFERROR(IF(CB22&lt;&gt;"OK","",CO22*'DATA TABLES_Project'!$C$250*DA22*0.92),"")</f>
        <v/>
      </c>
      <c r="DN22" s="925" t="str">
        <f t="shared" ref="DN22" si="49">IFERROR(IF(CB22&lt;&gt;"OK","",CO22*BV22),IF(BX22="Dual",(CO22*BW22)+((BZ22-AP22)*(BV22-BW22)),""))</f>
        <v/>
      </c>
      <c r="DO22" s="925" t="str">
        <f ca="1">IFERROR(IF(CB22&lt;&gt;"OK","",CO22*BV22*AVERAGE('DATA TABLES_Project'!$C$250:OFFSET('DATA TABLES_Project'!$C$250,BV22,0))),IF(BX22="Dual",(CO22*BW22*AVERAGE('DATA TABLES_Project'!$C$251:$C$259))+((BZ22-AP22)*(BV22-BW22)*AVERAGE('DATA TABLES_Project'!$C$260:$C$279)),""))</f>
        <v/>
      </c>
      <c r="DP22" s="925" t="str">
        <f t="shared" ref="DP22" si="50">IFERROR(IF(CB22&lt;&gt;"OK","",IF(BX22="Dual",((CO22*BW22)+(BZ22-AP22)*(BV22-BW22))*DA22*0.92,CO22*BV22*DA22*0.92)),"")</f>
        <v/>
      </c>
      <c r="DQ22" s="925" t="str">
        <f ca="1">IFERROR(IF(CB22&lt;&gt;"OK","",IF(BX22="Dual",(0.92*DA22*CO22*BW22*AVERAGE('DATA TABLES_Project'!$C$251:$C$259))+(0.92*DA22*(BZ22-AP22)*(BV22-BW22)*AVERAGE('DATA TABLES_Project'!$C$260:$C$279)),0.92*DA22*CO22*BV22*AVERAGE('DATA TABLES_Project'!$C$250:OFFSET('DATA TABLES_Project'!$C$250,BV22,0)))),"")</f>
        <v/>
      </c>
      <c r="DR22" s="980" t="str">
        <f>IFERROR(IF($CB22&lt;&gt;"OK","",CM22*'DATA TABLES_Project'!$B$290+IF(CO22&lt;0,0,CO22*'DATA TABLES_Project'!$B$291)),"")</f>
        <v/>
      </c>
      <c r="DS22" s="980" t="str">
        <f>IFERROR(IF($CB22&lt;&gt;"OK","",DD22*'DATA TABLES_Project'!$B$290+IF(DK22&lt;0,0,DK22*'DATA TABLES_Project'!$B$291)),"")</f>
        <v/>
      </c>
      <c r="DT22" s="980" t="str">
        <f>IFERROR(IF($CB22&lt;&gt;"OK","",DE22*'DATA TABLES_Project'!$B$290+IF(DL22&lt;0,0,DL22*'DATA TABLES_Project'!$B$291)),"")</f>
        <v/>
      </c>
      <c r="DU22" s="980" t="str">
        <f>IFERROR(IF($CB22&lt;&gt;"OK","",DF22*'DATA TABLES_Project'!$B$290+IF(DM22&lt;0,0,DM22*'DATA TABLES_Project'!$B$291)),"")</f>
        <v/>
      </c>
      <c r="DV22" s="980" t="str">
        <f>IFERROR(IF($CB22&lt;&gt;"OK","",DG22*'DATA TABLES_Project'!$B$290+IF(DN22&lt;0,0,DN22*'DATA TABLES_Project'!$B$291)),"")</f>
        <v/>
      </c>
      <c r="DW22" s="980" t="str">
        <f>IFERROR(IF($CB22&lt;&gt;"OK","",DH22*'DATA TABLES_Project'!$B$290+IF(DO22&lt;0,0,DO22*'DATA TABLES_Project'!$B$291)),"")</f>
        <v/>
      </c>
      <c r="DX22" s="980" t="str">
        <f>IFERROR(IF($CB22&lt;&gt;"OK","",DI22*'DATA TABLES_Project'!$B$290+IF(DP22&lt;0,0,DP22*'DATA TABLES_Project'!$B$291)),"")</f>
        <v/>
      </c>
      <c r="DY22" s="925" t="str">
        <f>IFERROR(IF($CB22&lt;&gt;"OK","",DJ22*'DATA TABLES_Project'!$B$290+IF(DQ22&lt;0,0,DQ22*'DATA TABLES_Project'!$B$291)),"")</f>
        <v/>
      </c>
      <c r="DZ22" s="925" t="str">
        <f t="shared" ref="DZ22" si="51">IFERROR(IF($CB22&lt;&gt;"OK","",AS22),"")</f>
        <v/>
      </c>
      <c r="EA22" s="925" t="str">
        <f>IFERROR(IF(CB22&lt;&gt;"OK","",CN22*'DATA TABLES_Project'!$B$250*CZ22*1.03),"")</f>
        <v/>
      </c>
      <c r="EB22" s="925" t="str">
        <f t="shared" ref="EB22" si="52">IFERROR(IF(CB22&lt;&gt;"OK","",CN22*CZ22*1.03),"")</f>
        <v/>
      </c>
      <c r="EC22" s="925" t="str">
        <f>IFERROR(IF(CB22&lt;&gt;"OK","",CZ22*DZ22*'DATA TABLES_Project'!$C$250*0.92),"")</f>
        <v/>
      </c>
      <c r="ED22" s="925" t="str">
        <f>IFERROR(IF(CB22&lt;&gt;"OK","",CZ22*DZ22*'DATA TABLES_Project'!$C$250*0.92),"")</f>
        <v/>
      </c>
      <c r="EE22" s="925" t="str">
        <f t="shared" ref="EE22" si="53">IFERROR(IF(CB22&lt;&gt;"OK","",CZ22*DZ22*0.92),"")</f>
        <v/>
      </c>
      <c r="EF22" s="925" t="str">
        <f t="shared" ref="EF22" si="54">IFERROR(IF(CB22&lt;&gt;"OK","",CZ22*DZ22*0.92),"")</f>
        <v/>
      </c>
      <c r="EG22" s="925" t="str">
        <f>IFERROR(IF($CB22&lt;&gt;"OK","",CM22*'DATA TABLES_Project'!$B$290+CO22*'DATA TABLES_Project'!$B$291),"")</f>
        <v/>
      </c>
      <c r="EH22" s="925" t="str">
        <f>IFERROR(IF($CB22&lt;&gt;"OK","",DD22*'DATA TABLES_Project'!$B$290+DK22*'DATA TABLES_Project'!$B$291),"")</f>
        <v/>
      </c>
      <c r="EI22" s="925" t="str">
        <f>IFERROR(IF($CB22&lt;&gt;"OK","",DE22*'DATA TABLES_Project'!$B$290+DL22*'DATA TABLES_Project'!$B$291),"")</f>
        <v/>
      </c>
      <c r="EJ22" s="925" t="str">
        <f>IFERROR(IF($CB22&lt;&gt;"OK","",DF22*'DATA TABLES_Project'!$B$290+DM22*'DATA TABLES_Project'!$B$291),"")</f>
        <v/>
      </c>
      <c r="EK22" s="925" t="str">
        <f>IFERROR(IF($CB22&lt;&gt;"OK","",DG22*'DATA TABLES_Project'!$B$290+DN22*'DATA TABLES_Project'!$B$291),"")</f>
        <v/>
      </c>
      <c r="EL22" s="925" t="str">
        <f>IFERROR(IF($CB22&lt;&gt;"OK","",DH22*'DATA TABLES_Project'!$B$290+DO22*'DATA TABLES_Project'!$B$291),"")</f>
        <v/>
      </c>
      <c r="EM22" s="925" t="str">
        <f>IFERROR(IF($CB22&lt;&gt;"OK","",DI22*'DATA TABLES_Project'!$B$290+DP22*'DATA TABLES_Project'!$B$291),"")</f>
        <v/>
      </c>
      <c r="EN22" s="925" t="str">
        <f>IFERROR(IF($CB22&lt;&gt;"OK","",DJ22*'DATA TABLES_Project'!$B$290+DQ22*'DATA TABLES_Project'!$B$291),"")</f>
        <v/>
      </c>
    </row>
    <row r="23" spans="1:144" customFormat="1" ht="16.350000000000001" customHeight="1">
      <c r="A23" s="462"/>
      <c r="B23" s="994"/>
      <c r="C23" s="998"/>
      <c r="D23" s="999"/>
      <c r="E23" s="1000"/>
      <c r="F23" s="964"/>
      <c r="G23" s="965"/>
      <c r="H23" s="965"/>
      <c r="I23" s="965"/>
      <c r="J23" s="965"/>
      <c r="K23" s="966"/>
      <c r="L23" s="964"/>
      <c r="M23" s="965"/>
      <c r="N23" s="965"/>
      <c r="O23" s="965"/>
      <c r="P23" s="965"/>
      <c r="Q23" s="966"/>
      <c r="R23" s="1044"/>
      <c r="S23" s="1044"/>
      <c r="T23" s="1044"/>
      <c r="U23" s="1044"/>
      <c r="V23" s="1044"/>
      <c r="W23" s="1044"/>
      <c r="X23" s="1045"/>
      <c r="Y23" s="1045"/>
      <c r="Z23" s="1045"/>
      <c r="AA23" s="1045"/>
      <c r="AB23" s="1045"/>
      <c r="AC23" s="1045"/>
      <c r="AD23" s="964"/>
      <c r="AE23" s="965"/>
      <c r="AF23" s="965"/>
      <c r="AG23" s="965"/>
      <c r="AH23" s="965"/>
      <c r="AI23" s="966"/>
      <c r="AJ23" s="952"/>
      <c r="AK23" s="953"/>
      <c r="AL23" s="954"/>
      <c r="AM23" s="952"/>
      <c r="AN23" s="953"/>
      <c r="AO23" s="954"/>
      <c r="AP23" s="958"/>
      <c r="AQ23" s="959"/>
      <c r="AR23" s="960"/>
      <c r="AS23" s="958"/>
      <c r="AT23" s="959"/>
      <c r="AU23" s="960"/>
      <c r="AV23" s="968"/>
      <c r="AW23" s="969"/>
      <c r="AX23" s="969"/>
      <c r="AY23" s="969"/>
      <c r="AZ23" s="969"/>
      <c r="BA23" s="970"/>
      <c r="BB23" s="947"/>
      <c r="BC23" s="948"/>
      <c r="BD23" s="947"/>
      <c r="BE23" s="948"/>
      <c r="BF23" s="931"/>
      <c r="BG23" s="932"/>
      <c r="BH23" s="974"/>
      <c r="BI23" s="975"/>
      <c r="BJ23" s="976"/>
      <c r="BK23" s="936"/>
      <c r="BL23" s="937"/>
      <c r="BM23" s="938"/>
      <c r="BN23" s="942"/>
      <c r="BO23" s="943"/>
      <c r="BP23" s="944"/>
      <c r="BS23" s="967"/>
      <c r="BT23" s="967"/>
      <c r="BV23" s="926"/>
      <c r="BW23" s="926"/>
      <c r="BX23" s="926"/>
      <c r="BY23" s="927"/>
      <c r="BZ23" s="928"/>
      <c r="CB23" s="986"/>
      <c r="CC23" s="925"/>
      <c r="CD23" s="925"/>
      <c r="CE23" s="925"/>
      <c r="CF23" s="925"/>
      <c r="CG23" s="925"/>
      <c r="CH23" s="925"/>
      <c r="CI23" s="925"/>
      <c r="CJ23" s="977"/>
      <c r="CK23" s="977"/>
      <c r="CL23" s="977"/>
      <c r="CM23" s="977"/>
      <c r="CN23" s="977"/>
      <c r="CO23" s="977"/>
      <c r="CP23" s="977"/>
      <c r="CQ23" s="977"/>
      <c r="CR23" s="977"/>
      <c r="CS23" s="983"/>
      <c r="CT23" s="1056"/>
      <c r="CU23" s="979"/>
      <c r="CV23" s="925"/>
      <c r="CW23" s="925"/>
      <c r="CX23" s="925"/>
      <c r="CY23" s="925"/>
      <c r="CZ23" s="925"/>
      <c r="DA23" s="925"/>
      <c r="DD23" s="981"/>
      <c r="DE23" s="925"/>
      <c r="DF23" s="981"/>
      <c r="DG23" s="925"/>
      <c r="DH23" s="925"/>
      <c r="DI23" s="925"/>
      <c r="DJ23" s="925"/>
      <c r="DK23" s="925"/>
      <c r="DL23" s="925"/>
      <c r="DM23" s="925"/>
      <c r="DN23" s="925"/>
      <c r="DO23" s="925"/>
      <c r="DP23" s="925"/>
      <c r="DQ23" s="925"/>
      <c r="DR23" s="981"/>
      <c r="DS23" s="981"/>
      <c r="DT23" s="981"/>
      <c r="DU23" s="981"/>
      <c r="DV23" s="981"/>
      <c r="DW23" s="981"/>
      <c r="DX23" s="981"/>
      <c r="DY23" s="925"/>
      <c r="DZ23" s="925"/>
      <c r="EA23" s="925"/>
      <c r="EB23" s="925"/>
      <c r="EC23" s="925"/>
      <c r="ED23" s="925"/>
      <c r="EE23" s="925"/>
      <c r="EF23" s="925"/>
      <c r="EG23" s="925"/>
      <c r="EH23" s="925"/>
      <c r="EI23" s="925"/>
      <c r="EJ23" s="925"/>
      <c r="EK23" s="925"/>
      <c r="EL23" s="925"/>
      <c r="EM23" s="925"/>
      <c r="EN23" s="925"/>
    </row>
    <row r="24" spans="1:144" customFormat="1" ht="16.350000000000001" customHeight="1">
      <c r="A24" s="462"/>
      <c r="B24" s="994">
        <v>4</v>
      </c>
      <c r="C24" s="995"/>
      <c r="D24" s="996"/>
      <c r="E24" s="997"/>
      <c r="F24" s="961"/>
      <c r="G24" s="962"/>
      <c r="H24" s="962"/>
      <c r="I24" s="962"/>
      <c r="J24" s="962"/>
      <c r="K24" s="963"/>
      <c r="L24" s="961"/>
      <c r="M24" s="962"/>
      <c r="N24" s="962"/>
      <c r="O24" s="962"/>
      <c r="P24" s="962"/>
      <c r="Q24" s="963"/>
      <c r="R24" s="1044"/>
      <c r="S24" s="1044"/>
      <c r="T24" s="1044"/>
      <c r="U24" s="1044"/>
      <c r="V24" s="1044"/>
      <c r="W24" s="1044"/>
      <c r="X24" s="1045"/>
      <c r="Y24" s="1045"/>
      <c r="Z24" s="1045"/>
      <c r="AA24" s="1045"/>
      <c r="AB24" s="1045"/>
      <c r="AC24" s="1045"/>
      <c r="AD24" s="961"/>
      <c r="AE24" s="962"/>
      <c r="AF24" s="962"/>
      <c r="AG24" s="962"/>
      <c r="AH24" s="962"/>
      <c r="AI24" s="963"/>
      <c r="AJ24" s="949"/>
      <c r="AK24" s="950"/>
      <c r="AL24" s="951"/>
      <c r="AM24" s="949"/>
      <c r="AN24" s="950"/>
      <c r="AO24" s="951"/>
      <c r="AP24" s="955"/>
      <c r="AQ24" s="956"/>
      <c r="AR24" s="957"/>
      <c r="AS24" s="955"/>
      <c r="AT24" s="956"/>
      <c r="AU24" s="957"/>
      <c r="AV24" s="968"/>
      <c r="AW24" s="969"/>
      <c r="AX24" s="970"/>
      <c r="AY24" s="968"/>
      <c r="AZ24" s="969"/>
      <c r="BA24" s="970"/>
      <c r="BB24" s="945"/>
      <c r="BC24" s="946"/>
      <c r="BD24" s="945"/>
      <c r="BE24" s="946"/>
      <c r="BF24" s="929" t="str">
        <f t="shared" ref="BF24" si="55">IF(CB24="OK",ROUND(BB24+BD24,2),"")</f>
        <v/>
      </c>
      <c r="BG24" s="930"/>
      <c r="BH24" s="971" t="str">
        <f t="shared" ref="BH24" si="56">IFERROR(IF(AND($CB24="OK",$CU24="OK"),$CI24,IF($CB24&lt;&gt;"OK",$CB24,$CU24)),"")</f>
        <v/>
      </c>
      <c r="BI24" s="972"/>
      <c r="BJ24" s="973"/>
      <c r="BK24" s="933" t="str">
        <f t="shared" ref="BK24" si="57">IF($CB24="OK",CM24,"")</f>
        <v/>
      </c>
      <c r="BL24" s="934"/>
      <c r="BM24" s="935"/>
      <c r="BN24" s="939" t="str">
        <f t="shared" ref="BN24" si="58">IF($CB24="OK",$CR24,"")</f>
        <v/>
      </c>
      <c r="BO24" s="940"/>
      <c r="BP24" s="941"/>
      <c r="BS24" s="967"/>
      <c r="BT24" s="967"/>
      <c r="BV24" s="926" t="str">
        <f t="shared" ref="BV24" si="59">IFERROR(ROUND(IF(AND(CB24="OK",CU24="OK"),CT24,""),0),"")</f>
        <v/>
      </c>
      <c r="BW24" s="926" t="str">
        <f t="shared" ref="BW24" si="60">IFERROR(ROUND(IF(AND(CB24="OK",CU24="OK"),BV24/3,""),0),"")</f>
        <v/>
      </c>
      <c r="BX24" s="926"/>
      <c r="BY24" s="927"/>
      <c r="BZ24" s="928"/>
      <c r="CB24" s="986" t="str">
        <f>IF(AND(C24="",F24="",R24="",AD24="",U24="",X24="",L24="",AJ24="",AV24="",AM24="",AP24="",AY24="",AV25="",BB24="",BD24="",AA24="",AS24=""),"",
IF(OR(C24="",F24="",R24="",AD24="",U24="",X24="",L24="",AJ24="",AV24="",AM24="",AP24="",AY24="",AV25="",BB24="",BD24="",AA24="",AS24=""),"Missing Fields",
IF(AND(M02S04F04disp="Required",M02S04F04=""),"TA Info Incomplete",
"OK")))</f>
        <v/>
      </c>
      <c r="CC24" s="925" t="str">
        <f>IF(AND(CB24="OK",CU24="OK"),INDEX(Tbl_Cust_Res[Measure Number], MATCH(F24,Tbl_Cust_Res[Proj Desc 1],0)),"")</f>
        <v/>
      </c>
      <c r="CD24" s="925"/>
      <c r="CE24" s="925" t="str">
        <f t="shared" ref="CE24" si="61">IF(CB24="OK","Measure","")</f>
        <v/>
      </c>
      <c r="CF24" s="925" t="str">
        <f t="shared" ref="CF24" si="62">IF(CB24="OK",1,"")</f>
        <v/>
      </c>
      <c r="CG24" s="978" t="str">
        <f t="shared" ref="CG24" si="63">IFERROR(CI24/CF24,"")</f>
        <v/>
      </c>
      <c r="CH24" s="978" t="str">
        <f>IF(CB24="OK",IF(CM24&gt;0,CM24*Incent_Rate_kWh,0)+IF(CO24&gt;0,CO24*Incent_Rate_thm,0),"")</f>
        <v/>
      </c>
      <c r="CI24" s="978" t="str">
        <f>IFERROR(IF($CB24="OK",IF(INCENTTOCOST_CUST&gt;CostCap_Cust,
CH24*CostCap_Cust/INCENTTOCOST_CUST,CH24),""),"")</f>
        <v/>
      </c>
      <c r="CJ24" s="977">
        <f t="shared" ref="CJ24" si="64">CM24</f>
        <v>0</v>
      </c>
      <c r="CK24" s="977">
        <f t="shared" ref="CK24" si="65">CN24</f>
        <v>0</v>
      </c>
      <c r="CL24" s="977">
        <f t="shared" ref="CL24" si="66">CO24</f>
        <v>0</v>
      </c>
      <c r="CM24" s="977">
        <f>R24-AJ24</f>
        <v>0</v>
      </c>
      <c r="CN24" s="977">
        <f>U24-AM24</f>
        <v>0</v>
      </c>
      <c r="CO24" s="977">
        <f t="shared" ref="CO24" si="67">IF(CR24&gt;0,CR24,0)</f>
        <v>0</v>
      </c>
      <c r="CP24" s="977">
        <f t="shared" ref="CP24" si="68">CM24</f>
        <v>0</v>
      </c>
      <c r="CQ24" s="977">
        <f t="shared" ref="CQ24" si="69">CN24</f>
        <v>0</v>
      </c>
      <c r="CR24" s="977">
        <f>X24-AP24</f>
        <v>0</v>
      </c>
      <c r="CS24" s="983"/>
      <c r="CT24" s="1056" t="str">
        <f>IF(CB24="OK",INDEX(Tbl_Cust_Res[EUL], MATCH(F24,Tbl_Cust_Res[Proj Desc 1],0)),"")</f>
        <v/>
      </c>
      <c r="CU24" s="979" t="str">
        <f t="shared" ref="CU24" si="70">IFERROR(IF(AND($CM24&lt;=0,$CN24&lt;=0,$CO24&lt;=0),"No Savings","OK"),"")</f>
        <v>No Savings</v>
      </c>
      <c r="CV24" s="925" t="str">
        <f t="shared" ref="CV24" si="71">IF(AND(CB24="OK",CU24="OK"),"1","")</f>
        <v/>
      </c>
      <c r="CW24" s="925" t="str">
        <f>IFERROR(IF($CB24="OK",ROUND($AQ$14*SUM(BB24:BE25)/SUM($BF$18:$BG$37),2),""),"")</f>
        <v/>
      </c>
      <c r="CX24" s="925" t="str">
        <f>IFERROR(IF(M02S04F04="Customer/Self-Installed",CW24,IF($CB24="OK",CW24+BD24,"")),"")</f>
        <v/>
      </c>
      <c r="CY24" s="925" t="str">
        <f>IFERROR(IF($CB24="OK",CX24+BB24,""),"")</f>
        <v/>
      </c>
      <c r="CZ24" s="925" t="str">
        <f>IF(CB24="OK",INDEX(MEASURES3_M!$O$50, MATCH(F24,MEASURES3_M!$C$50,0)),"")</f>
        <v/>
      </c>
      <c r="DA24" s="925" t="str">
        <f>IF(CB24="OK",INDEX(MEASURES3_M!$P$50, MATCH(F24,MEASURES3_M!$C$50,0)),"")</f>
        <v/>
      </c>
      <c r="DD24" s="980" t="str">
        <f>IFERROR(IF(CB24&lt;&gt;"OK","",CM24*VLOOKUP('DATA TABLES_Project'!$C$247,'DATA TABLES_Project'!$A$250:$B$285,2,FALSE)),"")</f>
        <v/>
      </c>
      <c r="DE24" s="925" t="str">
        <f t="shared" ref="DE24" si="72">IFERROR(IF(CB24&lt;&gt;"OK","",CM24*CZ24*0.92),"")</f>
        <v/>
      </c>
      <c r="DF24" s="980" t="str">
        <f>IFERROR(IF(CB24&lt;&gt;"OK","",CM24*CZ24*0.92*VLOOKUP('DATA TABLES_Project'!$C$247,'DATA TABLES_Project'!$A$250:$B$285,2,FALSE)),"")</f>
        <v/>
      </c>
      <c r="DG24" s="925" t="str">
        <f t="shared" ref="DG24" si="73">IFERROR(IF(CB24&lt;&gt;"OK","",CM24*BV24),IF(BX24="Dual",(CM24*BW24)+((BY24-AJ24)*(BV24-BW24)),""))</f>
        <v/>
      </c>
      <c r="DH24" s="925" t="str">
        <f ca="1">IFERROR(IF(CB24&lt;&gt;"OK","",IF(OR(BX24="Single",BX24=""), CM24*BV24*AVERAGE(INDEX('DATA TABLES_Project'!$B$250:$B$285, MATCH('DATA TABLES_Project'!$C$247,'DATA TABLES_Project'!$A$250:$A$285, 0)):OFFSET(INDEX('DATA TABLES_Project'!$B$250:$B$285, MATCH('DATA TABLES_Project'!$C$247,'DATA TABLES_Project'!$A$250:$A$285, 0)),BV24-1,0)),CM24*BW24*AVERAGE(INDEX('DATA TABLES_Project'!$B$250:$B$285, MATCH('DATA TABLES_Project'!$C$247,'DATA TABLES_Project'!$A$250:$A$285, 0)):OFFSET(INDEX('DATA TABLES_Project'!$B$250:$B$285, MATCH('DATA TABLES_Project'!$C$247,'DATA TABLES_Project'!$A$250:$A$285, 0)),BW24-1,0)) + ((BY24-AJ24)*(BV24-BW24)*AVERAGE(OFFSET(INDEX('DATA TABLES_Project'!$B$250:$B$285, MATCH('DATA TABLES_Project'!$C$247,'DATA TABLES_Project'!$A$250:$A$285, 0)),BW24,0):OFFSET(INDEX('DATA TABLES_Project'!$B$250:$B$285, MATCH('DATA TABLES_Project'!$C$247,'DATA TABLES_Project'!$A$250:$A$285, 0)),BV24-1,0))))), "")</f>
        <v/>
      </c>
      <c r="DI24" s="925" t="str">
        <f t="shared" ref="DI24" si="74">IFERROR(IF(CB24&lt;&gt;"OK","",IF(BX24="Dual",(CM24*BW24)+((BY24-AJ24)*(BV24-BW24))*CZ24*0.92,CM24*CZ24*BV24*0.92)),"")</f>
        <v/>
      </c>
      <c r="DJ24" s="925" t="str">
        <f ca="1">IFERROR(IF(CB24&lt;&gt;"OK","",IF(OR(BX24="Single",BX24=""),0.92*CZ24*CM24*BV24*AVERAGE(INDEX('DATA TABLES_Project'!$B$250:$B$285, MATCH('DATA TABLES_Project'!$C$247,'DATA TABLES_Project'!$A$250:$A$285, 0)):OFFSET(INDEX('DATA TABLES_Project'!$B$250:$B$285, MATCH('DATA TABLES_Project'!$C$247,'DATA TABLES_Project'!$A$250:$A$285, 0)),BV24-1,0)),0.92*CZ24*CM24*BW24*AVERAGE(INDEX('DATA TABLES_Project'!$B$250:$B$285, MATCH('DATA TABLES_Project'!$C$247,'DATA TABLES_Project'!$A$250:$A$285, 0)):OFFSET(INDEX('DATA TABLES_Project'!$B$250:$B$285, MATCH('DATA TABLES_Project'!$C$247,'DATA TABLES_Project'!$A$250:$A$285, 0)),BW24-1,0)) + (0.92*CZ24*(BY24-AJ24)*(BV24-BW24)*AVERAGE(OFFSET(INDEX('DATA TABLES_Project'!$B$250:$B$285, MATCH('DATA TABLES_Project'!$C$247,'DATA TABLES_Project'!$A$250:$A$285, 0)),BW24,0):OFFSET(INDEX('DATA TABLES_Project'!$B$250:$B$285, MATCH('DATA TABLES_Project'!$C$247,'DATA TABLES_Project'!$A$250:$A$285, 0)),BV24-1,0))))), "")</f>
        <v/>
      </c>
      <c r="DK24" s="925" t="str">
        <f>IFERROR(IF(CB24&lt;&gt;"OK","",CO24*'DATA TABLES_Project'!$C$250),"")</f>
        <v/>
      </c>
      <c r="DL24" s="925" t="str">
        <f t="shared" ref="DL24" si="75">IFERROR(IF(CB24&lt;&gt;"OK","",CO24*DA24*0.92),"")</f>
        <v/>
      </c>
      <c r="DM24" s="925" t="str">
        <f>IFERROR(IF(CB24&lt;&gt;"OK","",CO24*'DATA TABLES_Project'!$C$250*DA24*0.92),"")</f>
        <v/>
      </c>
      <c r="DN24" s="925" t="str">
        <f t="shared" ref="DN24" si="76">IFERROR(IF(CB24&lt;&gt;"OK","",CO24*BV24),IF(BX24="Dual",(CO24*BW24)+((BZ24-AP24)*(BV24-BW24)),""))</f>
        <v/>
      </c>
      <c r="DO24" s="925" t="str">
        <f ca="1">IFERROR(IF(CB24&lt;&gt;"OK","",CO24*BV24*AVERAGE('DATA TABLES_Project'!$C$250:OFFSET('DATA TABLES_Project'!$C$250,BV24,0))),IF(BX24="Dual",(CO24*BW24*AVERAGE('DATA TABLES_Project'!$C$251:$C$259))+((BZ24-AP24)*(BV24-BW24)*AVERAGE('DATA TABLES_Project'!$C$260:$C$279)),""))</f>
        <v/>
      </c>
      <c r="DP24" s="925" t="str">
        <f t="shared" ref="DP24" si="77">IFERROR(IF(CB24&lt;&gt;"OK","",IF(BX24="Dual",((CO24*BW24)+(BZ24-AP24)*(BV24-BW24))*DA24*0.92,CO24*BV24*DA24*0.92)),"")</f>
        <v/>
      </c>
      <c r="DQ24" s="925" t="str">
        <f ca="1">IFERROR(IF(CB24&lt;&gt;"OK","",IF(BX24="Dual",(0.92*DA24*CO24*BW24*AVERAGE('DATA TABLES_Project'!$C$251:$C$259))+(0.92*DA24*(BZ24-AP24)*(BV24-BW24)*AVERAGE('DATA TABLES_Project'!$C$260:$C$279)),0.92*DA24*CO24*BV24*AVERAGE('DATA TABLES_Project'!$C$250:OFFSET('DATA TABLES_Project'!$C$250,BV24,0)))),"")</f>
        <v/>
      </c>
      <c r="DR24" s="980" t="str">
        <f>IFERROR(IF($CB24&lt;&gt;"OK","",CM24*'DATA TABLES_Project'!$B$290+IF(CO24&lt;0,0,CO24*'DATA TABLES_Project'!$B$291)),"")</f>
        <v/>
      </c>
      <c r="DS24" s="980" t="str">
        <f>IFERROR(IF($CB24&lt;&gt;"OK","",DD24*'DATA TABLES_Project'!$B$290+IF(DK24&lt;0,0,DK24*'DATA TABLES_Project'!$B$291)),"")</f>
        <v/>
      </c>
      <c r="DT24" s="980" t="str">
        <f>IFERROR(IF($CB24&lt;&gt;"OK","",DE24*'DATA TABLES_Project'!$B$290+IF(DL24&lt;0,0,DL24*'DATA TABLES_Project'!$B$291)),"")</f>
        <v/>
      </c>
      <c r="DU24" s="980" t="str">
        <f>IFERROR(IF($CB24&lt;&gt;"OK","",DF24*'DATA TABLES_Project'!$B$290+IF(DM24&lt;0,0,DM24*'DATA TABLES_Project'!$B$291)),"")</f>
        <v/>
      </c>
      <c r="DV24" s="980" t="str">
        <f>IFERROR(IF($CB24&lt;&gt;"OK","",DG24*'DATA TABLES_Project'!$B$290+IF(DN24&lt;0,0,DN24*'DATA TABLES_Project'!$B$291)),"")</f>
        <v/>
      </c>
      <c r="DW24" s="980" t="str">
        <f>IFERROR(IF($CB24&lt;&gt;"OK","",DH24*'DATA TABLES_Project'!$B$290+IF(DO24&lt;0,0,DO24*'DATA TABLES_Project'!$B$291)),"")</f>
        <v/>
      </c>
      <c r="DX24" s="980" t="str">
        <f>IFERROR(IF($CB24&lt;&gt;"OK","",DI24*'DATA TABLES_Project'!$B$290+IF(DP24&lt;0,0,DP24*'DATA TABLES_Project'!$B$291)),"")</f>
        <v/>
      </c>
      <c r="DY24" s="925" t="str">
        <f>IFERROR(IF($CB24&lt;&gt;"OK","",DJ24*'DATA TABLES_Project'!$B$290+IF(DQ24&lt;0,0,DQ24*'DATA TABLES_Project'!$B$291)),"")</f>
        <v/>
      </c>
      <c r="DZ24" s="925" t="str">
        <f t="shared" ref="DZ24" si="78">IFERROR(IF($CB24&lt;&gt;"OK","",AS24),"")</f>
        <v/>
      </c>
      <c r="EA24" s="925" t="str">
        <f>IFERROR(IF(CB24&lt;&gt;"OK","",CN24*'DATA TABLES_Project'!$B$250*CZ24*1.03),"")</f>
        <v/>
      </c>
      <c r="EB24" s="925" t="str">
        <f t="shared" ref="EB24" si="79">IFERROR(IF(CB24&lt;&gt;"OK","",CN24*CZ24*1.03),"")</f>
        <v/>
      </c>
      <c r="EC24" s="925" t="str">
        <f>IFERROR(IF(CB24&lt;&gt;"OK","",CZ24*DZ24*'DATA TABLES_Project'!$C$250*0.92),"")</f>
        <v/>
      </c>
      <c r="ED24" s="925" t="str">
        <f>IFERROR(IF(CB24&lt;&gt;"OK","",CZ24*DZ24*'DATA TABLES_Project'!$C$250*0.92),"")</f>
        <v/>
      </c>
      <c r="EE24" s="925" t="str">
        <f t="shared" ref="EE24" si="80">IFERROR(IF(CB24&lt;&gt;"OK","",CZ24*DZ24*0.92),"")</f>
        <v/>
      </c>
      <c r="EF24" s="925" t="str">
        <f t="shared" ref="EF24" si="81">IFERROR(IF(CB24&lt;&gt;"OK","",CZ24*DZ24*0.92),"")</f>
        <v/>
      </c>
      <c r="EG24" s="925" t="str">
        <f>IFERROR(IF($CB24&lt;&gt;"OK","",CM24*'DATA TABLES_Project'!$B$290+CO24*'DATA TABLES_Project'!$B$291),"")</f>
        <v/>
      </c>
      <c r="EH24" s="925" t="str">
        <f>IFERROR(IF($CB24&lt;&gt;"OK","",DD24*'DATA TABLES_Project'!$B$290+DK24*'DATA TABLES_Project'!$B$291),"")</f>
        <v/>
      </c>
      <c r="EI24" s="925" t="str">
        <f>IFERROR(IF($CB24&lt;&gt;"OK","",DE24*'DATA TABLES_Project'!$B$290+DL24*'DATA TABLES_Project'!$B$291),"")</f>
        <v/>
      </c>
      <c r="EJ24" s="925" t="str">
        <f>IFERROR(IF($CB24&lt;&gt;"OK","",DF24*'DATA TABLES_Project'!$B$290+DM24*'DATA TABLES_Project'!$B$291),"")</f>
        <v/>
      </c>
      <c r="EK24" s="925" t="str">
        <f>IFERROR(IF($CB24&lt;&gt;"OK","",DG24*'DATA TABLES_Project'!$B$290+DN24*'DATA TABLES_Project'!$B$291),"")</f>
        <v/>
      </c>
      <c r="EL24" s="925" t="str">
        <f>IFERROR(IF($CB24&lt;&gt;"OK","",DH24*'DATA TABLES_Project'!$B$290+DO24*'DATA TABLES_Project'!$B$291),"")</f>
        <v/>
      </c>
      <c r="EM24" s="925" t="str">
        <f>IFERROR(IF($CB24&lt;&gt;"OK","",DI24*'DATA TABLES_Project'!$B$290+DP24*'DATA TABLES_Project'!$B$291),"")</f>
        <v/>
      </c>
      <c r="EN24" s="925" t="str">
        <f>IFERROR(IF($CB24&lt;&gt;"OK","",DJ24*'DATA TABLES_Project'!$B$290+DQ24*'DATA TABLES_Project'!$B$291),"")</f>
        <v/>
      </c>
    </row>
    <row r="25" spans="1:144" customFormat="1" ht="16.350000000000001" customHeight="1">
      <c r="A25" s="462"/>
      <c r="B25" s="994"/>
      <c r="C25" s="998"/>
      <c r="D25" s="999"/>
      <c r="E25" s="1000"/>
      <c r="F25" s="964"/>
      <c r="G25" s="965"/>
      <c r="H25" s="965"/>
      <c r="I25" s="965"/>
      <c r="J25" s="965"/>
      <c r="K25" s="966"/>
      <c r="L25" s="964"/>
      <c r="M25" s="965"/>
      <c r="N25" s="965"/>
      <c r="O25" s="965"/>
      <c r="P25" s="965"/>
      <c r="Q25" s="966"/>
      <c r="R25" s="1044"/>
      <c r="S25" s="1044"/>
      <c r="T25" s="1044"/>
      <c r="U25" s="1044"/>
      <c r="V25" s="1044"/>
      <c r="W25" s="1044"/>
      <c r="X25" s="1045"/>
      <c r="Y25" s="1045"/>
      <c r="Z25" s="1045"/>
      <c r="AA25" s="1045"/>
      <c r="AB25" s="1045"/>
      <c r="AC25" s="1045"/>
      <c r="AD25" s="964"/>
      <c r="AE25" s="965"/>
      <c r="AF25" s="965"/>
      <c r="AG25" s="965"/>
      <c r="AH25" s="965"/>
      <c r="AI25" s="966"/>
      <c r="AJ25" s="952"/>
      <c r="AK25" s="953"/>
      <c r="AL25" s="954"/>
      <c r="AM25" s="952"/>
      <c r="AN25" s="953"/>
      <c r="AO25" s="954"/>
      <c r="AP25" s="958"/>
      <c r="AQ25" s="959"/>
      <c r="AR25" s="960"/>
      <c r="AS25" s="958"/>
      <c r="AT25" s="959"/>
      <c r="AU25" s="960"/>
      <c r="AV25" s="968"/>
      <c r="AW25" s="969"/>
      <c r="AX25" s="969"/>
      <c r="AY25" s="969"/>
      <c r="AZ25" s="969"/>
      <c r="BA25" s="970"/>
      <c r="BB25" s="947"/>
      <c r="BC25" s="948"/>
      <c r="BD25" s="947"/>
      <c r="BE25" s="948"/>
      <c r="BF25" s="931"/>
      <c r="BG25" s="932"/>
      <c r="BH25" s="974"/>
      <c r="BI25" s="975"/>
      <c r="BJ25" s="976"/>
      <c r="BK25" s="936"/>
      <c r="BL25" s="937"/>
      <c r="BM25" s="938"/>
      <c r="BN25" s="942"/>
      <c r="BO25" s="943"/>
      <c r="BP25" s="944"/>
      <c r="BS25" s="967"/>
      <c r="BT25" s="967"/>
      <c r="BV25" s="926"/>
      <c r="BW25" s="926"/>
      <c r="BX25" s="926"/>
      <c r="BY25" s="927"/>
      <c r="BZ25" s="928"/>
      <c r="CB25" s="986"/>
      <c r="CC25" s="925"/>
      <c r="CD25" s="925"/>
      <c r="CE25" s="925"/>
      <c r="CF25" s="925"/>
      <c r="CG25" s="925"/>
      <c r="CH25" s="925"/>
      <c r="CI25" s="925"/>
      <c r="CJ25" s="977"/>
      <c r="CK25" s="977"/>
      <c r="CL25" s="977"/>
      <c r="CM25" s="977"/>
      <c r="CN25" s="977"/>
      <c r="CO25" s="977"/>
      <c r="CP25" s="977"/>
      <c r="CQ25" s="977"/>
      <c r="CR25" s="977"/>
      <c r="CS25" s="983"/>
      <c r="CT25" s="1056"/>
      <c r="CU25" s="979"/>
      <c r="CV25" s="925"/>
      <c r="CW25" s="925"/>
      <c r="CX25" s="925"/>
      <c r="CY25" s="925"/>
      <c r="CZ25" s="925"/>
      <c r="DA25" s="925"/>
      <c r="DD25" s="981"/>
      <c r="DE25" s="925"/>
      <c r="DF25" s="981"/>
      <c r="DG25" s="925"/>
      <c r="DH25" s="925"/>
      <c r="DI25" s="925"/>
      <c r="DJ25" s="925"/>
      <c r="DK25" s="925"/>
      <c r="DL25" s="925"/>
      <c r="DM25" s="925"/>
      <c r="DN25" s="925"/>
      <c r="DO25" s="925"/>
      <c r="DP25" s="925"/>
      <c r="DQ25" s="925"/>
      <c r="DR25" s="981"/>
      <c r="DS25" s="981"/>
      <c r="DT25" s="981"/>
      <c r="DU25" s="981"/>
      <c r="DV25" s="981"/>
      <c r="DW25" s="981"/>
      <c r="DX25" s="981"/>
      <c r="DY25" s="925"/>
      <c r="DZ25" s="925"/>
      <c r="EA25" s="925"/>
      <c r="EB25" s="925"/>
      <c r="EC25" s="925"/>
      <c r="ED25" s="925"/>
      <c r="EE25" s="925"/>
      <c r="EF25" s="925"/>
      <c r="EG25" s="925"/>
      <c r="EH25" s="925"/>
      <c r="EI25" s="925"/>
      <c r="EJ25" s="925"/>
      <c r="EK25" s="925"/>
      <c r="EL25" s="925"/>
      <c r="EM25" s="925"/>
      <c r="EN25" s="925"/>
    </row>
    <row r="26" spans="1:144" customFormat="1" ht="16.350000000000001" customHeight="1">
      <c r="A26" s="462"/>
      <c r="B26" s="994">
        <v>5</v>
      </c>
      <c r="C26" s="995"/>
      <c r="D26" s="996"/>
      <c r="E26" s="997"/>
      <c r="F26" s="961"/>
      <c r="G26" s="962"/>
      <c r="H26" s="962"/>
      <c r="I26" s="962"/>
      <c r="J26" s="962"/>
      <c r="K26" s="963"/>
      <c r="L26" s="961"/>
      <c r="M26" s="962"/>
      <c r="N26" s="962"/>
      <c r="O26" s="962"/>
      <c r="P26" s="962"/>
      <c r="Q26" s="963"/>
      <c r="R26" s="1044"/>
      <c r="S26" s="1044"/>
      <c r="T26" s="1044"/>
      <c r="U26" s="1044"/>
      <c r="V26" s="1044"/>
      <c r="W26" s="1044"/>
      <c r="X26" s="1045"/>
      <c r="Y26" s="1045"/>
      <c r="Z26" s="1045"/>
      <c r="AA26" s="1045"/>
      <c r="AB26" s="1045"/>
      <c r="AC26" s="1045"/>
      <c r="AD26" s="961"/>
      <c r="AE26" s="962"/>
      <c r="AF26" s="962"/>
      <c r="AG26" s="962"/>
      <c r="AH26" s="962"/>
      <c r="AI26" s="963"/>
      <c r="AJ26" s="949"/>
      <c r="AK26" s="950"/>
      <c r="AL26" s="951"/>
      <c r="AM26" s="949"/>
      <c r="AN26" s="950"/>
      <c r="AO26" s="951"/>
      <c r="AP26" s="955"/>
      <c r="AQ26" s="956"/>
      <c r="AR26" s="957"/>
      <c r="AS26" s="955"/>
      <c r="AT26" s="956"/>
      <c r="AU26" s="957"/>
      <c r="AV26" s="968"/>
      <c r="AW26" s="969"/>
      <c r="AX26" s="970"/>
      <c r="AY26" s="968"/>
      <c r="AZ26" s="969"/>
      <c r="BA26" s="970"/>
      <c r="BB26" s="945"/>
      <c r="BC26" s="946"/>
      <c r="BD26" s="945"/>
      <c r="BE26" s="946"/>
      <c r="BF26" s="929" t="str">
        <f t="shared" ref="BF26" si="82">IF(CB26="OK",ROUND(BB26+BD26,2),"")</f>
        <v/>
      </c>
      <c r="BG26" s="930"/>
      <c r="BH26" s="971" t="str">
        <f t="shared" ref="BH26" si="83">IFERROR(IF(AND($CB26="OK",$CU26="OK"),$CI26,IF($CB26&lt;&gt;"OK",$CB26,$CU26)),"")</f>
        <v/>
      </c>
      <c r="BI26" s="972"/>
      <c r="BJ26" s="973"/>
      <c r="BK26" s="933" t="str">
        <f t="shared" ref="BK26" si="84">IF($CB26="OK",CM26,"")</f>
        <v/>
      </c>
      <c r="BL26" s="934"/>
      <c r="BM26" s="935"/>
      <c r="BN26" s="939" t="str">
        <f t="shared" ref="BN26" si="85">IF($CB26="OK",$CR26,"")</f>
        <v/>
      </c>
      <c r="BO26" s="940"/>
      <c r="BP26" s="941"/>
      <c r="BS26" s="967"/>
      <c r="BT26" s="967"/>
      <c r="BV26" s="926" t="str">
        <f t="shared" ref="BV26" si="86">IFERROR(ROUND(IF(AND(CB26="OK",CU26="OK"),CT26,""),0),"")</f>
        <v/>
      </c>
      <c r="BW26" s="926" t="str">
        <f t="shared" ref="BW26" si="87">IFERROR(ROUND(IF(AND(CB26="OK",CU26="OK"),BV26/3,""),0),"")</f>
        <v/>
      </c>
      <c r="BX26" s="926"/>
      <c r="BY26" s="927"/>
      <c r="BZ26" s="928"/>
      <c r="CB26" s="986" t="str">
        <f>IF(AND(C26="",F26="",R26="",AD26="",U26="",X26="",L26="",AJ26="",AV26="",AM26="",AP26="",AY26="",AV27="",BB26="",BD26="",AA26="",AS26=""),"",
IF(OR(C26="",F26="",R26="",AD26="",U26="",X26="",L26="",AJ26="",AV26="",AM26="",AP26="",AY26="",AV27="",BB26="",BD26="",AA26="",AS26=""),"Missing Fields",
IF(AND(M02S04F04disp="Required",M02S04F04=""),"TA Info Incomplete",
"OK")))</f>
        <v/>
      </c>
      <c r="CC26" s="925" t="str">
        <f>IF(AND(CB26="OK",CU26="OK"),INDEX(Tbl_Cust_Res[Measure Number], MATCH(F26,Tbl_Cust_Res[Proj Desc 1],0)),"")</f>
        <v/>
      </c>
      <c r="CD26" s="925"/>
      <c r="CE26" s="925" t="str">
        <f t="shared" ref="CE26" si="88">IF(CB26="OK","Measure","")</f>
        <v/>
      </c>
      <c r="CF26" s="925" t="str">
        <f t="shared" ref="CF26" si="89">IF(CB26="OK",1,"")</f>
        <v/>
      </c>
      <c r="CG26" s="978" t="str">
        <f t="shared" ref="CG26" si="90">IFERROR(CI26/CF26,"")</f>
        <v/>
      </c>
      <c r="CH26" s="978" t="str">
        <f>IF(CB26="OK",IF(CM26&gt;0,CM26*Incent_Rate_kWh,0)+IF(CO26&gt;0,CO26*Incent_Rate_thm,0),"")</f>
        <v/>
      </c>
      <c r="CI26" s="978" t="str">
        <f>IFERROR(IF($CB26="OK",IF(INCENTTOCOST_CUST&gt;CostCap_Cust,
CH26*CostCap_Cust/INCENTTOCOST_CUST,CH26),""),"")</f>
        <v/>
      </c>
      <c r="CJ26" s="977">
        <f t="shared" ref="CJ26" si="91">CM26</f>
        <v>0</v>
      </c>
      <c r="CK26" s="977">
        <f t="shared" ref="CK26" si="92">CN26</f>
        <v>0</v>
      </c>
      <c r="CL26" s="977">
        <f t="shared" ref="CL26" si="93">CO26</f>
        <v>0</v>
      </c>
      <c r="CM26" s="977">
        <f>R26-AJ26</f>
        <v>0</v>
      </c>
      <c r="CN26" s="977">
        <f>U26-AM26</f>
        <v>0</v>
      </c>
      <c r="CO26" s="977">
        <f t="shared" ref="CO26" si="94">IF(CR26&gt;0,CR26,0)</f>
        <v>0</v>
      </c>
      <c r="CP26" s="977">
        <f t="shared" ref="CP26" si="95">CM26</f>
        <v>0</v>
      </c>
      <c r="CQ26" s="977">
        <f t="shared" ref="CQ26" si="96">CN26</f>
        <v>0</v>
      </c>
      <c r="CR26" s="977">
        <f>X26-AP26</f>
        <v>0</v>
      </c>
      <c r="CS26" s="983"/>
      <c r="CT26" s="1056" t="str">
        <f>IF(CB26="OK",INDEX(Tbl_Cust_Res[EUL], MATCH(F26,Tbl_Cust_Res[Proj Desc 1],0)),"")</f>
        <v/>
      </c>
      <c r="CU26" s="979" t="str">
        <f t="shared" ref="CU26" si="97">IFERROR(IF(AND($CM26&lt;=0,$CN26&lt;=0,$CO26&lt;=0),"No Savings","OK"),"")</f>
        <v>No Savings</v>
      </c>
      <c r="CV26" s="925" t="str">
        <f t="shared" ref="CV26" si="98">IF(AND(CB26="OK",CU26="OK"),"1","")</f>
        <v/>
      </c>
      <c r="CW26" s="925" t="str">
        <f>IFERROR(IF($CB26="OK",ROUND($AQ$14*SUM(BB26:BE27)/SUM($BF$18:$BG$37),2),""),"")</f>
        <v/>
      </c>
      <c r="CX26" s="925" t="str">
        <f>IFERROR(IF(M02S04F04="Customer/Self-Installed",CW26,IF($CB26="OK",CW26+BD26,"")),"")</f>
        <v/>
      </c>
      <c r="CY26" s="925" t="str">
        <f>IFERROR(IF($CB26="OK",CX26+BB26,""),"")</f>
        <v/>
      </c>
      <c r="CZ26" s="925" t="str">
        <f>IF(CB26="OK",INDEX(MEASURES3_M!$O$50, MATCH(F26,MEASURES3_M!$C$50,0)),"")</f>
        <v/>
      </c>
      <c r="DA26" s="925" t="str">
        <f>IF(CB26="OK",INDEX(MEASURES3_M!$P$50, MATCH(F26,MEASURES3_M!$C$50,0)),"")</f>
        <v/>
      </c>
      <c r="DD26" s="980" t="str">
        <f>IFERROR(IF(CB26&lt;&gt;"OK","",CM26*VLOOKUP('DATA TABLES_Project'!$C$247,'DATA TABLES_Project'!$A$250:$B$285,2,FALSE)),"")</f>
        <v/>
      </c>
      <c r="DE26" s="925" t="str">
        <f t="shared" ref="DE26" si="99">IFERROR(IF(CB26&lt;&gt;"OK","",CM26*CZ26*0.92),"")</f>
        <v/>
      </c>
      <c r="DF26" s="980" t="str">
        <f>IFERROR(IF(CB26&lt;&gt;"OK","",CM26*CZ26*0.92*VLOOKUP('DATA TABLES_Project'!$C$247,'DATA TABLES_Project'!$A$250:$B$285,2,FALSE)),"")</f>
        <v/>
      </c>
      <c r="DG26" s="925" t="str">
        <f t="shared" ref="DG26" si="100">IFERROR(IF(CB26&lt;&gt;"OK","",CM26*BV26),IF(BX26="Dual",(CM26*BW26)+((BY26-AJ26)*(BV26-BW26)),""))</f>
        <v/>
      </c>
      <c r="DH26" s="925" t="str">
        <f ca="1">IFERROR(IF(CB26&lt;&gt;"OK","",IF(OR(BX26="Single",BX26=""), CM26*BV26*AVERAGE(INDEX('DATA TABLES_Project'!$B$250:$B$285, MATCH('DATA TABLES_Project'!$C$247,'DATA TABLES_Project'!$A$250:$A$285, 0)):OFFSET(INDEX('DATA TABLES_Project'!$B$250:$B$285, MATCH('DATA TABLES_Project'!$C$247,'DATA TABLES_Project'!$A$250:$A$285, 0)),BV26-1,0)),CM26*BW26*AVERAGE(INDEX('DATA TABLES_Project'!$B$250:$B$285, MATCH('DATA TABLES_Project'!$C$247,'DATA TABLES_Project'!$A$250:$A$285, 0)):OFFSET(INDEX('DATA TABLES_Project'!$B$250:$B$285, MATCH('DATA TABLES_Project'!$C$247,'DATA TABLES_Project'!$A$250:$A$285, 0)),BW26-1,0)) + ((BY26-AJ26)*(BV26-BW26)*AVERAGE(OFFSET(INDEX('DATA TABLES_Project'!$B$250:$B$285, MATCH('DATA TABLES_Project'!$C$247,'DATA TABLES_Project'!$A$250:$A$285, 0)),BW26,0):OFFSET(INDEX('DATA TABLES_Project'!$B$250:$B$285, MATCH('DATA TABLES_Project'!$C$247,'DATA TABLES_Project'!$A$250:$A$285, 0)),BV26-1,0))))), "")</f>
        <v/>
      </c>
      <c r="DI26" s="925" t="str">
        <f t="shared" ref="DI26" si="101">IFERROR(IF(CB26&lt;&gt;"OK","",IF(BX26="Dual",(CM26*BW26)+((BY26-AJ26)*(BV26-BW26))*CZ26*0.92,CM26*CZ26*BV26*0.92)),"")</f>
        <v/>
      </c>
      <c r="DJ26" s="925" t="str">
        <f ca="1">IFERROR(IF(CB26&lt;&gt;"OK","",IF(OR(BX26="Single",BX26=""),0.92*CZ26*CM26*BV26*AVERAGE(INDEX('DATA TABLES_Project'!$B$250:$B$285, MATCH('DATA TABLES_Project'!$C$247,'DATA TABLES_Project'!$A$250:$A$285, 0)):OFFSET(INDEX('DATA TABLES_Project'!$B$250:$B$285, MATCH('DATA TABLES_Project'!$C$247,'DATA TABLES_Project'!$A$250:$A$285, 0)),BV26-1,0)),0.92*CZ26*CM26*BW26*AVERAGE(INDEX('DATA TABLES_Project'!$B$250:$B$285, MATCH('DATA TABLES_Project'!$C$247,'DATA TABLES_Project'!$A$250:$A$285, 0)):OFFSET(INDEX('DATA TABLES_Project'!$B$250:$B$285, MATCH('DATA TABLES_Project'!$C$247,'DATA TABLES_Project'!$A$250:$A$285, 0)),BW26-1,0)) + (0.92*CZ26*(BY26-AJ26)*(BV26-BW26)*AVERAGE(OFFSET(INDEX('DATA TABLES_Project'!$B$250:$B$285, MATCH('DATA TABLES_Project'!$C$247,'DATA TABLES_Project'!$A$250:$A$285, 0)),BW26,0):OFFSET(INDEX('DATA TABLES_Project'!$B$250:$B$285, MATCH('DATA TABLES_Project'!$C$247,'DATA TABLES_Project'!$A$250:$A$285, 0)),BV26-1,0))))), "")</f>
        <v/>
      </c>
      <c r="DK26" s="925" t="str">
        <f>IFERROR(IF(CB26&lt;&gt;"OK","",CO26*'DATA TABLES_Project'!$C$250),"")</f>
        <v/>
      </c>
      <c r="DL26" s="925" t="str">
        <f t="shared" ref="DL26" si="102">IFERROR(IF(CB26&lt;&gt;"OK","",CO26*DA26*0.92),"")</f>
        <v/>
      </c>
      <c r="DM26" s="925" t="str">
        <f>IFERROR(IF(CB26&lt;&gt;"OK","",CO26*'DATA TABLES_Project'!$C$250*DA26*0.92),"")</f>
        <v/>
      </c>
      <c r="DN26" s="925" t="str">
        <f t="shared" ref="DN26" si="103">IFERROR(IF(CB26&lt;&gt;"OK","",CO26*BV26),IF(BX26="Dual",(CO26*BW26)+((BZ26-AP26)*(BV26-BW26)),""))</f>
        <v/>
      </c>
      <c r="DO26" s="925" t="str">
        <f ca="1">IFERROR(IF(CB26&lt;&gt;"OK","",CO26*BV26*AVERAGE('DATA TABLES_Project'!$C$250:OFFSET('DATA TABLES_Project'!$C$250,BV26,0))),IF(BX26="Dual",(CO26*BW26*AVERAGE('DATA TABLES_Project'!$C$251:$C$259))+((BZ26-AP26)*(BV26-BW26)*AVERAGE('DATA TABLES_Project'!$C$260:$C$279)),""))</f>
        <v/>
      </c>
      <c r="DP26" s="925" t="str">
        <f t="shared" ref="DP26" si="104">IFERROR(IF(CB26&lt;&gt;"OK","",IF(BX26="Dual",((CO26*BW26)+(BZ26-AP26)*(BV26-BW26))*DA26*0.92,CO26*BV26*DA26*0.92)),"")</f>
        <v/>
      </c>
      <c r="DQ26" s="925" t="str">
        <f ca="1">IFERROR(IF(CB26&lt;&gt;"OK","",IF(BX26="Dual",(0.92*DA26*CO26*BW26*AVERAGE('DATA TABLES_Project'!$C$251:$C$259))+(0.92*DA26*(BZ26-AP26)*(BV26-BW26)*AVERAGE('DATA TABLES_Project'!$C$260:$C$279)),0.92*DA26*CO26*BV26*AVERAGE('DATA TABLES_Project'!$C$250:OFFSET('DATA TABLES_Project'!$C$250,BV26,0)))),"")</f>
        <v/>
      </c>
      <c r="DR26" s="980" t="str">
        <f>IFERROR(IF($CB26&lt;&gt;"OK","",CM26*'DATA TABLES_Project'!$B$290+IF(CO26&lt;0,0,CO26*'DATA TABLES_Project'!$B$291)),"")</f>
        <v/>
      </c>
      <c r="DS26" s="980" t="str">
        <f>IFERROR(IF($CB26&lt;&gt;"OK","",DD26*'DATA TABLES_Project'!$B$290+IF(DK26&lt;0,0,DK26*'DATA TABLES_Project'!$B$291)),"")</f>
        <v/>
      </c>
      <c r="DT26" s="980" t="str">
        <f>IFERROR(IF($CB26&lt;&gt;"OK","",DE26*'DATA TABLES_Project'!$B$290+IF(DL26&lt;0,0,DL26*'DATA TABLES_Project'!$B$291)),"")</f>
        <v/>
      </c>
      <c r="DU26" s="980" t="str">
        <f>IFERROR(IF($CB26&lt;&gt;"OK","",DF26*'DATA TABLES_Project'!$B$290+IF(DM26&lt;0,0,DM26*'DATA TABLES_Project'!$B$291)),"")</f>
        <v/>
      </c>
      <c r="DV26" s="980" t="str">
        <f>IFERROR(IF($CB26&lt;&gt;"OK","",DG26*'DATA TABLES_Project'!$B$290+IF(DN26&lt;0,0,DN26*'DATA TABLES_Project'!$B$291)),"")</f>
        <v/>
      </c>
      <c r="DW26" s="980" t="str">
        <f>IFERROR(IF($CB26&lt;&gt;"OK","",DH26*'DATA TABLES_Project'!$B$290+IF(DO26&lt;0,0,DO26*'DATA TABLES_Project'!$B$291)),"")</f>
        <v/>
      </c>
      <c r="DX26" s="980" t="str">
        <f>IFERROR(IF($CB26&lt;&gt;"OK","",DI26*'DATA TABLES_Project'!$B$290+IF(DP26&lt;0,0,DP26*'DATA TABLES_Project'!$B$291)),"")</f>
        <v/>
      </c>
      <c r="DY26" s="925" t="str">
        <f>IFERROR(IF($CB26&lt;&gt;"OK","",DJ26*'DATA TABLES_Project'!$B$290+IF(DQ26&lt;0,0,DQ26*'DATA TABLES_Project'!$B$291)),"")</f>
        <v/>
      </c>
      <c r="DZ26" s="925" t="str">
        <f t="shared" ref="DZ26" si="105">IFERROR(IF($CB26&lt;&gt;"OK","",AS26),"")</f>
        <v/>
      </c>
      <c r="EA26" s="925" t="str">
        <f>IFERROR(IF(CB26&lt;&gt;"OK","",CN26*'DATA TABLES_Project'!$B$250*CZ26*1.03),"")</f>
        <v/>
      </c>
      <c r="EB26" s="925" t="str">
        <f t="shared" ref="EB26" si="106">IFERROR(IF(CB26&lt;&gt;"OK","",CN26*CZ26*1.03),"")</f>
        <v/>
      </c>
      <c r="EC26" s="925" t="str">
        <f>IFERROR(IF(CB26&lt;&gt;"OK","",CZ26*DZ26*'DATA TABLES_Project'!$C$250*0.92),"")</f>
        <v/>
      </c>
      <c r="ED26" s="925" t="str">
        <f>IFERROR(IF(CB26&lt;&gt;"OK","",CZ26*DZ26*'DATA TABLES_Project'!$C$250*0.92),"")</f>
        <v/>
      </c>
      <c r="EE26" s="925" t="str">
        <f t="shared" ref="EE26" si="107">IFERROR(IF(CB26&lt;&gt;"OK","",CZ26*DZ26*0.92),"")</f>
        <v/>
      </c>
      <c r="EF26" s="925" t="str">
        <f t="shared" ref="EF26" si="108">IFERROR(IF(CB26&lt;&gt;"OK","",CZ26*DZ26*0.92),"")</f>
        <v/>
      </c>
      <c r="EG26" s="925" t="str">
        <f>IFERROR(IF($CB26&lt;&gt;"OK","",CM26*'DATA TABLES_Project'!$B$290+CO26*'DATA TABLES_Project'!$B$291),"")</f>
        <v/>
      </c>
      <c r="EH26" s="925" t="str">
        <f>IFERROR(IF($CB26&lt;&gt;"OK","",DD26*'DATA TABLES_Project'!$B$290+DK26*'DATA TABLES_Project'!$B$291),"")</f>
        <v/>
      </c>
      <c r="EI26" s="925" t="str">
        <f>IFERROR(IF($CB26&lt;&gt;"OK","",DE26*'DATA TABLES_Project'!$B$290+DL26*'DATA TABLES_Project'!$B$291),"")</f>
        <v/>
      </c>
      <c r="EJ26" s="925" t="str">
        <f>IFERROR(IF($CB26&lt;&gt;"OK","",DF26*'DATA TABLES_Project'!$B$290+DM26*'DATA TABLES_Project'!$B$291),"")</f>
        <v/>
      </c>
      <c r="EK26" s="925" t="str">
        <f>IFERROR(IF($CB26&lt;&gt;"OK","",DG26*'DATA TABLES_Project'!$B$290+DN26*'DATA TABLES_Project'!$B$291),"")</f>
        <v/>
      </c>
      <c r="EL26" s="925" t="str">
        <f>IFERROR(IF($CB26&lt;&gt;"OK","",DH26*'DATA TABLES_Project'!$B$290+DO26*'DATA TABLES_Project'!$B$291),"")</f>
        <v/>
      </c>
      <c r="EM26" s="925" t="str">
        <f>IFERROR(IF($CB26&lt;&gt;"OK","",DI26*'DATA TABLES_Project'!$B$290+DP26*'DATA TABLES_Project'!$B$291),"")</f>
        <v/>
      </c>
      <c r="EN26" s="925" t="str">
        <f>IFERROR(IF($CB26&lt;&gt;"OK","",DJ26*'DATA TABLES_Project'!$B$290+DQ26*'DATA TABLES_Project'!$B$291),"")</f>
        <v/>
      </c>
    </row>
    <row r="27" spans="1:144" customFormat="1" ht="16.350000000000001" customHeight="1">
      <c r="A27" s="462"/>
      <c r="B27" s="994"/>
      <c r="C27" s="998"/>
      <c r="D27" s="999"/>
      <c r="E27" s="1000"/>
      <c r="F27" s="964"/>
      <c r="G27" s="965"/>
      <c r="H27" s="965"/>
      <c r="I27" s="965"/>
      <c r="J27" s="965"/>
      <c r="K27" s="966"/>
      <c r="L27" s="964"/>
      <c r="M27" s="965"/>
      <c r="N27" s="965"/>
      <c r="O27" s="965"/>
      <c r="P27" s="965"/>
      <c r="Q27" s="966"/>
      <c r="R27" s="1044"/>
      <c r="S27" s="1044"/>
      <c r="T27" s="1044"/>
      <c r="U27" s="1044"/>
      <c r="V27" s="1044"/>
      <c r="W27" s="1044"/>
      <c r="X27" s="1045"/>
      <c r="Y27" s="1045"/>
      <c r="Z27" s="1045"/>
      <c r="AA27" s="1045"/>
      <c r="AB27" s="1045"/>
      <c r="AC27" s="1045"/>
      <c r="AD27" s="964"/>
      <c r="AE27" s="965"/>
      <c r="AF27" s="965"/>
      <c r="AG27" s="965"/>
      <c r="AH27" s="965"/>
      <c r="AI27" s="966"/>
      <c r="AJ27" s="952"/>
      <c r="AK27" s="953"/>
      <c r="AL27" s="954"/>
      <c r="AM27" s="952"/>
      <c r="AN27" s="953"/>
      <c r="AO27" s="954"/>
      <c r="AP27" s="958"/>
      <c r="AQ27" s="959"/>
      <c r="AR27" s="960"/>
      <c r="AS27" s="958"/>
      <c r="AT27" s="959"/>
      <c r="AU27" s="960"/>
      <c r="AV27" s="968"/>
      <c r="AW27" s="969"/>
      <c r="AX27" s="969"/>
      <c r="AY27" s="969"/>
      <c r="AZ27" s="969"/>
      <c r="BA27" s="970"/>
      <c r="BB27" s="947"/>
      <c r="BC27" s="948"/>
      <c r="BD27" s="947"/>
      <c r="BE27" s="948"/>
      <c r="BF27" s="931"/>
      <c r="BG27" s="932"/>
      <c r="BH27" s="974"/>
      <c r="BI27" s="975"/>
      <c r="BJ27" s="976"/>
      <c r="BK27" s="936"/>
      <c r="BL27" s="937"/>
      <c r="BM27" s="938"/>
      <c r="BN27" s="942"/>
      <c r="BO27" s="943"/>
      <c r="BP27" s="944"/>
      <c r="BS27" s="967"/>
      <c r="BT27" s="967"/>
      <c r="BV27" s="926"/>
      <c r="BW27" s="926"/>
      <c r="BX27" s="926"/>
      <c r="BY27" s="927"/>
      <c r="BZ27" s="928"/>
      <c r="CB27" s="986"/>
      <c r="CC27" s="925"/>
      <c r="CD27" s="925"/>
      <c r="CE27" s="925"/>
      <c r="CF27" s="925"/>
      <c r="CG27" s="925"/>
      <c r="CH27" s="925"/>
      <c r="CI27" s="925"/>
      <c r="CJ27" s="977"/>
      <c r="CK27" s="977"/>
      <c r="CL27" s="977"/>
      <c r="CM27" s="977"/>
      <c r="CN27" s="977"/>
      <c r="CO27" s="977"/>
      <c r="CP27" s="977"/>
      <c r="CQ27" s="977"/>
      <c r="CR27" s="977"/>
      <c r="CS27" s="983"/>
      <c r="CT27" s="1056"/>
      <c r="CU27" s="979"/>
      <c r="CV27" s="925"/>
      <c r="CW27" s="925"/>
      <c r="CX27" s="925"/>
      <c r="CY27" s="925"/>
      <c r="CZ27" s="925"/>
      <c r="DA27" s="925"/>
      <c r="DD27" s="981"/>
      <c r="DE27" s="925"/>
      <c r="DF27" s="981"/>
      <c r="DG27" s="925"/>
      <c r="DH27" s="925"/>
      <c r="DI27" s="925"/>
      <c r="DJ27" s="925"/>
      <c r="DK27" s="925"/>
      <c r="DL27" s="925"/>
      <c r="DM27" s="925"/>
      <c r="DN27" s="925"/>
      <c r="DO27" s="925"/>
      <c r="DP27" s="925"/>
      <c r="DQ27" s="925"/>
      <c r="DR27" s="981"/>
      <c r="DS27" s="981"/>
      <c r="DT27" s="981"/>
      <c r="DU27" s="981"/>
      <c r="DV27" s="981"/>
      <c r="DW27" s="981"/>
      <c r="DX27" s="981"/>
      <c r="DY27" s="925"/>
      <c r="DZ27" s="925"/>
      <c r="EA27" s="925"/>
      <c r="EB27" s="925"/>
      <c r="EC27" s="925"/>
      <c r="ED27" s="925"/>
      <c r="EE27" s="925"/>
      <c r="EF27" s="925"/>
      <c r="EG27" s="925"/>
      <c r="EH27" s="925"/>
      <c r="EI27" s="925"/>
      <c r="EJ27" s="925"/>
      <c r="EK27" s="925"/>
      <c r="EL27" s="925"/>
      <c r="EM27" s="925"/>
      <c r="EN27" s="925"/>
    </row>
    <row r="28" spans="1:144" customFormat="1" ht="16.350000000000001" customHeight="1">
      <c r="A28" s="462"/>
      <c r="B28" s="994">
        <v>6</v>
      </c>
      <c r="C28" s="995"/>
      <c r="D28" s="996"/>
      <c r="E28" s="997"/>
      <c r="F28" s="961"/>
      <c r="G28" s="962"/>
      <c r="H28" s="962"/>
      <c r="I28" s="962"/>
      <c r="J28" s="962"/>
      <c r="K28" s="963"/>
      <c r="L28" s="961"/>
      <c r="M28" s="962"/>
      <c r="N28" s="962"/>
      <c r="O28" s="962"/>
      <c r="P28" s="962"/>
      <c r="Q28" s="963"/>
      <c r="R28" s="1044"/>
      <c r="S28" s="1044"/>
      <c r="T28" s="1044"/>
      <c r="U28" s="1044"/>
      <c r="V28" s="1044"/>
      <c r="W28" s="1044"/>
      <c r="X28" s="1045"/>
      <c r="Y28" s="1045"/>
      <c r="Z28" s="1045"/>
      <c r="AA28" s="1045"/>
      <c r="AB28" s="1045"/>
      <c r="AC28" s="1045"/>
      <c r="AD28" s="961"/>
      <c r="AE28" s="962"/>
      <c r="AF28" s="962"/>
      <c r="AG28" s="962"/>
      <c r="AH28" s="962"/>
      <c r="AI28" s="963"/>
      <c r="AJ28" s="949"/>
      <c r="AK28" s="950"/>
      <c r="AL28" s="951"/>
      <c r="AM28" s="949"/>
      <c r="AN28" s="950"/>
      <c r="AO28" s="951"/>
      <c r="AP28" s="955"/>
      <c r="AQ28" s="956"/>
      <c r="AR28" s="957"/>
      <c r="AS28" s="955"/>
      <c r="AT28" s="956"/>
      <c r="AU28" s="957"/>
      <c r="AV28" s="968"/>
      <c r="AW28" s="969"/>
      <c r="AX28" s="970"/>
      <c r="AY28" s="968"/>
      <c r="AZ28" s="969"/>
      <c r="BA28" s="970"/>
      <c r="BB28" s="945"/>
      <c r="BC28" s="946"/>
      <c r="BD28" s="945"/>
      <c r="BE28" s="946"/>
      <c r="BF28" s="929" t="str">
        <f t="shared" ref="BF28" si="109">IF(CB28="OK",ROUND(BB28+BD28,2),"")</f>
        <v/>
      </c>
      <c r="BG28" s="930"/>
      <c r="BH28" s="971" t="str">
        <f t="shared" ref="BH28" si="110">IFERROR(IF(AND($CB28="OK",$CU28="OK"),$CI28,IF($CB28&lt;&gt;"OK",$CB28,$CU28)),"")</f>
        <v/>
      </c>
      <c r="BI28" s="972"/>
      <c r="BJ28" s="973"/>
      <c r="BK28" s="933" t="str">
        <f t="shared" ref="BK28" si="111">IF($CB28="OK",CM28,"")</f>
        <v/>
      </c>
      <c r="BL28" s="934"/>
      <c r="BM28" s="935"/>
      <c r="BN28" s="939" t="str">
        <f t="shared" ref="BN28" si="112">IF($CB28="OK",$CR28,"")</f>
        <v/>
      </c>
      <c r="BO28" s="940"/>
      <c r="BP28" s="941"/>
      <c r="BS28" s="967"/>
      <c r="BT28" s="967"/>
      <c r="BV28" s="926" t="str">
        <f t="shared" ref="BV28" si="113">IFERROR(ROUND(IF(AND(CB28="OK",CU28="OK"),CT28,""),0),"")</f>
        <v/>
      </c>
      <c r="BW28" s="926" t="str">
        <f t="shared" ref="BW28" si="114">IFERROR(ROUND(IF(AND(CB28="OK",CU28="OK"),BV28/3,""),0),"")</f>
        <v/>
      </c>
      <c r="BX28" s="926"/>
      <c r="BY28" s="927"/>
      <c r="BZ28" s="928"/>
      <c r="CB28" s="986" t="str">
        <f>IF(AND(C28="",F28="",R28="",AD28="",U28="",X28="",L28="",AJ28="",AV28="",AM28="",AP28="",AY28="",AV29="",BB28="",BD28="",AA28="",AS28=""),"",
IF(OR(C28="",F28="",R28="",AD28="",U28="",X28="",L28="",AJ28="",AV28="",AM28="",AP28="",AY28="",AV29="",BB28="",BD28="",AA28="",AS28=""),"Missing Fields",
IF(AND(M02S04F04disp="Required",M02S04F04=""),"TA Info Incomplete",
"OK")))</f>
        <v/>
      </c>
      <c r="CC28" s="925" t="str">
        <f>IF(AND(CB28="OK",CU28="OK"),INDEX(Tbl_Cust_Res[Measure Number], MATCH(F28,Tbl_Cust_Res[Proj Desc 1],0)),"")</f>
        <v/>
      </c>
      <c r="CD28" s="925"/>
      <c r="CE28" s="925" t="str">
        <f t="shared" ref="CE28" si="115">IF(CB28="OK","Measure","")</f>
        <v/>
      </c>
      <c r="CF28" s="925" t="str">
        <f t="shared" ref="CF28" si="116">IF(CB28="OK",1,"")</f>
        <v/>
      </c>
      <c r="CG28" s="978" t="str">
        <f t="shared" ref="CG28" si="117">IFERROR(CI28/CF28,"")</f>
        <v/>
      </c>
      <c r="CH28" s="978" t="str">
        <f>IF(CB28="OK",IF(CM28&gt;0,CM28*Incent_Rate_kWh,0)+IF(CO28&gt;0,CO28*Incent_Rate_thm,0),"")</f>
        <v/>
      </c>
      <c r="CI28" s="978" t="str">
        <f>IFERROR(IF($CB28="OK",IF(INCENTTOCOST_CUST&gt;CostCap_Cust,
CH28*CostCap_Cust/INCENTTOCOST_CUST,CH28),""),"")</f>
        <v/>
      </c>
      <c r="CJ28" s="977">
        <f t="shared" ref="CJ28" si="118">CM28</f>
        <v>0</v>
      </c>
      <c r="CK28" s="977">
        <f t="shared" ref="CK28" si="119">CN28</f>
        <v>0</v>
      </c>
      <c r="CL28" s="977">
        <f t="shared" ref="CL28" si="120">CO28</f>
        <v>0</v>
      </c>
      <c r="CM28" s="977">
        <f>R28-AJ28</f>
        <v>0</v>
      </c>
      <c r="CN28" s="977">
        <f>U28-AM28</f>
        <v>0</v>
      </c>
      <c r="CO28" s="977">
        <f t="shared" ref="CO28" si="121">IF(CR28&gt;0,CR28,0)</f>
        <v>0</v>
      </c>
      <c r="CP28" s="977">
        <f t="shared" ref="CP28" si="122">CM28</f>
        <v>0</v>
      </c>
      <c r="CQ28" s="977">
        <f t="shared" ref="CQ28" si="123">CN28</f>
        <v>0</v>
      </c>
      <c r="CR28" s="977">
        <f>X28-AP28</f>
        <v>0</v>
      </c>
      <c r="CS28" s="983"/>
      <c r="CT28" s="1056" t="str">
        <f>IF(CB28="OK",INDEX(Tbl_Cust_Res[EUL], MATCH(F28,Tbl_Cust_Res[Proj Desc 1],0)),"")</f>
        <v/>
      </c>
      <c r="CU28" s="979" t="str">
        <f t="shared" ref="CU28" si="124">IFERROR(IF(AND($CM28&lt;=0,$CN28&lt;=0,$CO28&lt;=0),"No Savings","OK"),"")</f>
        <v>No Savings</v>
      </c>
      <c r="CV28" s="925" t="str">
        <f t="shared" ref="CV28" si="125">IF(AND(CB28="OK",CU28="OK"),"1","")</f>
        <v/>
      </c>
      <c r="CW28" s="925" t="str">
        <f>IFERROR(IF($CB28="OK",ROUND($AQ$14*SUM(BB28:BE29)/SUM($BF$18:$BG$37),2),""),"")</f>
        <v/>
      </c>
      <c r="CX28" s="925" t="str">
        <f>IFERROR(IF(M02S04F04="Customer/Self-Installed",CW28,IF($CB28="OK",CW28+BD28,"")),"")</f>
        <v/>
      </c>
      <c r="CY28" s="925" t="str">
        <f>IFERROR(IF($CB28="OK",CX28+BB28,""),"")</f>
        <v/>
      </c>
      <c r="CZ28" s="925" t="str">
        <f>IF(CB28="OK",INDEX(MEASURES3_M!$O$50, MATCH(F28,MEASURES3_M!$C$50,0)),"")</f>
        <v/>
      </c>
      <c r="DA28" s="925" t="str">
        <f>IF(CB28="OK",INDEX(MEASURES3_M!$P$50, MATCH(F28,MEASURES3_M!$C$50,0)),"")</f>
        <v/>
      </c>
      <c r="DD28" s="980" t="str">
        <f>IFERROR(IF(CB28&lt;&gt;"OK","",CM28*VLOOKUP('DATA TABLES_Project'!$C$247,'DATA TABLES_Project'!$A$250:$B$285,2,FALSE)),"")</f>
        <v/>
      </c>
      <c r="DE28" s="925" t="str">
        <f t="shared" ref="DE28" si="126">IFERROR(IF(CB28&lt;&gt;"OK","",CM28*CZ28*0.92),"")</f>
        <v/>
      </c>
      <c r="DF28" s="980" t="str">
        <f>IFERROR(IF(CB28&lt;&gt;"OK","",CM28*CZ28*0.92*VLOOKUP('DATA TABLES_Project'!$C$247,'DATA TABLES_Project'!$A$250:$B$285,2,FALSE)),"")</f>
        <v/>
      </c>
      <c r="DG28" s="925" t="str">
        <f t="shared" ref="DG28" si="127">IFERROR(IF(CB28&lt;&gt;"OK","",CM28*BV28),IF(BX28="Dual",(CM28*BW28)+((BY28-AJ28)*(BV28-BW28)),""))</f>
        <v/>
      </c>
      <c r="DH28" s="925" t="str">
        <f ca="1">IFERROR(IF(CB28&lt;&gt;"OK","",IF(OR(BX28="Single",BX28=""), CM28*BV28*AVERAGE(INDEX('DATA TABLES_Project'!$B$250:$B$285, MATCH('DATA TABLES_Project'!$C$247,'DATA TABLES_Project'!$A$250:$A$285, 0)):OFFSET(INDEX('DATA TABLES_Project'!$B$250:$B$285, MATCH('DATA TABLES_Project'!$C$247,'DATA TABLES_Project'!$A$250:$A$285, 0)),BV28-1,0)),CM28*BW28*AVERAGE(INDEX('DATA TABLES_Project'!$B$250:$B$285, MATCH('DATA TABLES_Project'!$C$247,'DATA TABLES_Project'!$A$250:$A$285, 0)):OFFSET(INDEX('DATA TABLES_Project'!$B$250:$B$285, MATCH('DATA TABLES_Project'!$C$247,'DATA TABLES_Project'!$A$250:$A$285, 0)),BW28-1,0)) + ((BY28-AJ28)*(BV28-BW28)*AVERAGE(OFFSET(INDEX('DATA TABLES_Project'!$B$250:$B$285, MATCH('DATA TABLES_Project'!$C$247,'DATA TABLES_Project'!$A$250:$A$285, 0)),BW28,0):OFFSET(INDEX('DATA TABLES_Project'!$B$250:$B$285, MATCH('DATA TABLES_Project'!$C$247,'DATA TABLES_Project'!$A$250:$A$285, 0)),BV28-1,0))))), "")</f>
        <v/>
      </c>
      <c r="DI28" s="925" t="str">
        <f t="shared" ref="DI28" si="128">IFERROR(IF(CB28&lt;&gt;"OK","",IF(BX28="Dual",(CM28*BW28)+((BY28-AJ28)*(BV28-BW28))*CZ28*0.92,CM28*CZ28*BV28*0.92)),"")</f>
        <v/>
      </c>
      <c r="DJ28" s="925" t="str">
        <f ca="1">IFERROR(IF(CB28&lt;&gt;"OK","",IF(OR(BX28="Single",BX28=""),0.92*CZ28*CM28*BV28*AVERAGE(INDEX('DATA TABLES_Project'!$B$250:$B$285, MATCH('DATA TABLES_Project'!$C$247,'DATA TABLES_Project'!$A$250:$A$285, 0)):OFFSET(INDEX('DATA TABLES_Project'!$B$250:$B$285, MATCH('DATA TABLES_Project'!$C$247,'DATA TABLES_Project'!$A$250:$A$285, 0)),BV28-1,0)),0.92*CZ28*CM28*BW28*AVERAGE(INDEX('DATA TABLES_Project'!$B$250:$B$285, MATCH('DATA TABLES_Project'!$C$247,'DATA TABLES_Project'!$A$250:$A$285, 0)):OFFSET(INDEX('DATA TABLES_Project'!$B$250:$B$285, MATCH('DATA TABLES_Project'!$C$247,'DATA TABLES_Project'!$A$250:$A$285, 0)),BW28-1,0)) + (0.92*CZ28*(BY28-AJ28)*(BV28-BW28)*AVERAGE(OFFSET(INDEX('DATA TABLES_Project'!$B$250:$B$285, MATCH('DATA TABLES_Project'!$C$247,'DATA TABLES_Project'!$A$250:$A$285, 0)),BW28,0):OFFSET(INDEX('DATA TABLES_Project'!$B$250:$B$285, MATCH('DATA TABLES_Project'!$C$247,'DATA TABLES_Project'!$A$250:$A$285, 0)),BV28-1,0))))), "")</f>
        <v/>
      </c>
      <c r="DK28" s="925" t="str">
        <f>IFERROR(IF(CB28&lt;&gt;"OK","",CO28*'DATA TABLES_Project'!$C$250),"")</f>
        <v/>
      </c>
      <c r="DL28" s="925" t="str">
        <f t="shared" ref="DL28" si="129">IFERROR(IF(CB28&lt;&gt;"OK","",CO28*DA28*0.92),"")</f>
        <v/>
      </c>
      <c r="DM28" s="925" t="str">
        <f>IFERROR(IF(CB28&lt;&gt;"OK","",CO28*'DATA TABLES_Project'!$C$250*DA28*0.92),"")</f>
        <v/>
      </c>
      <c r="DN28" s="925" t="str">
        <f t="shared" ref="DN28" si="130">IFERROR(IF(CB28&lt;&gt;"OK","",CO28*BV28),IF(BX28="Dual",(CO28*BW28)+((BZ28-AP28)*(BV28-BW28)),""))</f>
        <v/>
      </c>
      <c r="DO28" s="925" t="str">
        <f ca="1">IFERROR(IF(CB28&lt;&gt;"OK","",CO28*BV28*AVERAGE('DATA TABLES_Project'!$C$250:OFFSET('DATA TABLES_Project'!$C$250,BV28,0))),IF(BX28="Dual",(CO28*BW28*AVERAGE('DATA TABLES_Project'!$C$251:$C$259))+((BZ28-AP28)*(BV28-BW28)*AVERAGE('DATA TABLES_Project'!$C$260:$C$279)),""))</f>
        <v/>
      </c>
      <c r="DP28" s="925" t="str">
        <f t="shared" ref="DP28" si="131">IFERROR(IF(CB28&lt;&gt;"OK","",IF(BX28="Dual",((CO28*BW28)+(BZ28-AP28)*(BV28-BW28))*DA28*0.92,CO28*BV28*DA28*0.92)),"")</f>
        <v/>
      </c>
      <c r="DQ28" s="925" t="str">
        <f ca="1">IFERROR(IF(CB28&lt;&gt;"OK","",IF(BX28="Dual",(0.92*DA28*CO28*BW28*AVERAGE('DATA TABLES_Project'!$C$251:$C$259))+(0.92*DA28*(BZ28-AP28)*(BV28-BW28)*AVERAGE('DATA TABLES_Project'!$C$260:$C$279)),0.92*DA28*CO28*BV28*AVERAGE('DATA TABLES_Project'!$C$250:OFFSET('DATA TABLES_Project'!$C$250,BV28,0)))),"")</f>
        <v/>
      </c>
      <c r="DR28" s="980" t="str">
        <f>IFERROR(IF($CB28&lt;&gt;"OK","",CM28*'DATA TABLES_Project'!$B$290+IF(CO28&lt;0,0,CO28*'DATA TABLES_Project'!$B$291)),"")</f>
        <v/>
      </c>
      <c r="DS28" s="980" t="str">
        <f>IFERROR(IF($CB28&lt;&gt;"OK","",DD28*'DATA TABLES_Project'!$B$290+IF(DK28&lt;0,0,DK28*'DATA TABLES_Project'!$B$291)),"")</f>
        <v/>
      </c>
      <c r="DT28" s="980" t="str">
        <f>IFERROR(IF($CB28&lt;&gt;"OK","",DE28*'DATA TABLES_Project'!$B$290+IF(DL28&lt;0,0,DL28*'DATA TABLES_Project'!$B$291)),"")</f>
        <v/>
      </c>
      <c r="DU28" s="980" t="str">
        <f>IFERROR(IF($CB28&lt;&gt;"OK","",DF28*'DATA TABLES_Project'!$B$290+IF(DM28&lt;0,0,DM28*'DATA TABLES_Project'!$B$291)),"")</f>
        <v/>
      </c>
      <c r="DV28" s="980" t="str">
        <f>IFERROR(IF($CB28&lt;&gt;"OK","",DG28*'DATA TABLES_Project'!$B$290+IF(DN28&lt;0,0,DN28*'DATA TABLES_Project'!$B$291)),"")</f>
        <v/>
      </c>
      <c r="DW28" s="980" t="str">
        <f>IFERROR(IF($CB28&lt;&gt;"OK","",DH28*'DATA TABLES_Project'!$B$290+IF(DO28&lt;0,0,DO28*'DATA TABLES_Project'!$B$291)),"")</f>
        <v/>
      </c>
      <c r="DX28" s="980" t="str">
        <f>IFERROR(IF($CB28&lt;&gt;"OK","",DI28*'DATA TABLES_Project'!$B$290+IF(DP28&lt;0,0,DP28*'DATA TABLES_Project'!$B$291)),"")</f>
        <v/>
      </c>
      <c r="DY28" s="925" t="str">
        <f>IFERROR(IF($CB28&lt;&gt;"OK","",DJ28*'DATA TABLES_Project'!$B$290+IF(DQ28&lt;0,0,DQ28*'DATA TABLES_Project'!$B$291)),"")</f>
        <v/>
      </c>
      <c r="DZ28" s="925" t="str">
        <f t="shared" ref="DZ28" si="132">IFERROR(IF($CB28&lt;&gt;"OK","",AS28),"")</f>
        <v/>
      </c>
      <c r="EA28" s="925" t="str">
        <f>IFERROR(IF(CB28&lt;&gt;"OK","",CN28*'DATA TABLES_Project'!$B$250*CZ28*1.03),"")</f>
        <v/>
      </c>
      <c r="EB28" s="925" t="str">
        <f t="shared" ref="EB28" si="133">IFERROR(IF(CB28&lt;&gt;"OK","",CN28*CZ28*1.03),"")</f>
        <v/>
      </c>
      <c r="EC28" s="925" t="str">
        <f>IFERROR(IF(CB28&lt;&gt;"OK","",CZ28*DZ28*'DATA TABLES_Project'!$C$250*0.92),"")</f>
        <v/>
      </c>
      <c r="ED28" s="925" t="str">
        <f>IFERROR(IF(CB28&lt;&gt;"OK","",CZ28*DZ28*'DATA TABLES_Project'!$C$250*0.92),"")</f>
        <v/>
      </c>
      <c r="EE28" s="925" t="str">
        <f t="shared" ref="EE28" si="134">IFERROR(IF(CB28&lt;&gt;"OK","",CZ28*DZ28*0.92),"")</f>
        <v/>
      </c>
      <c r="EF28" s="925" t="str">
        <f t="shared" ref="EF28" si="135">IFERROR(IF(CB28&lt;&gt;"OK","",CZ28*DZ28*0.92),"")</f>
        <v/>
      </c>
      <c r="EG28" s="925" t="str">
        <f>IFERROR(IF($CB28&lt;&gt;"OK","",CM28*'DATA TABLES_Project'!$B$290+CO28*'DATA TABLES_Project'!$B$291),"")</f>
        <v/>
      </c>
      <c r="EH28" s="925" t="str">
        <f>IFERROR(IF($CB28&lt;&gt;"OK","",DD28*'DATA TABLES_Project'!$B$290+DK28*'DATA TABLES_Project'!$B$291),"")</f>
        <v/>
      </c>
      <c r="EI28" s="925" t="str">
        <f>IFERROR(IF($CB28&lt;&gt;"OK","",DE28*'DATA TABLES_Project'!$B$290+DL28*'DATA TABLES_Project'!$B$291),"")</f>
        <v/>
      </c>
      <c r="EJ28" s="925" t="str">
        <f>IFERROR(IF($CB28&lt;&gt;"OK","",DF28*'DATA TABLES_Project'!$B$290+DM28*'DATA TABLES_Project'!$B$291),"")</f>
        <v/>
      </c>
      <c r="EK28" s="925" t="str">
        <f>IFERROR(IF($CB28&lt;&gt;"OK","",DG28*'DATA TABLES_Project'!$B$290+DN28*'DATA TABLES_Project'!$B$291),"")</f>
        <v/>
      </c>
      <c r="EL28" s="925" t="str">
        <f>IFERROR(IF($CB28&lt;&gt;"OK","",DH28*'DATA TABLES_Project'!$B$290+DO28*'DATA TABLES_Project'!$B$291),"")</f>
        <v/>
      </c>
      <c r="EM28" s="925" t="str">
        <f>IFERROR(IF($CB28&lt;&gt;"OK","",DI28*'DATA TABLES_Project'!$B$290+DP28*'DATA TABLES_Project'!$B$291),"")</f>
        <v/>
      </c>
      <c r="EN28" s="925" t="str">
        <f>IFERROR(IF($CB28&lt;&gt;"OK","",DJ28*'DATA TABLES_Project'!$B$290+DQ28*'DATA TABLES_Project'!$B$291),"")</f>
        <v/>
      </c>
    </row>
    <row r="29" spans="1:144" customFormat="1" ht="16.350000000000001" customHeight="1">
      <c r="A29" s="462"/>
      <c r="B29" s="994"/>
      <c r="C29" s="998"/>
      <c r="D29" s="999"/>
      <c r="E29" s="1000"/>
      <c r="F29" s="964"/>
      <c r="G29" s="965"/>
      <c r="H29" s="965"/>
      <c r="I29" s="965"/>
      <c r="J29" s="965"/>
      <c r="K29" s="966"/>
      <c r="L29" s="964"/>
      <c r="M29" s="965"/>
      <c r="N29" s="965"/>
      <c r="O29" s="965"/>
      <c r="P29" s="965"/>
      <c r="Q29" s="966"/>
      <c r="R29" s="1044"/>
      <c r="S29" s="1044"/>
      <c r="T29" s="1044"/>
      <c r="U29" s="1044"/>
      <c r="V29" s="1044"/>
      <c r="W29" s="1044"/>
      <c r="X29" s="1045"/>
      <c r="Y29" s="1045"/>
      <c r="Z29" s="1045"/>
      <c r="AA29" s="1045"/>
      <c r="AB29" s="1045"/>
      <c r="AC29" s="1045"/>
      <c r="AD29" s="964"/>
      <c r="AE29" s="965"/>
      <c r="AF29" s="965"/>
      <c r="AG29" s="965"/>
      <c r="AH29" s="965"/>
      <c r="AI29" s="966"/>
      <c r="AJ29" s="952"/>
      <c r="AK29" s="953"/>
      <c r="AL29" s="954"/>
      <c r="AM29" s="952"/>
      <c r="AN29" s="953"/>
      <c r="AO29" s="954"/>
      <c r="AP29" s="958"/>
      <c r="AQ29" s="959"/>
      <c r="AR29" s="960"/>
      <c r="AS29" s="958"/>
      <c r="AT29" s="959"/>
      <c r="AU29" s="960"/>
      <c r="AV29" s="968"/>
      <c r="AW29" s="969"/>
      <c r="AX29" s="969"/>
      <c r="AY29" s="969"/>
      <c r="AZ29" s="969"/>
      <c r="BA29" s="970"/>
      <c r="BB29" s="947"/>
      <c r="BC29" s="948"/>
      <c r="BD29" s="947"/>
      <c r="BE29" s="948"/>
      <c r="BF29" s="931"/>
      <c r="BG29" s="932"/>
      <c r="BH29" s="974"/>
      <c r="BI29" s="975"/>
      <c r="BJ29" s="976"/>
      <c r="BK29" s="936"/>
      <c r="BL29" s="937"/>
      <c r="BM29" s="938"/>
      <c r="BN29" s="942"/>
      <c r="BO29" s="943"/>
      <c r="BP29" s="944"/>
      <c r="BS29" s="967"/>
      <c r="BT29" s="967"/>
      <c r="BV29" s="926"/>
      <c r="BW29" s="926"/>
      <c r="BX29" s="926"/>
      <c r="BY29" s="927"/>
      <c r="BZ29" s="928"/>
      <c r="CB29" s="986"/>
      <c r="CC29" s="925"/>
      <c r="CD29" s="925"/>
      <c r="CE29" s="925"/>
      <c r="CF29" s="925"/>
      <c r="CG29" s="925"/>
      <c r="CH29" s="925"/>
      <c r="CI29" s="925"/>
      <c r="CJ29" s="977"/>
      <c r="CK29" s="977"/>
      <c r="CL29" s="977"/>
      <c r="CM29" s="977"/>
      <c r="CN29" s="977"/>
      <c r="CO29" s="977"/>
      <c r="CP29" s="977"/>
      <c r="CQ29" s="977"/>
      <c r="CR29" s="977"/>
      <c r="CS29" s="983"/>
      <c r="CT29" s="1056"/>
      <c r="CU29" s="979"/>
      <c r="CV29" s="925"/>
      <c r="CW29" s="925"/>
      <c r="CX29" s="925"/>
      <c r="CY29" s="925"/>
      <c r="CZ29" s="925"/>
      <c r="DA29" s="925"/>
      <c r="DD29" s="981"/>
      <c r="DE29" s="925"/>
      <c r="DF29" s="981"/>
      <c r="DG29" s="925"/>
      <c r="DH29" s="925"/>
      <c r="DI29" s="925"/>
      <c r="DJ29" s="925"/>
      <c r="DK29" s="925"/>
      <c r="DL29" s="925"/>
      <c r="DM29" s="925"/>
      <c r="DN29" s="925"/>
      <c r="DO29" s="925"/>
      <c r="DP29" s="925"/>
      <c r="DQ29" s="925"/>
      <c r="DR29" s="981"/>
      <c r="DS29" s="981"/>
      <c r="DT29" s="981"/>
      <c r="DU29" s="981"/>
      <c r="DV29" s="981"/>
      <c r="DW29" s="981"/>
      <c r="DX29" s="981"/>
      <c r="DY29" s="925"/>
      <c r="DZ29" s="925"/>
      <c r="EA29" s="925"/>
      <c r="EB29" s="925"/>
      <c r="EC29" s="925"/>
      <c r="ED29" s="925"/>
      <c r="EE29" s="925"/>
      <c r="EF29" s="925"/>
      <c r="EG29" s="925"/>
      <c r="EH29" s="925"/>
      <c r="EI29" s="925"/>
      <c r="EJ29" s="925"/>
      <c r="EK29" s="925"/>
      <c r="EL29" s="925"/>
      <c r="EM29" s="925"/>
      <c r="EN29" s="925"/>
    </row>
    <row r="30" spans="1:144" customFormat="1" ht="15.75" customHeight="1">
      <c r="A30" s="462"/>
      <c r="B30" s="994">
        <v>7</v>
      </c>
      <c r="C30" s="995"/>
      <c r="D30" s="996"/>
      <c r="E30" s="997"/>
      <c r="F30" s="961"/>
      <c r="G30" s="962"/>
      <c r="H30" s="962"/>
      <c r="I30" s="962"/>
      <c r="J30" s="962"/>
      <c r="K30" s="963"/>
      <c r="L30" s="961"/>
      <c r="M30" s="962"/>
      <c r="N30" s="962"/>
      <c r="O30" s="962"/>
      <c r="P30" s="962"/>
      <c r="Q30" s="963"/>
      <c r="R30" s="1044"/>
      <c r="S30" s="1044"/>
      <c r="T30" s="1044"/>
      <c r="U30" s="1044"/>
      <c r="V30" s="1044"/>
      <c r="W30" s="1044"/>
      <c r="X30" s="1045"/>
      <c r="Y30" s="1045"/>
      <c r="Z30" s="1045"/>
      <c r="AA30" s="1045"/>
      <c r="AB30" s="1045"/>
      <c r="AC30" s="1045"/>
      <c r="AD30" s="961"/>
      <c r="AE30" s="962"/>
      <c r="AF30" s="962"/>
      <c r="AG30" s="962"/>
      <c r="AH30" s="962"/>
      <c r="AI30" s="963"/>
      <c r="AJ30" s="949"/>
      <c r="AK30" s="950"/>
      <c r="AL30" s="951"/>
      <c r="AM30" s="949"/>
      <c r="AN30" s="950"/>
      <c r="AO30" s="951"/>
      <c r="AP30" s="955"/>
      <c r="AQ30" s="956"/>
      <c r="AR30" s="957"/>
      <c r="AS30" s="955"/>
      <c r="AT30" s="956"/>
      <c r="AU30" s="957"/>
      <c r="AV30" s="968"/>
      <c r="AW30" s="969"/>
      <c r="AX30" s="970"/>
      <c r="AY30" s="968"/>
      <c r="AZ30" s="969"/>
      <c r="BA30" s="970"/>
      <c r="BB30" s="945"/>
      <c r="BC30" s="946"/>
      <c r="BD30" s="945"/>
      <c r="BE30" s="946"/>
      <c r="BF30" s="929" t="str">
        <f t="shared" ref="BF30" si="136">IF(CB30="OK",ROUND(BB30+BD30,2),"")</f>
        <v/>
      </c>
      <c r="BG30" s="930"/>
      <c r="BH30" s="971" t="str">
        <f t="shared" ref="BH30" si="137">IFERROR(IF(AND($CB30="OK",$CU30="OK"),$CI30,IF($CB30&lt;&gt;"OK",$CB30,$CU30)),"")</f>
        <v/>
      </c>
      <c r="BI30" s="972"/>
      <c r="BJ30" s="973"/>
      <c r="BK30" s="933" t="str">
        <f t="shared" ref="BK30" si="138">IF($CB30="OK",CM30,"")</f>
        <v/>
      </c>
      <c r="BL30" s="934"/>
      <c r="BM30" s="935"/>
      <c r="BN30" s="939" t="str">
        <f t="shared" ref="BN30" si="139">IF($CB30="OK",$CR30,"")</f>
        <v/>
      </c>
      <c r="BO30" s="940"/>
      <c r="BP30" s="941"/>
      <c r="BS30" s="967"/>
      <c r="BT30" s="967"/>
      <c r="BV30" s="926" t="str">
        <f t="shared" ref="BV30" si="140">IFERROR(ROUND(IF(AND(CB30="OK",CU30="OK"),CT30,""),0),"")</f>
        <v/>
      </c>
      <c r="BW30" s="926" t="str">
        <f t="shared" ref="BW30" si="141">IFERROR(ROUND(IF(AND(CB30="OK",CU30="OK"),BV30/3,""),0),"")</f>
        <v/>
      </c>
      <c r="BX30" s="926"/>
      <c r="BY30" s="927"/>
      <c r="BZ30" s="928"/>
      <c r="CB30" s="986" t="str">
        <f>IF(AND(C30="",F30="",R30="",AD30="",U30="",X30="",L30="",AJ30="",AV30="",AM30="",AP30="",AY30="",AV31="",BB30="",BD30="",AA30="",AS30=""),"",
IF(OR(C30="",F30="",R30="",AD30="",U30="",X30="",L30="",AJ30="",AV30="",AM30="",AP30="",AY30="",AV31="",BB30="",BD30="",AA30="",AS30=""),"Missing Fields",
IF(AND(M02S04F04disp="Required",M02S04F04=""),"TA Info Incomplete",
"OK")))</f>
        <v/>
      </c>
      <c r="CC30" s="925" t="str">
        <f>IF(AND(CB30="OK",CU30="OK"),INDEX(Tbl_Cust_Res[Measure Number], MATCH(F30,Tbl_Cust_Res[Proj Desc 1],0)),"")</f>
        <v/>
      </c>
      <c r="CD30" s="925"/>
      <c r="CE30" s="925" t="str">
        <f t="shared" ref="CE30" si="142">IF(CB30="OK","Measure","")</f>
        <v/>
      </c>
      <c r="CF30" s="925" t="str">
        <f t="shared" ref="CF30" si="143">IF(CB30="OK",1,"")</f>
        <v/>
      </c>
      <c r="CG30" s="978" t="str">
        <f t="shared" ref="CG30" si="144">IFERROR(CI30/CF30,"")</f>
        <v/>
      </c>
      <c r="CH30" s="978" t="str">
        <f>IF(CB30="OK",IF(CM30&gt;0,CM30*Incent_Rate_kWh,0)+IF(CO30&gt;0,CO30*Incent_Rate_thm,0),"")</f>
        <v/>
      </c>
      <c r="CI30" s="978" t="str">
        <f>IFERROR(IF($CB30="OK",IF(INCENTTOCOST_CUST&gt;CostCap_Cust,
CH30*CostCap_Cust/INCENTTOCOST_CUST,CH30),""),"")</f>
        <v/>
      </c>
      <c r="CJ30" s="977">
        <f t="shared" ref="CJ30" si="145">CM30</f>
        <v>0</v>
      </c>
      <c r="CK30" s="977">
        <f t="shared" ref="CK30" si="146">CN30</f>
        <v>0</v>
      </c>
      <c r="CL30" s="977">
        <f t="shared" ref="CL30" si="147">CO30</f>
        <v>0</v>
      </c>
      <c r="CM30" s="977">
        <f>R30-AJ30</f>
        <v>0</v>
      </c>
      <c r="CN30" s="977">
        <f>U30-AM30</f>
        <v>0</v>
      </c>
      <c r="CO30" s="977">
        <f t="shared" ref="CO30" si="148">IF(CR30&gt;0,CR30,0)</f>
        <v>0</v>
      </c>
      <c r="CP30" s="977">
        <f t="shared" ref="CP30" si="149">CM30</f>
        <v>0</v>
      </c>
      <c r="CQ30" s="977">
        <f t="shared" ref="CQ30" si="150">CN30</f>
        <v>0</v>
      </c>
      <c r="CR30" s="977">
        <f>X30-AP30</f>
        <v>0</v>
      </c>
      <c r="CS30" s="983"/>
      <c r="CT30" s="1056" t="str">
        <f>IF(CB30="OK",INDEX(Tbl_Cust_Res[EUL], MATCH(F30,Tbl_Cust_Res[Proj Desc 1],0)),"")</f>
        <v/>
      </c>
      <c r="CU30" s="979" t="str">
        <f t="shared" ref="CU30" si="151">IFERROR(IF(AND($CM30&lt;=0,$CN30&lt;=0,$CO30&lt;=0),"No Savings","OK"),"")</f>
        <v>No Savings</v>
      </c>
      <c r="CV30" s="925" t="str">
        <f t="shared" ref="CV30" si="152">IF(AND(CB30="OK",CU30="OK"),"1","")</f>
        <v/>
      </c>
      <c r="CW30" s="925" t="str">
        <f>IFERROR(IF($CB30="OK",ROUND($AQ$14*SUM(BB30:BE31)/SUM($BF$18:$BG$37),2),""),"")</f>
        <v/>
      </c>
      <c r="CX30" s="925" t="str">
        <f>IFERROR(IF(M02S04F04="Customer/Self-Installed",CW30,IF($CB30="OK",CW30+BD30,"")),"")</f>
        <v/>
      </c>
      <c r="CY30" s="925" t="str">
        <f>IFERROR(IF($CB30="OK",CX30+BB30,""),"")</f>
        <v/>
      </c>
      <c r="CZ30" s="925" t="str">
        <f>IF(CB30="OK",INDEX(MEASURES3_M!$O$50, MATCH(F30,MEASURES3_M!$C$50,0)),"")</f>
        <v/>
      </c>
      <c r="DA30" s="925" t="str">
        <f>IF(CB30="OK",INDEX(MEASURES3_M!$P$50, MATCH(F30,MEASURES3_M!$C$50,0)),"")</f>
        <v/>
      </c>
      <c r="DD30" s="980" t="str">
        <f>IFERROR(IF(CB30&lt;&gt;"OK","",CM30*VLOOKUP('DATA TABLES_Project'!$C$247,'DATA TABLES_Project'!$A$250:$B$285,2,FALSE)),"")</f>
        <v/>
      </c>
      <c r="DE30" s="925" t="str">
        <f t="shared" ref="DE30" si="153">IFERROR(IF(CB30&lt;&gt;"OK","",CM30*CZ30*0.92),"")</f>
        <v/>
      </c>
      <c r="DF30" s="980" t="str">
        <f>IFERROR(IF(CB30&lt;&gt;"OK","",CM30*CZ30*0.92*VLOOKUP('DATA TABLES_Project'!$C$247,'DATA TABLES_Project'!$A$250:$B$285,2,FALSE)),"")</f>
        <v/>
      </c>
      <c r="DG30" s="925" t="str">
        <f t="shared" ref="DG30" si="154">IFERROR(IF(CB30&lt;&gt;"OK","",CM30*BV30),IF(BX30="Dual",(CM30*BW30)+((BY30-AJ30)*(BV30-BW30)),""))</f>
        <v/>
      </c>
      <c r="DH30" s="925" t="str">
        <f ca="1">IFERROR(IF(CB30&lt;&gt;"OK","",IF(OR(BX30="Single",BX30=""), CM30*BV30*AVERAGE(INDEX('DATA TABLES_Project'!$B$250:$B$285, MATCH('DATA TABLES_Project'!$C$247,'DATA TABLES_Project'!$A$250:$A$285, 0)):OFFSET(INDEX('DATA TABLES_Project'!$B$250:$B$285, MATCH('DATA TABLES_Project'!$C$247,'DATA TABLES_Project'!$A$250:$A$285, 0)),BV30-1,0)),CM30*BW30*AVERAGE(INDEX('DATA TABLES_Project'!$B$250:$B$285, MATCH('DATA TABLES_Project'!$C$247,'DATA TABLES_Project'!$A$250:$A$285, 0)):OFFSET(INDEX('DATA TABLES_Project'!$B$250:$B$285, MATCH('DATA TABLES_Project'!$C$247,'DATA TABLES_Project'!$A$250:$A$285, 0)),BW30-1,0)) + ((BY30-AJ30)*(BV30-BW30)*AVERAGE(OFFSET(INDEX('DATA TABLES_Project'!$B$250:$B$285, MATCH('DATA TABLES_Project'!$C$247,'DATA TABLES_Project'!$A$250:$A$285, 0)),BW30,0):OFFSET(INDEX('DATA TABLES_Project'!$B$250:$B$285, MATCH('DATA TABLES_Project'!$C$247,'DATA TABLES_Project'!$A$250:$A$285, 0)),BV30-1,0))))), "")</f>
        <v/>
      </c>
      <c r="DI30" s="925" t="str">
        <f t="shared" ref="DI30" si="155">IFERROR(IF(CB30&lt;&gt;"OK","",IF(BX30="Dual",(CM30*BW30)+((BY30-AJ30)*(BV30-BW30))*CZ30*0.92,CM30*CZ30*BV30*0.92)),"")</f>
        <v/>
      </c>
      <c r="DJ30" s="925" t="str">
        <f ca="1">IFERROR(IF(CB30&lt;&gt;"OK","",IF(OR(BX30="Single",BX30=""),0.92*CZ30*CM30*BV30*AVERAGE(INDEX('DATA TABLES_Project'!$B$250:$B$285, MATCH('DATA TABLES_Project'!$C$247,'DATA TABLES_Project'!$A$250:$A$285, 0)):OFFSET(INDEX('DATA TABLES_Project'!$B$250:$B$285, MATCH('DATA TABLES_Project'!$C$247,'DATA TABLES_Project'!$A$250:$A$285, 0)),BV30-1,0)),0.92*CZ30*CM30*BW30*AVERAGE(INDEX('DATA TABLES_Project'!$B$250:$B$285, MATCH('DATA TABLES_Project'!$C$247,'DATA TABLES_Project'!$A$250:$A$285, 0)):OFFSET(INDEX('DATA TABLES_Project'!$B$250:$B$285, MATCH('DATA TABLES_Project'!$C$247,'DATA TABLES_Project'!$A$250:$A$285, 0)),BW30-1,0)) + (0.92*CZ30*(BY30-AJ30)*(BV30-BW30)*AVERAGE(OFFSET(INDEX('DATA TABLES_Project'!$B$250:$B$285, MATCH('DATA TABLES_Project'!$C$247,'DATA TABLES_Project'!$A$250:$A$285, 0)),BW30,0):OFFSET(INDEX('DATA TABLES_Project'!$B$250:$B$285, MATCH('DATA TABLES_Project'!$C$247,'DATA TABLES_Project'!$A$250:$A$285, 0)),BV30-1,0))))), "")</f>
        <v/>
      </c>
      <c r="DK30" s="925" t="str">
        <f>IFERROR(IF(CB30&lt;&gt;"OK","",CO30*'DATA TABLES_Project'!$C$250),"")</f>
        <v/>
      </c>
      <c r="DL30" s="925" t="str">
        <f t="shared" ref="DL30" si="156">IFERROR(IF(CB30&lt;&gt;"OK","",CO30*DA30*0.92),"")</f>
        <v/>
      </c>
      <c r="DM30" s="925" t="str">
        <f>IFERROR(IF(CB30&lt;&gt;"OK","",CO30*'DATA TABLES_Project'!$C$250*DA30*0.92),"")</f>
        <v/>
      </c>
      <c r="DN30" s="925" t="str">
        <f t="shared" ref="DN30" si="157">IFERROR(IF(CB30&lt;&gt;"OK","",CO30*BV30),IF(BX30="Dual",(CO30*BW30)+((BZ30-AP30)*(BV30-BW30)),""))</f>
        <v/>
      </c>
      <c r="DO30" s="925" t="str">
        <f ca="1">IFERROR(IF(CB30&lt;&gt;"OK","",CO30*BV30*AVERAGE('DATA TABLES_Project'!$C$250:OFFSET('DATA TABLES_Project'!$C$250,BV30,0))),IF(BX30="Dual",(CO30*BW30*AVERAGE('DATA TABLES_Project'!$C$251:$C$259))+((BZ30-AP30)*(BV30-BW30)*AVERAGE('DATA TABLES_Project'!$C$260:$C$279)),""))</f>
        <v/>
      </c>
      <c r="DP30" s="925" t="str">
        <f t="shared" ref="DP30" si="158">IFERROR(IF(CB30&lt;&gt;"OK","",IF(BX30="Dual",((CO30*BW30)+(BZ30-AP30)*(BV30-BW30))*DA30*0.92,CO30*BV30*DA30*0.92)),"")</f>
        <v/>
      </c>
      <c r="DQ30" s="925" t="str">
        <f ca="1">IFERROR(IF(CB30&lt;&gt;"OK","",IF(BX30="Dual",(0.92*DA30*CO30*BW30*AVERAGE('DATA TABLES_Project'!$C$251:$C$259))+(0.92*DA30*(BZ30-AP30)*(BV30-BW30)*AVERAGE('DATA TABLES_Project'!$C$260:$C$279)),0.92*DA30*CO30*BV30*AVERAGE('DATA TABLES_Project'!$C$250:OFFSET('DATA TABLES_Project'!$C$250,BV30,0)))),"")</f>
        <v/>
      </c>
      <c r="DR30" s="980" t="str">
        <f>IFERROR(IF($CB30&lt;&gt;"OK","",CM30*'DATA TABLES_Project'!$B$290+IF(CO30&lt;0,0,CO30*'DATA TABLES_Project'!$B$291)),"")</f>
        <v/>
      </c>
      <c r="DS30" s="980" t="str">
        <f>IFERROR(IF($CB30&lt;&gt;"OK","",DD30*'DATA TABLES_Project'!$B$290+IF(DK30&lt;0,0,DK30*'DATA TABLES_Project'!$B$291)),"")</f>
        <v/>
      </c>
      <c r="DT30" s="980" t="str">
        <f>IFERROR(IF($CB30&lt;&gt;"OK","",DE30*'DATA TABLES_Project'!$B$290+IF(DL30&lt;0,0,DL30*'DATA TABLES_Project'!$B$291)),"")</f>
        <v/>
      </c>
      <c r="DU30" s="980" t="str">
        <f>IFERROR(IF($CB30&lt;&gt;"OK","",DF30*'DATA TABLES_Project'!$B$290+IF(DM30&lt;0,0,DM30*'DATA TABLES_Project'!$B$291)),"")</f>
        <v/>
      </c>
      <c r="DV30" s="980" t="str">
        <f>IFERROR(IF($CB30&lt;&gt;"OK","",DG30*'DATA TABLES_Project'!$B$290+IF(DN30&lt;0,0,DN30*'DATA TABLES_Project'!$B$291)),"")</f>
        <v/>
      </c>
      <c r="DW30" s="980" t="str">
        <f>IFERROR(IF($CB30&lt;&gt;"OK","",DH30*'DATA TABLES_Project'!$B$290+IF(DO30&lt;0,0,DO30*'DATA TABLES_Project'!$B$291)),"")</f>
        <v/>
      </c>
      <c r="DX30" s="980" t="str">
        <f>IFERROR(IF($CB30&lt;&gt;"OK","",DI30*'DATA TABLES_Project'!$B$290+IF(DP30&lt;0,0,DP30*'DATA TABLES_Project'!$B$291)),"")</f>
        <v/>
      </c>
      <c r="DY30" s="925" t="str">
        <f>IFERROR(IF($CB30&lt;&gt;"OK","",DJ30*'DATA TABLES_Project'!$B$290+IF(DQ30&lt;0,0,DQ30*'DATA TABLES_Project'!$B$291)),"")</f>
        <v/>
      </c>
      <c r="DZ30" s="925" t="str">
        <f t="shared" ref="DZ30" si="159">IFERROR(IF($CB30&lt;&gt;"OK","",AS30),"")</f>
        <v/>
      </c>
      <c r="EA30" s="925" t="str">
        <f>IFERROR(IF(CB30&lt;&gt;"OK","",CN30*'DATA TABLES_Project'!$B$250*CZ30*1.03),"")</f>
        <v/>
      </c>
      <c r="EB30" s="925" t="str">
        <f t="shared" ref="EB30" si="160">IFERROR(IF(CB30&lt;&gt;"OK","",CN30*CZ30*1.03),"")</f>
        <v/>
      </c>
      <c r="EC30" s="925" t="str">
        <f>IFERROR(IF(CB30&lt;&gt;"OK","",CZ30*DZ30*'DATA TABLES_Project'!$C$250*0.92),"")</f>
        <v/>
      </c>
      <c r="ED30" s="925" t="str">
        <f>IFERROR(IF(CB30&lt;&gt;"OK","",CZ30*DZ30*'DATA TABLES_Project'!$C$250*0.92),"")</f>
        <v/>
      </c>
      <c r="EE30" s="925" t="str">
        <f t="shared" ref="EE30" si="161">IFERROR(IF(CB30&lt;&gt;"OK","",CZ30*DZ30*0.92),"")</f>
        <v/>
      </c>
      <c r="EF30" s="925" t="str">
        <f t="shared" ref="EF30" si="162">IFERROR(IF(CB30&lt;&gt;"OK","",CZ30*DZ30*0.92),"")</f>
        <v/>
      </c>
      <c r="EG30" s="925" t="str">
        <f>IFERROR(IF($CB30&lt;&gt;"OK","",CM30*'DATA TABLES_Project'!$B$290+CO30*'DATA TABLES_Project'!$B$291),"")</f>
        <v/>
      </c>
      <c r="EH30" s="925" t="str">
        <f>IFERROR(IF($CB30&lt;&gt;"OK","",DD30*'DATA TABLES_Project'!$B$290+DK30*'DATA TABLES_Project'!$B$291),"")</f>
        <v/>
      </c>
      <c r="EI30" s="925" t="str">
        <f>IFERROR(IF($CB30&lt;&gt;"OK","",DE30*'DATA TABLES_Project'!$B$290+DL30*'DATA TABLES_Project'!$B$291),"")</f>
        <v/>
      </c>
      <c r="EJ30" s="925" t="str">
        <f>IFERROR(IF($CB30&lt;&gt;"OK","",DF30*'DATA TABLES_Project'!$B$290+DM30*'DATA TABLES_Project'!$B$291),"")</f>
        <v/>
      </c>
      <c r="EK30" s="925" t="str">
        <f>IFERROR(IF($CB30&lt;&gt;"OK","",DG30*'DATA TABLES_Project'!$B$290+DN30*'DATA TABLES_Project'!$B$291),"")</f>
        <v/>
      </c>
      <c r="EL30" s="925" t="str">
        <f>IFERROR(IF($CB30&lt;&gt;"OK","",DH30*'DATA TABLES_Project'!$B$290+DO30*'DATA TABLES_Project'!$B$291),"")</f>
        <v/>
      </c>
      <c r="EM30" s="925" t="str">
        <f>IFERROR(IF($CB30&lt;&gt;"OK","",DI30*'DATA TABLES_Project'!$B$290+DP30*'DATA TABLES_Project'!$B$291),"")</f>
        <v/>
      </c>
      <c r="EN30" s="925" t="str">
        <f>IFERROR(IF($CB30&lt;&gt;"OK","",DJ30*'DATA TABLES_Project'!$B$290+DQ30*'DATA TABLES_Project'!$B$291),"")</f>
        <v/>
      </c>
    </row>
    <row r="31" spans="1:144" customFormat="1" ht="15.75" customHeight="1">
      <c r="A31" s="462"/>
      <c r="B31" s="994"/>
      <c r="C31" s="998"/>
      <c r="D31" s="999"/>
      <c r="E31" s="1000"/>
      <c r="F31" s="964"/>
      <c r="G31" s="965"/>
      <c r="H31" s="965"/>
      <c r="I31" s="965"/>
      <c r="J31" s="965"/>
      <c r="K31" s="966"/>
      <c r="L31" s="964"/>
      <c r="M31" s="965"/>
      <c r="N31" s="965"/>
      <c r="O31" s="965"/>
      <c r="P31" s="965"/>
      <c r="Q31" s="966"/>
      <c r="R31" s="1044"/>
      <c r="S31" s="1044"/>
      <c r="T31" s="1044"/>
      <c r="U31" s="1044"/>
      <c r="V31" s="1044"/>
      <c r="W31" s="1044"/>
      <c r="X31" s="1045"/>
      <c r="Y31" s="1045"/>
      <c r="Z31" s="1045"/>
      <c r="AA31" s="1045"/>
      <c r="AB31" s="1045"/>
      <c r="AC31" s="1045"/>
      <c r="AD31" s="964"/>
      <c r="AE31" s="965"/>
      <c r="AF31" s="965"/>
      <c r="AG31" s="965"/>
      <c r="AH31" s="965"/>
      <c r="AI31" s="966"/>
      <c r="AJ31" s="952"/>
      <c r="AK31" s="953"/>
      <c r="AL31" s="954"/>
      <c r="AM31" s="952"/>
      <c r="AN31" s="953"/>
      <c r="AO31" s="954"/>
      <c r="AP31" s="958"/>
      <c r="AQ31" s="959"/>
      <c r="AR31" s="960"/>
      <c r="AS31" s="958"/>
      <c r="AT31" s="959"/>
      <c r="AU31" s="960"/>
      <c r="AV31" s="968"/>
      <c r="AW31" s="969"/>
      <c r="AX31" s="969"/>
      <c r="AY31" s="969"/>
      <c r="AZ31" s="969"/>
      <c r="BA31" s="970"/>
      <c r="BB31" s="947"/>
      <c r="BC31" s="948"/>
      <c r="BD31" s="947"/>
      <c r="BE31" s="948"/>
      <c r="BF31" s="931"/>
      <c r="BG31" s="932"/>
      <c r="BH31" s="974"/>
      <c r="BI31" s="975"/>
      <c r="BJ31" s="976"/>
      <c r="BK31" s="936"/>
      <c r="BL31" s="937"/>
      <c r="BM31" s="938"/>
      <c r="BN31" s="942"/>
      <c r="BO31" s="943"/>
      <c r="BP31" s="944"/>
      <c r="BS31" s="967"/>
      <c r="BT31" s="967"/>
      <c r="BV31" s="926"/>
      <c r="BW31" s="926"/>
      <c r="BX31" s="926"/>
      <c r="BY31" s="927"/>
      <c r="BZ31" s="928"/>
      <c r="CB31" s="986"/>
      <c r="CC31" s="925"/>
      <c r="CD31" s="925"/>
      <c r="CE31" s="925"/>
      <c r="CF31" s="925"/>
      <c r="CG31" s="925"/>
      <c r="CH31" s="925"/>
      <c r="CI31" s="925"/>
      <c r="CJ31" s="977"/>
      <c r="CK31" s="977"/>
      <c r="CL31" s="977"/>
      <c r="CM31" s="977"/>
      <c r="CN31" s="977"/>
      <c r="CO31" s="977"/>
      <c r="CP31" s="977"/>
      <c r="CQ31" s="977"/>
      <c r="CR31" s="977"/>
      <c r="CS31" s="983"/>
      <c r="CT31" s="1056"/>
      <c r="CU31" s="979"/>
      <c r="CV31" s="925"/>
      <c r="CW31" s="925"/>
      <c r="CX31" s="925"/>
      <c r="CY31" s="925"/>
      <c r="CZ31" s="925"/>
      <c r="DA31" s="925"/>
      <c r="DD31" s="981"/>
      <c r="DE31" s="925"/>
      <c r="DF31" s="981"/>
      <c r="DG31" s="925"/>
      <c r="DH31" s="925"/>
      <c r="DI31" s="925"/>
      <c r="DJ31" s="925"/>
      <c r="DK31" s="925"/>
      <c r="DL31" s="925"/>
      <c r="DM31" s="925"/>
      <c r="DN31" s="925"/>
      <c r="DO31" s="925"/>
      <c r="DP31" s="925"/>
      <c r="DQ31" s="925"/>
      <c r="DR31" s="981"/>
      <c r="DS31" s="981"/>
      <c r="DT31" s="981"/>
      <c r="DU31" s="981"/>
      <c r="DV31" s="981"/>
      <c r="DW31" s="981"/>
      <c r="DX31" s="981"/>
      <c r="DY31" s="925"/>
      <c r="DZ31" s="925"/>
      <c r="EA31" s="925"/>
      <c r="EB31" s="925"/>
      <c r="EC31" s="925"/>
      <c r="ED31" s="925"/>
      <c r="EE31" s="925"/>
      <c r="EF31" s="925"/>
      <c r="EG31" s="925"/>
      <c r="EH31" s="925"/>
      <c r="EI31" s="925"/>
      <c r="EJ31" s="925"/>
      <c r="EK31" s="925"/>
      <c r="EL31" s="925"/>
      <c r="EM31" s="925"/>
      <c r="EN31" s="925"/>
    </row>
    <row r="32" spans="1:144" customFormat="1" ht="16.350000000000001" customHeight="1">
      <c r="A32" s="462"/>
      <c r="B32" s="994">
        <v>8</v>
      </c>
      <c r="C32" s="995"/>
      <c r="D32" s="996"/>
      <c r="E32" s="997"/>
      <c r="F32" s="961"/>
      <c r="G32" s="962"/>
      <c r="H32" s="962"/>
      <c r="I32" s="962"/>
      <c r="J32" s="962"/>
      <c r="K32" s="963"/>
      <c r="L32" s="961"/>
      <c r="M32" s="962"/>
      <c r="N32" s="962"/>
      <c r="O32" s="962"/>
      <c r="P32" s="962"/>
      <c r="Q32" s="963"/>
      <c r="R32" s="1044"/>
      <c r="S32" s="1044"/>
      <c r="T32" s="1044"/>
      <c r="U32" s="1044"/>
      <c r="V32" s="1044"/>
      <c r="W32" s="1044"/>
      <c r="X32" s="1045"/>
      <c r="Y32" s="1045"/>
      <c r="Z32" s="1045"/>
      <c r="AA32" s="1045"/>
      <c r="AB32" s="1045"/>
      <c r="AC32" s="1045"/>
      <c r="AD32" s="961"/>
      <c r="AE32" s="962"/>
      <c r="AF32" s="962"/>
      <c r="AG32" s="962"/>
      <c r="AH32" s="962"/>
      <c r="AI32" s="963"/>
      <c r="AJ32" s="949"/>
      <c r="AK32" s="950"/>
      <c r="AL32" s="951"/>
      <c r="AM32" s="949"/>
      <c r="AN32" s="950"/>
      <c r="AO32" s="951"/>
      <c r="AP32" s="955"/>
      <c r="AQ32" s="956"/>
      <c r="AR32" s="957"/>
      <c r="AS32" s="955"/>
      <c r="AT32" s="956"/>
      <c r="AU32" s="957"/>
      <c r="AV32" s="968"/>
      <c r="AW32" s="969"/>
      <c r="AX32" s="970"/>
      <c r="AY32" s="968"/>
      <c r="AZ32" s="969"/>
      <c r="BA32" s="970"/>
      <c r="BB32" s="945"/>
      <c r="BC32" s="946"/>
      <c r="BD32" s="945"/>
      <c r="BE32" s="946"/>
      <c r="BF32" s="929" t="str">
        <f t="shared" ref="BF32" si="163">IF(CB32="OK",ROUND(BB32+BD32,2),"")</f>
        <v/>
      </c>
      <c r="BG32" s="930"/>
      <c r="BH32" s="971" t="str">
        <f t="shared" ref="BH32" si="164">IFERROR(IF(AND($CB32="OK",$CU32="OK"),$CI32,IF($CB32&lt;&gt;"OK",$CB32,$CU32)),"")</f>
        <v/>
      </c>
      <c r="BI32" s="972"/>
      <c r="BJ32" s="973"/>
      <c r="BK32" s="933" t="str">
        <f t="shared" ref="BK32" si="165">IF($CB32="OK",CM32,"")</f>
        <v/>
      </c>
      <c r="BL32" s="934"/>
      <c r="BM32" s="935"/>
      <c r="BN32" s="939" t="str">
        <f t="shared" ref="BN32" si="166">IF($CB32="OK",$CR32,"")</f>
        <v/>
      </c>
      <c r="BO32" s="940"/>
      <c r="BP32" s="941"/>
      <c r="BS32" s="967"/>
      <c r="BT32" s="967"/>
      <c r="BV32" s="926" t="str">
        <f t="shared" ref="BV32" si="167">IFERROR(ROUND(IF(AND(CB32="OK",CU32="OK"),CT32,""),0),"")</f>
        <v/>
      </c>
      <c r="BW32" s="926" t="str">
        <f t="shared" ref="BW32" si="168">IFERROR(ROUND(IF(AND(CB32="OK",CU32="OK"),BV32/3,""),0),"")</f>
        <v/>
      </c>
      <c r="BX32" s="926"/>
      <c r="BY32" s="927"/>
      <c r="BZ32" s="928"/>
      <c r="CB32" s="986" t="str">
        <f>IF(AND(C32="",F32="",R32="",AD32="",U32="",X32="",L32="",AJ32="",AV32="",AM32="",AP32="",AY32="",AV33="",BB32="",BD32="",AA32="",AS32=""),"",
IF(OR(C32="",F32="",R32="",AD32="",U32="",X32="",L32="",AJ32="",AV32="",AM32="",AP32="",AY32="",AV33="",BB32="",BD32="",AA32="",AS32=""),"Missing Fields",
IF(AND(M02S04F04disp="Required",M02S04F04=""),"TA Info Incomplete",
"OK")))</f>
        <v/>
      </c>
      <c r="CC32" s="925" t="str">
        <f>IF(AND(CB32="OK",CU32="OK"),INDEX(Tbl_Cust_Res[Measure Number], MATCH(F32,Tbl_Cust_Res[Proj Desc 1],0)),"")</f>
        <v/>
      </c>
      <c r="CD32" s="925"/>
      <c r="CE32" s="925" t="str">
        <f t="shared" ref="CE32" si="169">IF(CB32="OK","Measure","")</f>
        <v/>
      </c>
      <c r="CF32" s="925" t="str">
        <f t="shared" ref="CF32" si="170">IF(CB32="OK",1,"")</f>
        <v/>
      </c>
      <c r="CG32" s="978" t="str">
        <f t="shared" ref="CG32" si="171">IFERROR(CI32/CF32,"")</f>
        <v/>
      </c>
      <c r="CH32" s="978" t="str">
        <f>IF(CB32="OK",IF(CM32&gt;0,CM32*Incent_Rate_kWh,0)+IF(CO32&gt;0,CO32*Incent_Rate_thm,0),"")</f>
        <v/>
      </c>
      <c r="CI32" s="978" t="str">
        <f>IFERROR(IF($CB32="OK",IF(INCENTTOCOST_CUST&gt;CostCap_Cust,
CH32*CostCap_Cust/INCENTTOCOST_CUST,CH32),""),"")</f>
        <v/>
      </c>
      <c r="CJ32" s="977">
        <f t="shared" ref="CJ32" si="172">CM32</f>
        <v>0</v>
      </c>
      <c r="CK32" s="977">
        <f t="shared" ref="CK32" si="173">CN32</f>
        <v>0</v>
      </c>
      <c r="CL32" s="977">
        <f t="shared" ref="CL32" si="174">CO32</f>
        <v>0</v>
      </c>
      <c r="CM32" s="977">
        <f>R32-AJ32</f>
        <v>0</v>
      </c>
      <c r="CN32" s="977">
        <f>U32-AM32</f>
        <v>0</v>
      </c>
      <c r="CO32" s="977">
        <f t="shared" ref="CO32" si="175">IF(CR32&gt;0,CR32,0)</f>
        <v>0</v>
      </c>
      <c r="CP32" s="977">
        <f t="shared" ref="CP32" si="176">CM32</f>
        <v>0</v>
      </c>
      <c r="CQ32" s="977">
        <f t="shared" ref="CQ32" si="177">CN32</f>
        <v>0</v>
      </c>
      <c r="CR32" s="977">
        <f>X32-AP32</f>
        <v>0</v>
      </c>
      <c r="CS32" s="983"/>
      <c r="CT32" s="1056" t="str">
        <f>IF(CB32="OK",INDEX(Tbl_Cust_Res[EUL], MATCH(F32,Tbl_Cust_Res[Proj Desc 1],0)),"")</f>
        <v/>
      </c>
      <c r="CU32" s="979" t="str">
        <f t="shared" ref="CU32" si="178">IFERROR(IF(AND($CM32&lt;=0,$CN32&lt;=0,$CO32&lt;=0),"No Savings","OK"),"")</f>
        <v>No Savings</v>
      </c>
      <c r="CV32" s="925" t="str">
        <f t="shared" ref="CV32" si="179">IF(AND(CB32="OK",CU32="OK"),"1","")</f>
        <v/>
      </c>
      <c r="CW32" s="925" t="str">
        <f>IFERROR(IF($CB32="OK",ROUND($AQ$14*SUM(BB32:BE33)/SUM($BF$18:$BG$37),2),""),"")</f>
        <v/>
      </c>
      <c r="CX32" s="925" t="str">
        <f>IFERROR(IF(M02S04F04="Customer/Self-Installed",CW32,IF($CB32="OK",CW32+BD32,"")),"")</f>
        <v/>
      </c>
      <c r="CY32" s="925" t="str">
        <f>IFERROR(IF($CB32="OK",CX32+BB32,""),"")</f>
        <v/>
      </c>
      <c r="CZ32" s="925" t="str">
        <f>IF(CB32="OK",INDEX(MEASURES3_M!$O$50, MATCH(F32,MEASURES3_M!$C$50,0)),"")</f>
        <v/>
      </c>
      <c r="DA32" s="925" t="str">
        <f>IF(CB32="OK",INDEX(MEASURES3_M!$P$50, MATCH(F32,MEASURES3_M!$C$50,0)),"")</f>
        <v/>
      </c>
      <c r="DD32" s="980" t="str">
        <f>IFERROR(IF(CB32&lt;&gt;"OK","",CM32*VLOOKUP('DATA TABLES_Project'!$C$247,'DATA TABLES_Project'!$A$250:$B$285,2,FALSE)),"")</f>
        <v/>
      </c>
      <c r="DE32" s="925" t="str">
        <f t="shared" ref="DE32" si="180">IFERROR(IF(CB32&lt;&gt;"OK","",CM32*CZ32*0.92),"")</f>
        <v/>
      </c>
      <c r="DF32" s="980" t="str">
        <f>IFERROR(IF(CB32&lt;&gt;"OK","",CM32*CZ32*0.92*VLOOKUP('DATA TABLES_Project'!$C$247,'DATA TABLES_Project'!$A$250:$B$285,2,FALSE)),"")</f>
        <v/>
      </c>
      <c r="DG32" s="925" t="str">
        <f t="shared" ref="DG32" si="181">IFERROR(IF(CB32&lt;&gt;"OK","",CM32*BV32),IF(BX32="Dual",(CM32*BW32)+((BY32-AJ32)*(BV32-BW32)),""))</f>
        <v/>
      </c>
      <c r="DH32" s="925" t="str">
        <f ca="1">IFERROR(IF(CB32&lt;&gt;"OK","",IF(OR(BX32="Single",BX32=""), CM32*BV32*AVERAGE(INDEX('DATA TABLES_Project'!$B$250:$B$285, MATCH('DATA TABLES_Project'!$C$247,'DATA TABLES_Project'!$A$250:$A$285, 0)):OFFSET(INDEX('DATA TABLES_Project'!$B$250:$B$285, MATCH('DATA TABLES_Project'!$C$247,'DATA TABLES_Project'!$A$250:$A$285, 0)),BV32-1,0)),CM32*BW32*AVERAGE(INDEX('DATA TABLES_Project'!$B$250:$B$285, MATCH('DATA TABLES_Project'!$C$247,'DATA TABLES_Project'!$A$250:$A$285, 0)):OFFSET(INDEX('DATA TABLES_Project'!$B$250:$B$285, MATCH('DATA TABLES_Project'!$C$247,'DATA TABLES_Project'!$A$250:$A$285, 0)),BW32-1,0)) + ((BY32-AJ32)*(BV32-BW32)*AVERAGE(OFFSET(INDEX('DATA TABLES_Project'!$B$250:$B$285, MATCH('DATA TABLES_Project'!$C$247,'DATA TABLES_Project'!$A$250:$A$285, 0)),BW32,0):OFFSET(INDEX('DATA TABLES_Project'!$B$250:$B$285, MATCH('DATA TABLES_Project'!$C$247,'DATA TABLES_Project'!$A$250:$A$285, 0)),BV32-1,0))))), "")</f>
        <v/>
      </c>
      <c r="DI32" s="925" t="str">
        <f t="shared" ref="DI32" si="182">IFERROR(IF(CB32&lt;&gt;"OK","",IF(BX32="Dual",(CM32*BW32)+((BY32-AJ32)*(BV32-BW32))*CZ32*0.92,CM32*CZ32*BV32*0.92)),"")</f>
        <v/>
      </c>
      <c r="DJ32" s="925" t="str">
        <f ca="1">IFERROR(IF(CB32&lt;&gt;"OK","",IF(OR(BX32="Single",BX32=""),0.92*CZ32*CM32*BV32*AVERAGE(INDEX('DATA TABLES_Project'!$B$250:$B$285, MATCH('DATA TABLES_Project'!$C$247,'DATA TABLES_Project'!$A$250:$A$285, 0)):OFFSET(INDEX('DATA TABLES_Project'!$B$250:$B$285, MATCH('DATA TABLES_Project'!$C$247,'DATA TABLES_Project'!$A$250:$A$285, 0)),BV32-1,0)),0.92*CZ32*CM32*BW32*AVERAGE(INDEX('DATA TABLES_Project'!$B$250:$B$285, MATCH('DATA TABLES_Project'!$C$247,'DATA TABLES_Project'!$A$250:$A$285, 0)):OFFSET(INDEX('DATA TABLES_Project'!$B$250:$B$285, MATCH('DATA TABLES_Project'!$C$247,'DATA TABLES_Project'!$A$250:$A$285, 0)),BW32-1,0)) + (0.92*CZ32*(BY32-AJ32)*(BV32-BW32)*AVERAGE(OFFSET(INDEX('DATA TABLES_Project'!$B$250:$B$285, MATCH('DATA TABLES_Project'!$C$247,'DATA TABLES_Project'!$A$250:$A$285, 0)),BW32,0):OFFSET(INDEX('DATA TABLES_Project'!$B$250:$B$285, MATCH('DATA TABLES_Project'!$C$247,'DATA TABLES_Project'!$A$250:$A$285, 0)),BV32-1,0))))), "")</f>
        <v/>
      </c>
      <c r="DK32" s="925" t="str">
        <f>IFERROR(IF(CB32&lt;&gt;"OK","",CO32*'DATA TABLES_Project'!$C$250),"")</f>
        <v/>
      </c>
      <c r="DL32" s="925" t="str">
        <f t="shared" ref="DL32" si="183">IFERROR(IF(CB32&lt;&gt;"OK","",CO32*DA32*0.92),"")</f>
        <v/>
      </c>
      <c r="DM32" s="925" t="str">
        <f>IFERROR(IF(CB32&lt;&gt;"OK","",CO32*'DATA TABLES_Project'!$C$250*DA32*0.92),"")</f>
        <v/>
      </c>
      <c r="DN32" s="925" t="str">
        <f t="shared" ref="DN32" si="184">IFERROR(IF(CB32&lt;&gt;"OK","",CO32*BV32),IF(BX32="Dual",(CO32*BW32)+((BZ32-AP32)*(BV32-BW32)),""))</f>
        <v/>
      </c>
      <c r="DO32" s="925" t="str">
        <f ca="1">IFERROR(IF(CB32&lt;&gt;"OK","",CO32*BV32*AVERAGE('DATA TABLES_Project'!$C$250:OFFSET('DATA TABLES_Project'!$C$250,BV32,0))),IF(BX32="Dual",(CO32*BW32*AVERAGE('DATA TABLES_Project'!$C$251:$C$259))+((BZ32-AP32)*(BV32-BW32)*AVERAGE('DATA TABLES_Project'!$C$260:$C$279)),""))</f>
        <v/>
      </c>
      <c r="DP32" s="925" t="str">
        <f t="shared" ref="DP32" si="185">IFERROR(IF(CB32&lt;&gt;"OK","",IF(BX32="Dual",((CO32*BW32)+(BZ32-AP32)*(BV32-BW32))*DA32*0.92,CO32*BV32*DA32*0.92)),"")</f>
        <v/>
      </c>
      <c r="DQ32" s="925" t="str">
        <f ca="1">IFERROR(IF(CB32&lt;&gt;"OK","",IF(BX32="Dual",(0.92*DA32*CO32*BW32*AVERAGE('DATA TABLES_Project'!$C$251:$C$259))+(0.92*DA32*(BZ32-AP32)*(BV32-BW32)*AVERAGE('DATA TABLES_Project'!$C$260:$C$279)),0.92*DA32*CO32*BV32*AVERAGE('DATA TABLES_Project'!$C$250:OFFSET('DATA TABLES_Project'!$C$250,BV32,0)))),"")</f>
        <v/>
      </c>
      <c r="DR32" s="980" t="str">
        <f>IFERROR(IF($CB32&lt;&gt;"OK","",CM32*'DATA TABLES_Project'!$B$290+IF(CO32&lt;0,0,CO32*'DATA TABLES_Project'!$B$291)),"")</f>
        <v/>
      </c>
      <c r="DS32" s="980" t="str">
        <f>IFERROR(IF($CB32&lt;&gt;"OK","",DD32*'DATA TABLES_Project'!$B$290+IF(DK32&lt;0,0,DK32*'DATA TABLES_Project'!$B$291)),"")</f>
        <v/>
      </c>
      <c r="DT32" s="980" t="str">
        <f>IFERROR(IF($CB32&lt;&gt;"OK","",DE32*'DATA TABLES_Project'!$B$290+IF(DL32&lt;0,0,DL32*'DATA TABLES_Project'!$B$291)),"")</f>
        <v/>
      </c>
      <c r="DU32" s="980" t="str">
        <f>IFERROR(IF($CB32&lt;&gt;"OK","",DF32*'DATA TABLES_Project'!$B$290+IF(DM32&lt;0,0,DM32*'DATA TABLES_Project'!$B$291)),"")</f>
        <v/>
      </c>
      <c r="DV32" s="980" t="str">
        <f>IFERROR(IF($CB32&lt;&gt;"OK","",DG32*'DATA TABLES_Project'!$B$290+IF(DN32&lt;0,0,DN32*'DATA TABLES_Project'!$B$291)),"")</f>
        <v/>
      </c>
      <c r="DW32" s="980" t="str">
        <f>IFERROR(IF($CB32&lt;&gt;"OK","",DH32*'DATA TABLES_Project'!$B$290+IF(DO32&lt;0,0,DO32*'DATA TABLES_Project'!$B$291)),"")</f>
        <v/>
      </c>
      <c r="DX32" s="980" t="str">
        <f>IFERROR(IF($CB32&lt;&gt;"OK","",DI32*'DATA TABLES_Project'!$B$290+IF(DP32&lt;0,0,DP32*'DATA TABLES_Project'!$B$291)),"")</f>
        <v/>
      </c>
      <c r="DY32" s="925" t="str">
        <f>IFERROR(IF($CB32&lt;&gt;"OK","",DJ32*'DATA TABLES_Project'!$B$290+IF(DQ32&lt;0,0,DQ32*'DATA TABLES_Project'!$B$291)),"")</f>
        <v/>
      </c>
      <c r="DZ32" s="925" t="str">
        <f t="shared" ref="DZ32" si="186">IFERROR(IF($CB32&lt;&gt;"OK","",AS32),"")</f>
        <v/>
      </c>
      <c r="EA32" s="925" t="str">
        <f>IFERROR(IF(CB32&lt;&gt;"OK","",CN32*'DATA TABLES_Project'!$B$250*CZ32*1.03),"")</f>
        <v/>
      </c>
      <c r="EB32" s="925" t="str">
        <f t="shared" ref="EB32" si="187">IFERROR(IF(CB32&lt;&gt;"OK","",CN32*CZ32*1.03),"")</f>
        <v/>
      </c>
      <c r="EC32" s="925" t="str">
        <f>IFERROR(IF(CB32&lt;&gt;"OK","",CZ32*DZ32*'DATA TABLES_Project'!$C$250*0.92),"")</f>
        <v/>
      </c>
      <c r="ED32" s="925" t="str">
        <f>IFERROR(IF(CB32&lt;&gt;"OK","",CZ32*DZ32*'DATA TABLES_Project'!$C$250*0.92),"")</f>
        <v/>
      </c>
      <c r="EE32" s="925" t="str">
        <f t="shared" ref="EE32" si="188">IFERROR(IF(CB32&lt;&gt;"OK","",CZ32*DZ32*0.92),"")</f>
        <v/>
      </c>
      <c r="EF32" s="925" t="str">
        <f t="shared" ref="EF32" si="189">IFERROR(IF(CB32&lt;&gt;"OK","",CZ32*DZ32*0.92),"")</f>
        <v/>
      </c>
      <c r="EG32" s="925" t="str">
        <f>IFERROR(IF($CB32&lt;&gt;"OK","",CM32*'DATA TABLES_Project'!$B$290+CO32*'DATA TABLES_Project'!$B$291),"")</f>
        <v/>
      </c>
      <c r="EH32" s="925" t="str">
        <f>IFERROR(IF($CB32&lt;&gt;"OK","",DD32*'DATA TABLES_Project'!$B$290+DK32*'DATA TABLES_Project'!$B$291),"")</f>
        <v/>
      </c>
      <c r="EI32" s="925" t="str">
        <f>IFERROR(IF($CB32&lt;&gt;"OK","",DE32*'DATA TABLES_Project'!$B$290+DL32*'DATA TABLES_Project'!$B$291),"")</f>
        <v/>
      </c>
      <c r="EJ32" s="925" t="str">
        <f>IFERROR(IF($CB32&lt;&gt;"OK","",DF32*'DATA TABLES_Project'!$B$290+DM32*'DATA TABLES_Project'!$B$291),"")</f>
        <v/>
      </c>
      <c r="EK32" s="925" t="str">
        <f>IFERROR(IF($CB32&lt;&gt;"OK","",DG32*'DATA TABLES_Project'!$B$290+DN32*'DATA TABLES_Project'!$B$291),"")</f>
        <v/>
      </c>
      <c r="EL32" s="925" t="str">
        <f>IFERROR(IF($CB32&lt;&gt;"OK","",DH32*'DATA TABLES_Project'!$B$290+DO32*'DATA TABLES_Project'!$B$291),"")</f>
        <v/>
      </c>
      <c r="EM32" s="925" t="str">
        <f>IFERROR(IF($CB32&lt;&gt;"OK","",DI32*'DATA TABLES_Project'!$B$290+DP32*'DATA TABLES_Project'!$B$291),"")</f>
        <v/>
      </c>
      <c r="EN32" s="925" t="str">
        <f>IFERROR(IF($CB32&lt;&gt;"OK","",DJ32*'DATA TABLES_Project'!$B$290+DQ32*'DATA TABLES_Project'!$B$291),"")</f>
        <v/>
      </c>
    </row>
    <row r="33" spans="1:144" customFormat="1" ht="16.350000000000001" customHeight="1">
      <c r="A33" s="462"/>
      <c r="B33" s="994"/>
      <c r="C33" s="998"/>
      <c r="D33" s="999"/>
      <c r="E33" s="1000"/>
      <c r="F33" s="964"/>
      <c r="G33" s="965"/>
      <c r="H33" s="965"/>
      <c r="I33" s="965"/>
      <c r="J33" s="965"/>
      <c r="K33" s="966"/>
      <c r="L33" s="964"/>
      <c r="M33" s="965"/>
      <c r="N33" s="965"/>
      <c r="O33" s="965"/>
      <c r="P33" s="965"/>
      <c r="Q33" s="966"/>
      <c r="R33" s="1044"/>
      <c r="S33" s="1044"/>
      <c r="T33" s="1044"/>
      <c r="U33" s="1044"/>
      <c r="V33" s="1044"/>
      <c r="W33" s="1044"/>
      <c r="X33" s="1045"/>
      <c r="Y33" s="1045"/>
      <c r="Z33" s="1045"/>
      <c r="AA33" s="1045"/>
      <c r="AB33" s="1045"/>
      <c r="AC33" s="1045"/>
      <c r="AD33" s="964"/>
      <c r="AE33" s="965"/>
      <c r="AF33" s="965"/>
      <c r="AG33" s="965"/>
      <c r="AH33" s="965"/>
      <c r="AI33" s="966"/>
      <c r="AJ33" s="952"/>
      <c r="AK33" s="953"/>
      <c r="AL33" s="954"/>
      <c r="AM33" s="952"/>
      <c r="AN33" s="953"/>
      <c r="AO33" s="954"/>
      <c r="AP33" s="958"/>
      <c r="AQ33" s="959"/>
      <c r="AR33" s="960"/>
      <c r="AS33" s="958"/>
      <c r="AT33" s="959"/>
      <c r="AU33" s="960"/>
      <c r="AV33" s="968"/>
      <c r="AW33" s="969"/>
      <c r="AX33" s="969"/>
      <c r="AY33" s="969"/>
      <c r="AZ33" s="969"/>
      <c r="BA33" s="970"/>
      <c r="BB33" s="947"/>
      <c r="BC33" s="948"/>
      <c r="BD33" s="947"/>
      <c r="BE33" s="948"/>
      <c r="BF33" s="931"/>
      <c r="BG33" s="932"/>
      <c r="BH33" s="974"/>
      <c r="BI33" s="975"/>
      <c r="BJ33" s="976"/>
      <c r="BK33" s="936"/>
      <c r="BL33" s="937"/>
      <c r="BM33" s="938"/>
      <c r="BN33" s="942"/>
      <c r="BO33" s="943"/>
      <c r="BP33" s="944"/>
      <c r="BS33" s="967"/>
      <c r="BT33" s="967"/>
      <c r="BV33" s="926"/>
      <c r="BW33" s="926"/>
      <c r="BX33" s="926"/>
      <c r="BY33" s="927"/>
      <c r="BZ33" s="928"/>
      <c r="CB33" s="986"/>
      <c r="CC33" s="925"/>
      <c r="CD33" s="925"/>
      <c r="CE33" s="925"/>
      <c r="CF33" s="925"/>
      <c r="CG33" s="925"/>
      <c r="CH33" s="925"/>
      <c r="CI33" s="925"/>
      <c r="CJ33" s="977"/>
      <c r="CK33" s="977"/>
      <c r="CL33" s="977"/>
      <c r="CM33" s="977"/>
      <c r="CN33" s="977"/>
      <c r="CO33" s="977"/>
      <c r="CP33" s="977"/>
      <c r="CQ33" s="977"/>
      <c r="CR33" s="977"/>
      <c r="CS33" s="983"/>
      <c r="CT33" s="1056"/>
      <c r="CU33" s="979"/>
      <c r="CV33" s="925"/>
      <c r="CW33" s="925"/>
      <c r="CX33" s="925"/>
      <c r="CY33" s="925"/>
      <c r="CZ33" s="925"/>
      <c r="DA33" s="925"/>
      <c r="DD33" s="981"/>
      <c r="DE33" s="925"/>
      <c r="DF33" s="981"/>
      <c r="DG33" s="925"/>
      <c r="DH33" s="925"/>
      <c r="DI33" s="925"/>
      <c r="DJ33" s="925"/>
      <c r="DK33" s="925"/>
      <c r="DL33" s="925"/>
      <c r="DM33" s="925"/>
      <c r="DN33" s="925"/>
      <c r="DO33" s="925"/>
      <c r="DP33" s="925"/>
      <c r="DQ33" s="925"/>
      <c r="DR33" s="981"/>
      <c r="DS33" s="981"/>
      <c r="DT33" s="981"/>
      <c r="DU33" s="981"/>
      <c r="DV33" s="981"/>
      <c r="DW33" s="981"/>
      <c r="DX33" s="981"/>
      <c r="DY33" s="925"/>
      <c r="DZ33" s="925"/>
      <c r="EA33" s="925"/>
      <c r="EB33" s="925"/>
      <c r="EC33" s="925"/>
      <c r="ED33" s="925"/>
      <c r="EE33" s="925"/>
      <c r="EF33" s="925"/>
      <c r="EG33" s="925"/>
      <c r="EH33" s="925"/>
      <c r="EI33" s="925"/>
      <c r="EJ33" s="925"/>
      <c r="EK33" s="925"/>
      <c r="EL33" s="925"/>
      <c r="EM33" s="925"/>
      <c r="EN33" s="925"/>
    </row>
    <row r="34" spans="1:144" customFormat="1" ht="16.350000000000001" customHeight="1">
      <c r="A34" s="462"/>
      <c r="B34" s="994">
        <v>9</v>
      </c>
      <c r="C34" s="995"/>
      <c r="D34" s="996"/>
      <c r="E34" s="997"/>
      <c r="F34" s="961"/>
      <c r="G34" s="962"/>
      <c r="H34" s="962"/>
      <c r="I34" s="962"/>
      <c r="J34" s="962"/>
      <c r="K34" s="963"/>
      <c r="L34" s="961"/>
      <c r="M34" s="962"/>
      <c r="N34" s="962"/>
      <c r="O34" s="962"/>
      <c r="P34" s="962"/>
      <c r="Q34" s="963"/>
      <c r="R34" s="1044"/>
      <c r="S34" s="1044"/>
      <c r="T34" s="1044"/>
      <c r="U34" s="1044"/>
      <c r="V34" s="1044"/>
      <c r="W34" s="1044"/>
      <c r="X34" s="1045"/>
      <c r="Y34" s="1045"/>
      <c r="Z34" s="1045"/>
      <c r="AA34" s="1045"/>
      <c r="AB34" s="1045"/>
      <c r="AC34" s="1045"/>
      <c r="AD34" s="961"/>
      <c r="AE34" s="962"/>
      <c r="AF34" s="962"/>
      <c r="AG34" s="962"/>
      <c r="AH34" s="962"/>
      <c r="AI34" s="963"/>
      <c r="AJ34" s="949"/>
      <c r="AK34" s="950"/>
      <c r="AL34" s="951"/>
      <c r="AM34" s="949"/>
      <c r="AN34" s="950"/>
      <c r="AO34" s="951"/>
      <c r="AP34" s="955"/>
      <c r="AQ34" s="956"/>
      <c r="AR34" s="957"/>
      <c r="AS34" s="955"/>
      <c r="AT34" s="956"/>
      <c r="AU34" s="957"/>
      <c r="AV34" s="968"/>
      <c r="AW34" s="969"/>
      <c r="AX34" s="970"/>
      <c r="AY34" s="968"/>
      <c r="AZ34" s="969"/>
      <c r="BA34" s="970"/>
      <c r="BB34" s="945"/>
      <c r="BC34" s="946"/>
      <c r="BD34" s="945"/>
      <c r="BE34" s="946"/>
      <c r="BF34" s="929" t="str">
        <f t="shared" ref="BF34" si="190">IF(CB34="OK",ROUND(BB34+BD34,2),"")</f>
        <v/>
      </c>
      <c r="BG34" s="930"/>
      <c r="BH34" s="971" t="str">
        <f t="shared" ref="BH34" si="191">IFERROR(IF(AND($CB34="OK",$CU34="OK"),$CI34,IF($CB34&lt;&gt;"OK",$CB34,$CU34)),"")</f>
        <v/>
      </c>
      <c r="BI34" s="972"/>
      <c r="BJ34" s="973"/>
      <c r="BK34" s="933" t="str">
        <f t="shared" ref="BK34" si="192">IF($CB34="OK",CM34,"")</f>
        <v/>
      </c>
      <c r="BL34" s="934"/>
      <c r="BM34" s="935"/>
      <c r="BN34" s="939" t="str">
        <f t="shared" ref="BN34" si="193">IF($CB34="OK",$CR34,"")</f>
        <v/>
      </c>
      <c r="BO34" s="940"/>
      <c r="BP34" s="941"/>
      <c r="BS34" s="967"/>
      <c r="BT34" s="967"/>
      <c r="BV34" s="926" t="str">
        <f t="shared" ref="BV34" si="194">IFERROR(ROUND(IF(AND(CB34="OK",CU34="OK"),CT34,""),0),"")</f>
        <v/>
      </c>
      <c r="BW34" s="926" t="str">
        <f t="shared" ref="BW34" si="195">IFERROR(ROUND(IF(AND(CB34="OK",CU34="OK"),BV34/3,""),0),"")</f>
        <v/>
      </c>
      <c r="BX34" s="926"/>
      <c r="BY34" s="927"/>
      <c r="BZ34" s="928"/>
      <c r="CB34" s="986" t="str">
        <f>IF(AND(C34="",F34="",R34="",AD34="",U34="",X34="",L34="",AJ34="",AV34="",AM34="",AP34="",AY34="",AV35="",BB34="",BD34="",AA34="",AS34=""),"",
IF(OR(C34="",F34="",R34="",AD34="",U34="",X34="",L34="",AJ34="",AV34="",AM34="",AP34="",AY34="",AV35="",BB34="",BD34="",AA34="",AS34=""),"Missing Fields",
IF(AND(M02S04F04disp="Required",M02S04F04=""),"TA Info Incomplete",
"OK")))</f>
        <v/>
      </c>
      <c r="CC34" s="925" t="str">
        <f>IF(AND(CB34="OK",CU34="OK"),INDEX(Tbl_Cust_Res[Measure Number], MATCH(F34,Tbl_Cust_Res[Proj Desc 1],0)),"")</f>
        <v/>
      </c>
      <c r="CD34" s="925"/>
      <c r="CE34" s="925" t="str">
        <f t="shared" ref="CE34" si="196">IF(CB34="OK","Measure","")</f>
        <v/>
      </c>
      <c r="CF34" s="925" t="str">
        <f t="shared" ref="CF34" si="197">IF(CB34="OK",1,"")</f>
        <v/>
      </c>
      <c r="CG34" s="978" t="str">
        <f t="shared" ref="CG34" si="198">IFERROR(CI34/CF34,"")</f>
        <v/>
      </c>
      <c r="CH34" s="978" t="str">
        <f>IF(CB34="OK",IF(CM34&gt;0,CM34*Incent_Rate_kWh,0)+IF(CO34&gt;0,CO34*Incent_Rate_thm,0),"")</f>
        <v/>
      </c>
      <c r="CI34" s="978" t="str">
        <f>IFERROR(IF($CB34="OK",IF(INCENTTOCOST_CUST&gt;CostCap_Cust,
CH34*CostCap_Cust/INCENTTOCOST_CUST,CH34),""),"")</f>
        <v/>
      </c>
      <c r="CJ34" s="977">
        <f t="shared" ref="CJ34" si="199">CM34</f>
        <v>0</v>
      </c>
      <c r="CK34" s="977">
        <f t="shared" ref="CK34" si="200">CN34</f>
        <v>0</v>
      </c>
      <c r="CL34" s="977">
        <f t="shared" ref="CL34" si="201">CO34</f>
        <v>0</v>
      </c>
      <c r="CM34" s="977">
        <f>R34-AJ34</f>
        <v>0</v>
      </c>
      <c r="CN34" s="977">
        <f>U34-AM34</f>
        <v>0</v>
      </c>
      <c r="CO34" s="977">
        <f t="shared" ref="CO34" si="202">IF(CR34&gt;0,CR34,0)</f>
        <v>0</v>
      </c>
      <c r="CP34" s="977">
        <f t="shared" ref="CP34" si="203">CM34</f>
        <v>0</v>
      </c>
      <c r="CQ34" s="977">
        <f t="shared" ref="CQ34" si="204">CN34</f>
        <v>0</v>
      </c>
      <c r="CR34" s="977">
        <f>X34-AP34</f>
        <v>0</v>
      </c>
      <c r="CS34" s="983"/>
      <c r="CT34" s="1056" t="str">
        <f>IF(CB34="OK",INDEX(Tbl_Cust_Res[EUL], MATCH(F34,Tbl_Cust_Res[Proj Desc 1],0)),"")</f>
        <v/>
      </c>
      <c r="CU34" s="979" t="str">
        <f t="shared" ref="CU34" si="205">IFERROR(IF(AND($CM34&lt;=0,$CN34&lt;=0,$CO34&lt;=0),"No Savings","OK"),"")</f>
        <v>No Savings</v>
      </c>
      <c r="CV34" s="925" t="str">
        <f t="shared" ref="CV34" si="206">IF(AND(CB34="OK",CU34="OK"),"1","")</f>
        <v/>
      </c>
      <c r="CW34" s="925" t="str">
        <f>IFERROR(IF($CB34="OK",ROUND($AQ$14*SUM(BB34:BE35)/SUM($BF$18:$BG$37),2),""),"")</f>
        <v/>
      </c>
      <c r="CX34" s="925" t="str">
        <f>IFERROR(IF(M02S04F04="Customer/Self-Installed",CW34,IF($CB34="OK",CW34+BD34,"")),"")</f>
        <v/>
      </c>
      <c r="CY34" s="925" t="str">
        <f>IFERROR(IF($CB34="OK",CX34+BB34,""),"")</f>
        <v/>
      </c>
      <c r="CZ34" s="925" t="str">
        <f>IF(CB34="OK",INDEX(MEASURES3_M!$O$50, MATCH(F34,MEASURES3_M!$C$50,0)),"")</f>
        <v/>
      </c>
      <c r="DA34" s="925" t="str">
        <f>IF(CB34="OK",INDEX(MEASURES3_M!$P$50, MATCH(F34,MEASURES3_M!$C$50,0)),"")</f>
        <v/>
      </c>
      <c r="DD34" s="980" t="str">
        <f>IFERROR(IF(CB34&lt;&gt;"OK","",CM34*VLOOKUP('DATA TABLES_Project'!$C$247,'DATA TABLES_Project'!$A$250:$B$285,2,FALSE)),"")</f>
        <v/>
      </c>
      <c r="DE34" s="925" t="str">
        <f t="shared" ref="DE34" si="207">IFERROR(IF(CB34&lt;&gt;"OK","",CM34*CZ34*0.92),"")</f>
        <v/>
      </c>
      <c r="DF34" s="980" t="str">
        <f>IFERROR(IF(CB34&lt;&gt;"OK","",CM34*CZ34*0.92*VLOOKUP('DATA TABLES_Project'!$C$247,'DATA TABLES_Project'!$A$250:$B$285,2,FALSE)),"")</f>
        <v/>
      </c>
      <c r="DG34" s="925" t="str">
        <f t="shared" ref="DG34" si="208">IFERROR(IF(CB34&lt;&gt;"OK","",CM34*BV34),IF(BX34="Dual",(CM34*BW34)+((BY34-AJ34)*(BV34-BW34)),""))</f>
        <v/>
      </c>
      <c r="DH34" s="925" t="str">
        <f ca="1">IFERROR(IF(CB34&lt;&gt;"OK","",IF(OR(BX34="Single",BX34=""), CM34*BV34*AVERAGE(INDEX('DATA TABLES_Project'!$B$250:$B$285, MATCH('DATA TABLES_Project'!$C$247,'DATA TABLES_Project'!$A$250:$A$285, 0)):OFFSET(INDEX('DATA TABLES_Project'!$B$250:$B$285, MATCH('DATA TABLES_Project'!$C$247,'DATA TABLES_Project'!$A$250:$A$285, 0)),BV34-1,0)),CM34*BW34*AVERAGE(INDEX('DATA TABLES_Project'!$B$250:$B$285, MATCH('DATA TABLES_Project'!$C$247,'DATA TABLES_Project'!$A$250:$A$285, 0)):OFFSET(INDEX('DATA TABLES_Project'!$B$250:$B$285, MATCH('DATA TABLES_Project'!$C$247,'DATA TABLES_Project'!$A$250:$A$285, 0)),BW34-1,0)) + ((BY34-AJ34)*(BV34-BW34)*AVERAGE(OFFSET(INDEX('DATA TABLES_Project'!$B$250:$B$285, MATCH('DATA TABLES_Project'!$C$247,'DATA TABLES_Project'!$A$250:$A$285, 0)),BW34,0):OFFSET(INDEX('DATA TABLES_Project'!$B$250:$B$285, MATCH('DATA TABLES_Project'!$C$247,'DATA TABLES_Project'!$A$250:$A$285, 0)),BV34-1,0))))), "")</f>
        <v/>
      </c>
      <c r="DI34" s="925" t="str">
        <f t="shared" ref="DI34" si="209">IFERROR(IF(CB34&lt;&gt;"OK","",IF(BX34="Dual",(CM34*BW34)+((BY34-AJ34)*(BV34-BW34))*CZ34*0.92,CM34*CZ34*BV34*0.92)),"")</f>
        <v/>
      </c>
      <c r="DJ34" s="925" t="str">
        <f ca="1">IFERROR(IF(CB34&lt;&gt;"OK","",IF(OR(BX34="Single",BX34=""),0.92*CZ34*CM34*BV34*AVERAGE(INDEX('DATA TABLES_Project'!$B$250:$B$285, MATCH('DATA TABLES_Project'!$C$247,'DATA TABLES_Project'!$A$250:$A$285, 0)):OFFSET(INDEX('DATA TABLES_Project'!$B$250:$B$285, MATCH('DATA TABLES_Project'!$C$247,'DATA TABLES_Project'!$A$250:$A$285, 0)),BV34-1,0)),0.92*CZ34*CM34*BW34*AVERAGE(INDEX('DATA TABLES_Project'!$B$250:$B$285, MATCH('DATA TABLES_Project'!$C$247,'DATA TABLES_Project'!$A$250:$A$285, 0)):OFFSET(INDEX('DATA TABLES_Project'!$B$250:$B$285, MATCH('DATA TABLES_Project'!$C$247,'DATA TABLES_Project'!$A$250:$A$285, 0)),BW34-1,0)) + (0.92*CZ34*(BY34-AJ34)*(BV34-BW34)*AVERAGE(OFFSET(INDEX('DATA TABLES_Project'!$B$250:$B$285, MATCH('DATA TABLES_Project'!$C$247,'DATA TABLES_Project'!$A$250:$A$285, 0)),BW34,0):OFFSET(INDEX('DATA TABLES_Project'!$B$250:$B$285, MATCH('DATA TABLES_Project'!$C$247,'DATA TABLES_Project'!$A$250:$A$285, 0)),BV34-1,0))))), "")</f>
        <v/>
      </c>
      <c r="DK34" s="925" t="str">
        <f>IFERROR(IF(CB34&lt;&gt;"OK","",CO34*'DATA TABLES_Project'!$C$250),"")</f>
        <v/>
      </c>
      <c r="DL34" s="925" t="str">
        <f t="shared" ref="DL34" si="210">IFERROR(IF(CB34&lt;&gt;"OK","",CO34*DA34*0.92),"")</f>
        <v/>
      </c>
      <c r="DM34" s="925" t="str">
        <f>IFERROR(IF(CB34&lt;&gt;"OK","",CO34*'DATA TABLES_Project'!$C$250*DA34*0.92),"")</f>
        <v/>
      </c>
      <c r="DN34" s="925" t="str">
        <f t="shared" ref="DN34" si="211">IFERROR(IF(CB34&lt;&gt;"OK","",CO34*BV34),IF(BX34="Dual",(CO34*BW34)+((BZ34-AP34)*(BV34-BW34)),""))</f>
        <v/>
      </c>
      <c r="DO34" s="925" t="str">
        <f ca="1">IFERROR(IF(CB34&lt;&gt;"OK","",CO34*BV34*AVERAGE('DATA TABLES_Project'!$C$250:OFFSET('DATA TABLES_Project'!$C$250,BV34,0))),IF(BX34="Dual",(CO34*BW34*AVERAGE('DATA TABLES_Project'!$C$251:$C$259))+((BZ34-AP34)*(BV34-BW34)*AVERAGE('DATA TABLES_Project'!$C$260:$C$279)),""))</f>
        <v/>
      </c>
      <c r="DP34" s="925" t="str">
        <f t="shared" ref="DP34" si="212">IFERROR(IF(CB34&lt;&gt;"OK","",IF(BX34="Dual",((CO34*BW34)+(BZ34-AP34)*(BV34-BW34))*DA34*0.92,CO34*BV34*DA34*0.92)),"")</f>
        <v/>
      </c>
      <c r="DQ34" s="925" t="str">
        <f ca="1">IFERROR(IF(CB34&lt;&gt;"OK","",IF(BX34="Dual",(0.92*DA34*CO34*BW34*AVERAGE('DATA TABLES_Project'!$C$251:$C$259))+(0.92*DA34*(BZ34-AP34)*(BV34-BW34)*AVERAGE('DATA TABLES_Project'!$C$260:$C$279)),0.92*DA34*CO34*BV34*AVERAGE('DATA TABLES_Project'!$C$250:OFFSET('DATA TABLES_Project'!$C$250,BV34,0)))),"")</f>
        <v/>
      </c>
      <c r="DR34" s="980" t="str">
        <f>IFERROR(IF($CB34&lt;&gt;"OK","",CM34*'DATA TABLES_Project'!$B$290+IF(CO34&lt;0,0,CO34*'DATA TABLES_Project'!$B$291)),"")</f>
        <v/>
      </c>
      <c r="DS34" s="980" t="str">
        <f>IFERROR(IF($CB34&lt;&gt;"OK","",DD34*'DATA TABLES_Project'!$B$290+IF(DK34&lt;0,0,DK34*'DATA TABLES_Project'!$B$291)),"")</f>
        <v/>
      </c>
      <c r="DT34" s="980" t="str">
        <f>IFERROR(IF($CB34&lt;&gt;"OK","",DE34*'DATA TABLES_Project'!$B$290+IF(DL34&lt;0,0,DL34*'DATA TABLES_Project'!$B$291)),"")</f>
        <v/>
      </c>
      <c r="DU34" s="980" t="str">
        <f>IFERROR(IF($CB34&lt;&gt;"OK","",DF34*'DATA TABLES_Project'!$B$290+IF(DM34&lt;0,0,DM34*'DATA TABLES_Project'!$B$291)),"")</f>
        <v/>
      </c>
      <c r="DV34" s="980" t="str">
        <f>IFERROR(IF($CB34&lt;&gt;"OK","",DG34*'DATA TABLES_Project'!$B$290+IF(DN34&lt;0,0,DN34*'DATA TABLES_Project'!$B$291)),"")</f>
        <v/>
      </c>
      <c r="DW34" s="980" t="str">
        <f>IFERROR(IF($CB34&lt;&gt;"OK","",DH34*'DATA TABLES_Project'!$B$290+IF(DO34&lt;0,0,DO34*'DATA TABLES_Project'!$B$291)),"")</f>
        <v/>
      </c>
      <c r="DX34" s="980" t="str">
        <f>IFERROR(IF($CB34&lt;&gt;"OK","",DI34*'DATA TABLES_Project'!$B$290+IF(DP34&lt;0,0,DP34*'DATA TABLES_Project'!$B$291)),"")</f>
        <v/>
      </c>
      <c r="DY34" s="925" t="str">
        <f>IFERROR(IF($CB34&lt;&gt;"OK","",DJ34*'DATA TABLES_Project'!$B$290+IF(DQ34&lt;0,0,DQ34*'DATA TABLES_Project'!$B$291)),"")</f>
        <v/>
      </c>
      <c r="DZ34" s="925" t="str">
        <f t="shared" ref="DZ34" si="213">IFERROR(IF($CB34&lt;&gt;"OK","",AS34),"")</f>
        <v/>
      </c>
      <c r="EA34" s="925" t="str">
        <f>IFERROR(IF(CB34&lt;&gt;"OK","",CN34*'DATA TABLES_Project'!$B$250*CZ34*1.03),"")</f>
        <v/>
      </c>
      <c r="EB34" s="925" t="str">
        <f t="shared" ref="EB34" si="214">IFERROR(IF(CB34&lt;&gt;"OK","",CN34*CZ34*1.03),"")</f>
        <v/>
      </c>
      <c r="EC34" s="925" t="str">
        <f>IFERROR(IF(CB34&lt;&gt;"OK","",CZ34*DZ34*'DATA TABLES_Project'!$C$250*0.92),"")</f>
        <v/>
      </c>
      <c r="ED34" s="925" t="str">
        <f>IFERROR(IF(CB34&lt;&gt;"OK","",CZ34*DZ34*'DATA TABLES_Project'!$C$250*0.92),"")</f>
        <v/>
      </c>
      <c r="EE34" s="925" t="str">
        <f t="shared" ref="EE34" si="215">IFERROR(IF(CB34&lt;&gt;"OK","",CZ34*DZ34*0.92),"")</f>
        <v/>
      </c>
      <c r="EF34" s="925" t="str">
        <f t="shared" ref="EF34" si="216">IFERROR(IF(CB34&lt;&gt;"OK","",CZ34*DZ34*0.92),"")</f>
        <v/>
      </c>
      <c r="EG34" s="925" t="str">
        <f>IFERROR(IF($CB34&lt;&gt;"OK","",CM34*'DATA TABLES_Project'!$B$290+CO34*'DATA TABLES_Project'!$B$291),"")</f>
        <v/>
      </c>
      <c r="EH34" s="925" t="str">
        <f>IFERROR(IF($CB34&lt;&gt;"OK","",DD34*'DATA TABLES_Project'!$B$290+DK34*'DATA TABLES_Project'!$B$291),"")</f>
        <v/>
      </c>
      <c r="EI34" s="925" t="str">
        <f>IFERROR(IF($CB34&lt;&gt;"OK","",DE34*'DATA TABLES_Project'!$B$290+DL34*'DATA TABLES_Project'!$B$291),"")</f>
        <v/>
      </c>
      <c r="EJ34" s="925" t="str">
        <f>IFERROR(IF($CB34&lt;&gt;"OK","",DF34*'DATA TABLES_Project'!$B$290+DM34*'DATA TABLES_Project'!$B$291),"")</f>
        <v/>
      </c>
      <c r="EK34" s="925" t="str">
        <f>IFERROR(IF($CB34&lt;&gt;"OK","",DG34*'DATA TABLES_Project'!$B$290+DN34*'DATA TABLES_Project'!$B$291),"")</f>
        <v/>
      </c>
      <c r="EL34" s="925" t="str">
        <f>IFERROR(IF($CB34&lt;&gt;"OK","",DH34*'DATA TABLES_Project'!$B$290+DO34*'DATA TABLES_Project'!$B$291),"")</f>
        <v/>
      </c>
      <c r="EM34" s="925" t="str">
        <f>IFERROR(IF($CB34&lt;&gt;"OK","",DI34*'DATA TABLES_Project'!$B$290+DP34*'DATA TABLES_Project'!$B$291),"")</f>
        <v/>
      </c>
      <c r="EN34" s="925" t="str">
        <f>IFERROR(IF($CB34&lt;&gt;"OK","",DJ34*'DATA TABLES_Project'!$B$290+DQ34*'DATA TABLES_Project'!$B$291),"")</f>
        <v/>
      </c>
    </row>
    <row r="35" spans="1:144" customFormat="1" ht="16.350000000000001" customHeight="1">
      <c r="A35" s="462"/>
      <c r="B35" s="994"/>
      <c r="C35" s="998"/>
      <c r="D35" s="999"/>
      <c r="E35" s="1000"/>
      <c r="F35" s="964"/>
      <c r="G35" s="965"/>
      <c r="H35" s="965"/>
      <c r="I35" s="965"/>
      <c r="J35" s="965"/>
      <c r="K35" s="966"/>
      <c r="L35" s="964"/>
      <c r="M35" s="965"/>
      <c r="N35" s="965"/>
      <c r="O35" s="965"/>
      <c r="P35" s="965"/>
      <c r="Q35" s="966"/>
      <c r="R35" s="1044"/>
      <c r="S35" s="1044"/>
      <c r="T35" s="1044"/>
      <c r="U35" s="1044"/>
      <c r="V35" s="1044"/>
      <c r="W35" s="1044"/>
      <c r="X35" s="1045"/>
      <c r="Y35" s="1045"/>
      <c r="Z35" s="1045"/>
      <c r="AA35" s="1045"/>
      <c r="AB35" s="1045"/>
      <c r="AC35" s="1045"/>
      <c r="AD35" s="964"/>
      <c r="AE35" s="965"/>
      <c r="AF35" s="965"/>
      <c r="AG35" s="965"/>
      <c r="AH35" s="965"/>
      <c r="AI35" s="966"/>
      <c r="AJ35" s="952"/>
      <c r="AK35" s="953"/>
      <c r="AL35" s="954"/>
      <c r="AM35" s="952"/>
      <c r="AN35" s="953"/>
      <c r="AO35" s="954"/>
      <c r="AP35" s="958"/>
      <c r="AQ35" s="959"/>
      <c r="AR35" s="960"/>
      <c r="AS35" s="958"/>
      <c r="AT35" s="959"/>
      <c r="AU35" s="960"/>
      <c r="AV35" s="968"/>
      <c r="AW35" s="969"/>
      <c r="AX35" s="969"/>
      <c r="AY35" s="969"/>
      <c r="AZ35" s="969"/>
      <c r="BA35" s="970"/>
      <c r="BB35" s="947"/>
      <c r="BC35" s="948"/>
      <c r="BD35" s="947"/>
      <c r="BE35" s="948"/>
      <c r="BF35" s="931"/>
      <c r="BG35" s="932"/>
      <c r="BH35" s="974"/>
      <c r="BI35" s="975"/>
      <c r="BJ35" s="976"/>
      <c r="BK35" s="936"/>
      <c r="BL35" s="937"/>
      <c r="BM35" s="938"/>
      <c r="BN35" s="942"/>
      <c r="BO35" s="943"/>
      <c r="BP35" s="944"/>
      <c r="BS35" s="967"/>
      <c r="BT35" s="967"/>
      <c r="BV35" s="926"/>
      <c r="BW35" s="926"/>
      <c r="BX35" s="926"/>
      <c r="BY35" s="927"/>
      <c r="BZ35" s="928"/>
      <c r="CB35" s="986"/>
      <c r="CC35" s="925"/>
      <c r="CD35" s="925"/>
      <c r="CE35" s="925"/>
      <c r="CF35" s="925"/>
      <c r="CG35" s="925"/>
      <c r="CH35" s="925"/>
      <c r="CI35" s="925"/>
      <c r="CJ35" s="977"/>
      <c r="CK35" s="977"/>
      <c r="CL35" s="977"/>
      <c r="CM35" s="977"/>
      <c r="CN35" s="977"/>
      <c r="CO35" s="977"/>
      <c r="CP35" s="977"/>
      <c r="CQ35" s="977"/>
      <c r="CR35" s="977"/>
      <c r="CS35" s="983"/>
      <c r="CT35" s="1056"/>
      <c r="CU35" s="979"/>
      <c r="CV35" s="925"/>
      <c r="CW35" s="925"/>
      <c r="CX35" s="925"/>
      <c r="CY35" s="925"/>
      <c r="CZ35" s="925"/>
      <c r="DA35" s="925"/>
      <c r="DD35" s="981"/>
      <c r="DE35" s="925"/>
      <c r="DF35" s="981"/>
      <c r="DG35" s="925"/>
      <c r="DH35" s="925"/>
      <c r="DI35" s="925"/>
      <c r="DJ35" s="925"/>
      <c r="DK35" s="925"/>
      <c r="DL35" s="925"/>
      <c r="DM35" s="925"/>
      <c r="DN35" s="925"/>
      <c r="DO35" s="925"/>
      <c r="DP35" s="925"/>
      <c r="DQ35" s="925"/>
      <c r="DR35" s="981"/>
      <c r="DS35" s="981"/>
      <c r="DT35" s="981"/>
      <c r="DU35" s="981"/>
      <c r="DV35" s="981"/>
      <c r="DW35" s="981"/>
      <c r="DX35" s="981"/>
      <c r="DY35" s="925"/>
      <c r="DZ35" s="925"/>
      <c r="EA35" s="925"/>
      <c r="EB35" s="925"/>
      <c r="EC35" s="925"/>
      <c r="ED35" s="925"/>
      <c r="EE35" s="925"/>
      <c r="EF35" s="925"/>
      <c r="EG35" s="925"/>
      <c r="EH35" s="925"/>
      <c r="EI35" s="925"/>
      <c r="EJ35" s="925"/>
      <c r="EK35" s="925"/>
      <c r="EL35" s="925"/>
      <c r="EM35" s="925"/>
      <c r="EN35" s="925"/>
    </row>
    <row r="36" spans="1:144" customFormat="1" ht="16.350000000000001" customHeight="1">
      <c r="A36" s="462"/>
      <c r="B36" s="994">
        <v>10</v>
      </c>
      <c r="C36" s="995"/>
      <c r="D36" s="996"/>
      <c r="E36" s="997"/>
      <c r="F36" s="961"/>
      <c r="G36" s="962"/>
      <c r="H36" s="962"/>
      <c r="I36" s="962"/>
      <c r="J36" s="962"/>
      <c r="K36" s="963"/>
      <c r="L36" s="961"/>
      <c r="M36" s="962"/>
      <c r="N36" s="962"/>
      <c r="O36" s="962"/>
      <c r="P36" s="962"/>
      <c r="Q36" s="963"/>
      <c r="R36" s="1044"/>
      <c r="S36" s="1044"/>
      <c r="T36" s="1044"/>
      <c r="U36" s="1044"/>
      <c r="V36" s="1044"/>
      <c r="W36" s="1044"/>
      <c r="X36" s="1045"/>
      <c r="Y36" s="1045"/>
      <c r="Z36" s="1045"/>
      <c r="AA36" s="1045"/>
      <c r="AB36" s="1045"/>
      <c r="AC36" s="1045"/>
      <c r="AD36" s="961"/>
      <c r="AE36" s="962"/>
      <c r="AF36" s="962"/>
      <c r="AG36" s="962"/>
      <c r="AH36" s="962"/>
      <c r="AI36" s="963"/>
      <c r="AJ36" s="949"/>
      <c r="AK36" s="950"/>
      <c r="AL36" s="951"/>
      <c r="AM36" s="949"/>
      <c r="AN36" s="950"/>
      <c r="AO36" s="951"/>
      <c r="AP36" s="955"/>
      <c r="AQ36" s="956"/>
      <c r="AR36" s="957"/>
      <c r="AS36" s="955"/>
      <c r="AT36" s="956"/>
      <c r="AU36" s="957"/>
      <c r="AV36" s="968"/>
      <c r="AW36" s="969"/>
      <c r="AX36" s="970"/>
      <c r="AY36" s="968"/>
      <c r="AZ36" s="969"/>
      <c r="BA36" s="970"/>
      <c r="BB36" s="945"/>
      <c r="BC36" s="946"/>
      <c r="BD36" s="945"/>
      <c r="BE36" s="946"/>
      <c r="BF36" s="929" t="str">
        <f t="shared" ref="BF36" si="217">IF(CB36="OK",ROUND(BB36+BD36,2),"")</f>
        <v/>
      </c>
      <c r="BG36" s="930"/>
      <c r="BH36" s="971" t="str">
        <f t="shared" ref="BH36" si="218">IFERROR(IF(AND($CB36="OK",$CU36="OK"),$CI36,IF($CB36&lt;&gt;"OK",$CB36,$CU36)),"")</f>
        <v/>
      </c>
      <c r="BI36" s="972"/>
      <c r="BJ36" s="973"/>
      <c r="BK36" s="933" t="str">
        <f t="shared" ref="BK36" si="219">IF($CB36="OK",CM36,"")</f>
        <v/>
      </c>
      <c r="BL36" s="934"/>
      <c r="BM36" s="935"/>
      <c r="BN36" s="939" t="str">
        <f t="shared" ref="BN36" si="220">IF($CB36="OK",$CR36,"")</f>
        <v/>
      </c>
      <c r="BO36" s="940"/>
      <c r="BP36" s="941"/>
      <c r="BS36" s="967"/>
      <c r="BT36" s="967"/>
      <c r="BV36" s="926" t="str">
        <f t="shared" ref="BV36" si="221">IFERROR(ROUND(IF(AND(CB36="OK",CU36="OK"),CT36,""),0),"")</f>
        <v/>
      </c>
      <c r="BW36" s="926" t="str">
        <f t="shared" ref="BW36" si="222">IFERROR(ROUND(IF(AND(CB36="OK",CU36="OK"),BV36/3,""),0),"")</f>
        <v/>
      </c>
      <c r="BX36" s="926"/>
      <c r="BY36" s="927"/>
      <c r="BZ36" s="928"/>
      <c r="CB36" s="986" t="str">
        <f>IF(AND(C36="",F36="",R36="",AD36="",U36="",X36="",L36="",AJ36="",AV36="",AM36="",AP36="",AY36="",AV37="",BB36="",BD36="",AA36="",AS36=""),"",
IF(OR(C36="",F36="",R36="",AD36="",U36="",X36="",L36="",AJ36="",AV36="",AM36="",AP36="",AY36="",AV37="",BB36="",BD36="",AA36="",AS36=""),"Missing Fields",
IF(AND(M02S04F04disp="Required",M02S04F04=""),"TA Info Incomplete",
"OK")))</f>
        <v/>
      </c>
      <c r="CC36" s="925" t="str">
        <f>IF(AND(CB36="OK",CU36="OK"),INDEX(Tbl_Cust_Res[Measure Number], MATCH(F36,Tbl_Cust_Res[Proj Desc 1],0)),"")</f>
        <v/>
      </c>
      <c r="CD36" s="925"/>
      <c r="CE36" s="925" t="str">
        <f t="shared" ref="CE36" si="223">IF(CB36="OK","Measure","")</f>
        <v/>
      </c>
      <c r="CF36" s="925" t="str">
        <f t="shared" ref="CF36" si="224">IF(CB36="OK",1,"")</f>
        <v/>
      </c>
      <c r="CG36" s="978" t="str">
        <f t="shared" ref="CG36" si="225">IFERROR(CI36/CF36,"")</f>
        <v/>
      </c>
      <c r="CH36" s="978" t="str">
        <f>IF(CB36="OK",IF(CM36&gt;0,CM36*Incent_Rate_kWh,0)+IF(CO36&gt;0,CO36*Incent_Rate_thm,0),"")</f>
        <v/>
      </c>
      <c r="CI36" s="978" t="str">
        <f>IFERROR(IF($CB36="OK",IF(INCENTTOCOST_CUST&gt;CostCap_Cust,
CH36*CostCap_Cust/INCENTTOCOST_CUST,CH36),""),"")</f>
        <v/>
      </c>
      <c r="CJ36" s="977">
        <f t="shared" ref="CJ36" si="226">CM36</f>
        <v>0</v>
      </c>
      <c r="CK36" s="977">
        <f t="shared" ref="CK36" si="227">CN36</f>
        <v>0</v>
      </c>
      <c r="CL36" s="977">
        <f t="shared" ref="CL36" si="228">CO36</f>
        <v>0</v>
      </c>
      <c r="CM36" s="977">
        <f>R36-AJ36</f>
        <v>0</v>
      </c>
      <c r="CN36" s="977">
        <f>U36-AM36</f>
        <v>0</v>
      </c>
      <c r="CO36" s="977">
        <f t="shared" ref="CO36" si="229">IF(CR36&gt;0,CR36,0)</f>
        <v>0</v>
      </c>
      <c r="CP36" s="977">
        <f t="shared" ref="CP36" si="230">CM36</f>
        <v>0</v>
      </c>
      <c r="CQ36" s="977">
        <f t="shared" ref="CQ36" si="231">CN36</f>
        <v>0</v>
      </c>
      <c r="CR36" s="977">
        <f>X36-AP36</f>
        <v>0</v>
      </c>
      <c r="CS36" s="983"/>
      <c r="CT36" s="1056" t="str">
        <f>IF(CB36="OK",INDEX(Tbl_Cust_Res[EUL], MATCH(F36,Tbl_Cust_Res[Proj Desc 1],0)),"")</f>
        <v/>
      </c>
      <c r="CU36" s="979" t="str">
        <f t="shared" ref="CU36" si="232">IFERROR(IF(AND($CM36&lt;=0,$CN36&lt;=0,$CO36&lt;=0),"No Savings","OK"),"")</f>
        <v>No Savings</v>
      </c>
      <c r="CV36" s="925" t="str">
        <f t="shared" ref="CV36" si="233">IF(AND(CB36="OK",CU36="OK"),"1","")</f>
        <v/>
      </c>
      <c r="CW36" s="925" t="str">
        <f>IFERROR(IF($CB36="OK",ROUND($AQ$14*SUM(BB36:BE37)/SUM($BF$18:$BG$37),2),""),"")</f>
        <v/>
      </c>
      <c r="CX36" s="925" t="str">
        <f>IFERROR(IF(M02S04F04="Customer/Self-Installed",CW36,IF($CB36="OK",CW36+BD36,"")),"")</f>
        <v/>
      </c>
      <c r="CY36" s="925" t="str">
        <f>IFERROR(IF($CB36="OK",CX36+BB36,""),"")</f>
        <v/>
      </c>
      <c r="CZ36" s="925" t="str">
        <f>IF(CB36="OK",INDEX(MEASURES3_M!$O$50, MATCH(F36,MEASURES3_M!$C$50,0)),"")</f>
        <v/>
      </c>
      <c r="DA36" s="925" t="str">
        <f>IF(CB36="OK",INDEX(MEASURES3_M!$P$50, MATCH(F36,MEASURES3_M!$C$50,0)),"")</f>
        <v/>
      </c>
      <c r="DD36" s="980" t="str">
        <f>IFERROR(IF(CB36&lt;&gt;"OK","",CM36*VLOOKUP('DATA TABLES_Project'!$C$247,'DATA TABLES_Project'!$A$250:$B$285,2,FALSE)),"")</f>
        <v/>
      </c>
      <c r="DE36" s="925" t="str">
        <f t="shared" ref="DE36" si="234">IFERROR(IF(CB36&lt;&gt;"OK","",CM36*CZ36*0.92),"")</f>
        <v/>
      </c>
      <c r="DF36" s="980" t="str">
        <f>IFERROR(IF(CB36&lt;&gt;"OK","",CM36*CZ36*0.92*VLOOKUP('DATA TABLES_Project'!$C$247,'DATA TABLES_Project'!$A$250:$B$285,2,FALSE)),"")</f>
        <v/>
      </c>
      <c r="DG36" s="925" t="str">
        <f t="shared" ref="DG36" si="235">IFERROR(IF(CB36&lt;&gt;"OK","",CM36*BV36),IF(BX36="Dual",(CM36*BW36)+((BY36-AJ36)*(BV36-BW36)),""))</f>
        <v/>
      </c>
      <c r="DH36" s="925" t="str">
        <f ca="1">IFERROR(IF(CB36&lt;&gt;"OK","",IF(OR(BX36="Single",BX36=""), CM36*BV36*AVERAGE(INDEX('DATA TABLES_Project'!$B$250:$B$285, MATCH('DATA TABLES_Project'!$C$247,'DATA TABLES_Project'!$A$250:$A$285, 0)):OFFSET(INDEX('DATA TABLES_Project'!$B$250:$B$285, MATCH('DATA TABLES_Project'!$C$247,'DATA TABLES_Project'!$A$250:$A$285, 0)),BV36-1,0)),CM36*BW36*AVERAGE(INDEX('DATA TABLES_Project'!$B$250:$B$285, MATCH('DATA TABLES_Project'!$C$247,'DATA TABLES_Project'!$A$250:$A$285, 0)):OFFSET(INDEX('DATA TABLES_Project'!$B$250:$B$285, MATCH('DATA TABLES_Project'!$C$247,'DATA TABLES_Project'!$A$250:$A$285, 0)),BW36-1,0)) + ((BY36-AJ36)*(BV36-BW36)*AVERAGE(OFFSET(INDEX('DATA TABLES_Project'!$B$250:$B$285, MATCH('DATA TABLES_Project'!$C$247,'DATA TABLES_Project'!$A$250:$A$285, 0)),BW36,0):OFFSET(INDEX('DATA TABLES_Project'!$B$250:$B$285, MATCH('DATA TABLES_Project'!$C$247,'DATA TABLES_Project'!$A$250:$A$285, 0)),BV36-1,0))))), "")</f>
        <v/>
      </c>
      <c r="DI36" s="925" t="str">
        <f t="shared" ref="DI36" si="236">IFERROR(IF(CB36&lt;&gt;"OK","",IF(BX36="Dual",(CM36*BW36)+((BY36-AJ36)*(BV36-BW36))*CZ36*0.92,CM36*CZ36*BV36*0.92)),"")</f>
        <v/>
      </c>
      <c r="DJ36" s="925" t="str">
        <f ca="1">IFERROR(IF(CB36&lt;&gt;"OK","",IF(OR(BX36="Single",BX36=""),0.92*CZ36*CM36*BV36*AVERAGE(INDEX('DATA TABLES_Project'!$B$250:$B$285, MATCH('DATA TABLES_Project'!$C$247,'DATA TABLES_Project'!$A$250:$A$285, 0)):OFFSET(INDEX('DATA TABLES_Project'!$B$250:$B$285, MATCH('DATA TABLES_Project'!$C$247,'DATA TABLES_Project'!$A$250:$A$285, 0)),BV36-1,0)),0.92*CZ36*CM36*BW36*AVERAGE(INDEX('DATA TABLES_Project'!$B$250:$B$285, MATCH('DATA TABLES_Project'!$C$247,'DATA TABLES_Project'!$A$250:$A$285, 0)):OFFSET(INDEX('DATA TABLES_Project'!$B$250:$B$285, MATCH('DATA TABLES_Project'!$C$247,'DATA TABLES_Project'!$A$250:$A$285, 0)),BW36-1,0)) + (0.92*CZ36*(BY36-AJ36)*(BV36-BW36)*AVERAGE(OFFSET(INDEX('DATA TABLES_Project'!$B$250:$B$285, MATCH('DATA TABLES_Project'!$C$247,'DATA TABLES_Project'!$A$250:$A$285, 0)),BW36,0):OFFSET(INDEX('DATA TABLES_Project'!$B$250:$B$285, MATCH('DATA TABLES_Project'!$C$247,'DATA TABLES_Project'!$A$250:$A$285, 0)),BV36-1,0))))), "")</f>
        <v/>
      </c>
      <c r="DK36" s="925" t="str">
        <f>IFERROR(IF(CB36&lt;&gt;"OK","",CO36*'DATA TABLES_Project'!$C$250),"")</f>
        <v/>
      </c>
      <c r="DL36" s="925" t="str">
        <f t="shared" ref="DL36" si="237">IFERROR(IF(CB36&lt;&gt;"OK","",CO36*DA36*0.92),"")</f>
        <v/>
      </c>
      <c r="DM36" s="925" t="str">
        <f>IFERROR(IF(CB36&lt;&gt;"OK","",CO36*'DATA TABLES_Project'!$C$250*DA36*0.92),"")</f>
        <v/>
      </c>
      <c r="DN36" s="925" t="str">
        <f t="shared" ref="DN36" si="238">IFERROR(IF(CB36&lt;&gt;"OK","",CO36*BV36),IF(BX36="Dual",(CO36*BW36)+((BZ36-AP36)*(BV36-BW36)),""))</f>
        <v/>
      </c>
      <c r="DO36" s="925" t="str">
        <f ca="1">IFERROR(IF(CB36&lt;&gt;"OK","",CO36*BV36*AVERAGE('DATA TABLES_Project'!$C$250:OFFSET('DATA TABLES_Project'!$C$250,BV36,0))),IF(BX36="Dual",(CO36*BW36*AVERAGE('DATA TABLES_Project'!$C$251:$C$259))+((BZ36-AP36)*(BV36-BW36)*AVERAGE('DATA TABLES_Project'!$C$260:$C$279)),""))</f>
        <v/>
      </c>
      <c r="DP36" s="925" t="str">
        <f t="shared" ref="DP36" si="239">IFERROR(IF(CB36&lt;&gt;"OK","",IF(BX36="Dual",((CO36*BW36)+(BZ36-AP36)*(BV36-BW36))*DA36*0.92,CO36*BV36*DA36*0.92)),"")</f>
        <v/>
      </c>
      <c r="DQ36" s="925" t="str">
        <f ca="1">IFERROR(IF(CB36&lt;&gt;"OK","",IF(BX36="Dual",(0.92*DA36*CO36*BW36*AVERAGE('DATA TABLES_Project'!$C$251:$C$259))+(0.92*DA36*(BZ36-AP36)*(BV36-BW36)*AVERAGE('DATA TABLES_Project'!$C$260:$C$279)),0.92*DA36*CO36*BV36*AVERAGE('DATA TABLES_Project'!$C$250:OFFSET('DATA TABLES_Project'!$C$250,BV36,0)))),"")</f>
        <v/>
      </c>
      <c r="DR36" s="980" t="str">
        <f>IFERROR(IF($CB36&lt;&gt;"OK","",CM36*'DATA TABLES_Project'!$B$290+IF(CO36&lt;0,0,CO36*'DATA TABLES_Project'!$B$291)),"")</f>
        <v/>
      </c>
      <c r="DS36" s="980" t="str">
        <f>IFERROR(IF($CB36&lt;&gt;"OK","",DD36*'DATA TABLES_Project'!$B$290+IF(DK36&lt;0,0,DK36*'DATA TABLES_Project'!$B$291)),"")</f>
        <v/>
      </c>
      <c r="DT36" s="980" t="str">
        <f>IFERROR(IF($CB36&lt;&gt;"OK","",DE36*'DATA TABLES_Project'!$B$290+IF(DL36&lt;0,0,DL36*'DATA TABLES_Project'!$B$291)),"")</f>
        <v/>
      </c>
      <c r="DU36" s="980" t="str">
        <f>IFERROR(IF($CB36&lt;&gt;"OK","",DF36*'DATA TABLES_Project'!$B$290+IF(DM36&lt;0,0,DM36*'DATA TABLES_Project'!$B$291)),"")</f>
        <v/>
      </c>
      <c r="DV36" s="980" t="str">
        <f>IFERROR(IF($CB36&lt;&gt;"OK","",DG36*'DATA TABLES_Project'!$B$290+IF(DN36&lt;0,0,DN36*'DATA TABLES_Project'!$B$291)),"")</f>
        <v/>
      </c>
      <c r="DW36" s="980" t="str">
        <f>IFERROR(IF($CB36&lt;&gt;"OK","",DH36*'DATA TABLES_Project'!$B$290+IF(DO36&lt;0,0,DO36*'DATA TABLES_Project'!$B$291)),"")</f>
        <v/>
      </c>
      <c r="DX36" s="980" t="str">
        <f>IFERROR(IF($CB36&lt;&gt;"OK","",DI36*'DATA TABLES_Project'!$B$290+IF(DP36&lt;0,0,DP36*'DATA TABLES_Project'!$B$291)),"")</f>
        <v/>
      </c>
      <c r="DY36" s="925" t="str">
        <f>IFERROR(IF($CB36&lt;&gt;"OK","",DJ36*'DATA TABLES_Project'!$B$290+IF(DQ36&lt;0,0,DQ36*'DATA TABLES_Project'!$B$291)),"")</f>
        <v/>
      </c>
      <c r="DZ36" s="925" t="str">
        <f t="shared" ref="DZ36" si="240">IFERROR(IF($CB36&lt;&gt;"OK","",AS36),"")</f>
        <v/>
      </c>
      <c r="EA36" s="925" t="str">
        <f>IFERROR(IF(CB36&lt;&gt;"OK","",CN36*'DATA TABLES_Project'!$B$250*CZ36*1.03),"")</f>
        <v/>
      </c>
      <c r="EB36" s="925" t="str">
        <f t="shared" ref="EB36" si="241">IFERROR(IF(CB36&lt;&gt;"OK","",CN36*CZ36*1.03),"")</f>
        <v/>
      </c>
      <c r="EC36" s="925" t="str">
        <f>IFERROR(IF(CB36&lt;&gt;"OK","",CZ36*DZ36*'DATA TABLES_Project'!$C$250*0.92),"")</f>
        <v/>
      </c>
      <c r="ED36" s="925" t="str">
        <f>IFERROR(IF(CB36&lt;&gt;"OK","",CZ36*DZ36*'DATA TABLES_Project'!$C$250*0.92),"")</f>
        <v/>
      </c>
      <c r="EE36" s="925" t="str">
        <f t="shared" ref="EE36" si="242">IFERROR(IF(CB36&lt;&gt;"OK","",CZ36*DZ36*0.92),"")</f>
        <v/>
      </c>
      <c r="EF36" s="925" t="str">
        <f t="shared" ref="EF36" si="243">IFERROR(IF(CB36&lt;&gt;"OK","",CZ36*DZ36*0.92),"")</f>
        <v/>
      </c>
      <c r="EG36" s="925" t="str">
        <f>IFERROR(IF($CB36&lt;&gt;"OK","",CM36*'DATA TABLES_Project'!$B$290+CO36*'DATA TABLES_Project'!$B$291),"")</f>
        <v/>
      </c>
      <c r="EH36" s="925" t="str">
        <f>IFERROR(IF($CB36&lt;&gt;"OK","",DD36*'DATA TABLES_Project'!$B$290+DK36*'DATA TABLES_Project'!$B$291),"")</f>
        <v/>
      </c>
      <c r="EI36" s="925" t="str">
        <f>IFERROR(IF($CB36&lt;&gt;"OK","",DE36*'DATA TABLES_Project'!$B$290+DL36*'DATA TABLES_Project'!$B$291),"")</f>
        <v/>
      </c>
      <c r="EJ36" s="925" t="str">
        <f>IFERROR(IF($CB36&lt;&gt;"OK","",DF36*'DATA TABLES_Project'!$B$290+DM36*'DATA TABLES_Project'!$B$291),"")</f>
        <v/>
      </c>
      <c r="EK36" s="925" t="str">
        <f>IFERROR(IF($CB36&lt;&gt;"OK","",DG36*'DATA TABLES_Project'!$B$290+DN36*'DATA TABLES_Project'!$B$291),"")</f>
        <v/>
      </c>
      <c r="EL36" s="925" t="str">
        <f>IFERROR(IF($CB36&lt;&gt;"OK","",DH36*'DATA TABLES_Project'!$B$290+DO36*'DATA TABLES_Project'!$B$291),"")</f>
        <v/>
      </c>
      <c r="EM36" s="925" t="str">
        <f>IFERROR(IF($CB36&lt;&gt;"OK","",DI36*'DATA TABLES_Project'!$B$290+DP36*'DATA TABLES_Project'!$B$291),"")</f>
        <v/>
      </c>
      <c r="EN36" s="925" t="str">
        <f>IFERROR(IF($CB36&lt;&gt;"OK","",DJ36*'DATA TABLES_Project'!$B$290+DQ36*'DATA TABLES_Project'!$B$291),"")</f>
        <v/>
      </c>
    </row>
    <row r="37" spans="1:144" customFormat="1" ht="16.350000000000001" customHeight="1">
      <c r="A37" s="462"/>
      <c r="B37" s="994"/>
      <c r="C37" s="998"/>
      <c r="D37" s="999"/>
      <c r="E37" s="1000"/>
      <c r="F37" s="964"/>
      <c r="G37" s="965"/>
      <c r="H37" s="965"/>
      <c r="I37" s="965"/>
      <c r="J37" s="965"/>
      <c r="K37" s="966"/>
      <c r="L37" s="964"/>
      <c r="M37" s="965"/>
      <c r="N37" s="965"/>
      <c r="O37" s="965"/>
      <c r="P37" s="965"/>
      <c r="Q37" s="966"/>
      <c r="R37" s="1044"/>
      <c r="S37" s="1044"/>
      <c r="T37" s="1044"/>
      <c r="U37" s="1044"/>
      <c r="V37" s="1044"/>
      <c r="W37" s="1044"/>
      <c r="X37" s="1045"/>
      <c r="Y37" s="1045"/>
      <c r="Z37" s="1045"/>
      <c r="AA37" s="1045"/>
      <c r="AB37" s="1045"/>
      <c r="AC37" s="1045"/>
      <c r="AD37" s="964"/>
      <c r="AE37" s="965"/>
      <c r="AF37" s="965"/>
      <c r="AG37" s="965"/>
      <c r="AH37" s="965"/>
      <c r="AI37" s="966"/>
      <c r="AJ37" s="952"/>
      <c r="AK37" s="953"/>
      <c r="AL37" s="954"/>
      <c r="AM37" s="952"/>
      <c r="AN37" s="953"/>
      <c r="AO37" s="954"/>
      <c r="AP37" s="958"/>
      <c r="AQ37" s="959"/>
      <c r="AR37" s="960"/>
      <c r="AS37" s="958"/>
      <c r="AT37" s="959"/>
      <c r="AU37" s="960"/>
      <c r="AV37" s="968"/>
      <c r="AW37" s="969"/>
      <c r="AX37" s="969"/>
      <c r="AY37" s="969"/>
      <c r="AZ37" s="969"/>
      <c r="BA37" s="970"/>
      <c r="BB37" s="947"/>
      <c r="BC37" s="948"/>
      <c r="BD37" s="947"/>
      <c r="BE37" s="948"/>
      <c r="BF37" s="931"/>
      <c r="BG37" s="932"/>
      <c r="BH37" s="974"/>
      <c r="BI37" s="975"/>
      <c r="BJ37" s="976"/>
      <c r="BK37" s="936"/>
      <c r="BL37" s="937"/>
      <c r="BM37" s="938"/>
      <c r="BN37" s="942"/>
      <c r="BO37" s="943"/>
      <c r="BP37" s="944"/>
      <c r="BS37" s="967"/>
      <c r="BT37" s="967"/>
      <c r="BV37" s="926"/>
      <c r="BW37" s="926"/>
      <c r="BX37" s="926"/>
      <c r="BY37" s="927"/>
      <c r="BZ37" s="928"/>
      <c r="CB37" s="986"/>
      <c r="CC37" s="925"/>
      <c r="CD37" s="925"/>
      <c r="CE37" s="925"/>
      <c r="CF37" s="925"/>
      <c r="CG37" s="925"/>
      <c r="CH37" s="925"/>
      <c r="CI37" s="925"/>
      <c r="CJ37" s="977"/>
      <c r="CK37" s="977"/>
      <c r="CL37" s="977"/>
      <c r="CM37" s="977"/>
      <c r="CN37" s="977"/>
      <c r="CO37" s="977"/>
      <c r="CP37" s="977"/>
      <c r="CQ37" s="977"/>
      <c r="CR37" s="977"/>
      <c r="CS37" s="983"/>
      <c r="CT37" s="1056"/>
      <c r="CU37" s="979"/>
      <c r="CV37" s="925"/>
      <c r="CW37" s="925"/>
      <c r="CX37" s="925"/>
      <c r="CY37" s="925"/>
      <c r="CZ37" s="925"/>
      <c r="DA37" s="925"/>
      <c r="DD37" s="981"/>
      <c r="DE37" s="925"/>
      <c r="DF37" s="981"/>
      <c r="DG37" s="925"/>
      <c r="DH37" s="925"/>
      <c r="DI37" s="925"/>
      <c r="DJ37" s="925"/>
      <c r="DK37" s="925"/>
      <c r="DL37" s="925"/>
      <c r="DM37" s="925"/>
      <c r="DN37" s="925"/>
      <c r="DO37" s="925"/>
      <c r="DP37" s="925"/>
      <c r="DQ37" s="925"/>
      <c r="DR37" s="981"/>
      <c r="DS37" s="981"/>
      <c r="DT37" s="981"/>
      <c r="DU37" s="981"/>
      <c r="DV37" s="981"/>
      <c r="DW37" s="981"/>
      <c r="DX37" s="981"/>
      <c r="DY37" s="925"/>
      <c r="DZ37" s="925"/>
      <c r="EA37" s="925"/>
      <c r="EB37" s="925"/>
      <c r="EC37" s="925"/>
      <c r="ED37" s="925"/>
      <c r="EE37" s="925"/>
      <c r="EF37" s="925"/>
      <c r="EG37" s="925"/>
      <c r="EH37" s="925"/>
      <c r="EI37" s="925"/>
      <c r="EJ37" s="925"/>
      <c r="EK37" s="925"/>
      <c r="EL37" s="925"/>
      <c r="EM37" s="925"/>
      <c r="EN37" s="925"/>
    </row>
    <row r="38" spans="1:144" customFormat="1" ht="16.350000000000001" customHeight="1">
      <c r="A38" s="462"/>
      <c r="B38" s="462"/>
      <c r="C38" s="462"/>
      <c r="D38" s="462"/>
      <c r="E38" s="462"/>
      <c r="F38" s="462"/>
      <c r="G38" s="462"/>
      <c r="H38" s="462"/>
      <c r="I38" s="462"/>
      <c r="J38" s="462"/>
      <c r="K38" s="462"/>
      <c r="L38" s="47"/>
      <c r="M38" s="47"/>
      <c r="N38" s="47"/>
      <c r="O38" s="47"/>
      <c r="P38" s="462"/>
      <c r="Q38" s="462"/>
      <c r="R38" s="462"/>
      <c r="S38" s="462"/>
      <c r="T38" s="462"/>
      <c r="U38" s="47"/>
      <c r="V38" s="47"/>
      <c r="W38" s="47"/>
      <c r="X38" s="47"/>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7"/>
      <c r="BB38" s="47"/>
      <c r="BC38" s="465"/>
      <c r="BD38" s="465"/>
      <c r="BE38" s="462"/>
      <c r="BF38" s="462"/>
      <c r="BG38" s="465"/>
      <c r="BH38" s="462"/>
      <c r="BI38" s="462"/>
      <c r="BJ38" s="462"/>
      <c r="CC38" s="12"/>
      <c r="CD38" s="12"/>
      <c r="CE38" s="12"/>
      <c r="CF38" s="12"/>
      <c r="CG38" s="12"/>
      <c r="CH38" s="12"/>
    </row>
    <row r="39" spans="1:144" customFormat="1" ht="16.350000000000001" hidden="1" customHeight="1">
      <c r="L39" s="12"/>
      <c r="M39" s="12"/>
      <c r="N39" s="12"/>
      <c r="O39" s="12"/>
      <c r="U39" s="12"/>
      <c r="V39" s="12"/>
      <c r="W39" s="12"/>
      <c r="X39" s="12"/>
      <c r="BA39" s="12"/>
      <c r="BB39" s="12"/>
      <c r="BC39" s="89"/>
      <c r="BD39" s="89"/>
      <c r="BG39" s="89"/>
      <c r="CC39" s="12"/>
      <c r="CD39" s="12"/>
      <c r="CE39" s="12"/>
      <c r="CF39" s="12"/>
      <c r="CG39" s="12"/>
      <c r="CH39" s="12"/>
    </row>
    <row r="40" spans="1:144" customFormat="1" ht="16.350000000000001" hidden="1" customHeight="1">
      <c r="L40" s="12"/>
      <c r="M40" s="12"/>
      <c r="N40" s="12"/>
      <c r="O40" s="12"/>
      <c r="U40" s="12"/>
      <c r="V40" s="12"/>
      <c r="W40" s="12"/>
      <c r="X40" s="12"/>
      <c r="BA40" s="12"/>
      <c r="BB40" s="12"/>
      <c r="BC40" s="89"/>
      <c r="BD40" s="89"/>
      <c r="BG40" s="89"/>
      <c r="CC40" s="12"/>
      <c r="CD40" s="12"/>
      <c r="CE40" s="12"/>
      <c r="CF40" s="12"/>
      <c r="CG40" s="12"/>
      <c r="CH40" s="12"/>
    </row>
    <row r="41" spans="1:144" customFormat="1" ht="16.350000000000001" hidden="1" customHeight="1">
      <c r="L41" s="12"/>
      <c r="M41" s="12"/>
      <c r="N41" s="12"/>
      <c r="O41" s="12"/>
      <c r="U41" s="12"/>
      <c r="V41" s="12"/>
      <c r="W41" s="12"/>
      <c r="X41" s="12"/>
      <c r="BA41" s="12"/>
      <c r="BB41" s="12"/>
      <c r="BC41" s="89"/>
      <c r="BD41" s="89"/>
      <c r="BG41" s="89"/>
      <c r="CC41" s="12"/>
      <c r="CD41" s="12"/>
      <c r="CE41" s="12"/>
      <c r="CF41" s="12"/>
      <c r="CG41" s="12"/>
      <c r="CH41" s="12"/>
    </row>
    <row r="42" spans="1:144" customFormat="1" ht="16.350000000000001" hidden="1" customHeight="1">
      <c r="L42" s="12"/>
      <c r="M42" s="12"/>
      <c r="N42" s="12"/>
      <c r="O42" s="12"/>
      <c r="U42" s="12"/>
      <c r="V42" s="12"/>
      <c r="W42" s="12"/>
      <c r="X42" s="12"/>
      <c r="BA42" s="12"/>
      <c r="BB42" s="12"/>
      <c r="BC42" s="89"/>
      <c r="BD42" s="89"/>
      <c r="BG42" s="89"/>
      <c r="CC42" s="12"/>
      <c r="CD42" s="12"/>
      <c r="CE42" s="12"/>
      <c r="CF42" s="12"/>
      <c r="CG42" s="12"/>
      <c r="CH42" s="12"/>
    </row>
    <row r="43" spans="1:144" customFormat="1" ht="16.350000000000001" hidden="1" customHeight="1">
      <c r="L43" s="12"/>
      <c r="M43" s="12"/>
      <c r="N43" s="12"/>
      <c r="O43" s="12"/>
      <c r="U43" s="12"/>
      <c r="V43" s="12"/>
      <c r="W43" s="12"/>
      <c r="X43" s="12"/>
      <c r="BA43" s="12"/>
      <c r="BB43" s="12"/>
      <c r="BC43" s="89"/>
      <c r="BD43" s="89"/>
      <c r="BG43" s="89"/>
      <c r="CC43" s="12"/>
      <c r="CD43" s="12"/>
      <c r="CE43" s="12"/>
      <c r="CF43" s="12"/>
      <c r="CG43" s="12"/>
      <c r="CH43" s="12"/>
    </row>
    <row r="44" spans="1:144" customFormat="1" ht="16.350000000000001" hidden="1" customHeight="1">
      <c r="L44" s="12"/>
      <c r="M44" s="12"/>
      <c r="N44" s="12"/>
      <c r="O44" s="12"/>
      <c r="U44" s="12"/>
      <c r="V44" s="12"/>
      <c r="W44" s="12"/>
      <c r="X44" s="12"/>
      <c r="BA44" s="12"/>
      <c r="BB44" s="12"/>
      <c r="BC44" s="89"/>
      <c r="BD44" s="89"/>
      <c r="BG44" s="89"/>
      <c r="CC44" s="12"/>
      <c r="CD44" s="12"/>
      <c r="CE44" s="12"/>
      <c r="CF44" s="12"/>
      <c r="CG44" s="12"/>
      <c r="CH44" s="12"/>
    </row>
    <row r="45" spans="1:144" customFormat="1" ht="16.350000000000001" hidden="1" customHeight="1">
      <c r="L45" s="12"/>
      <c r="M45" s="12"/>
      <c r="N45" s="12"/>
      <c r="O45" s="12"/>
      <c r="U45" s="12"/>
      <c r="V45" s="12"/>
      <c r="W45" s="12"/>
      <c r="X45" s="12"/>
      <c r="BA45" s="12"/>
      <c r="BB45" s="12"/>
      <c r="BC45" s="89"/>
      <c r="BD45" s="89"/>
      <c r="BG45" s="89"/>
      <c r="CC45" s="12"/>
      <c r="CD45" s="12"/>
      <c r="CE45" s="12"/>
      <c r="CF45" s="12"/>
      <c r="CG45" s="12"/>
      <c r="CH45" s="12"/>
    </row>
    <row r="46" spans="1:144" customFormat="1" ht="16.350000000000001" hidden="1" customHeight="1">
      <c r="L46" s="12"/>
      <c r="M46" s="12"/>
      <c r="N46" s="12"/>
      <c r="O46" s="12"/>
      <c r="U46" s="12"/>
      <c r="V46" s="12"/>
      <c r="W46" s="12"/>
      <c r="X46" s="12"/>
      <c r="BA46" s="12"/>
      <c r="BB46" s="12"/>
      <c r="BC46" s="89"/>
      <c r="BD46" s="89"/>
      <c r="BG46" s="89"/>
      <c r="CC46" s="12"/>
      <c r="CD46" s="12"/>
      <c r="CE46" s="12"/>
      <c r="CF46" s="12"/>
      <c r="CG46" s="12"/>
      <c r="CH46" s="12"/>
    </row>
    <row r="47" spans="1:144" customFormat="1" ht="16.350000000000001" hidden="1" customHeight="1">
      <c r="L47" s="12"/>
      <c r="M47" s="12"/>
      <c r="N47" s="12"/>
      <c r="O47" s="12"/>
      <c r="U47" s="12"/>
      <c r="V47" s="12"/>
      <c r="W47" s="12"/>
      <c r="X47" s="12"/>
      <c r="BA47" s="12"/>
      <c r="BB47" s="12"/>
      <c r="BC47" s="89"/>
      <c r="BD47" s="89"/>
      <c r="BG47" s="89"/>
      <c r="CC47" s="12"/>
      <c r="CD47" s="12"/>
      <c r="CE47" s="12"/>
      <c r="CF47" s="12"/>
      <c r="CG47" s="12"/>
      <c r="CH47" s="12"/>
    </row>
    <row r="48" spans="1:144" ht="16.350000000000001"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51"/>
      <c r="AZ48" s="52"/>
      <c r="BA48" s="12"/>
      <c r="BB48" s="12"/>
      <c r="BC48" s="102"/>
      <c r="BD48" s="102"/>
      <c r="BE48" s="52"/>
      <c r="BF48" s="12"/>
      <c r="BG48" s="90"/>
      <c r="BH48" s="12"/>
      <c r="BI48" s="12"/>
      <c r="BJ48" s="12"/>
      <c r="BK48"/>
      <c r="BL48"/>
      <c r="BM48"/>
      <c r="BN48"/>
      <c r="BO48"/>
      <c r="BP48"/>
      <c r="BQ48"/>
      <c r="BR48"/>
    </row>
    <row r="49" spans="51:70" s="12" customFormat="1" ht="16.350000000000001" hidden="1" customHeight="1">
      <c r="AY49" s="51"/>
      <c r="AZ49" s="52"/>
      <c r="BC49" s="102"/>
      <c r="BD49" s="102"/>
      <c r="BE49" s="52"/>
      <c r="BG49" s="90"/>
      <c r="BK49"/>
      <c r="BL49"/>
      <c r="BM49"/>
      <c r="BN49"/>
      <c r="BO49"/>
      <c r="BP49"/>
      <c r="BQ49"/>
      <c r="BR49"/>
    </row>
    <row r="50" spans="51:70" s="12" customFormat="1" ht="16.350000000000001" hidden="1" customHeight="1">
      <c r="AY50" s="51"/>
      <c r="AZ50" s="52"/>
      <c r="BC50" s="102"/>
      <c r="BD50" s="102"/>
      <c r="BE50" s="52"/>
      <c r="BG50" s="90"/>
      <c r="BK50"/>
      <c r="BL50"/>
      <c r="BM50"/>
      <c r="BN50"/>
      <c r="BO50"/>
      <c r="BP50"/>
      <c r="BQ50"/>
      <c r="BR50"/>
    </row>
    <row r="51" spans="51:70" s="12" customFormat="1" ht="16.350000000000001" hidden="1" customHeight="1">
      <c r="AY51" s="51"/>
      <c r="AZ51" s="52"/>
      <c r="BC51" s="102"/>
      <c r="BD51" s="102"/>
      <c r="BE51" s="52"/>
      <c r="BG51" s="90"/>
      <c r="BK51"/>
      <c r="BL51"/>
      <c r="BM51"/>
      <c r="BN51"/>
      <c r="BO51"/>
      <c r="BP51"/>
      <c r="BQ51"/>
      <c r="BR51"/>
    </row>
    <row r="52" spans="51:70" s="12" customFormat="1" ht="16.350000000000001" hidden="1" customHeight="1">
      <c r="AY52" s="51"/>
      <c r="AZ52" s="52"/>
      <c r="BC52" s="102"/>
      <c r="BD52" s="102"/>
      <c r="BE52" s="52"/>
      <c r="BG52" s="90"/>
      <c r="BK52"/>
      <c r="BL52"/>
      <c r="BM52"/>
      <c r="BN52"/>
      <c r="BO52"/>
      <c r="BP52"/>
      <c r="BQ52"/>
      <c r="BR52"/>
    </row>
    <row r="53" spans="51:70" s="12" customFormat="1" ht="16.350000000000001" hidden="1" customHeight="1">
      <c r="AY53" s="51"/>
      <c r="AZ53" s="52"/>
      <c r="BC53" s="102"/>
      <c r="BD53" s="102"/>
      <c r="BE53" s="52"/>
      <c r="BG53" s="90"/>
      <c r="BK53"/>
      <c r="BL53"/>
      <c r="BM53"/>
      <c r="BN53"/>
      <c r="BO53"/>
      <c r="BP53"/>
      <c r="BQ53"/>
      <c r="BR53"/>
    </row>
    <row r="54" spans="51:70" s="12" customFormat="1" ht="16.350000000000001" hidden="1" customHeight="1">
      <c r="AY54" s="51"/>
      <c r="AZ54" s="52"/>
      <c r="BC54" s="102"/>
      <c r="BD54" s="102"/>
      <c r="BE54" s="52"/>
      <c r="BG54" s="90"/>
      <c r="BK54"/>
      <c r="BL54"/>
      <c r="BM54"/>
      <c r="BN54"/>
      <c r="BO54"/>
      <c r="BP54"/>
      <c r="BQ54"/>
      <c r="BR54"/>
    </row>
    <row r="55" spans="51:70" s="12" customFormat="1" ht="16.350000000000001" hidden="1" customHeight="1">
      <c r="AY55" s="51"/>
      <c r="AZ55" s="52"/>
      <c r="BC55" s="102"/>
      <c r="BD55" s="102"/>
      <c r="BE55" s="52"/>
      <c r="BG55" s="90"/>
      <c r="BK55"/>
      <c r="BL55"/>
      <c r="BM55"/>
      <c r="BN55"/>
      <c r="BO55"/>
      <c r="BP55"/>
      <c r="BQ55"/>
      <c r="BR55"/>
    </row>
    <row r="56" spans="51:70" s="12" customFormat="1" ht="16.350000000000001" hidden="1" customHeight="1">
      <c r="AY56" s="51"/>
      <c r="AZ56" s="52"/>
      <c r="BC56" s="102"/>
      <c r="BD56" s="102"/>
      <c r="BE56" s="52"/>
      <c r="BG56" s="90"/>
      <c r="BK56"/>
      <c r="BL56"/>
      <c r="BM56"/>
      <c r="BN56"/>
      <c r="BO56"/>
      <c r="BP56"/>
      <c r="BQ56"/>
      <c r="BR56"/>
    </row>
    <row r="57" spans="51:70" s="12" customFormat="1" ht="16.350000000000001" hidden="1" customHeight="1">
      <c r="AY57" s="51"/>
      <c r="AZ57" s="52"/>
      <c r="BC57" s="102"/>
      <c r="BD57" s="102"/>
      <c r="BE57" s="52"/>
      <c r="BG57" s="90"/>
      <c r="BK57"/>
      <c r="BL57"/>
      <c r="BM57"/>
      <c r="BN57"/>
      <c r="BO57"/>
      <c r="BP57"/>
      <c r="BQ57"/>
      <c r="BR57"/>
    </row>
    <row r="58" spans="51:70" s="12" customFormat="1" ht="16.350000000000001" hidden="1" customHeight="1">
      <c r="AY58" s="51"/>
      <c r="AZ58" s="52"/>
      <c r="BC58" s="102"/>
      <c r="BD58" s="102"/>
      <c r="BE58" s="52"/>
      <c r="BG58" s="90"/>
      <c r="BK58"/>
      <c r="BL58"/>
      <c r="BM58"/>
      <c r="BN58"/>
      <c r="BO58"/>
      <c r="BP58"/>
      <c r="BQ58"/>
      <c r="BR58"/>
    </row>
    <row r="59" spans="51:70" s="12" customFormat="1" ht="16.350000000000001" hidden="1" customHeight="1">
      <c r="AY59" s="51"/>
      <c r="AZ59" s="52"/>
      <c r="BC59" s="102"/>
      <c r="BD59" s="102"/>
      <c r="BE59" s="52"/>
      <c r="BG59" s="90"/>
      <c r="BK59"/>
      <c r="BL59"/>
      <c r="BM59"/>
      <c r="BN59"/>
      <c r="BO59"/>
      <c r="BP59"/>
      <c r="BQ59"/>
      <c r="BR59"/>
    </row>
    <row r="60" spans="51:70" s="12" customFormat="1" ht="16.350000000000001" hidden="1" customHeight="1">
      <c r="AY60" s="51"/>
      <c r="AZ60" s="52"/>
      <c r="BC60" s="102"/>
      <c r="BD60" s="102"/>
      <c r="BE60" s="52"/>
      <c r="BG60" s="90"/>
      <c r="BK60"/>
      <c r="BL60"/>
      <c r="BM60"/>
      <c r="BN60"/>
      <c r="BO60"/>
      <c r="BP60"/>
      <c r="BQ60"/>
      <c r="BR60"/>
    </row>
    <row r="61" spans="51:70" s="12" customFormat="1" ht="16.350000000000001" hidden="1" customHeight="1">
      <c r="AY61" s="51"/>
      <c r="AZ61" s="52"/>
      <c r="BC61" s="102"/>
      <c r="BD61" s="102"/>
      <c r="BE61" s="52"/>
      <c r="BG61" s="90"/>
      <c r="BK61"/>
      <c r="BL61"/>
      <c r="BM61"/>
      <c r="BN61"/>
      <c r="BO61"/>
      <c r="BP61"/>
      <c r="BQ61"/>
      <c r="BR61"/>
    </row>
    <row r="62" spans="51:70" s="12" customFormat="1" ht="16.350000000000001" hidden="1" customHeight="1">
      <c r="AY62" s="51"/>
      <c r="AZ62" s="52"/>
      <c r="BC62" s="102"/>
      <c r="BD62" s="102"/>
      <c r="BE62" s="52"/>
      <c r="BG62" s="90"/>
      <c r="BK62"/>
      <c r="BL62"/>
      <c r="BM62"/>
      <c r="BN62"/>
      <c r="BO62"/>
      <c r="BP62"/>
      <c r="BQ62"/>
      <c r="BR62"/>
    </row>
    <row r="63" spans="51:70" s="12" customFormat="1" ht="16.350000000000001" hidden="1" customHeight="1">
      <c r="AY63" s="51"/>
      <c r="AZ63" s="52"/>
      <c r="BC63" s="102"/>
      <c r="BD63" s="102"/>
      <c r="BE63" s="52"/>
      <c r="BG63" s="90"/>
      <c r="BK63"/>
      <c r="BL63"/>
      <c r="BM63"/>
      <c r="BN63"/>
      <c r="BO63"/>
      <c r="BP63"/>
      <c r="BQ63"/>
      <c r="BR63"/>
    </row>
    <row r="64" spans="51:70" s="12" customFormat="1" ht="16.350000000000001" hidden="1" customHeight="1">
      <c r="AY64" s="51"/>
      <c r="AZ64" s="52"/>
      <c r="BC64" s="102"/>
      <c r="BD64" s="102"/>
      <c r="BE64" s="52"/>
      <c r="BG64" s="90"/>
      <c r="BK64"/>
      <c r="BL64"/>
      <c r="BM64"/>
      <c r="BN64"/>
      <c r="BO64"/>
      <c r="BP64"/>
      <c r="BQ64"/>
      <c r="BR64"/>
    </row>
    <row r="65" spans="51:70" s="12" customFormat="1" ht="16.350000000000001" hidden="1" customHeight="1">
      <c r="AY65" s="51"/>
      <c r="AZ65" s="52"/>
      <c r="BC65" s="102"/>
      <c r="BD65" s="102"/>
      <c r="BE65" s="52"/>
      <c r="BG65" s="90"/>
      <c r="BK65"/>
      <c r="BL65"/>
      <c r="BM65"/>
      <c r="BN65"/>
      <c r="BO65"/>
      <c r="BP65"/>
      <c r="BQ65"/>
      <c r="BR65"/>
    </row>
    <row r="66" spans="51:70" s="12" customFormat="1" ht="16.350000000000001" hidden="1" customHeight="1">
      <c r="AY66" s="51"/>
      <c r="AZ66" s="52"/>
      <c r="BC66" s="102"/>
      <c r="BD66" s="102"/>
      <c r="BE66" s="52"/>
      <c r="BG66" s="90"/>
      <c r="BK66"/>
      <c r="BL66"/>
      <c r="BM66"/>
      <c r="BN66"/>
      <c r="BO66"/>
      <c r="BP66"/>
      <c r="BQ66"/>
      <c r="BR66"/>
    </row>
    <row r="67" spans="51:70" s="12" customFormat="1" ht="16.350000000000001" hidden="1" customHeight="1">
      <c r="AY67" s="51"/>
      <c r="AZ67" s="52"/>
      <c r="BC67" s="102"/>
      <c r="BD67" s="102"/>
      <c r="BE67" s="52"/>
      <c r="BG67" s="90"/>
      <c r="BK67"/>
      <c r="BL67"/>
      <c r="BM67"/>
      <c r="BN67"/>
      <c r="BO67"/>
      <c r="BP67"/>
      <c r="BQ67"/>
      <c r="BR67"/>
    </row>
    <row r="68" spans="51:70" s="12" customFormat="1" ht="16.350000000000001" hidden="1" customHeight="1">
      <c r="AY68" s="51"/>
      <c r="AZ68" s="52"/>
      <c r="BC68" s="102"/>
      <c r="BD68" s="102"/>
      <c r="BE68" s="52"/>
      <c r="BG68" s="90"/>
      <c r="BK68"/>
      <c r="BL68"/>
      <c r="BM68"/>
      <c r="BN68"/>
      <c r="BO68"/>
      <c r="BP68"/>
      <c r="BQ68"/>
      <c r="BR68"/>
    </row>
    <row r="69" spans="51:70" s="12" customFormat="1" ht="16.350000000000001" hidden="1" customHeight="1">
      <c r="AY69" s="51"/>
      <c r="AZ69" s="52"/>
      <c r="BC69" s="102"/>
      <c r="BD69" s="102"/>
      <c r="BE69" s="52"/>
      <c r="BG69" s="90"/>
      <c r="BK69"/>
      <c r="BL69"/>
      <c r="BM69"/>
      <c r="BN69"/>
      <c r="BO69"/>
      <c r="BP69"/>
      <c r="BQ69"/>
      <c r="BR69"/>
    </row>
    <row r="70" spans="51:70" s="12" customFormat="1" ht="16.350000000000001" hidden="1" customHeight="1">
      <c r="AY70" s="51"/>
      <c r="AZ70" s="52"/>
      <c r="BC70" s="102"/>
      <c r="BD70" s="102"/>
      <c r="BE70" s="52"/>
      <c r="BG70" s="90"/>
      <c r="BK70"/>
      <c r="BL70"/>
      <c r="BM70"/>
      <c r="BN70"/>
      <c r="BO70"/>
      <c r="BP70"/>
      <c r="BQ70"/>
      <c r="BR70"/>
    </row>
    <row r="71" spans="51:70" s="12" customFormat="1" ht="16.350000000000001" hidden="1" customHeight="1">
      <c r="AY71" s="51"/>
      <c r="AZ71" s="52"/>
      <c r="BC71" s="102"/>
      <c r="BD71" s="102"/>
      <c r="BE71" s="52"/>
      <c r="BG71" s="90"/>
      <c r="BK71"/>
      <c r="BL71"/>
      <c r="BM71"/>
      <c r="BN71"/>
      <c r="BO71"/>
      <c r="BP71"/>
      <c r="BQ71"/>
      <c r="BR71"/>
    </row>
    <row r="72" spans="51:70" s="12" customFormat="1" ht="16.350000000000001" hidden="1" customHeight="1">
      <c r="AY72" s="51"/>
      <c r="AZ72" s="52"/>
      <c r="BC72" s="102"/>
      <c r="BD72" s="102"/>
      <c r="BE72" s="52"/>
      <c r="BG72" s="90"/>
      <c r="BK72"/>
      <c r="BL72"/>
      <c r="BM72"/>
      <c r="BN72"/>
      <c r="BO72"/>
      <c r="BP72"/>
      <c r="BQ72"/>
      <c r="BR72"/>
    </row>
    <row r="73" spans="51:70" s="12" customFormat="1" ht="16.350000000000001" hidden="1" customHeight="1">
      <c r="AY73" s="51"/>
      <c r="AZ73" s="52"/>
      <c r="BC73" s="102"/>
      <c r="BD73" s="102"/>
      <c r="BE73" s="52"/>
      <c r="BG73" s="90"/>
      <c r="BK73"/>
      <c r="BL73"/>
      <c r="BM73"/>
      <c r="BN73"/>
      <c r="BO73"/>
      <c r="BP73"/>
      <c r="BQ73"/>
      <c r="BR73"/>
    </row>
    <row r="74" spans="51:70" s="12" customFormat="1" ht="16.350000000000001" hidden="1" customHeight="1">
      <c r="AY74" s="51"/>
      <c r="AZ74" s="52"/>
      <c r="BC74" s="102"/>
      <c r="BD74" s="102"/>
      <c r="BE74" s="52"/>
      <c r="BG74" s="90"/>
      <c r="BK74"/>
      <c r="BL74"/>
      <c r="BM74"/>
      <c r="BN74"/>
      <c r="BO74"/>
      <c r="BP74"/>
      <c r="BQ74"/>
      <c r="BR74"/>
    </row>
    <row r="75" spans="51:70" s="12" customFormat="1" ht="16.350000000000001" hidden="1" customHeight="1">
      <c r="AY75" s="51"/>
      <c r="AZ75" s="52"/>
      <c r="BC75" s="102"/>
      <c r="BD75" s="102"/>
      <c r="BE75" s="52"/>
      <c r="BG75" s="90"/>
      <c r="BK75"/>
      <c r="BL75"/>
      <c r="BM75"/>
      <c r="BN75"/>
      <c r="BO75"/>
      <c r="BP75"/>
      <c r="BQ75"/>
      <c r="BR75"/>
    </row>
    <row r="76" spans="51:70" s="12" customFormat="1" ht="16.350000000000001" hidden="1" customHeight="1">
      <c r="AY76" s="51"/>
      <c r="AZ76" s="52"/>
      <c r="BC76" s="102"/>
      <c r="BD76" s="102"/>
      <c r="BE76" s="52"/>
      <c r="BG76" s="90"/>
      <c r="BK76"/>
      <c r="BL76"/>
      <c r="BM76"/>
      <c r="BN76"/>
      <c r="BO76"/>
      <c r="BP76"/>
      <c r="BQ76"/>
      <c r="BR76"/>
    </row>
    <row r="77" spans="51:70" s="12" customFormat="1" ht="16.350000000000001" hidden="1" customHeight="1">
      <c r="AY77" s="51"/>
      <c r="AZ77" s="52"/>
      <c r="BC77" s="102"/>
      <c r="BD77" s="102"/>
      <c r="BE77" s="52"/>
      <c r="BG77" s="90"/>
      <c r="BK77"/>
      <c r="BL77"/>
      <c r="BM77"/>
      <c r="BN77"/>
      <c r="BO77"/>
      <c r="BP77"/>
      <c r="BQ77"/>
      <c r="BR77"/>
    </row>
    <row r="78" spans="51:70" s="12" customFormat="1" ht="16.350000000000001" hidden="1" customHeight="1">
      <c r="AY78" s="51"/>
      <c r="AZ78" s="52"/>
      <c r="BC78" s="102"/>
      <c r="BD78" s="102"/>
      <c r="BE78" s="52"/>
      <c r="BG78" s="90"/>
      <c r="BK78"/>
      <c r="BL78"/>
      <c r="BM78"/>
      <c r="BN78"/>
      <c r="BO78"/>
      <c r="BP78"/>
      <c r="BQ78"/>
      <c r="BR78"/>
    </row>
    <row r="79" spans="51:70" s="12" customFormat="1" ht="16.350000000000001" hidden="1" customHeight="1">
      <c r="AY79" s="51"/>
      <c r="AZ79" s="52"/>
      <c r="BC79" s="102"/>
      <c r="BD79" s="102"/>
      <c r="BE79" s="52"/>
      <c r="BG79" s="90"/>
      <c r="BK79"/>
      <c r="BL79"/>
      <c r="BM79"/>
      <c r="BN79"/>
      <c r="BO79"/>
      <c r="BP79"/>
      <c r="BQ79"/>
      <c r="BR79"/>
    </row>
    <row r="80" spans="51:70" s="12" customFormat="1" ht="16.350000000000001" hidden="1" customHeight="1">
      <c r="AY80" s="51"/>
      <c r="AZ80" s="52"/>
      <c r="BC80" s="102"/>
      <c r="BD80" s="102"/>
      <c r="BE80" s="52"/>
      <c r="BG80" s="90"/>
      <c r="BK80"/>
      <c r="BL80"/>
      <c r="BM80"/>
      <c r="BN80"/>
      <c r="BO80"/>
      <c r="BP80"/>
      <c r="BQ80"/>
      <c r="BR80"/>
    </row>
    <row r="81" spans="51:70" s="12" customFormat="1" ht="16.350000000000001" hidden="1" customHeight="1">
      <c r="AY81" s="51"/>
      <c r="AZ81" s="52"/>
      <c r="BC81" s="102"/>
      <c r="BD81" s="102"/>
      <c r="BE81" s="52"/>
      <c r="BG81" s="90"/>
      <c r="BK81"/>
      <c r="BL81"/>
      <c r="BM81"/>
      <c r="BN81"/>
      <c r="BO81"/>
      <c r="BP81"/>
      <c r="BQ81"/>
      <c r="BR81"/>
    </row>
    <row r="82" spans="51:70" s="12" customFormat="1" ht="16.350000000000001" hidden="1" customHeight="1">
      <c r="AY82" s="51"/>
      <c r="AZ82" s="52"/>
      <c r="BC82" s="102"/>
      <c r="BD82" s="102"/>
      <c r="BE82" s="52"/>
      <c r="BG82" s="90"/>
      <c r="BK82"/>
      <c r="BL82"/>
      <c r="BM82"/>
      <c r="BN82"/>
      <c r="BO82"/>
      <c r="BP82"/>
      <c r="BQ82"/>
      <c r="BR82"/>
    </row>
    <row r="83" spans="51:70" s="12" customFormat="1" ht="16.350000000000001" hidden="1" customHeight="1">
      <c r="AY83" s="51"/>
      <c r="AZ83" s="52"/>
      <c r="BC83" s="102"/>
      <c r="BD83" s="102"/>
      <c r="BE83" s="52"/>
      <c r="BG83" s="90"/>
      <c r="BK83"/>
      <c r="BL83"/>
      <c r="BM83"/>
      <c r="BN83"/>
      <c r="BO83"/>
      <c r="BP83"/>
      <c r="BQ83"/>
      <c r="BR83"/>
    </row>
    <row r="84" spans="51:70" s="12" customFormat="1" ht="16.350000000000001" hidden="1" customHeight="1">
      <c r="AY84" s="51"/>
      <c r="AZ84" s="52"/>
      <c r="BC84" s="102"/>
      <c r="BD84" s="102"/>
      <c r="BE84" s="52"/>
      <c r="BG84" s="90"/>
      <c r="BK84"/>
      <c r="BL84"/>
      <c r="BM84"/>
      <c r="BN84"/>
      <c r="BO84"/>
      <c r="BP84"/>
      <c r="BQ84"/>
      <c r="BR84"/>
    </row>
    <row r="85" spans="51:70" s="12" customFormat="1" ht="16.350000000000001" hidden="1" customHeight="1">
      <c r="AY85" s="51"/>
      <c r="AZ85" s="52"/>
      <c r="BC85" s="102"/>
      <c r="BD85" s="102"/>
      <c r="BE85" s="52"/>
      <c r="BG85" s="90"/>
      <c r="BK85"/>
      <c r="BL85"/>
      <c r="BM85"/>
      <c r="BN85"/>
      <c r="BO85"/>
      <c r="BP85"/>
      <c r="BQ85"/>
      <c r="BR85"/>
    </row>
    <row r="86" spans="51:70" s="12" customFormat="1" ht="16.350000000000001" hidden="1" customHeight="1">
      <c r="AY86" s="51"/>
      <c r="AZ86" s="52"/>
      <c r="BC86" s="102"/>
      <c r="BD86" s="102"/>
      <c r="BE86" s="52"/>
      <c r="BG86" s="90"/>
      <c r="BK86"/>
      <c r="BL86"/>
      <c r="BM86"/>
      <c r="BN86"/>
      <c r="BO86"/>
      <c r="BP86"/>
      <c r="BQ86"/>
      <c r="BR86"/>
    </row>
    <row r="87" spans="51:70" s="12" customFormat="1" ht="16.350000000000001" hidden="1" customHeight="1">
      <c r="AY87" s="51"/>
      <c r="AZ87" s="52"/>
      <c r="BC87" s="102"/>
      <c r="BD87" s="102"/>
      <c r="BE87" s="52"/>
      <c r="BG87" s="90"/>
      <c r="BK87"/>
      <c r="BL87"/>
      <c r="BM87"/>
      <c r="BN87"/>
      <c r="BO87"/>
      <c r="BP87"/>
      <c r="BQ87"/>
      <c r="BR87"/>
    </row>
    <row r="88" spans="51:70" s="12" customFormat="1" ht="16.350000000000001" hidden="1" customHeight="1">
      <c r="AY88" s="51"/>
      <c r="AZ88" s="52"/>
      <c r="BC88" s="102"/>
      <c r="BD88" s="102"/>
      <c r="BE88" s="52"/>
      <c r="BG88" s="90"/>
      <c r="BK88"/>
      <c r="BL88"/>
      <c r="BM88"/>
      <c r="BN88"/>
      <c r="BO88"/>
      <c r="BP88"/>
      <c r="BQ88"/>
      <c r="BR88"/>
    </row>
    <row r="89" spans="51:70" s="12" customFormat="1" ht="16.350000000000001" hidden="1" customHeight="1">
      <c r="AY89" s="51"/>
      <c r="AZ89" s="52"/>
      <c r="BC89" s="102"/>
      <c r="BD89" s="102"/>
      <c r="BE89" s="52"/>
      <c r="BG89" s="90"/>
      <c r="BK89"/>
      <c r="BL89"/>
      <c r="BM89"/>
      <c r="BN89"/>
      <c r="BO89"/>
      <c r="BP89"/>
      <c r="BQ89"/>
      <c r="BR89"/>
    </row>
    <row r="90" spans="51:70" s="12" customFormat="1" ht="16.350000000000001" hidden="1" customHeight="1">
      <c r="AY90" s="51"/>
      <c r="AZ90" s="52"/>
      <c r="BC90" s="102"/>
      <c r="BD90" s="102"/>
      <c r="BE90" s="52"/>
      <c r="BG90" s="90"/>
      <c r="BK90"/>
      <c r="BL90"/>
      <c r="BM90"/>
      <c r="BN90"/>
      <c r="BO90"/>
      <c r="BP90"/>
      <c r="BQ90"/>
      <c r="BR90"/>
    </row>
    <row r="91" spans="51:70" s="12" customFormat="1" ht="16.350000000000001" hidden="1" customHeight="1">
      <c r="AY91" s="51"/>
      <c r="AZ91" s="52"/>
      <c r="BC91" s="102"/>
      <c r="BD91" s="102"/>
      <c r="BE91" s="52"/>
      <c r="BG91" s="90"/>
      <c r="BK91"/>
      <c r="BL91"/>
      <c r="BM91"/>
      <c r="BN91"/>
      <c r="BO91"/>
      <c r="BP91"/>
      <c r="BQ91"/>
      <c r="BR91"/>
    </row>
    <row r="92" spans="51:70" s="12" customFormat="1" ht="16.350000000000001" hidden="1" customHeight="1">
      <c r="AY92" s="51"/>
      <c r="AZ92" s="52"/>
      <c r="BC92" s="102"/>
      <c r="BD92" s="102"/>
      <c r="BE92" s="52"/>
      <c r="BG92" s="90"/>
      <c r="BK92"/>
      <c r="BL92"/>
      <c r="BM92"/>
      <c r="BN92"/>
      <c r="BO92"/>
      <c r="BP92"/>
      <c r="BQ92"/>
      <c r="BR92"/>
    </row>
    <row r="93" spans="51:70" s="12" customFormat="1" ht="16.350000000000001" hidden="1" customHeight="1">
      <c r="AY93" s="51"/>
      <c r="AZ93" s="52"/>
      <c r="BC93" s="102"/>
      <c r="BD93" s="102"/>
      <c r="BE93" s="52"/>
      <c r="BG93" s="90"/>
      <c r="BK93"/>
      <c r="BL93"/>
      <c r="BM93"/>
      <c r="BN93"/>
      <c r="BO93"/>
      <c r="BP93"/>
      <c r="BQ93"/>
      <c r="BR93"/>
    </row>
    <row r="94" spans="51:70" s="12" customFormat="1" ht="16.350000000000001" hidden="1" customHeight="1">
      <c r="AY94" s="51"/>
      <c r="AZ94" s="52"/>
      <c r="BC94" s="102"/>
      <c r="BD94" s="102"/>
      <c r="BE94" s="52"/>
      <c r="BG94" s="90"/>
      <c r="BK94"/>
      <c r="BL94"/>
      <c r="BM94"/>
      <c r="BN94"/>
      <c r="BO94"/>
      <c r="BP94"/>
      <c r="BQ94"/>
      <c r="BR94"/>
    </row>
    <row r="95" spans="51:70" s="12" customFormat="1" ht="16.350000000000001" hidden="1" customHeight="1">
      <c r="AY95" s="51"/>
      <c r="AZ95" s="52"/>
      <c r="BC95" s="102"/>
      <c r="BD95" s="102"/>
      <c r="BE95" s="52"/>
      <c r="BG95" s="90"/>
      <c r="BK95"/>
      <c r="BL95"/>
      <c r="BM95"/>
      <c r="BN95"/>
      <c r="BO95"/>
      <c r="BP95"/>
      <c r="BQ95"/>
      <c r="BR95"/>
    </row>
    <row r="96" spans="51:70" s="12" customFormat="1" ht="16.350000000000001" hidden="1" customHeight="1">
      <c r="AY96" s="51"/>
      <c r="AZ96" s="52"/>
      <c r="BC96" s="102"/>
      <c r="BD96" s="102"/>
      <c r="BE96" s="52"/>
      <c r="BG96" s="90"/>
      <c r="BK96"/>
      <c r="BL96"/>
      <c r="BM96"/>
      <c r="BN96"/>
      <c r="BO96"/>
      <c r="BP96"/>
      <c r="BQ96"/>
      <c r="BR96"/>
    </row>
    <row r="97" spans="51:70" s="12" customFormat="1" ht="16.350000000000001" hidden="1" customHeight="1">
      <c r="AY97" s="51"/>
      <c r="AZ97" s="52"/>
      <c r="BC97" s="102"/>
      <c r="BD97" s="102"/>
      <c r="BE97" s="52"/>
      <c r="BG97" s="90"/>
      <c r="BK97"/>
      <c r="BL97"/>
      <c r="BM97"/>
      <c r="BN97"/>
      <c r="BO97"/>
      <c r="BP97"/>
      <c r="BQ97"/>
      <c r="BR97"/>
    </row>
    <row r="98" spans="51:70" s="12" customFormat="1" ht="16.350000000000001" hidden="1" customHeight="1">
      <c r="AY98" s="51"/>
      <c r="AZ98" s="52"/>
      <c r="BC98" s="102"/>
      <c r="BD98" s="102"/>
      <c r="BE98" s="52"/>
      <c r="BG98" s="90"/>
      <c r="BK98"/>
      <c r="BL98"/>
      <c r="BM98"/>
      <c r="BN98"/>
      <c r="BO98"/>
      <c r="BP98"/>
      <c r="BQ98"/>
      <c r="BR98"/>
    </row>
    <row r="99" spans="51:70" s="12" customFormat="1" ht="16.350000000000001" hidden="1" customHeight="1">
      <c r="AY99" s="51"/>
      <c r="AZ99" s="52"/>
      <c r="BC99" s="102"/>
      <c r="BD99" s="102"/>
      <c r="BE99" s="52"/>
      <c r="BG99" s="90"/>
      <c r="BK99"/>
      <c r="BL99"/>
      <c r="BM99"/>
      <c r="BN99"/>
      <c r="BO99"/>
      <c r="BP99"/>
      <c r="BQ99"/>
      <c r="BR99"/>
    </row>
    <row r="100" spans="51:70" s="12" customFormat="1" ht="16.350000000000001" hidden="1" customHeight="1">
      <c r="AY100" s="51"/>
      <c r="AZ100" s="52"/>
      <c r="BC100" s="102"/>
      <c r="BD100" s="102"/>
      <c r="BE100" s="52"/>
      <c r="BG100" s="90"/>
      <c r="BK100"/>
      <c r="BL100"/>
      <c r="BM100"/>
      <c r="BN100"/>
      <c r="BO100"/>
      <c r="BP100"/>
      <c r="BQ100"/>
      <c r="BR100"/>
    </row>
    <row r="101" spans="51:70" s="12" customFormat="1" ht="16.350000000000001" hidden="1" customHeight="1">
      <c r="AY101" s="51"/>
      <c r="AZ101" s="52"/>
      <c r="BC101" s="102"/>
      <c r="BD101" s="102"/>
      <c r="BE101" s="52"/>
      <c r="BG101" s="90"/>
      <c r="BK101"/>
      <c r="BL101"/>
      <c r="BM101"/>
      <c r="BN101"/>
      <c r="BO101"/>
      <c r="BP101"/>
      <c r="BQ101"/>
      <c r="BR101"/>
    </row>
    <row r="102" spans="51:70" s="12" customFormat="1" ht="16.350000000000001" hidden="1" customHeight="1">
      <c r="AY102" s="51"/>
      <c r="AZ102" s="52"/>
      <c r="BC102" s="102"/>
      <c r="BD102" s="102"/>
      <c r="BE102" s="52"/>
      <c r="BG102" s="90"/>
      <c r="BK102"/>
      <c r="BL102"/>
      <c r="BM102"/>
      <c r="BN102"/>
      <c r="BO102"/>
      <c r="BP102"/>
      <c r="BQ102"/>
      <c r="BR102"/>
    </row>
    <row r="103" spans="51:70" s="12" customFormat="1" ht="16.350000000000001" hidden="1" customHeight="1">
      <c r="AY103" s="51"/>
      <c r="AZ103" s="52"/>
      <c r="BC103" s="102"/>
      <c r="BD103" s="102"/>
      <c r="BE103" s="52"/>
      <c r="BG103" s="90"/>
      <c r="BK103"/>
      <c r="BL103"/>
      <c r="BM103"/>
      <c r="BN103"/>
      <c r="BO103"/>
      <c r="BP103"/>
      <c r="BQ103"/>
      <c r="BR103"/>
    </row>
    <row r="104" spans="51:70" s="12" customFormat="1" ht="16.350000000000001" hidden="1" customHeight="1">
      <c r="AY104" s="51"/>
      <c r="AZ104" s="52"/>
      <c r="BC104" s="102"/>
      <c r="BD104" s="102"/>
      <c r="BE104" s="52"/>
      <c r="BG104" s="90"/>
      <c r="BK104"/>
      <c r="BL104"/>
      <c r="BM104"/>
      <c r="BN104"/>
      <c r="BO104"/>
      <c r="BP104"/>
      <c r="BQ104"/>
      <c r="BR104"/>
    </row>
    <row r="105" spans="51:70" s="12" customFormat="1" ht="16.350000000000001" hidden="1" customHeight="1">
      <c r="AY105" s="51"/>
      <c r="AZ105" s="52"/>
      <c r="BC105" s="102"/>
      <c r="BD105" s="102"/>
      <c r="BE105" s="52"/>
      <c r="BG105" s="90"/>
      <c r="BK105"/>
      <c r="BL105"/>
      <c r="BM105"/>
      <c r="BN105"/>
      <c r="BO105"/>
      <c r="BP105"/>
      <c r="BQ105"/>
      <c r="BR105"/>
    </row>
    <row r="106" spans="51:70" s="12" customFormat="1" ht="16.350000000000001" hidden="1" customHeight="1">
      <c r="AY106" s="51"/>
      <c r="AZ106" s="52"/>
      <c r="BC106" s="102"/>
      <c r="BD106" s="102"/>
      <c r="BE106" s="52"/>
      <c r="BG106" s="90"/>
      <c r="BK106"/>
      <c r="BL106"/>
      <c r="BM106"/>
      <c r="BN106"/>
      <c r="BO106"/>
      <c r="BP106"/>
      <c r="BQ106"/>
      <c r="BR106"/>
    </row>
    <row r="107" spans="51:70" s="12" customFormat="1" ht="16.350000000000001" hidden="1" customHeight="1">
      <c r="AY107" s="51"/>
      <c r="AZ107" s="52"/>
      <c r="BC107" s="102"/>
      <c r="BD107" s="102"/>
      <c r="BE107" s="52"/>
      <c r="BG107" s="90"/>
      <c r="BK107"/>
      <c r="BL107"/>
      <c r="BM107"/>
      <c r="BN107"/>
      <c r="BO107"/>
      <c r="BP107"/>
      <c r="BQ107"/>
      <c r="BR107"/>
    </row>
    <row r="108" spans="51:70" s="12" customFormat="1" ht="16.350000000000001" hidden="1" customHeight="1">
      <c r="AY108" s="51"/>
      <c r="AZ108" s="52"/>
      <c r="BC108" s="102"/>
      <c r="BD108" s="102"/>
      <c r="BE108" s="52"/>
      <c r="BG108" s="90"/>
      <c r="BK108"/>
      <c r="BL108"/>
      <c r="BM108"/>
      <c r="BN108"/>
      <c r="BO108"/>
      <c r="BP108"/>
      <c r="BQ108"/>
      <c r="BR108"/>
    </row>
    <row r="109" spans="51:70" s="12" customFormat="1" ht="16.350000000000001" hidden="1" customHeight="1">
      <c r="AY109" s="51"/>
      <c r="AZ109" s="52"/>
      <c r="BC109" s="102"/>
      <c r="BD109" s="102"/>
      <c r="BE109" s="52"/>
      <c r="BG109" s="90"/>
      <c r="BK109"/>
      <c r="BL109"/>
      <c r="BM109"/>
      <c r="BN109"/>
      <c r="BO109"/>
      <c r="BP109"/>
      <c r="BQ109"/>
      <c r="BR109"/>
    </row>
    <row r="110" spans="51:70" s="12" customFormat="1" ht="16.350000000000001" hidden="1" customHeight="1">
      <c r="AY110" s="51"/>
      <c r="AZ110" s="52"/>
      <c r="BC110" s="102"/>
      <c r="BD110" s="102"/>
      <c r="BE110" s="52"/>
      <c r="BG110" s="90"/>
      <c r="BK110"/>
      <c r="BL110"/>
      <c r="BM110"/>
      <c r="BN110"/>
      <c r="BO110"/>
      <c r="BP110"/>
      <c r="BQ110"/>
      <c r="BR110"/>
    </row>
    <row r="111" spans="51:70" s="12" customFormat="1" ht="16.350000000000001" hidden="1" customHeight="1">
      <c r="AY111" s="51"/>
      <c r="AZ111" s="52"/>
      <c r="BC111" s="102"/>
      <c r="BD111" s="102"/>
      <c r="BE111" s="52"/>
      <c r="BG111" s="90"/>
      <c r="BK111"/>
      <c r="BL111"/>
      <c r="BM111"/>
      <c r="BN111"/>
      <c r="BO111"/>
      <c r="BP111"/>
      <c r="BQ111"/>
      <c r="BR111"/>
    </row>
    <row r="112" spans="51:70" s="12" customFormat="1" ht="16.350000000000001" hidden="1" customHeight="1">
      <c r="AY112" s="51"/>
      <c r="AZ112" s="52"/>
      <c r="BC112" s="102"/>
      <c r="BD112" s="102"/>
      <c r="BE112" s="52"/>
      <c r="BG112" s="90"/>
      <c r="BK112"/>
      <c r="BL112"/>
      <c r="BM112"/>
      <c r="BN112"/>
      <c r="BO112"/>
      <c r="BP112"/>
      <c r="BQ112"/>
      <c r="BR112"/>
    </row>
    <row r="113" spans="51:70" s="12" customFormat="1" ht="16.350000000000001" hidden="1" customHeight="1">
      <c r="AY113" s="51"/>
      <c r="AZ113" s="52"/>
      <c r="BC113" s="102"/>
      <c r="BD113" s="102"/>
      <c r="BE113" s="52"/>
      <c r="BG113" s="90"/>
      <c r="BK113"/>
      <c r="BL113"/>
      <c r="BM113"/>
      <c r="BN113"/>
      <c r="BO113"/>
      <c r="BP113"/>
      <c r="BQ113"/>
      <c r="BR113"/>
    </row>
    <row r="114" spans="51:70" s="12" customFormat="1" ht="16.350000000000001" hidden="1" customHeight="1">
      <c r="AY114" s="51"/>
      <c r="AZ114" s="52"/>
      <c r="BC114" s="102"/>
      <c r="BD114" s="102"/>
      <c r="BE114" s="52"/>
      <c r="BG114" s="90"/>
      <c r="BK114"/>
      <c r="BL114"/>
      <c r="BM114"/>
      <c r="BN114"/>
      <c r="BO114"/>
      <c r="BP114"/>
      <c r="BQ114"/>
      <c r="BR114"/>
    </row>
    <row r="115" spans="51:70" s="12" customFormat="1" ht="16.350000000000001" hidden="1" customHeight="1">
      <c r="AY115" s="51"/>
      <c r="AZ115" s="52"/>
      <c r="BC115" s="102"/>
      <c r="BD115" s="102"/>
      <c r="BE115" s="52"/>
      <c r="BG115" s="90"/>
      <c r="BK115"/>
      <c r="BL115"/>
      <c r="BM115"/>
      <c r="BN115"/>
      <c r="BO115"/>
      <c r="BP115"/>
      <c r="BQ115"/>
      <c r="BR115"/>
    </row>
    <row r="116" spans="51:70" s="12" customFormat="1" ht="16.350000000000001" hidden="1" customHeight="1">
      <c r="AY116" s="51"/>
      <c r="AZ116" s="52"/>
      <c r="BC116" s="102"/>
      <c r="BD116" s="102"/>
      <c r="BE116" s="52"/>
      <c r="BG116" s="90"/>
      <c r="BK116"/>
      <c r="BL116"/>
      <c r="BM116"/>
      <c r="BN116"/>
      <c r="BO116"/>
      <c r="BP116"/>
      <c r="BQ116"/>
      <c r="BR116"/>
    </row>
    <row r="117" spans="51:70" s="12" customFormat="1" ht="16.350000000000001" hidden="1" customHeight="1">
      <c r="AY117" s="51"/>
      <c r="AZ117" s="52"/>
      <c r="BC117" s="102"/>
      <c r="BD117" s="102"/>
      <c r="BE117" s="52"/>
      <c r="BG117" s="90"/>
      <c r="BK117"/>
      <c r="BL117"/>
      <c r="BM117"/>
      <c r="BN117"/>
      <c r="BO117"/>
      <c r="BP117"/>
      <c r="BQ117"/>
      <c r="BR117"/>
    </row>
    <row r="118" spans="51:70" s="12" customFormat="1" ht="16.350000000000001" hidden="1" customHeight="1">
      <c r="AY118" s="51"/>
      <c r="AZ118" s="52"/>
      <c r="BC118" s="102"/>
      <c r="BD118" s="102"/>
      <c r="BE118" s="52"/>
      <c r="BG118" s="90"/>
      <c r="BK118"/>
      <c r="BL118"/>
      <c r="BM118"/>
      <c r="BN118"/>
      <c r="BO118"/>
      <c r="BP118"/>
      <c r="BQ118"/>
      <c r="BR118"/>
    </row>
    <row r="119" spans="51:70" s="12" customFormat="1" ht="16.350000000000001" hidden="1" customHeight="1">
      <c r="AY119" s="51"/>
      <c r="AZ119" s="52"/>
      <c r="BC119" s="102"/>
      <c r="BD119" s="102"/>
      <c r="BE119" s="52"/>
      <c r="BG119" s="90"/>
      <c r="BK119"/>
      <c r="BL119"/>
      <c r="BM119"/>
      <c r="BN119"/>
      <c r="BO119"/>
      <c r="BP119"/>
      <c r="BQ119"/>
      <c r="BR119"/>
    </row>
    <row r="120" spans="51:70" s="12" customFormat="1" ht="16.350000000000001" hidden="1" customHeight="1">
      <c r="AY120" s="51"/>
      <c r="AZ120" s="52"/>
      <c r="BC120" s="102"/>
      <c r="BD120" s="102"/>
      <c r="BE120" s="52"/>
      <c r="BG120" s="90"/>
      <c r="BK120"/>
      <c r="BL120"/>
      <c r="BM120"/>
      <c r="BN120"/>
      <c r="BO120"/>
      <c r="BP120"/>
      <c r="BQ120"/>
      <c r="BR120"/>
    </row>
    <row r="121" spans="51:70" s="12" customFormat="1" ht="16.350000000000001" hidden="1" customHeight="1">
      <c r="AY121" s="51"/>
      <c r="AZ121" s="52"/>
      <c r="BC121" s="102"/>
      <c r="BD121" s="102"/>
      <c r="BE121" s="52"/>
      <c r="BG121" s="90"/>
      <c r="BK121"/>
      <c r="BL121"/>
      <c r="BM121"/>
      <c r="BN121"/>
      <c r="BO121"/>
      <c r="BP121"/>
      <c r="BQ121"/>
      <c r="BR121"/>
    </row>
    <row r="122" spans="51:70" s="12" customFormat="1" ht="16.350000000000001" hidden="1" customHeight="1">
      <c r="AY122" s="51"/>
      <c r="AZ122" s="52"/>
      <c r="BC122" s="102"/>
      <c r="BD122" s="102"/>
      <c r="BE122" s="52"/>
      <c r="BG122" s="90"/>
      <c r="BK122"/>
      <c r="BL122"/>
      <c r="BM122"/>
      <c r="BN122"/>
      <c r="BO122"/>
      <c r="BP122"/>
      <c r="BQ122"/>
      <c r="BR122"/>
    </row>
    <row r="123" spans="51:70" s="12" customFormat="1" ht="16.350000000000001" hidden="1" customHeight="1">
      <c r="AY123" s="51"/>
      <c r="AZ123" s="52"/>
      <c r="BC123" s="102"/>
      <c r="BD123" s="102"/>
      <c r="BE123" s="52"/>
      <c r="BG123" s="90"/>
      <c r="BK123"/>
      <c r="BL123"/>
      <c r="BM123"/>
      <c r="BN123"/>
      <c r="BO123"/>
      <c r="BP123"/>
      <c r="BQ123"/>
      <c r="BR123"/>
    </row>
    <row r="124" spans="51:70" s="12" customFormat="1" ht="16.350000000000001" hidden="1" customHeight="1">
      <c r="AY124" s="51"/>
      <c r="AZ124" s="52"/>
      <c r="BC124" s="102"/>
      <c r="BD124" s="102"/>
      <c r="BE124" s="52"/>
      <c r="BG124" s="90"/>
      <c r="BK124"/>
      <c r="BL124"/>
      <c r="BM124"/>
      <c r="BN124"/>
      <c r="BO124"/>
      <c r="BP124"/>
      <c r="BQ124"/>
      <c r="BR124"/>
    </row>
    <row r="125" spans="51:70" s="12" customFormat="1" ht="16.350000000000001" hidden="1" customHeight="1">
      <c r="AY125" s="51"/>
      <c r="AZ125" s="52"/>
      <c r="BC125" s="102"/>
      <c r="BD125" s="102"/>
      <c r="BE125" s="52"/>
      <c r="BG125" s="90"/>
      <c r="BK125"/>
      <c r="BL125"/>
      <c r="BM125"/>
      <c r="BN125"/>
      <c r="BO125"/>
      <c r="BP125"/>
      <c r="BQ125"/>
      <c r="BR125"/>
    </row>
    <row r="126" spans="51:70" s="12" customFormat="1" ht="16.350000000000001" hidden="1" customHeight="1">
      <c r="AY126" s="51"/>
      <c r="AZ126" s="52"/>
      <c r="BC126" s="102"/>
      <c r="BD126" s="102"/>
      <c r="BE126" s="52"/>
      <c r="BG126" s="90"/>
      <c r="BK126"/>
      <c r="BL126"/>
      <c r="BM126"/>
      <c r="BN126"/>
      <c r="BO126"/>
      <c r="BP126"/>
      <c r="BQ126"/>
      <c r="BR126"/>
    </row>
    <row r="127" spans="51:70" s="12" customFormat="1" ht="16.350000000000001" hidden="1" customHeight="1">
      <c r="AY127" s="51"/>
      <c r="AZ127" s="52"/>
      <c r="BC127" s="102"/>
      <c r="BD127" s="102"/>
      <c r="BE127" s="52"/>
      <c r="BG127" s="90"/>
      <c r="BK127"/>
      <c r="BL127"/>
      <c r="BM127"/>
      <c r="BN127"/>
      <c r="BO127"/>
      <c r="BP127"/>
      <c r="BQ127"/>
      <c r="BR127"/>
    </row>
    <row r="128" spans="51:70" s="12" customFormat="1" ht="16.350000000000001" hidden="1" customHeight="1">
      <c r="AY128" s="51"/>
      <c r="AZ128" s="52"/>
      <c r="BC128" s="102"/>
      <c r="BD128" s="102"/>
      <c r="BE128" s="52"/>
      <c r="BG128" s="90"/>
      <c r="BK128"/>
      <c r="BL128"/>
      <c r="BM128"/>
      <c r="BN128"/>
      <c r="BO128"/>
      <c r="BP128"/>
      <c r="BQ128"/>
      <c r="BR128"/>
    </row>
    <row r="129" spans="51:70" s="12" customFormat="1" ht="16.350000000000001" hidden="1" customHeight="1">
      <c r="AY129" s="51"/>
      <c r="AZ129" s="52"/>
      <c r="BC129" s="102"/>
      <c r="BD129" s="102"/>
      <c r="BE129" s="52"/>
      <c r="BG129" s="90"/>
      <c r="BK129"/>
      <c r="BL129"/>
      <c r="BM129"/>
      <c r="BN129"/>
      <c r="BO129"/>
      <c r="BP129"/>
      <c r="BQ129"/>
      <c r="BR129"/>
    </row>
    <row r="130" spans="51:70" s="12" customFormat="1" ht="16.350000000000001" hidden="1" customHeight="1">
      <c r="AY130" s="51"/>
      <c r="AZ130" s="52"/>
      <c r="BC130" s="102"/>
      <c r="BD130" s="102"/>
      <c r="BE130" s="52"/>
      <c r="BG130" s="90"/>
      <c r="BK130"/>
      <c r="BL130"/>
      <c r="BM130"/>
      <c r="BN130"/>
      <c r="BO130"/>
      <c r="BP130"/>
      <c r="BQ130"/>
      <c r="BR130"/>
    </row>
    <row r="131" spans="51:70" s="12" customFormat="1" ht="16.350000000000001" hidden="1" customHeight="1">
      <c r="AY131" s="51"/>
      <c r="AZ131" s="52"/>
      <c r="BC131" s="102"/>
      <c r="BD131" s="102"/>
      <c r="BE131" s="52"/>
      <c r="BG131" s="90"/>
      <c r="BK131"/>
      <c r="BL131"/>
      <c r="BM131"/>
      <c r="BN131"/>
      <c r="BO131"/>
      <c r="BP131"/>
      <c r="BQ131"/>
      <c r="BR131"/>
    </row>
    <row r="132" spans="51:70" s="12" customFormat="1" ht="16.350000000000001" hidden="1" customHeight="1">
      <c r="AY132" s="51"/>
      <c r="AZ132" s="52"/>
      <c r="BC132" s="102"/>
      <c r="BD132" s="102"/>
      <c r="BE132" s="52"/>
      <c r="BG132" s="90"/>
      <c r="BK132"/>
      <c r="BL132"/>
      <c r="BM132"/>
      <c r="BN132"/>
      <c r="BO132"/>
      <c r="BP132"/>
      <c r="BQ132"/>
      <c r="BR132"/>
    </row>
    <row r="133" spans="51:70" s="12" customFormat="1" ht="16.350000000000001" hidden="1" customHeight="1">
      <c r="AY133" s="51"/>
      <c r="AZ133" s="52"/>
      <c r="BC133" s="102"/>
      <c r="BD133" s="102"/>
      <c r="BE133" s="52"/>
      <c r="BG133" s="90"/>
      <c r="BK133"/>
      <c r="BL133"/>
      <c r="BM133"/>
      <c r="BN133"/>
      <c r="BO133"/>
      <c r="BP133"/>
      <c r="BQ133"/>
      <c r="BR133"/>
    </row>
    <row r="134" spans="51:70" s="12" customFormat="1" ht="16.350000000000001" hidden="1" customHeight="1">
      <c r="AY134" s="51"/>
      <c r="AZ134" s="52"/>
      <c r="BC134" s="102"/>
      <c r="BD134" s="102"/>
      <c r="BE134" s="52"/>
      <c r="BG134" s="90"/>
      <c r="BK134"/>
      <c r="BL134"/>
      <c r="BM134"/>
      <c r="BN134"/>
      <c r="BO134"/>
      <c r="BP134"/>
      <c r="BQ134"/>
      <c r="BR134"/>
    </row>
    <row r="135" spans="51:70" s="12" customFormat="1" ht="16.350000000000001" hidden="1" customHeight="1">
      <c r="AY135" s="51"/>
      <c r="AZ135" s="52"/>
      <c r="BC135" s="102"/>
      <c r="BD135" s="102"/>
      <c r="BE135" s="52"/>
      <c r="BG135" s="90"/>
      <c r="BK135"/>
      <c r="BL135"/>
      <c r="BM135"/>
      <c r="BN135"/>
      <c r="BO135"/>
      <c r="BP135"/>
      <c r="BQ135"/>
      <c r="BR135"/>
    </row>
    <row r="136" spans="51:70" s="12" customFormat="1" ht="16.350000000000001" hidden="1" customHeight="1">
      <c r="AY136" s="51"/>
      <c r="AZ136" s="52"/>
      <c r="BC136" s="102"/>
      <c r="BD136" s="102"/>
      <c r="BE136" s="52"/>
      <c r="BG136" s="90"/>
      <c r="BK136"/>
      <c r="BL136"/>
      <c r="BM136"/>
      <c r="BN136"/>
      <c r="BO136"/>
      <c r="BP136"/>
      <c r="BQ136"/>
      <c r="BR136"/>
    </row>
    <row r="137" spans="51:70" s="12" customFormat="1" ht="16.350000000000001" hidden="1" customHeight="1">
      <c r="AY137" s="51"/>
      <c r="AZ137" s="52"/>
      <c r="BC137" s="102"/>
      <c r="BD137" s="102"/>
      <c r="BE137" s="52"/>
      <c r="BG137" s="90"/>
      <c r="BK137"/>
      <c r="BL137"/>
      <c r="BM137"/>
      <c r="BN137"/>
      <c r="BO137"/>
      <c r="BP137"/>
      <c r="BQ137"/>
      <c r="BR137"/>
    </row>
    <row r="138" spans="51:70" s="12" customFormat="1" ht="16.350000000000001" hidden="1" customHeight="1">
      <c r="AY138" s="51"/>
      <c r="AZ138" s="52"/>
      <c r="BC138" s="102"/>
      <c r="BD138" s="102"/>
      <c r="BE138" s="52"/>
      <c r="BG138" s="90"/>
      <c r="BK138"/>
      <c r="BL138"/>
      <c r="BM138"/>
      <c r="BN138"/>
      <c r="BO138"/>
      <c r="BP138"/>
      <c r="BQ138"/>
      <c r="BR138"/>
    </row>
    <row r="139" spans="51:70" s="12" customFormat="1" ht="16.350000000000001" hidden="1" customHeight="1">
      <c r="AY139" s="51"/>
      <c r="AZ139" s="52"/>
      <c r="BC139" s="102"/>
      <c r="BD139" s="102"/>
      <c r="BE139" s="52"/>
      <c r="BG139" s="90"/>
      <c r="BK139"/>
      <c r="BL139"/>
      <c r="BM139"/>
      <c r="BN139"/>
      <c r="BO139"/>
      <c r="BP139"/>
      <c r="BQ139"/>
      <c r="BR139"/>
    </row>
    <row r="140" spans="51:70" s="12" customFormat="1" ht="16.350000000000001" hidden="1" customHeight="1">
      <c r="AY140" s="51"/>
      <c r="AZ140" s="52"/>
      <c r="BC140" s="102"/>
      <c r="BD140" s="102"/>
      <c r="BE140" s="52"/>
      <c r="BG140" s="90"/>
      <c r="BK140"/>
      <c r="BL140"/>
      <c r="BM140"/>
      <c r="BN140"/>
      <c r="BO140"/>
      <c r="BP140"/>
      <c r="BQ140"/>
      <c r="BR140"/>
    </row>
    <row r="141" spans="51:70" s="12" customFormat="1" ht="16.350000000000001" hidden="1" customHeight="1">
      <c r="AY141" s="51"/>
      <c r="AZ141" s="52"/>
      <c r="BC141" s="102"/>
      <c r="BD141" s="102"/>
      <c r="BE141" s="52"/>
      <c r="BG141" s="90"/>
      <c r="BK141"/>
      <c r="BL141"/>
      <c r="BM141"/>
      <c r="BN141"/>
      <c r="BO141"/>
      <c r="BP141"/>
      <c r="BQ141"/>
      <c r="BR141"/>
    </row>
    <row r="142" spans="51:70" s="12" customFormat="1" ht="16.350000000000001" hidden="1" customHeight="1">
      <c r="AY142" s="51"/>
      <c r="AZ142" s="52"/>
      <c r="BC142" s="102"/>
      <c r="BD142" s="102"/>
      <c r="BE142" s="52"/>
      <c r="BG142" s="90"/>
      <c r="BK142"/>
      <c r="BL142"/>
      <c r="BM142"/>
      <c r="BN142"/>
      <c r="BO142"/>
      <c r="BP142"/>
      <c r="BQ142"/>
      <c r="BR142"/>
    </row>
    <row r="143" spans="51:70" s="12" customFormat="1" ht="16.350000000000001" hidden="1" customHeight="1">
      <c r="AY143" s="51"/>
      <c r="AZ143" s="52"/>
      <c r="BC143" s="102"/>
      <c r="BD143" s="102"/>
      <c r="BE143" s="52"/>
      <c r="BG143" s="90"/>
      <c r="BK143"/>
      <c r="BL143"/>
      <c r="BM143"/>
      <c r="BN143"/>
      <c r="BO143"/>
      <c r="BP143"/>
      <c r="BQ143"/>
      <c r="BR143"/>
    </row>
    <row r="144" spans="51:70" s="12" customFormat="1" ht="16.350000000000001" hidden="1" customHeight="1">
      <c r="AY144" s="51"/>
      <c r="AZ144" s="52"/>
      <c r="BC144" s="102"/>
      <c r="BD144" s="102"/>
      <c r="BE144" s="52"/>
      <c r="BG144" s="90"/>
      <c r="BK144"/>
      <c r="BL144"/>
      <c r="BM144"/>
      <c r="BN144"/>
      <c r="BO144"/>
      <c r="BP144"/>
      <c r="BQ144"/>
      <c r="BR144"/>
    </row>
    <row r="145" spans="51:70" s="12" customFormat="1" ht="16.350000000000001" hidden="1" customHeight="1">
      <c r="AY145" s="51"/>
      <c r="AZ145" s="52"/>
      <c r="BC145" s="102"/>
      <c r="BD145" s="102"/>
      <c r="BE145" s="52"/>
      <c r="BG145" s="90"/>
      <c r="BK145"/>
      <c r="BL145"/>
      <c r="BM145"/>
      <c r="BN145"/>
      <c r="BO145"/>
      <c r="BP145"/>
      <c r="BQ145"/>
      <c r="BR145"/>
    </row>
    <row r="146" spans="51:70" s="12" customFormat="1" ht="16.350000000000001" hidden="1" customHeight="1">
      <c r="AY146" s="51"/>
      <c r="AZ146" s="52"/>
      <c r="BC146" s="102"/>
      <c r="BD146" s="102"/>
      <c r="BE146" s="52"/>
      <c r="BG146" s="90"/>
      <c r="BK146"/>
      <c r="BL146"/>
      <c r="BM146"/>
      <c r="BN146"/>
      <c r="BO146"/>
      <c r="BP146"/>
      <c r="BQ146"/>
      <c r="BR146"/>
    </row>
    <row r="147" spans="51:70" s="12" customFormat="1" ht="16.350000000000001" hidden="1" customHeight="1">
      <c r="AY147" s="51"/>
      <c r="AZ147" s="52"/>
      <c r="BC147" s="102"/>
      <c r="BD147" s="102"/>
      <c r="BE147" s="52"/>
      <c r="BG147" s="90"/>
      <c r="BK147"/>
      <c r="BL147"/>
      <c r="BM147"/>
      <c r="BN147"/>
      <c r="BO147"/>
      <c r="BP147"/>
      <c r="BQ147"/>
      <c r="BR147"/>
    </row>
    <row r="148" spans="51:70" s="12" customFormat="1" ht="16.350000000000001" hidden="1" customHeight="1">
      <c r="AY148" s="51"/>
      <c r="AZ148" s="52"/>
      <c r="BC148" s="102"/>
      <c r="BD148" s="102"/>
      <c r="BE148" s="52"/>
      <c r="BG148" s="90"/>
      <c r="BK148"/>
      <c r="BL148"/>
      <c r="BM148"/>
      <c r="BN148"/>
      <c r="BO148"/>
      <c r="BP148"/>
      <c r="BQ148"/>
      <c r="BR148"/>
    </row>
    <row r="149" spans="51:70" s="12" customFormat="1" ht="16.350000000000001" hidden="1" customHeight="1">
      <c r="AY149" s="51"/>
      <c r="AZ149" s="52"/>
      <c r="BC149" s="102"/>
      <c r="BD149" s="102"/>
      <c r="BE149" s="52"/>
      <c r="BG149" s="90"/>
      <c r="BK149"/>
      <c r="BL149"/>
      <c r="BM149"/>
      <c r="BN149"/>
      <c r="BO149"/>
      <c r="BP149"/>
      <c r="BQ149"/>
      <c r="BR149"/>
    </row>
    <row r="150" spans="51:70" s="12" customFormat="1" ht="16.350000000000001" hidden="1" customHeight="1">
      <c r="AY150" s="51"/>
      <c r="AZ150" s="52"/>
      <c r="BC150" s="102"/>
      <c r="BD150" s="102"/>
      <c r="BE150" s="52"/>
      <c r="BG150" s="90"/>
      <c r="BK150"/>
      <c r="BL150"/>
      <c r="BM150"/>
      <c r="BN150"/>
      <c r="BO150"/>
      <c r="BP150"/>
      <c r="BQ150"/>
      <c r="BR150"/>
    </row>
    <row r="151" spans="51:70" s="12" customFormat="1" ht="16.350000000000001" hidden="1" customHeight="1">
      <c r="AY151" s="51"/>
      <c r="AZ151" s="52"/>
      <c r="BC151" s="102"/>
      <c r="BD151" s="102"/>
      <c r="BE151" s="52"/>
      <c r="BG151" s="90"/>
      <c r="BK151"/>
      <c r="BL151"/>
      <c r="BM151"/>
      <c r="BN151"/>
      <c r="BO151"/>
      <c r="BP151"/>
      <c r="BQ151"/>
      <c r="BR151"/>
    </row>
    <row r="152" spans="51:70" s="12" customFormat="1" ht="16.350000000000001" hidden="1" customHeight="1">
      <c r="AY152" s="51"/>
      <c r="AZ152" s="52"/>
      <c r="BC152" s="102"/>
      <c r="BD152" s="102"/>
      <c r="BE152" s="52"/>
      <c r="BG152" s="90"/>
      <c r="BK152"/>
      <c r="BL152"/>
      <c r="BM152"/>
      <c r="BN152"/>
      <c r="BO152"/>
      <c r="BP152"/>
      <c r="BQ152"/>
      <c r="BR152"/>
    </row>
    <row r="153" spans="51:70" s="12" customFormat="1" ht="16.350000000000001" hidden="1" customHeight="1">
      <c r="AY153" s="51"/>
      <c r="AZ153" s="52"/>
      <c r="BC153" s="102"/>
      <c r="BD153" s="102"/>
      <c r="BE153" s="52"/>
      <c r="BG153" s="90"/>
      <c r="BK153"/>
      <c r="BL153"/>
      <c r="BM153"/>
      <c r="BN153"/>
      <c r="BO153"/>
      <c r="BP153"/>
      <c r="BQ153"/>
      <c r="BR153"/>
    </row>
    <row r="154" spans="51:70" s="12" customFormat="1" ht="16.350000000000001" hidden="1" customHeight="1">
      <c r="AY154" s="51"/>
      <c r="AZ154" s="52"/>
      <c r="BC154" s="102"/>
      <c r="BD154" s="102"/>
      <c r="BE154" s="52"/>
      <c r="BG154" s="90"/>
      <c r="BK154"/>
      <c r="BL154"/>
      <c r="BM154"/>
      <c r="BN154"/>
      <c r="BO154"/>
      <c r="BP154"/>
      <c r="BQ154"/>
      <c r="BR154"/>
    </row>
    <row r="155" spans="51:70" s="12" customFormat="1" ht="16.350000000000001" hidden="1" customHeight="1">
      <c r="AY155" s="51"/>
      <c r="AZ155" s="52"/>
      <c r="BC155" s="102"/>
      <c r="BD155" s="102"/>
      <c r="BE155" s="52"/>
      <c r="BG155" s="90"/>
      <c r="BK155"/>
      <c r="BL155"/>
      <c r="BM155"/>
      <c r="BN155"/>
      <c r="BO155"/>
      <c r="BP155"/>
      <c r="BQ155"/>
      <c r="BR155"/>
    </row>
    <row r="156" spans="51:70" s="12" customFormat="1" ht="16.350000000000001" hidden="1" customHeight="1">
      <c r="AY156" s="51"/>
      <c r="AZ156" s="52"/>
      <c r="BC156" s="102"/>
      <c r="BD156" s="102"/>
      <c r="BE156" s="52"/>
      <c r="BG156" s="90"/>
      <c r="BK156"/>
      <c r="BL156"/>
      <c r="BM156"/>
      <c r="BN156"/>
      <c r="BO156"/>
      <c r="BP156"/>
      <c r="BQ156"/>
      <c r="BR156"/>
    </row>
    <row r="157" spans="51:70" s="12" customFormat="1" ht="16.350000000000001" hidden="1" customHeight="1">
      <c r="AY157" s="51"/>
      <c r="AZ157" s="52"/>
      <c r="BC157" s="102"/>
      <c r="BD157" s="102"/>
      <c r="BE157" s="52"/>
      <c r="BG157" s="90"/>
      <c r="BK157"/>
      <c r="BL157"/>
      <c r="BM157"/>
      <c r="BN157"/>
      <c r="BO157"/>
      <c r="BP157"/>
      <c r="BQ157"/>
      <c r="BR157"/>
    </row>
    <row r="158" spans="51:70" s="12" customFormat="1" ht="16.350000000000001" hidden="1" customHeight="1">
      <c r="AY158" s="51"/>
      <c r="AZ158" s="52"/>
      <c r="BC158" s="102"/>
      <c r="BD158" s="102"/>
      <c r="BE158" s="52"/>
      <c r="BG158" s="90"/>
      <c r="BK158"/>
      <c r="BL158"/>
      <c r="BM158"/>
      <c r="BN158"/>
      <c r="BO158"/>
      <c r="BP158"/>
      <c r="BQ158"/>
      <c r="BR158"/>
    </row>
    <row r="159" spans="51:70" s="12" customFormat="1" ht="16.350000000000001" hidden="1" customHeight="1">
      <c r="AY159" s="51"/>
      <c r="AZ159" s="52"/>
      <c r="BC159" s="102"/>
      <c r="BD159" s="102"/>
      <c r="BE159" s="52"/>
      <c r="BG159" s="90"/>
      <c r="BK159"/>
      <c r="BL159"/>
      <c r="BM159"/>
      <c r="BN159"/>
      <c r="BO159"/>
      <c r="BP159"/>
      <c r="BQ159"/>
      <c r="BR159"/>
    </row>
    <row r="160" spans="51:70" s="12" customFormat="1" ht="16.350000000000001" hidden="1" customHeight="1">
      <c r="AY160" s="51"/>
      <c r="AZ160" s="52"/>
      <c r="BC160" s="102"/>
      <c r="BD160" s="102"/>
      <c r="BE160" s="52"/>
      <c r="BG160" s="90"/>
      <c r="BK160"/>
      <c r="BL160"/>
      <c r="BM160"/>
      <c r="BN160"/>
      <c r="BO160"/>
      <c r="BP160"/>
      <c r="BQ160"/>
      <c r="BR160"/>
    </row>
    <row r="161" spans="51:70" s="12" customFormat="1" ht="16.350000000000001" hidden="1" customHeight="1">
      <c r="AY161" s="51"/>
      <c r="AZ161" s="52"/>
      <c r="BC161" s="102"/>
      <c r="BD161" s="102"/>
      <c r="BE161" s="52"/>
      <c r="BG161" s="90"/>
      <c r="BK161"/>
      <c r="BL161"/>
      <c r="BM161"/>
      <c r="BN161"/>
      <c r="BO161"/>
      <c r="BP161"/>
      <c r="BQ161"/>
      <c r="BR161"/>
    </row>
    <row r="162" spans="51:70" s="12" customFormat="1" ht="16.350000000000001" hidden="1" customHeight="1">
      <c r="AY162" s="51"/>
      <c r="AZ162" s="52"/>
      <c r="BC162" s="102"/>
      <c r="BD162" s="102"/>
      <c r="BE162" s="52"/>
      <c r="BG162" s="90"/>
      <c r="BK162"/>
      <c r="BL162"/>
      <c r="BM162"/>
      <c r="BN162"/>
      <c r="BO162"/>
      <c r="BP162"/>
      <c r="BQ162"/>
      <c r="BR162"/>
    </row>
    <row r="163" spans="51:70" s="12" customFormat="1" ht="16.350000000000001" hidden="1" customHeight="1">
      <c r="AY163" s="51"/>
      <c r="AZ163" s="52"/>
      <c r="BC163" s="102"/>
      <c r="BD163" s="102"/>
      <c r="BE163" s="52"/>
      <c r="BG163" s="90"/>
      <c r="BK163"/>
      <c r="BL163"/>
      <c r="BM163"/>
      <c r="BN163"/>
      <c r="BO163"/>
      <c r="BP163"/>
      <c r="BQ163"/>
      <c r="BR163"/>
    </row>
    <row r="164" spans="51:70" s="12" customFormat="1" ht="16.350000000000001" hidden="1" customHeight="1">
      <c r="AY164" s="51"/>
      <c r="AZ164" s="52"/>
      <c r="BC164" s="102"/>
      <c r="BD164" s="102"/>
      <c r="BE164" s="52"/>
      <c r="BG164" s="90"/>
      <c r="BK164"/>
      <c r="BL164"/>
      <c r="BM164"/>
      <c r="BN164"/>
      <c r="BO164"/>
      <c r="BP164"/>
      <c r="BQ164"/>
      <c r="BR164"/>
    </row>
    <row r="165" spans="51:70" s="12" customFormat="1" ht="16.350000000000001" hidden="1" customHeight="1">
      <c r="AY165" s="51"/>
      <c r="AZ165" s="52"/>
      <c r="BC165" s="102"/>
      <c r="BD165" s="102"/>
      <c r="BE165" s="52"/>
      <c r="BG165" s="90"/>
      <c r="BK165"/>
      <c r="BL165"/>
      <c r="BM165"/>
      <c r="BN165"/>
      <c r="BO165"/>
      <c r="BP165"/>
      <c r="BQ165"/>
      <c r="BR165"/>
    </row>
    <row r="166" spans="51:70" s="12" customFormat="1" ht="16.350000000000001" hidden="1" customHeight="1">
      <c r="AY166" s="51"/>
      <c r="AZ166" s="52"/>
      <c r="BC166" s="102"/>
      <c r="BD166" s="102"/>
      <c r="BE166" s="52"/>
      <c r="BG166" s="90"/>
      <c r="BK166"/>
      <c r="BL166"/>
      <c r="BM166"/>
      <c r="BN166"/>
      <c r="BO166"/>
      <c r="BP166"/>
      <c r="BQ166"/>
      <c r="BR166"/>
    </row>
    <row r="167" spans="51:70" s="12" customFormat="1" ht="16.350000000000001" hidden="1" customHeight="1">
      <c r="AY167" s="51"/>
      <c r="AZ167" s="52"/>
      <c r="BC167" s="102"/>
      <c r="BD167" s="102"/>
      <c r="BE167" s="52"/>
      <c r="BG167" s="90"/>
      <c r="BK167"/>
      <c r="BL167"/>
      <c r="BM167"/>
      <c r="BN167"/>
      <c r="BO167"/>
      <c r="BP167"/>
      <c r="BQ167"/>
      <c r="BR167"/>
    </row>
    <row r="168" spans="51:70" s="12" customFormat="1" ht="16.350000000000001" hidden="1" customHeight="1">
      <c r="AY168" s="51"/>
      <c r="AZ168" s="52"/>
      <c r="BC168" s="102"/>
      <c r="BD168" s="102"/>
      <c r="BE168" s="52"/>
      <c r="BG168" s="90"/>
      <c r="BK168"/>
      <c r="BL168"/>
      <c r="BM168"/>
      <c r="BN168"/>
      <c r="BO168"/>
      <c r="BP168"/>
      <c r="BQ168"/>
      <c r="BR168"/>
    </row>
    <row r="169" spans="51:70" s="12" customFormat="1" ht="16.350000000000001" hidden="1" customHeight="1">
      <c r="AY169" s="51"/>
      <c r="AZ169" s="52"/>
      <c r="BC169" s="102"/>
      <c r="BD169" s="102"/>
      <c r="BE169" s="52"/>
      <c r="BG169" s="90"/>
      <c r="BK169"/>
      <c r="BL169"/>
      <c r="BM169"/>
      <c r="BN169"/>
      <c r="BO169"/>
      <c r="BP169"/>
      <c r="BQ169"/>
      <c r="BR169"/>
    </row>
    <row r="170" spans="51:70" s="12" customFormat="1" ht="16.350000000000001" hidden="1" customHeight="1">
      <c r="AY170" s="51"/>
      <c r="AZ170" s="52"/>
      <c r="BC170" s="102"/>
      <c r="BD170" s="102"/>
      <c r="BE170" s="52"/>
      <c r="BG170" s="90"/>
      <c r="BK170"/>
      <c r="BL170"/>
      <c r="BM170"/>
      <c r="BN170"/>
      <c r="BO170"/>
      <c r="BP170"/>
      <c r="BQ170"/>
      <c r="BR170"/>
    </row>
    <row r="171" spans="51:70" s="12" customFormat="1" ht="16.350000000000001" hidden="1" customHeight="1">
      <c r="AY171" s="51"/>
      <c r="AZ171" s="52"/>
      <c r="BC171" s="102"/>
      <c r="BD171" s="102"/>
      <c r="BE171" s="52"/>
      <c r="BG171" s="90"/>
      <c r="BK171"/>
      <c r="BL171"/>
      <c r="BM171"/>
      <c r="BN171"/>
      <c r="BO171"/>
      <c r="BP171"/>
      <c r="BQ171"/>
      <c r="BR171"/>
    </row>
    <row r="172" spans="51:70" s="12" customFormat="1" ht="16.350000000000001" hidden="1" customHeight="1">
      <c r="AY172" s="51"/>
      <c r="AZ172" s="52"/>
      <c r="BC172" s="102"/>
      <c r="BD172" s="102"/>
      <c r="BE172" s="52"/>
      <c r="BG172" s="90"/>
      <c r="BK172"/>
      <c r="BL172"/>
      <c r="BM172"/>
      <c r="BN172"/>
      <c r="BO172"/>
      <c r="BP172"/>
      <c r="BQ172"/>
      <c r="BR172"/>
    </row>
    <row r="173" spans="51:70" s="12" customFormat="1" ht="16.350000000000001" hidden="1" customHeight="1">
      <c r="AY173" s="51"/>
      <c r="AZ173" s="52"/>
      <c r="BC173" s="102"/>
      <c r="BD173" s="102"/>
      <c r="BE173" s="52"/>
      <c r="BG173" s="90"/>
      <c r="BK173"/>
      <c r="BL173"/>
      <c r="BM173"/>
      <c r="BN173"/>
      <c r="BO173"/>
      <c r="BP173"/>
      <c r="BQ173"/>
      <c r="BR173"/>
    </row>
    <row r="174" spans="51:70" s="12" customFormat="1" ht="16.350000000000001" hidden="1" customHeight="1">
      <c r="AY174" s="51"/>
      <c r="AZ174" s="52"/>
      <c r="BC174" s="102"/>
      <c r="BD174" s="102"/>
      <c r="BE174" s="52"/>
      <c r="BG174" s="90"/>
      <c r="BK174"/>
      <c r="BL174"/>
      <c r="BM174"/>
      <c r="BN174"/>
      <c r="BO174"/>
      <c r="BP174"/>
      <c r="BQ174"/>
      <c r="BR174"/>
    </row>
    <row r="175" spans="51:70" s="12" customFormat="1" ht="16.350000000000001" hidden="1" customHeight="1">
      <c r="AY175" s="51"/>
      <c r="AZ175" s="52"/>
      <c r="BC175" s="102"/>
      <c r="BD175" s="102"/>
      <c r="BE175" s="52"/>
      <c r="BG175" s="90"/>
      <c r="BK175"/>
      <c r="BL175"/>
      <c r="BM175"/>
      <c r="BN175"/>
      <c r="BO175"/>
      <c r="BP175"/>
      <c r="BQ175"/>
      <c r="BR175"/>
    </row>
    <row r="176" spans="51:70" s="12" customFormat="1" ht="16.350000000000001" hidden="1" customHeight="1">
      <c r="AY176" s="51"/>
      <c r="AZ176" s="52"/>
      <c r="BC176" s="102"/>
      <c r="BD176" s="102"/>
      <c r="BE176" s="52"/>
      <c r="BG176" s="90"/>
      <c r="BK176"/>
      <c r="BL176"/>
      <c r="BM176"/>
      <c r="BN176"/>
      <c r="BO176"/>
      <c r="BP176"/>
      <c r="BQ176"/>
      <c r="BR176"/>
    </row>
    <row r="177" spans="51:70" s="12" customFormat="1" ht="16.350000000000001" hidden="1" customHeight="1">
      <c r="AY177" s="51"/>
      <c r="AZ177" s="52"/>
      <c r="BC177" s="102"/>
      <c r="BD177" s="102"/>
      <c r="BE177" s="52"/>
      <c r="BG177" s="90"/>
      <c r="BK177"/>
      <c r="BL177"/>
      <c r="BM177"/>
      <c r="BN177"/>
      <c r="BO177"/>
      <c r="BP177"/>
      <c r="BQ177"/>
      <c r="BR177"/>
    </row>
    <row r="178" spans="51:70" s="12" customFormat="1" ht="16.350000000000001" hidden="1" customHeight="1">
      <c r="AY178" s="51"/>
      <c r="AZ178" s="52"/>
      <c r="BC178" s="102"/>
      <c r="BD178" s="102"/>
      <c r="BE178" s="52"/>
      <c r="BG178" s="90"/>
      <c r="BK178"/>
      <c r="BL178"/>
      <c r="BM178"/>
      <c r="BN178"/>
      <c r="BO178"/>
      <c r="BP178"/>
      <c r="BQ178"/>
      <c r="BR178"/>
    </row>
    <row r="179" spans="51:70" s="12" customFormat="1" ht="16.350000000000001" hidden="1" customHeight="1">
      <c r="AY179" s="51"/>
      <c r="AZ179" s="52"/>
      <c r="BC179" s="102"/>
      <c r="BD179" s="102"/>
      <c r="BE179" s="52"/>
      <c r="BG179" s="90"/>
      <c r="BK179"/>
      <c r="BL179"/>
      <c r="BM179"/>
      <c r="BN179"/>
      <c r="BO179"/>
      <c r="BP179"/>
      <c r="BQ179"/>
      <c r="BR179"/>
    </row>
    <row r="180" spans="51:70" s="12" customFormat="1" ht="16.350000000000001" hidden="1" customHeight="1">
      <c r="AY180" s="51"/>
      <c r="AZ180" s="52"/>
      <c r="BC180" s="102"/>
      <c r="BD180" s="102"/>
      <c r="BE180" s="52"/>
      <c r="BG180" s="90"/>
      <c r="BK180"/>
      <c r="BL180"/>
      <c r="BM180"/>
      <c r="BN180"/>
      <c r="BO180"/>
      <c r="BP180"/>
      <c r="BQ180"/>
      <c r="BR180"/>
    </row>
    <row r="181" spans="51:70" s="12" customFormat="1" ht="16.350000000000001" hidden="1" customHeight="1">
      <c r="AY181" s="51"/>
      <c r="AZ181" s="52"/>
      <c r="BC181" s="102"/>
      <c r="BD181" s="102"/>
      <c r="BE181" s="52"/>
      <c r="BG181" s="90"/>
      <c r="BK181"/>
      <c r="BL181"/>
      <c r="BM181"/>
      <c r="BN181"/>
      <c r="BO181"/>
      <c r="BP181"/>
      <c r="BQ181"/>
      <c r="BR181"/>
    </row>
    <row r="182" spans="51:70" s="12" customFormat="1" ht="16.350000000000001" hidden="1" customHeight="1">
      <c r="AY182" s="51"/>
      <c r="AZ182" s="52"/>
      <c r="BC182" s="102"/>
      <c r="BD182" s="102"/>
      <c r="BE182" s="52"/>
      <c r="BG182" s="90"/>
      <c r="BK182"/>
      <c r="BL182"/>
      <c r="BM182"/>
      <c r="BN182"/>
      <c r="BO182"/>
      <c r="BP182"/>
      <c r="BQ182"/>
      <c r="BR182"/>
    </row>
    <row r="183" spans="51:70" s="12" customFormat="1" ht="16.350000000000001" hidden="1" customHeight="1">
      <c r="AY183" s="51"/>
      <c r="AZ183" s="52"/>
      <c r="BC183" s="102"/>
      <c r="BD183" s="102"/>
      <c r="BE183" s="52"/>
      <c r="BG183" s="90"/>
      <c r="BK183"/>
      <c r="BL183"/>
      <c r="BM183"/>
      <c r="BN183"/>
      <c r="BO183"/>
      <c r="BP183"/>
      <c r="BQ183"/>
      <c r="BR183"/>
    </row>
    <row r="184" spans="51:70" s="12" customFormat="1" ht="16.350000000000001" hidden="1" customHeight="1">
      <c r="AY184" s="51"/>
      <c r="AZ184" s="52"/>
      <c r="BC184" s="102"/>
      <c r="BD184" s="102"/>
      <c r="BE184" s="52"/>
      <c r="BG184" s="90"/>
      <c r="BK184"/>
      <c r="BL184"/>
      <c r="BM184"/>
      <c r="BN184"/>
      <c r="BO184"/>
      <c r="BP184"/>
      <c r="BQ184"/>
      <c r="BR184"/>
    </row>
    <row r="185" spans="51:70" s="12" customFormat="1" ht="16.350000000000001" hidden="1" customHeight="1">
      <c r="AY185" s="51"/>
      <c r="AZ185" s="52"/>
      <c r="BC185" s="102"/>
      <c r="BD185" s="102"/>
      <c r="BE185" s="52"/>
      <c r="BG185" s="90"/>
      <c r="BK185"/>
      <c r="BL185"/>
      <c r="BM185"/>
      <c r="BN185"/>
      <c r="BO185"/>
      <c r="BP185"/>
      <c r="BQ185"/>
      <c r="BR185"/>
    </row>
    <row r="186" spans="51:70" s="12" customFormat="1" ht="16.350000000000001" hidden="1" customHeight="1">
      <c r="AY186" s="51"/>
      <c r="AZ186" s="52"/>
      <c r="BC186" s="102"/>
      <c r="BD186" s="102"/>
      <c r="BE186" s="52"/>
      <c r="BG186" s="90"/>
      <c r="BK186"/>
      <c r="BL186"/>
      <c r="BM186"/>
      <c r="BN186"/>
      <c r="BO186"/>
      <c r="BP186"/>
      <c r="BQ186"/>
      <c r="BR186"/>
    </row>
    <row r="187" spans="51:70" s="12" customFormat="1" ht="16.350000000000001" hidden="1" customHeight="1">
      <c r="AY187" s="51"/>
      <c r="AZ187" s="52"/>
      <c r="BC187" s="102"/>
      <c r="BD187" s="102"/>
      <c r="BE187" s="52"/>
      <c r="BG187" s="90"/>
      <c r="BK187"/>
      <c r="BL187"/>
      <c r="BM187"/>
      <c r="BN187"/>
      <c r="BO187"/>
      <c r="BP187"/>
      <c r="BQ187"/>
      <c r="BR187"/>
    </row>
    <row r="188" spans="51:70" s="12" customFormat="1" ht="16.350000000000001" hidden="1" customHeight="1">
      <c r="AY188" s="51"/>
      <c r="AZ188" s="52"/>
      <c r="BC188" s="102"/>
      <c r="BD188" s="102"/>
      <c r="BE188" s="52"/>
      <c r="BG188" s="90"/>
      <c r="BK188"/>
      <c r="BL188"/>
      <c r="BM188"/>
      <c r="BN188"/>
      <c r="BO188"/>
      <c r="BP188"/>
      <c r="BQ188"/>
      <c r="BR188"/>
    </row>
    <row r="189" spans="51:70" s="12" customFormat="1" ht="16.350000000000001" hidden="1" customHeight="1">
      <c r="AY189" s="51"/>
      <c r="AZ189" s="52"/>
      <c r="BC189" s="102"/>
      <c r="BD189" s="102"/>
      <c r="BE189" s="52"/>
      <c r="BG189" s="90"/>
      <c r="BK189"/>
      <c r="BL189"/>
      <c r="BM189"/>
      <c r="BN189"/>
      <c r="BO189"/>
      <c r="BP189"/>
      <c r="BQ189"/>
      <c r="BR189"/>
    </row>
    <row r="190" spans="51:70" s="12" customFormat="1" ht="16.350000000000001" hidden="1" customHeight="1">
      <c r="AY190" s="51"/>
      <c r="AZ190" s="52"/>
      <c r="BC190" s="102"/>
      <c r="BD190" s="102"/>
      <c r="BE190" s="52"/>
      <c r="BG190" s="90"/>
      <c r="BK190"/>
      <c r="BL190"/>
      <c r="BM190"/>
      <c r="BN190"/>
      <c r="BO190"/>
      <c r="BP190"/>
      <c r="BQ190"/>
      <c r="BR190"/>
    </row>
    <row r="191" spans="51:70" s="12" customFormat="1" ht="16.350000000000001" hidden="1" customHeight="1">
      <c r="AY191" s="51"/>
      <c r="AZ191" s="52"/>
      <c r="BC191" s="102"/>
      <c r="BD191" s="102"/>
      <c r="BE191" s="52"/>
      <c r="BG191" s="90"/>
      <c r="BK191"/>
      <c r="BL191"/>
      <c r="BM191"/>
      <c r="BN191"/>
      <c r="BO191"/>
      <c r="BP191"/>
      <c r="BQ191"/>
      <c r="BR191"/>
    </row>
    <row r="192" spans="51:70" s="12" customFormat="1" ht="16.350000000000001" hidden="1" customHeight="1">
      <c r="AY192" s="51"/>
      <c r="AZ192" s="52"/>
      <c r="BC192" s="102"/>
      <c r="BD192" s="102"/>
      <c r="BE192" s="52"/>
      <c r="BG192" s="90"/>
      <c r="BK192"/>
      <c r="BL192"/>
      <c r="BM192"/>
      <c r="BN192"/>
      <c r="BO192"/>
      <c r="BP192"/>
      <c r="BQ192"/>
      <c r="BR192"/>
    </row>
    <row r="193" spans="1:70" ht="16.350000000000001"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51"/>
      <c r="AZ193" s="52"/>
      <c r="BA193" s="12"/>
      <c r="BB193" s="12"/>
      <c r="BC193" s="102"/>
      <c r="BD193" s="102"/>
      <c r="BE193" s="52"/>
      <c r="BF193" s="12"/>
      <c r="BG193" s="90"/>
      <c r="BH193" s="12"/>
      <c r="BI193" s="12"/>
      <c r="BJ193" s="12"/>
      <c r="BK193"/>
      <c r="BL193"/>
      <c r="BM193"/>
      <c r="BN193"/>
      <c r="BO193"/>
      <c r="BP193"/>
      <c r="BQ193"/>
      <c r="BR193"/>
    </row>
    <row r="194" spans="1:70" ht="16.350000000000001"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51"/>
      <c r="AZ194" s="52"/>
      <c r="BA194" s="12"/>
      <c r="BB194" s="12"/>
      <c r="BC194" s="102"/>
      <c r="BD194" s="102"/>
      <c r="BE194" s="52"/>
      <c r="BF194" s="12"/>
      <c r="BG194" s="90"/>
      <c r="BH194" s="12"/>
      <c r="BI194" s="12"/>
      <c r="BJ194" s="12"/>
      <c r="BK194"/>
      <c r="BL194"/>
      <c r="BM194"/>
      <c r="BN194"/>
      <c r="BO194"/>
      <c r="BP194"/>
      <c r="BQ194"/>
      <c r="BR194"/>
    </row>
    <row r="195" spans="1:70" ht="16.350000000000001"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51"/>
      <c r="AZ195" s="52"/>
      <c r="BA195" s="12"/>
      <c r="BB195" s="12"/>
      <c r="BC195" s="102"/>
      <c r="BD195" s="102"/>
      <c r="BE195" s="52"/>
      <c r="BF195" s="12"/>
      <c r="BG195" s="90"/>
      <c r="BH195" s="12"/>
      <c r="BI195" s="12"/>
      <c r="BJ195" s="12"/>
      <c r="BK195"/>
      <c r="BL195"/>
      <c r="BM195"/>
      <c r="BN195"/>
      <c r="BO195"/>
      <c r="BP195"/>
      <c r="BQ195"/>
      <c r="BR195"/>
    </row>
    <row r="196" spans="1:70" ht="16.350000000000001" hidden="1" customHeight="1">
      <c r="A196" s="12"/>
      <c r="B196" s="12"/>
      <c r="C196" s="12"/>
      <c r="D196" s="12"/>
      <c r="E196" s="12"/>
      <c r="F196" s="12"/>
      <c r="G196" s="12"/>
      <c r="H196" s="12"/>
      <c r="I196" s="12"/>
      <c r="J196" s="12"/>
      <c r="K196" s="12"/>
      <c r="L196" s="12"/>
      <c r="M196" s="12"/>
      <c r="N196" s="12"/>
      <c r="O196" s="1097"/>
      <c r="P196" s="1097"/>
      <c r="Q196" s="1097"/>
      <c r="R196" s="1097"/>
      <c r="S196" s="1097"/>
      <c r="T196" s="1097"/>
      <c r="U196" s="1097"/>
      <c r="V196" s="1097"/>
      <c r="W196" s="1097"/>
      <c r="X196" s="1097"/>
      <c r="Y196" s="1097"/>
      <c r="Z196" s="1097"/>
      <c r="AA196" s="1097"/>
      <c r="AB196" s="1097"/>
      <c r="AC196" s="1097"/>
      <c r="AD196" s="1097"/>
      <c r="AE196" s="109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2"/>
      <c r="BA196" s="12"/>
      <c r="BB196" s="12"/>
      <c r="BC196" s="12"/>
      <c r="BD196" s="12"/>
      <c r="BE196" s="12"/>
      <c r="BF196" s="12"/>
      <c r="BG196" s="12"/>
      <c r="BH196" s="12"/>
      <c r="BI196" s="12"/>
      <c r="BJ196" s="12"/>
      <c r="BK196"/>
      <c r="BL196"/>
      <c r="BM196"/>
      <c r="BN196"/>
      <c r="BO196"/>
      <c r="BP196"/>
      <c r="BQ196"/>
      <c r="BR196"/>
    </row>
    <row r="197" spans="1:70" ht="16.350000000000001" hidden="1" customHeight="1">
      <c r="A197" s="12"/>
      <c r="B197" s="12"/>
      <c r="C197" s="12"/>
      <c r="D197" s="12"/>
      <c r="E197" s="12"/>
      <c r="F197" s="12"/>
      <c r="G197" s="12"/>
      <c r="H197" s="12"/>
      <c r="I197" s="12"/>
      <c r="J197" s="12"/>
      <c r="K197" s="12"/>
      <c r="L197" s="12"/>
      <c r="M197" s="12"/>
      <c r="N197" s="12"/>
      <c r="O197" s="1097"/>
      <c r="P197" s="1097"/>
      <c r="Q197" s="1097"/>
      <c r="R197" s="1097"/>
      <c r="S197" s="1097"/>
      <c r="T197" s="1097"/>
      <c r="U197" s="1097"/>
      <c r="V197" s="1097"/>
      <c r="W197" s="1097"/>
      <c r="X197" s="1097"/>
      <c r="Y197" s="1097"/>
      <c r="Z197" s="1097"/>
      <c r="AA197" s="1097"/>
      <c r="AB197" s="1097"/>
      <c r="AC197" s="1097"/>
      <c r="AD197" s="1097"/>
      <c r="AE197" s="109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2"/>
      <c r="BA197" s="12"/>
      <c r="BB197" s="12"/>
      <c r="BC197" s="12"/>
      <c r="BD197" s="12"/>
      <c r="BE197" s="12"/>
      <c r="BF197" s="12"/>
      <c r="BG197" s="12"/>
      <c r="BH197" s="12"/>
      <c r="BI197" s="12"/>
      <c r="BJ197" s="12"/>
      <c r="BK197"/>
      <c r="BL197"/>
      <c r="BM197"/>
      <c r="BN197"/>
      <c r="BO197"/>
      <c r="BP197"/>
      <c r="BQ197"/>
      <c r="BR197"/>
    </row>
    <row r="198" spans="1:70" ht="16.350000000000001" hidden="1" customHeight="1">
      <c r="A198" s="12"/>
      <c r="B198" s="12"/>
      <c r="C198" s="12"/>
      <c r="D198" s="12"/>
      <c r="E198" s="12"/>
      <c r="F198" s="12"/>
      <c r="G198" s="12"/>
      <c r="H198" s="12"/>
      <c r="I198" s="12"/>
      <c r="J198" s="12"/>
      <c r="K198" s="12"/>
      <c r="L198" s="12"/>
      <c r="M198" s="12"/>
      <c r="N198" s="12"/>
      <c r="O198" s="1097"/>
      <c r="P198" s="1097"/>
      <c r="Q198" s="1097"/>
      <c r="R198" s="1097"/>
      <c r="S198" s="1097"/>
      <c r="T198" s="1097"/>
      <c r="U198" s="1097"/>
      <c r="V198" s="1097"/>
      <c r="W198" s="1097"/>
      <c r="X198" s="1097"/>
      <c r="Y198" s="1097"/>
      <c r="Z198" s="1097"/>
      <c r="AA198" s="1097"/>
      <c r="AB198" s="1097"/>
      <c r="AC198" s="1097"/>
      <c r="AD198" s="1097"/>
      <c r="AE198" s="1097"/>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2"/>
      <c r="BB198" s="12"/>
      <c r="BC198" s="12"/>
      <c r="BD198" s="12"/>
      <c r="BE198" s="12"/>
      <c r="BF198" s="12"/>
      <c r="BG198" s="12"/>
      <c r="BH198" s="12"/>
      <c r="BI198" s="12"/>
      <c r="BJ198" s="12"/>
      <c r="BK198"/>
      <c r="BL198"/>
      <c r="BM198"/>
      <c r="BN198"/>
      <c r="BO198"/>
      <c r="BP198"/>
      <c r="BQ198"/>
      <c r="BR198"/>
    </row>
    <row r="199" spans="1:70" ht="16.350000000000001"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51"/>
      <c r="AZ199" s="52"/>
      <c r="BA199" s="12"/>
      <c r="BB199" s="12"/>
      <c r="BC199" s="102"/>
      <c r="BD199" s="102"/>
      <c r="BE199" s="52"/>
      <c r="BF199" s="12"/>
      <c r="BG199" s="90"/>
      <c r="BH199" s="12"/>
      <c r="BI199" s="12"/>
      <c r="BJ199" s="12"/>
      <c r="BK199"/>
      <c r="BL199"/>
      <c r="BM199"/>
      <c r="BN199"/>
      <c r="BO199"/>
      <c r="BP199"/>
      <c r="BQ199"/>
      <c r="BR199"/>
    </row>
    <row r="200" spans="1:70" customFormat="1"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03"/>
      <c r="BH200" s="503"/>
      <c r="BI200" s="503"/>
      <c r="BJ200" s="515"/>
      <c r="BK200" s="502"/>
      <c r="BL200" s="502"/>
      <c r="BM200" s="502"/>
      <c r="BN200" s="502"/>
      <c r="BO200" s="502"/>
      <c r="BP200" s="502"/>
      <c r="BQ200" s="502"/>
      <c r="BR200" s="502"/>
    </row>
    <row r="201" spans="1:70" customFormat="1"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03"/>
      <c r="BH201" s="503"/>
      <c r="BI201" s="503"/>
      <c r="BJ201" s="515"/>
      <c r="BK201" s="502"/>
      <c r="BL201" s="502"/>
      <c r="BM201" s="502"/>
      <c r="BN201" s="502"/>
      <c r="BO201" s="502"/>
      <c r="BP201" s="502"/>
      <c r="BQ201" s="502"/>
      <c r="BR201" s="502"/>
    </row>
    <row r="202" spans="1:70" customFormat="1"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03"/>
      <c r="BH202" s="503"/>
      <c r="BI202" s="503"/>
      <c r="BJ202" s="515"/>
      <c r="BK202" s="502"/>
      <c r="BL202" s="502"/>
      <c r="BM202" s="502"/>
      <c r="BN202" s="502"/>
      <c r="BO202" s="502"/>
      <c r="BP202" s="502"/>
      <c r="BQ202" s="502"/>
      <c r="BR202" s="502"/>
    </row>
    <row r="203" spans="1:70" ht="16.350000000000001" hidden="1" customHeight="1"/>
    <row r="204" spans="1:70" ht="16.350000000000001" hidden="1" customHeight="1"/>
    <row r="205" spans="1:70" ht="15" hidden="1" customHeight="1"/>
    <row r="206" spans="1:70" ht="15" hidden="1" customHeight="1"/>
  </sheetData>
  <sheetProtection algorithmName="SHA-512" hashValue="weUyROq6Yzh7+nn4w7KF6de7DKPpEFk4fVqyUoqyDRfpBePszL06IWpK3DR9nF/OYwBJXkIcsado387YfK3i9w==" saltValue="sVp/FDBbTFuxUk/YKUJ+lw==" spinCount="100000" sheet="1" objects="1" scenarios="1" selectLockedCells="1"/>
  <mergeCells count="1014">
    <mergeCell ref="BV34:BV35"/>
    <mergeCell ref="BW34:BW35"/>
    <mergeCell ref="BX34:BX35"/>
    <mergeCell ref="BY34:BY35"/>
    <mergeCell ref="BZ34:BZ35"/>
    <mergeCell ref="BV20:BV21"/>
    <mergeCell ref="BW20:BW21"/>
    <mergeCell ref="BX20:BX21"/>
    <mergeCell ref="BY20:BY21"/>
    <mergeCell ref="BZ20:BZ21"/>
    <mergeCell ref="BV22:BV23"/>
    <mergeCell ref="BW22:BW23"/>
    <mergeCell ref="BX22:BX23"/>
    <mergeCell ref="BY30:BY31"/>
    <mergeCell ref="BZ30:BZ31"/>
    <mergeCell ref="BY22:BY23"/>
    <mergeCell ref="BZ22:BZ23"/>
    <mergeCell ref="BY24:BY25"/>
    <mergeCell ref="BZ24:BZ25"/>
    <mergeCell ref="BY28:BY29"/>
    <mergeCell ref="BX26:BX27"/>
    <mergeCell ref="BY26:BY27"/>
    <mergeCell ref="BZ26:BZ27"/>
    <mergeCell ref="DE32:DE33"/>
    <mergeCell ref="DF32:DF33"/>
    <mergeCell ref="DG32:DG33"/>
    <mergeCell ref="DH32:DH33"/>
    <mergeCell ref="DI32:DI33"/>
    <mergeCell ref="CZ36:CZ37"/>
    <mergeCell ref="DA36:DA37"/>
    <mergeCell ref="CZ26:CZ27"/>
    <mergeCell ref="DA26:DA27"/>
    <mergeCell ref="CZ28:CZ29"/>
    <mergeCell ref="DA28:DA29"/>
    <mergeCell ref="CZ30:CZ31"/>
    <mergeCell ref="DA30:DA31"/>
    <mergeCell ref="CZ32:CZ33"/>
    <mergeCell ref="DA32:DA33"/>
    <mergeCell ref="CZ34:CZ35"/>
    <mergeCell ref="DA34:DA35"/>
    <mergeCell ref="DW36:DW37"/>
    <mergeCell ref="DX36:DX37"/>
    <mergeCell ref="DN34:DN35"/>
    <mergeCell ref="DO34:DO35"/>
    <mergeCell ref="DN36:DN37"/>
    <mergeCell ref="DO36:DO37"/>
    <mergeCell ref="DP36:DP37"/>
    <mergeCell ref="DQ36:DQ37"/>
    <mergeCell ref="DR36:DR37"/>
    <mergeCell ref="DH34:DH35"/>
    <mergeCell ref="DI34:DI35"/>
    <mergeCell ref="DJ34:DJ35"/>
    <mergeCell ref="DK34:DK35"/>
    <mergeCell ref="DV30:DV31"/>
    <mergeCell ref="DS36:DS37"/>
    <mergeCell ref="DT36:DT37"/>
    <mergeCell ref="DW30:DW31"/>
    <mergeCell ref="DX30:DX31"/>
    <mergeCell ref="DW32:DW33"/>
    <mergeCell ref="DX32:DX33"/>
    <mergeCell ref="DU36:DU37"/>
    <mergeCell ref="DV36:DV37"/>
    <mergeCell ref="DL34:DL35"/>
    <mergeCell ref="DM34:DM35"/>
    <mergeCell ref="DW34:DW35"/>
    <mergeCell ref="DX34:DX35"/>
    <mergeCell ref="DU34:DU35"/>
    <mergeCell ref="DV34:DV35"/>
    <mergeCell ref="DU32:DU33"/>
    <mergeCell ref="DV32:DV33"/>
    <mergeCell ref="DL28:DL29"/>
    <mergeCell ref="DM28:DM29"/>
    <mergeCell ref="DN28:DN29"/>
    <mergeCell ref="DO28:DO29"/>
    <mergeCell ref="DP28:DP29"/>
    <mergeCell ref="DQ28:DQ29"/>
    <mergeCell ref="DR28:DR29"/>
    <mergeCell ref="DS28:DS29"/>
    <mergeCell ref="DT28:DT29"/>
    <mergeCell ref="DU28:DU29"/>
    <mergeCell ref="DV28:DV29"/>
    <mergeCell ref="DF36:DF37"/>
    <mergeCell ref="DG36:DG37"/>
    <mergeCell ref="DH36:DH37"/>
    <mergeCell ref="DI36:DI37"/>
    <mergeCell ref="DJ36:DJ37"/>
    <mergeCell ref="DK36:DK37"/>
    <mergeCell ref="DL36:DL37"/>
    <mergeCell ref="DM36:DM37"/>
    <mergeCell ref="DW28:DW29"/>
    <mergeCell ref="DE36:DE37"/>
    <mergeCell ref="DE30:DE31"/>
    <mergeCell ref="DF30:DF31"/>
    <mergeCell ref="DG30:DG31"/>
    <mergeCell ref="DH30:DH31"/>
    <mergeCell ref="DI30:DI31"/>
    <mergeCell ref="DJ30:DJ31"/>
    <mergeCell ref="DK30:DK31"/>
    <mergeCell ref="DL30:DL31"/>
    <mergeCell ref="DM30:DM31"/>
    <mergeCell ref="DN30:DN31"/>
    <mergeCell ref="DO30:DO31"/>
    <mergeCell ref="DP30:DP31"/>
    <mergeCell ref="DQ30:DQ31"/>
    <mergeCell ref="DR30:DR31"/>
    <mergeCell ref="DS30:DS31"/>
    <mergeCell ref="DT30:DT31"/>
    <mergeCell ref="DT34:DT35"/>
    <mergeCell ref="DE34:DE35"/>
    <mergeCell ref="DG34:DG35"/>
    <mergeCell ref="DJ32:DJ33"/>
    <mergeCell ref="DK32:DK33"/>
    <mergeCell ref="DL32:DL33"/>
    <mergeCell ref="DM32:DM33"/>
    <mergeCell ref="DN32:DN33"/>
    <mergeCell ref="DO32:DO33"/>
    <mergeCell ref="DP32:DP33"/>
    <mergeCell ref="DQ32:DQ33"/>
    <mergeCell ref="DR32:DR33"/>
    <mergeCell ref="DS32:DS33"/>
    <mergeCell ref="DT32:DT33"/>
    <mergeCell ref="DW24:DW25"/>
    <mergeCell ref="DX24:DX25"/>
    <mergeCell ref="DM22:DM23"/>
    <mergeCell ref="DN22:DN23"/>
    <mergeCell ref="DO22:DO23"/>
    <mergeCell ref="DP22:DP23"/>
    <mergeCell ref="DQ22:DQ23"/>
    <mergeCell ref="DR22:DR23"/>
    <mergeCell ref="DS22:DS23"/>
    <mergeCell ref="DT22:DT23"/>
    <mergeCell ref="DU22:DU23"/>
    <mergeCell ref="DE26:DE27"/>
    <mergeCell ref="DU30:DU31"/>
    <mergeCell ref="DM26:DM27"/>
    <mergeCell ref="DN26:DN27"/>
    <mergeCell ref="DO26:DO27"/>
    <mergeCell ref="DP26:DP27"/>
    <mergeCell ref="DQ26:DQ27"/>
    <mergeCell ref="DR26:DR27"/>
    <mergeCell ref="DS26:DS27"/>
    <mergeCell ref="DT26:DT27"/>
    <mergeCell ref="DU26:DU27"/>
    <mergeCell ref="DV26:DV27"/>
    <mergeCell ref="DW26:DW27"/>
    <mergeCell ref="DX26:DX27"/>
    <mergeCell ref="DE28:DE29"/>
    <mergeCell ref="DF28:DF29"/>
    <mergeCell ref="DG28:DG29"/>
    <mergeCell ref="DH28:DH29"/>
    <mergeCell ref="DI28:DI29"/>
    <mergeCell ref="DJ28:DJ29"/>
    <mergeCell ref="DK28:DK29"/>
    <mergeCell ref="DM20:DM21"/>
    <mergeCell ref="DN20:DN21"/>
    <mergeCell ref="DO20:DO21"/>
    <mergeCell ref="DP20:DP21"/>
    <mergeCell ref="DQ20:DQ21"/>
    <mergeCell ref="DR20:DR21"/>
    <mergeCell ref="DS20:DS21"/>
    <mergeCell ref="DT20:DT21"/>
    <mergeCell ref="DU20:DU21"/>
    <mergeCell ref="DV20:DV21"/>
    <mergeCell ref="DW20:DW21"/>
    <mergeCell ref="DX20:DX21"/>
    <mergeCell ref="DX28:DX29"/>
    <mergeCell ref="DX22:DX23"/>
    <mergeCell ref="DE24:DE25"/>
    <mergeCell ref="DF24:DF25"/>
    <mergeCell ref="DG24:DG25"/>
    <mergeCell ref="DH24:DH25"/>
    <mergeCell ref="DI24:DI25"/>
    <mergeCell ref="DJ24:DJ25"/>
    <mergeCell ref="DK24:DK25"/>
    <mergeCell ref="DL24:DL25"/>
    <mergeCell ref="DM24:DM25"/>
    <mergeCell ref="DN24:DN25"/>
    <mergeCell ref="DO24:DO25"/>
    <mergeCell ref="DP24:DP25"/>
    <mergeCell ref="DQ24:DQ25"/>
    <mergeCell ref="DR24:DR25"/>
    <mergeCell ref="DS24:DS25"/>
    <mergeCell ref="DT24:DT25"/>
    <mergeCell ref="DU24:DU25"/>
    <mergeCell ref="DV24:DV25"/>
    <mergeCell ref="DE18:DE19"/>
    <mergeCell ref="DF18:DF19"/>
    <mergeCell ref="DG18:DG19"/>
    <mergeCell ref="DH18:DH19"/>
    <mergeCell ref="DI18:DI19"/>
    <mergeCell ref="DJ18:DJ19"/>
    <mergeCell ref="DK18:DK19"/>
    <mergeCell ref="DL18:DL19"/>
    <mergeCell ref="DE22:DE23"/>
    <mergeCell ref="DF22:DF23"/>
    <mergeCell ref="DG22:DG23"/>
    <mergeCell ref="DH22:DH23"/>
    <mergeCell ref="DI22:DI23"/>
    <mergeCell ref="DJ22:DJ23"/>
    <mergeCell ref="DK22:DK23"/>
    <mergeCell ref="DL22:DL23"/>
    <mergeCell ref="DV18:DV19"/>
    <mergeCell ref="DO18:DO19"/>
    <mergeCell ref="DP18:DP19"/>
    <mergeCell ref="DQ18:DQ19"/>
    <mergeCell ref="DR18:DR19"/>
    <mergeCell ref="DS18:DS19"/>
    <mergeCell ref="DT18:DT19"/>
    <mergeCell ref="DU18:DU19"/>
    <mergeCell ref="DV22:DV23"/>
    <mergeCell ref="DE20:DE21"/>
    <mergeCell ref="DF20:DF21"/>
    <mergeCell ref="DG20:DG21"/>
    <mergeCell ref="DH20:DH21"/>
    <mergeCell ref="DI20:DI21"/>
    <mergeCell ref="DJ20:DJ21"/>
    <mergeCell ref="DK20:DK21"/>
    <mergeCell ref="CY24:CY25"/>
    <mergeCell ref="CY26:CY27"/>
    <mergeCell ref="CY28:CY29"/>
    <mergeCell ref="CY30:CY31"/>
    <mergeCell ref="CW26:CW27"/>
    <mergeCell ref="CX26:CX27"/>
    <mergeCell ref="DD18:DD19"/>
    <mergeCell ref="DD20:DD21"/>
    <mergeCell ref="DD22:DD23"/>
    <mergeCell ref="DD24:DD25"/>
    <mergeCell ref="DD26:DD27"/>
    <mergeCell ref="DD28:DD29"/>
    <mergeCell ref="DD30:DD31"/>
    <mergeCell ref="CZ16:CZ17"/>
    <mergeCell ref="DA16:DA17"/>
    <mergeCell ref="CZ18:CZ19"/>
    <mergeCell ref="DA18:DA19"/>
    <mergeCell ref="CZ20:CZ21"/>
    <mergeCell ref="DA20:DA21"/>
    <mergeCell ref="CZ22:CZ23"/>
    <mergeCell ref="DA22:DA23"/>
    <mergeCell ref="CZ24:CZ25"/>
    <mergeCell ref="DA24:DA25"/>
    <mergeCell ref="CW30:CW31"/>
    <mergeCell ref="CX30:CX31"/>
    <mergeCell ref="C22:E23"/>
    <mergeCell ref="F22:K23"/>
    <mergeCell ref="L22:Q23"/>
    <mergeCell ref="C16:E17"/>
    <mergeCell ref="K9:N11"/>
    <mergeCell ref="O9:R11"/>
    <mergeCell ref="S9:V11"/>
    <mergeCell ref="AF9:AJ11"/>
    <mergeCell ref="AK9:AO11"/>
    <mergeCell ref="AA18:AC19"/>
    <mergeCell ref="AD18:AI19"/>
    <mergeCell ref="AD22:AI23"/>
    <mergeCell ref="R20:T21"/>
    <mergeCell ref="U20:W21"/>
    <mergeCell ref="X20:Z21"/>
    <mergeCell ref="AJ20:AL21"/>
    <mergeCell ref="CW13:CY14"/>
    <mergeCell ref="CY16:CY17"/>
    <mergeCell ref="CY18:CY19"/>
    <mergeCell ref="CY20:CY21"/>
    <mergeCell ref="CY22:CY23"/>
    <mergeCell ref="BV14:BZ15"/>
    <mergeCell ref="BV16:BV17"/>
    <mergeCell ref="BW16:BW17"/>
    <mergeCell ref="BX16:BX17"/>
    <mergeCell ref="BY16:BY17"/>
    <mergeCell ref="BZ16:BZ17"/>
    <mergeCell ref="BV18:BV19"/>
    <mergeCell ref="BW18:BW19"/>
    <mergeCell ref="BX18:BX19"/>
    <mergeCell ref="BY18:BY19"/>
    <mergeCell ref="BZ18:BZ19"/>
    <mergeCell ref="CT16:CT17"/>
    <mergeCell ref="CL16:CL17"/>
    <mergeCell ref="CM16:CM17"/>
    <mergeCell ref="CN16:CN17"/>
    <mergeCell ref="CO16:CO17"/>
    <mergeCell ref="CP16:CP17"/>
    <mergeCell ref="CG16:CG17"/>
    <mergeCell ref="CH16:CH17"/>
    <mergeCell ref="AV35:BA35"/>
    <mergeCell ref="AA32:AC33"/>
    <mergeCell ref="AA34:AC35"/>
    <mergeCell ref="C36:E37"/>
    <mergeCell ref="F36:K37"/>
    <mergeCell ref="L36:Q37"/>
    <mergeCell ref="C30:E31"/>
    <mergeCell ref="F30:K31"/>
    <mergeCell ref="L30:Q31"/>
    <mergeCell ref="C32:E33"/>
    <mergeCell ref="F32:K33"/>
    <mergeCell ref="C34:E35"/>
    <mergeCell ref="F34:K35"/>
    <mergeCell ref="L34:Q35"/>
    <mergeCell ref="C24:E25"/>
    <mergeCell ref="F24:K25"/>
    <mergeCell ref="L24:Q25"/>
    <mergeCell ref="C26:E27"/>
    <mergeCell ref="F26:K27"/>
    <mergeCell ref="L26:Q27"/>
    <mergeCell ref="C18:E19"/>
    <mergeCell ref="F18:K19"/>
    <mergeCell ref="L18:Q19"/>
    <mergeCell ref="C20:E21"/>
    <mergeCell ref="F1:I3"/>
    <mergeCell ref="J1:M3"/>
    <mergeCell ref="AT1:AW3"/>
    <mergeCell ref="AX1:BA3"/>
    <mergeCell ref="BB1:BG3"/>
    <mergeCell ref="AX4:BA4"/>
    <mergeCell ref="BB4:BF4"/>
    <mergeCell ref="BG4:BJ4"/>
    <mergeCell ref="BH1:BK3"/>
    <mergeCell ref="AP1:AS3"/>
    <mergeCell ref="AQ12:BA13"/>
    <mergeCell ref="AQ14:BA14"/>
    <mergeCell ref="AS16:AU17"/>
    <mergeCell ref="AV16:AX16"/>
    <mergeCell ref="AY16:BA16"/>
    <mergeCell ref="AV17:BA17"/>
    <mergeCell ref="BB16:BE16"/>
    <mergeCell ref="W9:Z11"/>
    <mergeCell ref="AA9:AE11"/>
    <mergeCell ref="BB17:BC17"/>
    <mergeCell ref="BD17:BE17"/>
    <mergeCell ref="O196:AY197"/>
    <mergeCell ref="O198:AZ198"/>
    <mergeCell ref="BG5:BI7"/>
    <mergeCell ref="BG8:BI8"/>
    <mergeCell ref="AP9:AS11"/>
    <mergeCell ref="AT9:AW11"/>
    <mergeCell ref="AX9:BA11"/>
    <mergeCell ref="Y12:AB13"/>
    <mergeCell ref="AC12:AG13"/>
    <mergeCell ref="AH12:AK13"/>
    <mergeCell ref="AL12:AO13"/>
    <mergeCell ref="Y14:AB14"/>
    <mergeCell ref="AC14:AG14"/>
    <mergeCell ref="AH14:AK14"/>
    <mergeCell ref="AL14:AO14"/>
    <mergeCell ref="R16:T17"/>
    <mergeCell ref="U16:W17"/>
    <mergeCell ref="X16:Z17"/>
    <mergeCell ref="AJ16:AL17"/>
    <mergeCell ref="X18:Z19"/>
    <mergeCell ref="AJ18:AL19"/>
    <mergeCell ref="U34:W35"/>
    <mergeCell ref="L15:Z15"/>
    <mergeCell ref="AA15:AU15"/>
    <mergeCell ref="U18:W19"/>
    <mergeCell ref="AM20:AO21"/>
    <mergeCell ref="AV26:AX26"/>
    <mergeCell ref="AY26:BA26"/>
    <mergeCell ref="BH24:BJ25"/>
    <mergeCell ref="AV27:BA27"/>
    <mergeCell ref="BB28:BC29"/>
    <mergeCell ref="R26:T27"/>
    <mergeCell ref="CQ16:CQ17"/>
    <mergeCell ref="CR16:CR17"/>
    <mergeCell ref="CS16:CS17"/>
    <mergeCell ref="CB16:CB17"/>
    <mergeCell ref="CC16:CC17"/>
    <mergeCell ref="AM18:AO19"/>
    <mergeCell ref="CD16:CD17"/>
    <mergeCell ref="BS16:BS17"/>
    <mergeCell ref="BT16:BT17"/>
    <mergeCell ref="L16:Q17"/>
    <mergeCell ref="F16:K17"/>
    <mergeCell ref="CE16:CE17"/>
    <mergeCell ref="CF16:CF17"/>
    <mergeCell ref="BH16:BJ17"/>
    <mergeCell ref="AM16:AO17"/>
    <mergeCell ref="AA16:AC17"/>
    <mergeCell ref="AD16:AI17"/>
    <mergeCell ref="AP16:AR17"/>
    <mergeCell ref="CC18:CC19"/>
    <mergeCell ref="CD18:CD19"/>
    <mergeCell ref="CI16:CI17"/>
    <mergeCell ref="CJ16:CJ17"/>
    <mergeCell ref="CK16:CK17"/>
    <mergeCell ref="CK18:CK19"/>
    <mergeCell ref="BH18:BJ19"/>
    <mergeCell ref="CB18:CB19"/>
    <mergeCell ref="BS18:BS19"/>
    <mergeCell ref="BT18:BT19"/>
    <mergeCell ref="CR18:CR19"/>
    <mergeCell ref="CS18:CS19"/>
    <mergeCell ref="BF16:BG17"/>
    <mergeCell ref="BK16:BM17"/>
    <mergeCell ref="CT18:CT19"/>
    <mergeCell ref="B20:B21"/>
    <mergeCell ref="CE20:CE21"/>
    <mergeCell ref="CF20:CF21"/>
    <mergeCell ref="CG20:CG21"/>
    <mergeCell ref="CM18:CM19"/>
    <mergeCell ref="CN18:CN19"/>
    <mergeCell ref="CO18:CO19"/>
    <mergeCell ref="CP18:CP19"/>
    <mergeCell ref="CQ18:CQ19"/>
    <mergeCell ref="CH18:CH19"/>
    <mergeCell ref="CI18:CI19"/>
    <mergeCell ref="CJ18:CJ19"/>
    <mergeCell ref="CB20:CB21"/>
    <mergeCell ref="CC20:CC21"/>
    <mergeCell ref="B18:B19"/>
    <mergeCell ref="R18:T19"/>
    <mergeCell ref="CH20:CH21"/>
    <mergeCell ref="CI20:CI21"/>
    <mergeCell ref="CD20:CD21"/>
    <mergeCell ref="AD20:AI21"/>
    <mergeCell ref="BH20:BJ21"/>
    <mergeCell ref="AP18:AR19"/>
    <mergeCell ref="AS18:AU19"/>
    <mergeCell ref="CE18:CE19"/>
    <mergeCell ref="CF18:CF19"/>
    <mergeCell ref="F20:K21"/>
    <mergeCell ref="L20:Q21"/>
    <mergeCell ref="BF20:BG21"/>
    <mergeCell ref="U24:W25"/>
    <mergeCell ref="X24:Z25"/>
    <mergeCell ref="AJ24:AL25"/>
    <mergeCell ref="BB24:BC25"/>
    <mergeCell ref="BD24:BE25"/>
    <mergeCell ref="BF24:BG25"/>
    <mergeCell ref="BK24:BM25"/>
    <mergeCell ref="BN24:BP25"/>
    <mergeCell ref="BV24:BV25"/>
    <mergeCell ref="BW24:BW25"/>
    <mergeCell ref="BX24:BX25"/>
    <mergeCell ref="CL18:CL19"/>
    <mergeCell ref="CT20:CT21"/>
    <mergeCell ref="B22:B23"/>
    <mergeCell ref="R22:T23"/>
    <mergeCell ref="U22:W23"/>
    <mergeCell ref="X22:Z23"/>
    <mergeCell ref="AJ22:AL23"/>
    <mergeCell ref="AM22:AO23"/>
    <mergeCell ref="CO20:CO21"/>
    <mergeCell ref="CP20:CP21"/>
    <mergeCell ref="BS20:BS21"/>
    <mergeCell ref="BT20:BT21"/>
    <mergeCell ref="CQ20:CQ21"/>
    <mergeCell ref="CR20:CR21"/>
    <mergeCell ref="CS20:CS21"/>
    <mergeCell ref="CJ20:CJ21"/>
    <mergeCell ref="CK20:CK21"/>
    <mergeCell ref="CL20:CL21"/>
    <mergeCell ref="CM20:CM21"/>
    <mergeCell ref="CN20:CN21"/>
    <mergeCell ref="CG18:CG19"/>
    <mergeCell ref="CS22:CS23"/>
    <mergeCell ref="CT22:CT23"/>
    <mergeCell ref="CL22:CL23"/>
    <mergeCell ref="CM22:CM23"/>
    <mergeCell ref="CN22:CN23"/>
    <mergeCell ref="CO22:CO23"/>
    <mergeCell ref="CP22:CP23"/>
    <mergeCell ref="CG22:CG23"/>
    <mergeCell ref="CH22:CH23"/>
    <mergeCell ref="CI22:CI23"/>
    <mergeCell ref="CJ22:CJ23"/>
    <mergeCell ref="CK22:CK23"/>
    <mergeCell ref="CP26:CP27"/>
    <mergeCell ref="CK24:CK25"/>
    <mergeCell ref="CB24:CB25"/>
    <mergeCell ref="B24:B25"/>
    <mergeCell ref="R24:T25"/>
    <mergeCell ref="CQ22:CQ23"/>
    <mergeCell ref="CR22:CR23"/>
    <mergeCell ref="CB22:CB23"/>
    <mergeCell ref="CC22:CC23"/>
    <mergeCell ref="CD22:CD23"/>
    <mergeCell ref="CE22:CE23"/>
    <mergeCell ref="AM24:AO25"/>
    <mergeCell ref="CF22:CF23"/>
    <mergeCell ref="BH22:BJ23"/>
    <mergeCell ref="BS22:BS23"/>
    <mergeCell ref="CL24:CL25"/>
    <mergeCell ref="CC24:CC25"/>
    <mergeCell ref="CD24:CD25"/>
    <mergeCell ref="CE24:CE25"/>
    <mergeCell ref="BT22:BT23"/>
    <mergeCell ref="CQ26:CQ27"/>
    <mergeCell ref="CJ26:CJ27"/>
    <mergeCell ref="CK26:CK27"/>
    <mergeCell ref="CL26:CL27"/>
    <mergeCell ref="CM26:CM27"/>
    <mergeCell ref="CN26:CN27"/>
    <mergeCell ref="CE26:CE27"/>
    <mergeCell ref="CF26:CF27"/>
    <mergeCell ref="CG26:CG27"/>
    <mergeCell ref="CH26:CH27"/>
    <mergeCell ref="CI26:CI27"/>
    <mergeCell ref="CB26:CB27"/>
    <mergeCell ref="CC26:CC27"/>
    <mergeCell ref="CD26:CD27"/>
    <mergeCell ref="CS24:CS25"/>
    <mergeCell ref="CT24:CT25"/>
    <mergeCell ref="CP24:CP25"/>
    <mergeCell ref="CQ24:CQ25"/>
    <mergeCell ref="CM24:CM25"/>
    <mergeCell ref="CN24:CN25"/>
    <mergeCell ref="CO24:CO25"/>
    <mergeCell ref="CF24:CF25"/>
    <mergeCell ref="CG24:CG25"/>
    <mergeCell ref="CS26:CS27"/>
    <mergeCell ref="CR24:CR25"/>
    <mergeCell ref="CH24:CH25"/>
    <mergeCell ref="CI24:CI25"/>
    <mergeCell ref="BT24:BT25"/>
    <mergeCell ref="BS26:BS27"/>
    <mergeCell ref="BT26:BT27"/>
    <mergeCell ref="AA28:AC29"/>
    <mergeCell ref="AP28:AR29"/>
    <mergeCell ref="AV28:AX28"/>
    <mergeCell ref="AY28:BA28"/>
    <mergeCell ref="AV29:BA29"/>
    <mergeCell ref="BB26:BC27"/>
    <mergeCell ref="BD26:BE27"/>
    <mergeCell ref="BF26:BG27"/>
    <mergeCell ref="BK26:BM27"/>
    <mergeCell ref="BZ28:BZ29"/>
    <mergeCell ref="BS28:BS29"/>
    <mergeCell ref="BT28:BT29"/>
    <mergeCell ref="CG28:CG29"/>
    <mergeCell ref="CB28:CB29"/>
    <mergeCell ref="CC28:CC29"/>
    <mergeCell ref="BS24:BS25"/>
    <mergeCell ref="AD24:AI25"/>
    <mergeCell ref="AD28:AI29"/>
    <mergeCell ref="BV26:BV27"/>
    <mergeCell ref="BW26:BW27"/>
    <mergeCell ref="B28:B29"/>
    <mergeCell ref="R28:T29"/>
    <mergeCell ref="U28:W29"/>
    <mergeCell ref="X28:Z29"/>
    <mergeCell ref="AJ28:AL29"/>
    <mergeCell ref="AM28:AO29"/>
    <mergeCell ref="BH26:BJ27"/>
    <mergeCell ref="BD28:BE29"/>
    <mergeCell ref="BF28:BG29"/>
    <mergeCell ref="BK28:BM29"/>
    <mergeCell ref="F28:K29"/>
    <mergeCell ref="L28:Q29"/>
    <mergeCell ref="BB30:BC31"/>
    <mergeCell ref="BD30:BE31"/>
    <mergeCell ref="BF30:BG31"/>
    <mergeCell ref="BK30:BM31"/>
    <mergeCell ref="B26:B27"/>
    <mergeCell ref="B30:B31"/>
    <mergeCell ref="R30:T31"/>
    <mergeCell ref="AM30:AO31"/>
    <mergeCell ref="U26:W27"/>
    <mergeCell ref="C28:E29"/>
    <mergeCell ref="BH28:BJ29"/>
    <mergeCell ref="AD26:AI27"/>
    <mergeCell ref="X26:Z27"/>
    <mergeCell ref="AJ26:AL27"/>
    <mergeCell ref="AM26:AO27"/>
    <mergeCell ref="AV33:BA33"/>
    <mergeCell ref="BN30:BP31"/>
    <mergeCell ref="BV30:BV31"/>
    <mergeCell ref="BW30:BW31"/>
    <mergeCell ref="BS30:BS31"/>
    <mergeCell ref="BT30:BT31"/>
    <mergeCell ref="CH30:CH31"/>
    <mergeCell ref="CI30:CI31"/>
    <mergeCell ref="BZ32:BZ33"/>
    <mergeCell ref="AD30:AI31"/>
    <mergeCell ref="AD32:AI33"/>
    <mergeCell ref="B32:B33"/>
    <mergeCell ref="R32:T33"/>
    <mergeCell ref="U32:W33"/>
    <mergeCell ref="X32:Z33"/>
    <mergeCell ref="AJ32:AL33"/>
    <mergeCell ref="AM32:AO33"/>
    <mergeCell ref="BH32:BJ33"/>
    <mergeCell ref="L32:Q33"/>
    <mergeCell ref="U30:W31"/>
    <mergeCell ref="X30:Z31"/>
    <mergeCell ref="AJ30:AL31"/>
    <mergeCell ref="CK30:CK31"/>
    <mergeCell ref="CC30:CC31"/>
    <mergeCell ref="CD30:CD31"/>
    <mergeCell ref="CE30:CE31"/>
    <mergeCell ref="AA30:AC31"/>
    <mergeCell ref="CF30:CF31"/>
    <mergeCell ref="CG30:CG31"/>
    <mergeCell ref="BH30:BJ31"/>
    <mergeCell ref="CB30:CB31"/>
    <mergeCell ref="AV30:AX30"/>
    <mergeCell ref="AY30:BA30"/>
    <mergeCell ref="AV31:BA31"/>
    <mergeCell ref="AV32:AX32"/>
    <mergeCell ref="AY32:BA32"/>
    <mergeCell ref="B36:B37"/>
    <mergeCell ref="R36:T37"/>
    <mergeCell ref="CQ34:CQ35"/>
    <mergeCell ref="AM36:AO37"/>
    <mergeCell ref="BH34:BJ35"/>
    <mergeCell ref="B34:B35"/>
    <mergeCell ref="R34:T35"/>
    <mergeCell ref="X34:Z35"/>
    <mergeCell ref="AJ34:AL35"/>
    <mergeCell ref="AM34:AO35"/>
    <mergeCell ref="BS34:BS35"/>
    <mergeCell ref="BT34:BT35"/>
    <mergeCell ref="AV34:AX34"/>
    <mergeCell ref="AY34:BA34"/>
    <mergeCell ref="U36:W37"/>
    <mergeCell ref="X36:Z37"/>
    <mergeCell ref="AJ36:AL37"/>
    <mergeCell ref="BS36:BS37"/>
    <mergeCell ref="CR34:CR35"/>
    <mergeCell ref="CS34:CS35"/>
    <mergeCell ref="CT34:CT35"/>
    <mergeCell ref="CL34:CL35"/>
    <mergeCell ref="CM34:CM35"/>
    <mergeCell ref="CN34:CN35"/>
    <mergeCell ref="CO34:CO35"/>
    <mergeCell ref="CP34:CP35"/>
    <mergeCell ref="CG34:CG35"/>
    <mergeCell ref="CH34:CH35"/>
    <mergeCell ref="CI34:CI35"/>
    <mergeCell ref="CJ34:CJ35"/>
    <mergeCell ref="CK34:CK35"/>
    <mergeCell ref="CB34:CB35"/>
    <mergeCell ref="CC34:CC35"/>
    <mergeCell ref="CD34:CD35"/>
    <mergeCell ref="CE34:CE35"/>
    <mergeCell ref="CF34:CF35"/>
    <mergeCell ref="CR36:CR37"/>
    <mergeCell ref="CS36:CS37"/>
    <mergeCell ref="CT36:CT37"/>
    <mergeCell ref="CM36:CM37"/>
    <mergeCell ref="CN36:CN37"/>
    <mergeCell ref="CO36:CO37"/>
    <mergeCell ref="CP36:CP37"/>
    <mergeCell ref="CQ36:CQ37"/>
    <mergeCell ref="CH36:CH37"/>
    <mergeCell ref="CI36:CI37"/>
    <mergeCell ref="CJ36:CJ37"/>
    <mergeCell ref="CK36:CK37"/>
    <mergeCell ref="CL36:CL37"/>
    <mergeCell ref="CC36:CC37"/>
    <mergeCell ref="CD36:CD37"/>
    <mergeCell ref="CE36:CE37"/>
    <mergeCell ref="CF36:CF37"/>
    <mergeCell ref="BT36:BT37"/>
    <mergeCell ref="CG36:CG37"/>
    <mergeCell ref="AA36:AC37"/>
    <mergeCell ref="CV16:CV17"/>
    <mergeCell ref="CW16:CW17"/>
    <mergeCell ref="CX16:CX17"/>
    <mergeCell ref="CV18:CV19"/>
    <mergeCell ref="CW18:CW19"/>
    <mergeCell ref="CX18:CX19"/>
    <mergeCell ref="CV20:CV21"/>
    <mergeCell ref="CW20:CW21"/>
    <mergeCell ref="CX20:CX21"/>
    <mergeCell ref="CT30:CT31"/>
    <mergeCell ref="CP30:CP31"/>
    <mergeCell ref="CQ30:CQ31"/>
    <mergeCell ref="CL30:CL31"/>
    <mergeCell ref="CU16:CU17"/>
    <mergeCell ref="CU18:CU19"/>
    <mergeCell ref="CU20:CU21"/>
    <mergeCell ref="CU22:CU23"/>
    <mergeCell ref="CU24:CU25"/>
    <mergeCell ref="CU26:CU27"/>
    <mergeCell ref="CU28:CU29"/>
    <mergeCell ref="CU30:CU31"/>
    <mergeCell ref="CQ28:CQ29"/>
    <mergeCell ref="CR28:CR29"/>
    <mergeCell ref="CS28:CS29"/>
    <mergeCell ref="CT28:CT29"/>
    <mergeCell ref="CL28:CL29"/>
    <mergeCell ref="CM28:CM29"/>
    <mergeCell ref="CN28:CN29"/>
    <mergeCell ref="CO28:CO29"/>
    <mergeCell ref="CP28:CP29"/>
    <mergeCell ref="CT26:CT27"/>
    <mergeCell ref="CR26:CR27"/>
    <mergeCell ref="AD34:AI35"/>
    <mergeCell ref="AD36:AI37"/>
    <mergeCell ref="CV22:CV23"/>
    <mergeCell ref="CW22:CW23"/>
    <mergeCell ref="CX22:CX23"/>
    <mergeCell ref="CV24:CV25"/>
    <mergeCell ref="CW24:CW25"/>
    <mergeCell ref="CX24:CX25"/>
    <mergeCell ref="CV26:CV27"/>
    <mergeCell ref="AA20:AC21"/>
    <mergeCell ref="AA22:AC23"/>
    <mergeCell ref="AA24:AC25"/>
    <mergeCell ref="AA26:AC27"/>
    <mergeCell ref="AP20:AR21"/>
    <mergeCell ref="AP22:AR23"/>
    <mergeCell ref="AP24:AR25"/>
    <mergeCell ref="AP26:AR27"/>
    <mergeCell ref="AV20:AX20"/>
    <mergeCell ref="AY20:BA20"/>
    <mergeCell ref="AV21:BA21"/>
    <mergeCell ref="AV22:AX22"/>
    <mergeCell ref="AV36:AX36"/>
    <mergeCell ref="AY36:BA36"/>
    <mergeCell ref="AV37:BA37"/>
    <mergeCell ref="BF22:BG23"/>
    <mergeCell ref="BK22:BM23"/>
    <mergeCell ref="CJ30:CJ31"/>
    <mergeCell ref="BK20:BM21"/>
    <mergeCell ref="BN20:BP21"/>
    <mergeCell ref="CO32:CO33"/>
    <mergeCell ref="CP32:CP33"/>
    <mergeCell ref="BS32:BS33"/>
    <mergeCell ref="BN16:BP17"/>
    <mergeCell ref="AV18:AX18"/>
    <mergeCell ref="AY18:BA18"/>
    <mergeCell ref="AV19:BA19"/>
    <mergeCell ref="BB18:BC19"/>
    <mergeCell ref="BD18:BE19"/>
    <mergeCell ref="BF18:BG19"/>
    <mergeCell ref="BK18:BM19"/>
    <mergeCell ref="BN18:BP19"/>
    <mergeCell ref="AP30:AR31"/>
    <mergeCell ref="AP32:AR33"/>
    <mergeCell ref="AP34:AR35"/>
    <mergeCell ref="AP36:AR37"/>
    <mergeCell ref="AS20:AU21"/>
    <mergeCell ref="AS22:AU23"/>
    <mergeCell ref="AS24:AU25"/>
    <mergeCell ref="AS26:AU27"/>
    <mergeCell ref="AS28:AU29"/>
    <mergeCell ref="AS30:AU31"/>
    <mergeCell ref="AS32:AU33"/>
    <mergeCell ref="AS34:AU35"/>
    <mergeCell ref="AS36:AU37"/>
    <mergeCell ref="AY22:BA22"/>
    <mergeCell ref="AV23:BA23"/>
    <mergeCell ref="AV24:AX24"/>
    <mergeCell ref="AY24:BA24"/>
    <mergeCell ref="AV25:BA25"/>
    <mergeCell ref="BB20:BC21"/>
    <mergeCell ref="BD20:BE21"/>
    <mergeCell ref="BB22:BC23"/>
    <mergeCell ref="BD22:BE23"/>
    <mergeCell ref="DZ34:DZ35"/>
    <mergeCell ref="BB32:BC33"/>
    <mergeCell ref="BD32:BE33"/>
    <mergeCell ref="BF32:BG33"/>
    <mergeCell ref="BK32:BM33"/>
    <mergeCell ref="BN32:BP33"/>
    <mergeCell ref="BB34:BC35"/>
    <mergeCell ref="BD34:BE35"/>
    <mergeCell ref="BF34:BG35"/>
    <mergeCell ref="BK34:BM35"/>
    <mergeCell ref="BN34:BP35"/>
    <mergeCell ref="BT32:BT33"/>
    <mergeCell ref="CY32:CY33"/>
    <mergeCell ref="CY34:CY35"/>
    <mergeCell ref="DP34:DP35"/>
    <mergeCell ref="DQ34:DQ35"/>
    <mergeCell ref="DR34:DR35"/>
    <mergeCell ref="DS34:DS35"/>
    <mergeCell ref="CU32:CU33"/>
    <mergeCell ref="CG32:CG33"/>
    <mergeCell ref="CH32:CH33"/>
    <mergeCell ref="CI32:CI33"/>
    <mergeCell ref="DD32:DD33"/>
    <mergeCell ref="DD34:DD35"/>
    <mergeCell ref="CU34:CU35"/>
    <mergeCell ref="CX32:CX33"/>
    <mergeCell ref="CQ32:CQ33"/>
    <mergeCell ref="CR32:CR33"/>
    <mergeCell ref="CS32:CS33"/>
    <mergeCell ref="CJ32:CJ33"/>
    <mergeCell ref="CT32:CT33"/>
    <mergeCell ref="CB32:CB33"/>
    <mergeCell ref="CL32:CL33"/>
    <mergeCell ref="CM32:CM33"/>
    <mergeCell ref="CN32:CN33"/>
    <mergeCell ref="CE32:CE33"/>
    <mergeCell ref="BV32:BV33"/>
    <mergeCell ref="BW32:BW33"/>
    <mergeCell ref="BX32:BX33"/>
    <mergeCell ref="BY32:BY33"/>
    <mergeCell ref="CI28:CI29"/>
    <mergeCell ref="CJ28:CJ29"/>
    <mergeCell ref="CK28:CK29"/>
    <mergeCell ref="BN26:BP27"/>
    <mergeCell ref="CK32:CK33"/>
    <mergeCell ref="BN22:BP23"/>
    <mergeCell ref="CM30:CM31"/>
    <mergeCell ref="CN30:CN31"/>
    <mergeCell ref="CO30:CO31"/>
    <mergeCell ref="CD28:CD29"/>
    <mergeCell ref="CE28:CE29"/>
    <mergeCell ref="CF28:CF29"/>
    <mergeCell ref="BN28:BP29"/>
    <mergeCell ref="BV28:BV29"/>
    <mergeCell ref="BW28:BW29"/>
    <mergeCell ref="BX28:BX29"/>
    <mergeCell ref="BX30:BX31"/>
    <mergeCell ref="CJ24:CJ25"/>
    <mergeCell ref="CO26:CO27"/>
    <mergeCell ref="CC32:CC33"/>
    <mergeCell ref="CD32:CD33"/>
    <mergeCell ref="CH28:CH29"/>
    <mergeCell ref="CR30:CR31"/>
    <mergeCell ref="CS30:CS31"/>
    <mergeCell ref="R200:AR201"/>
    <mergeCell ref="DY28:DY29"/>
    <mergeCell ref="BB36:BC37"/>
    <mergeCell ref="BD36:BE37"/>
    <mergeCell ref="BF36:BG37"/>
    <mergeCell ref="BH36:BJ37"/>
    <mergeCell ref="BK36:BM37"/>
    <mergeCell ref="BN36:BP37"/>
    <mergeCell ref="CV34:CV35"/>
    <mergeCell ref="CW34:CW35"/>
    <mergeCell ref="CX34:CX35"/>
    <mergeCell ref="CV36:CV37"/>
    <mergeCell ref="CW36:CW37"/>
    <mergeCell ref="CX36:CX37"/>
    <mergeCell ref="CV32:CV33"/>
    <mergeCell ref="CW32:CW33"/>
    <mergeCell ref="CF32:CF33"/>
    <mergeCell ref="CU36:CU37"/>
    <mergeCell ref="CB36:CB37"/>
    <mergeCell ref="BV36:BV37"/>
    <mergeCell ref="BW36:BW37"/>
    <mergeCell ref="BX36:BX37"/>
    <mergeCell ref="BY36:BY37"/>
    <mergeCell ref="BZ36:BZ37"/>
    <mergeCell ref="CY36:CY37"/>
    <mergeCell ref="DD36:DD37"/>
    <mergeCell ref="CV28:CV29"/>
    <mergeCell ref="CW28:CW29"/>
    <mergeCell ref="CX28:CX29"/>
    <mergeCell ref="CV30:CV31"/>
    <mergeCell ref="DZ28:DZ29"/>
    <mergeCell ref="DY30:DY31"/>
    <mergeCell ref="DZ30:DZ31"/>
    <mergeCell ref="DY32:DY33"/>
    <mergeCell ref="DZ32:DZ33"/>
    <mergeCell ref="DY18:DY19"/>
    <mergeCell ref="DZ18:DZ19"/>
    <mergeCell ref="DY20:DY21"/>
    <mergeCell ref="DZ20:DZ21"/>
    <mergeCell ref="DY22:DY23"/>
    <mergeCell ref="DZ22:DZ23"/>
    <mergeCell ref="DY24:DY25"/>
    <mergeCell ref="DZ24:DZ25"/>
    <mergeCell ref="DY26:DY27"/>
    <mergeCell ref="DZ26:DZ27"/>
    <mergeCell ref="DF34:DF35"/>
    <mergeCell ref="DY36:DY37"/>
    <mergeCell ref="DZ36:DZ37"/>
    <mergeCell ref="DY34:DY35"/>
    <mergeCell ref="DF26:DF27"/>
    <mergeCell ref="DG26:DG27"/>
    <mergeCell ref="DH26:DH27"/>
    <mergeCell ref="DI26:DI27"/>
    <mergeCell ref="DJ26:DJ27"/>
    <mergeCell ref="DK26:DK27"/>
    <mergeCell ref="DL26:DL27"/>
    <mergeCell ref="DM18:DM19"/>
    <mergeCell ref="DN18:DN19"/>
    <mergeCell ref="DW22:DW23"/>
    <mergeCell ref="DW18:DW19"/>
    <mergeCell ref="DX18:DX19"/>
    <mergeCell ref="DL20:DL21"/>
    <mergeCell ref="EJ18:EJ19"/>
    <mergeCell ref="EK18:EK19"/>
    <mergeCell ref="EL18:EL19"/>
    <mergeCell ref="EM18:EM19"/>
    <mergeCell ref="EN18:EN19"/>
    <mergeCell ref="EA20:EA21"/>
    <mergeCell ref="EB20:EB21"/>
    <mergeCell ref="EC20:EC21"/>
    <mergeCell ref="ED20:ED21"/>
    <mergeCell ref="EE20:EE21"/>
    <mergeCell ref="EF20:EF21"/>
    <mergeCell ref="EG20:EG21"/>
    <mergeCell ref="EH20:EH21"/>
    <mergeCell ref="EI20:EI21"/>
    <mergeCell ref="EJ20:EJ21"/>
    <mergeCell ref="EK20:EK21"/>
    <mergeCell ref="EL20:EL21"/>
    <mergeCell ref="EM20:EM21"/>
    <mergeCell ref="EN20:EN21"/>
    <mergeCell ref="EA18:EA19"/>
    <mergeCell ref="EB18:EB19"/>
    <mergeCell ref="EC18:EC19"/>
    <mergeCell ref="ED18:ED19"/>
    <mergeCell ref="EE18:EE19"/>
    <mergeCell ref="EF18:EF19"/>
    <mergeCell ref="EG18:EG19"/>
    <mergeCell ref="EH18:EH19"/>
    <mergeCell ref="EI18:EI19"/>
    <mergeCell ref="EJ22:EJ23"/>
    <mergeCell ref="EK22:EK23"/>
    <mergeCell ref="EL22:EL23"/>
    <mergeCell ref="EM22:EM23"/>
    <mergeCell ref="EN22:EN23"/>
    <mergeCell ref="EA24:EA25"/>
    <mergeCell ref="EB24:EB25"/>
    <mergeCell ref="EC24:EC25"/>
    <mergeCell ref="ED24:ED25"/>
    <mergeCell ref="EE24:EE25"/>
    <mergeCell ref="EF24:EF25"/>
    <mergeCell ref="EG24:EG25"/>
    <mergeCell ref="EH24:EH25"/>
    <mergeCell ref="EI24:EI25"/>
    <mergeCell ref="EJ24:EJ25"/>
    <mergeCell ref="EK24:EK25"/>
    <mergeCell ref="EL24:EL25"/>
    <mergeCell ref="EM24:EM25"/>
    <mergeCell ref="EN24:EN25"/>
    <mergeCell ref="EA22:EA23"/>
    <mergeCell ref="EB22:EB23"/>
    <mergeCell ref="EC22:EC23"/>
    <mergeCell ref="ED22:ED23"/>
    <mergeCell ref="EE22:EE23"/>
    <mergeCell ref="EF22:EF23"/>
    <mergeCell ref="EG22:EG23"/>
    <mergeCell ref="EH22:EH23"/>
    <mergeCell ref="EI22:EI23"/>
    <mergeCell ref="EJ26:EJ27"/>
    <mergeCell ref="EK26:EK27"/>
    <mergeCell ref="EL26:EL27"/>
    <mergeCell ref="EM26:EM27"/>
    <mergeCell ref="EN26:EN27"/>
    <mergeCell ref="EA28:EA29"/>
    <mergeCell ref="EB28:EB29"/>
    <mergeCell ref="EC28:EC29"/>
    <mergeCell ref="ED28:ED29"/>
    <mergeCell ref="EE28:EE29"/>
    <mergeCell ref="EF28:EF29"/>
    <mergeCell ref="EG28:EG29"/>
    <mergeCell ref="EH28:EH29"/>
    <mergeCell ref="EI28:EI29"/>
    <mergeCell ref="EJ28:EJ29"/>
    <mergeCell ref="EK28:EK29"/>
    <mergeCell ref="EL28:EL29"/>
    <mergeCell ref="EM28:EM29"/>
    <mergeCell ref="EN28:EN29"/>
    <mergeCell ref="EA26:EA27"/>
    <mergeCell ref="EB26:EB27"/>
    <mergeCell ref="EC26:EC27"/>
    <mergeCell ref="ED26:ED27"/>
    <mergeCell ref="EE26:EE27"/>
    <mergeCell ref="EF26:EF27"/>
    <mergeCell ref="EG26:EG27"/>
    <mergeCell ref="EH26:EH27"/>
    <mergeCell ref="EI26:EI27"/>
    <mergeCell ref="EJ30:EJ31"/>
    <mergeCell ref="EK30:EK31"/>
    <mergeCell ref="EL30:EL31"/>
    <mergeCell ref="EM30:EM31"/>
    <mergeCell ref="EN30:EN31"/>
    <mergeCell ref="EA32:EA33"/>
    <mergeCell ref="EB32:EB33"/>
    <mergeCell ref="EC32:EC33"/>
    <mergeCell ref="ED32:ED33"/>
    <mergeCell ref="EE32:EE33"/>
    <mergeCell ref="EF32:EF33"/>
    <mergeCell ref="EG32:EG33"/>
    <mergeCell ref="EH32:EH33"/>
    <mergeCell ref="EI32:EI33"/>
    <mergeCell ref="EJ32:EJ33"/>
    <mergeCell ref="EK32:EK33"/>
    <mergeCell ref="EL32:EL33"/>
    <mergeCell ref="EM32:EM33"/>
    <mergeCell ref="EN32:EN33"/>
    <mergeCell ref="EA30:EA31"/>
    <mergeCell ref="EB30:EB31"/>
    <mergeCell ref="EC30:EC31"/>
    <mergeCell ref="ED30:ED31"/>
    <mergeCell ref="EE30:EE31"/>
    <mergeCell ref="EF30:EF31"/>
    <mergeCell ref="EG30:EG31"/>
    <mergeCell ref="EH30:EH31"/>
    <mergeCell ref="EI30:EI31"/>
    <mergeCell ref="EJ34:EJ35"/>
    <mergeCell ref="EK34:EK35"/>
    <mergeCell ref="EL34:EL35"/>
    <mergeCell ref="EM34:EM35"/>
    <mergeCell ref="EN34:EN35"/>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A34:EA35"/>
    <mergeCell ref="EB34:EB35"/>
    <mergeCell ref="EC34:EC35"/>
    <mergeCell ref="ED34:ED35"/>
    <mergeCell ref="EE34:EE35"/>
    <mergeCell ref="EF34:EF35"/>
    <mergeCell ref="EG34:EG35"/>
    <mergeCell ref="EH34:EH35"/>
    <mergeCell ref="EI34:EI35"/>
  </mergeCells>
  <conditionalFormatting sqref="C18 L18 AD18 AJ18 AM18 AP18 AY18 BB18 BD18 AV18:AV37 C20 L20 AD20 AJ20 AM20 AP20 AY20 BB20 BD20 C22 L22 AD22 AJ22 AM22 AP22 AY22 BB22 BD22 C24 L24 AD24 AJ24 AM24 AP24 AY24 BB24 BD24 C26 L26 AD26 AJ26 AM26 AP26 AY26 BB26 BD26 C28 L28 AD28 AJ28 AM28 AP28 AY28 BB28 BD28 C30 L30 AD30 AJ30 AM30 AP30 AY30 BB30 BD30 C32 L32 AD32 AJ32 AM32 AP32 AY32 BB32 BD32 C34 L34 AD34 AJ34 AM34 AP34 AY34 BB34 BD34 C36 L36 AD36 AJ36 AM36 AP36 AY36 BB36 BD36">
    <cfRule type="expression" dxfId="287" priority="11">
      <formula>AND(ISBLANK($F18)=FALSE,OR(ISBLANK(C18)=TRUE,C18=""))</formula>
    </cfRule>
  </conditionalFormatting>
  <conditionalFormatting sqref="R18:AC37">
    <cfRule type="expression" dxfId="286" priority="3">
      <formula>AND(ISBLANK($F18)=FALSE,OR(ISBLANK(R18)=TRUE,R18=""))</formula>
    </cfRule>
  </conditionalFormatting>
  <conditionalFormatting sqref="AS18 AS20 AS22 AS24 AS26 AS28 AS30 AS32 AS34 AS36">
    <cfRule type="expression" dxfId="285" priority="2">
      <formula>AND(ISBLANK($F18)=FALSE,OR(ISBLANK(AS18)=TRUE,AS18=""))</formula>
    </cfRule>
  </conditionalFormatting>
  <conditionalFormatting sqref="AV18 AY18 AV20 AY20 AV22 AY22 AV24 AY24 AV26 AY26 AV28 AY28 AV30 AY30 AV32 AY32 AV34 AY34 AV36 AY36">
    <cfRule type="expression" dxfId="284" priority="2108">
      <formula>AND($F18&lt;&gt;"",$P18&lt;&gt;"",AV18="")</formula>
    </cfRule>
  </conditionalFormatting>
  <conditionalFormatting sqref="AV19 AV21 AV23 AV25 AV27 AV29 AV31 AV33 AV35 AV37">
    <cfRule type="expression" dxfId="283" priority="7">
      <formula>AND($F18&lt;&gt;"",AV19="")</formula>
    </cfRule>
  </conditionalFormatting>
  <conditionalFormatting sqref="BA8:BF8">
    <cfRule type="expression" dxfId="282" priority="4">
      <formula>IF($AO$8=PROJSTATMEASURE,FALSE,TRUE)</formula>
    </cfRule>
  </conditionalFormatting>
  <conditionalFormatting sqref="BH18 BH20 BH22 BH24 BH26 BH28 BH30 BH32 BH34 BH36">
    <cfRule type="expression" dxfId="281" priority="2250" stopIfTrue="1">
      <formula>ISNUMBER($BH18)=FALSE</formula>
    </cfRule>
    <cfRule type="expression" dxfId="280" priority="2251">
      <formula>$BH18 &lt;&gt; #REF!</formula>
    </cfRule>
  </conditionalFormatting>
  <conditionalFormatting sqref="BY18:BZ37">
    <cfRule type="expression" dxfId="279" priority="1">
      <formula>$BX18&lt;&gt;"Dual"</formula>
    </cfRule>
  </conditionalFormatting>
  <dataValidations count="20">
    <dataValidation allowBlank="1" showInputMessage="1" showErrorMessage="1" prompt="Enter the Serial number as it appears in technical documents and invoices." sqref="AV19 AV21 AV23 AV25 AV27 AV29 AV31 AV33 AV35 AV37" xr:uid="{98FED966-F815-4656-9D61-2859633C870D}"/>
    <dataValidation allowBlank="1" showInputMessage="1" showErrorMessage="1" prompt="Provide a brief description of the Existing Equipment." sqref="L18 L20 L22 L24 L26 L28 L30 L32 L34 L36" xr:uid="{C94428D6-F12B-48DC-90E3-3B3A4364BBAB}"/>
    <dataValidation allowBlank="1" showInputMessage="1" showErrorMessage="1" prompt="Enter the Model number as it appears in technical documents and invoices." sqref="AY18 AY20 AY22 AY24 AY26 AY28 AY30 AY32 AY34 AY36" xr:uid="{1F6A6CBF-3D67-4E7B-9EA7-89E6B2AEC64E}"/>
    <dataValidation allowBlank="1" showInputMessage="1" showErrorMessage="1" prompt="Enter the Manufacturer name as it appears in technical documents and invoices." sqref="AV18 AV20 AV22 AV24 AV26 AV28 AV30 AV32 AV34 AV36" xr:uid="{33507A4B-7507-42DE-B26A-884F64A6D856}"/>
    <dataValidation allowBlank="1" showInputMessage="1" showErrorMessage="1" prompt="Install Location should describe the area where the equipment is installed. (e.g. Room 201, Garage, Mechanical Room)." sqref="C18 C20 C22 C24 C26 C28 C30 C32 C34 C36" xr:uid="{E6BEEF43-1121-488D-865E-F888CC6F2C1D}"/>
    <dataValidation type="decimal" allowBlank="1" showInputMessage="1" showErrorMessage="1" prompt="This is the TOTAL Material Cost of the measure, NOT a per unit basis." sqref="BB18 BB20 BB22 BB24 BB26 BB28 BB30 BB32 BB34 BB36" xr:uid="{03F3CFE4-8AB6-49D2-9D19-87638F0437DD}">
      <formula1>0</formula1>
      <formula2>999999999</formula2>
    </dataValidation>
    <dataValidation type="decimal" allowBlank="1" showInputMessage="1" showErrorMessage="1" prompt="This is the TOTAL Labor Cost of the measure, NOT a per unit basis." sqref="BD18 BD20 BD22 BD24 BD26 BD28 BD30 BD32 BD34 BD36" xr:uid="{AF185737-7E25-415E-BFAF-EC045143B410}">
      <formula1>0</formula1>
      <formula2>999999999</formula2>
    </dataValidation>
    <dataValidation type="list" allowBlank="1" showInputMessage="1" showErrorMessage="1" prompt="Select Custom Measure Category." sqref="F18 F20 F22 F24 F26 F28 F30 F32 F34 F36" xr:uid="{ACA32924-8E99-47DA-BDA8-7DA2E204DDBC}">
      <formula1>List_Cust_Res</formula1>
    </dataValidation>
    <dataValidation type="custom" operator="greaterThanOrEqual" allowBlank="1" showInputMessage="1" showErrorMessage="1" errorTitle="Invalid Entry" error="Please enter no more than 4 decimals." prompt="Enter the Total Annual kWh Usage for the Existing measure, NOT per unit." sqref="R18:T37" xr:uid="{CA523141-67A4-43BB-B00A-DEF3C07F9E5B}">
      <formula1>AND(R18&gt;=0,R18=ROUND(R18,4))</formula1>
    </dataValidation>
    <dataValidation type="custom" operator="greaterThanOrEqual" allowBlank="1" showInputMessage="1" showErrorMessage="1" errorTitle="Invalid Entry" error="Please enter no more than 6 decimals." prompt="Enter the Total Annual kW Demand for the Existing measure, NOT per unit." sqref="U18:W37" xr:uid="{A18682DE-803B-4DD5-B54E-E3B8718BBE50}">
      <formula1>AND(U18&gt;=0,U18=ROUND(U18,6))</formula1>
    </dataValidation>
    <dataValidation type="custom" operator="greaterThanOrEqual" allowBlank="1" showInputMessage="1" showErrorMessage="1" errorTitle="Invalid Entry" error="Please enter no more than 4 decimals." prompt="Enter the Total Annual kWh Usage for the Proposed measure, NOT per unit." sqref="AJ18 AJ20 AJ22 AJ24 AJ26 AJ28 AJ30 AJ32 AJ34 AJ36" xr:uid="{C7C23C18-94AB-4F03-8356-55DAB6990930}">
      <formula1>AND(AJ18&gt;=0,AJ18=ROUND(AJ18,4))</formula1>
    </dataValidation>
    <dataValidation type="custom" operator="greaterThanOrEqual" allowBlank="1" showInputMessage="1" showErrorMessage="1" errorTitle="Invalid Entry" error="Please enter no more than 6 decimals." prompt="Enter the Total Annual kW Demand for the Proposed measure, NOT per unit." sqref="AM18 AM20 AM22 AM24 AM26 AM28 AM30 AM32 AM34 AM36" xr:uid="{A60469F5-BF3B-49BC-9031-07031E398753}">
      <formula1>AND(AM18&gt;=0,AM18=ROUND(AM18,6))</formula1>
    </dataValidation>
    <dataValidation type="textLength" errorStyle="warning" operator="lessThan" allowBlank="1" showInputMessage="1" showErrorMessage="1" errorTitle="*Important*" error="Text length must be less than 255 characters." prompt="Provide a brief description of the Proposed Equipment." sqref="AD18 AD20 AD22 AD24 AD26 AD28 AD30 AD32 AD34 AD36" xr:uid="{9258428D-8922-49FE-9828-6E38E3079B00}">
      <formula1>255</formula1>
    </dataValidation>
    <dataValidation type="custom" operator="greaterThanOrEqual" allowBlank="1" showInputMessage="1" showErrorMessage="1" errorTitle="Invalid Entry" error="Please enter no more than 6 decimals." prompt="Enter the Total Annual therm Usage for the Existing measure, NOT per unit." sqref="X18:Z37" xr:uid="{A34C3DE7-25D9-4D04-8CAC-DFAE4084B7C1}">
      <formula1>AND(X18&gt;=0,X18=ROUND(X18,6))</formula1>
    </dataValidation>
    <dataValidation type="custom" operator="greaterThanOrEqual" allowBlank="1" showInputMessage="1" showErrorMessage="1" errorTitle="Invalid Entry" error="Please enter no more than 6 decimals." prompt="Enter the Peak Day therm Usage for the Existing measure, NOT per unit." sqref="AA18:AC37" xr:uid="{F274247A-E48A-4442-B136-7DC9FD79FA28}">
      <formula1>AND(AA18&gt;=0,AA18=ROUND(AA18,6))</formula1>
    </dataValidation>
    <dataValidation type="custom" operator="greaterThanOrEqual" allowBlank="1" showInputMessage="1" showErrorMessage="1" errorTitle="Invalid Entry" error="Please enter no more than 6 decimals." prompt="Enter the Total Annual therm Usage for the Proposed measure, NOT per unit." sqref="AP18:AR37" xr:uid="{37766DDB-5960-48EA-9AFB-40F9A22FB104}">
      <formula1>AND(AP18&gt;=0,AP18=ROUND(AP18,6))</formula1>
    </dataValidation>
    <dataValidation type="custom" operator="greaterThanOrEqual" allowBlank="1" showInputMessage="1" showErrorMessage="1" errorTitle="Invalid Entry" error="Please enter no more than 6 decimals." prompt="Enter the Peak Day therm Usage for the Proposed measure, NOT per unit." sqref="AS18:AU37" xr:uid="{D4773A92-E350-4259-9A75-490EE663794C}">
      <formula1>AND(AS18&gt;=0,AS18=ROUND(AS18,6))</formula1>
    </dataValidation>
    <dataValidation type="custom" allowBlank="1" showInputMessage="1" showErrorMessage="1" sqref="BY18:BY37" xr:uid="{9AE70DCA-05DB-4834-A6C1-8F0FCFC49B6C}">
      <formula1>AND(BY18&gt;=0,BY18=ROUND(BY18,4))</formula1>
    </dataValidation>
    <dataValidation type="custom" allowBlank="1" showInputMessage="1" showErrorMessage="1" sqref="BZ18:BZ37" xr:uid="{3A444F08-42B5-4190-9891-544985B53FA1}">
      <formula1>AND(BZ18&gt;=0,BZ18=ROUND(BZ18,6))</formula1>
    </dataValidation>
    <dataValidation type="whole" operator="greaterThan" allowBlank="1" showInputMessage="1" showErrorMessage="1" sqref="BV18:BW37" xr:uid="{DED590D5-FA61-4CB5-9305-0650D4637BB0}">
      <formula1>0</formula1>
    </dataValidation>
  </dataValidations>
  <hyperlinks>
    <hyperlink ref="J1:M3" location="'M01-S02'!J1" tooltip="Instructions" display="'M01-S02'!J1" xr:uid="{65D31C07-1944-4D2A-82F0-612F3449BE58}"/>
    <hyperlink ref="AX1:BA3" location="'M05-S05'!AL1" tooltip=" " display="'M05-S05'!AL1" xr:uid="{48A21FB4-5D34-4257-81A9-2879DF0A3A30}"/>
    <hyperlink ref="BH1:BK3" location="'M01-S03'!AP1" tooltip="Contact" display="'M01-S03'!AP1" xr:uid="{49D1C201-F65A-4A15-B4F1-62F93DF5979D}"/>
    <hyperlink ref="AT1:AW3" location="'M05-S04'!AH1" tooltip=" " display="'M05-S04'!AH1" xr:uid="{AEDF7FE8-AC75-4A72-A9F4-C2B004B430FA}"/>
    <hyperlink ref="AP1:AS3" location="'M05-S05'!AL1" tooltip=" " display="'M05-S05'!AL1" xr:uid="{4E965674-8627-4B59-9103-E7CAA473C8BE}"/>
    <hyperlink ref="W9:Z11" location="Custom_WH_Tax" tooltip="Refrigeration" display="Custom_WH_Tax" xr:uid="{476CCB28-B5A8-42E2-9AA2-E443BE327845}"/>
    <hyperlink ref="AP9:AS11" location="Custom_PL_Tax" tooltip="Motors and Drives" display="Custom_PL_Tax" xr:uid="{C420D39D-893D-478E-8077-735A4AF8F56D}"/>
    <hyperlink ref="K9:N11" location="Custom_Lighting_Tax" display="Custom_Lighting_Tax" xr:uid="{F0B35449-0470-4BE0-8AD7-E7E62BA2B1E5}"/>
    <hyperlink ref="O9:R11" location="Custom_HVAC_Tax" display="Custom_HVAC_Tax" xr:uid="{26A60446-264A-4564-B4A1-D92918AD990F}"/>
    <hyperlink ref="S9:V11" location="Custom_Heating_Tax" display="Custom_Heating_Tax" xr:uid="{523C0472-41EA-4A27-9AEE-D382DAC8E8C7}"/>
    <hyperlink ref="AF9:AJ11" location="Custom_FS_Tax" display="Custom_FS_Tax" xr:uid="{E1067A7D-BF87-4080-8ACE-56111135613A}"/>
    <hyperlink ref="AK9:AO11" location="Custom_AG_Tax" display="Custom_AG_Tax" xr:uid="{C1DA6937-2EB5-4452-B2DC-5EE51C77C247}"/>
    <hyperlink ref="AT9:AW11" location="Custom_RA_Tax" display="Custom_RA_Tax" xr:uid="{ACC920B0-6C9D-4335-BD3A-8E2E1E8CF423}"/>
    <hyperlink ref="AX9:BA11" location="Custom_Misc_Tax" display="Custom_Misc_Tax" xr:uid="{2759DD02-3B6B-43A3-96B6-F2DB476EBB94}"/>
    <hyperlink ref="AA9:AE11" location="Custom_Refrig_Tax" display="Custom_Refrig_Tax" xr:uid="{4B1C3D07-F32C-4346-B8F9-CF0E4F150EB6}"/>
  </hyperlinks>
  <printOptions horizontalCentered="1"/>
  <pageMargins left="0" right="0" top="0.25" bottom="0.25" header="0.25" footer="0.25"/>
  <pageSetup scale="4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C68F0A3-F059-4F66-A8FD-9798BC662123}">
          <x14:formula1>
            <xm:f>'DATA TABLES_Project'!$A$112:$A$113</xm:f>
          </x14:formula1>
          <xm:sqref>BX18:BX37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5B885-28C6-45E9-B32B-1650649D5C46}">
  <sheetPr codeName="Sheet52">
    <tabColor rgb="FF142C41"/>
    <pageSetUpPr fitToPage="1"/>
  </sheetPr>
  <dimension ref="A1:EN206"/>
  <sheetViews>
    <sheetView showGridLines="0" showRowColHeaders="0" zoomScale="90" zoomScaleNormal="90" workbookViewId="0">
      <selection activeCell="AQ14" sqref="AQ14:BA14"/>
    </sheetView>
  </sheetViews>
  <sheetFormatPr defaultColWidth="0" defaultRowHeight="0" customHeight="1" zeroHeight="1"/>
  <cols>
    <col min="1" max="62" width="4.5703125" style="568" customWidth="1"/>
    <col min="63" max="70" width="4.5703125" style="502" customWidth="1"/>
    <col min="71" max="71" width="11.5703125" style="12" hidden="1" customWidth="1"/>
    <col min="72" max="72" width="80.5703125" style="12" hidden="1" customWidth="1"/>
    <col min="73" max="73" width="4.5703125" style="12" hidden="1" customWidth="1"/>
    <col min="74" max="76" width="12" style="12" hidden="1" customWidth="1"/>
    <col min="77" max="77" width="14.42578125" style="12" hidden="1" customWidth="1"/>
    <col min="78" max="78" width="14.85546875" style="12" hidden="1" customWidth="1"/>
    <col min="79" max="79" width="4.5703125" style="12" hidden="1" customWidth="1"/>
    <col min="80" max="98" width="12" style="12" hidden="1" customWidth="1"/>
    <col min="99" max="99" width="12.42578125" style="12" hidden="1" customWidth="1"/>
    <col min="100" max="102" width="12" style="12" hidden="1" customWidth="1"/>
    <col min="103" max="103" width="12.42578125" style="12" hidden="1" customWidth="1"/>
    <col min="104" max="107" width="12" style="12" hidden="1" customWidth="1"/>
    <col min="108" max="128" width="28.5703125" style="12" hidden="1" customWidth="1"/>
    <col min="129" max="129" width="26.7109375" style="12" hidden="1" customWidth="1"/>
    <col min="130" max="130" width="15.85546875" style="12" hidden="1" customWidth="1"/>
    <col min="131" max="144" width="32.5703125" style="12" hidden="1" customWidth="1"/>
    <col min="145" max="16384" width="4.5703125" style="12" hidden="1"/>
  </cols>
  <sheetData>
    <row r="1" spans="1:112" customFormat="1" ht="16.350000000000001" customHeight="1">
      <c r="A1" s="12"/>
      <c r="B1" s="36"/>
      <c r="C1" s="36"/>
      <c r="D1" s="36"/>
      <c r="E1" s="36"/>
      <c r="F1" s="750" t="str">
        <f>M1S1</f>
        <v>WELCOME</v>
      </c>
      <c r="G1" s="750"/>
      <c r="H1" s="750"/>
      <c r="I1" s="750"/>
      <c r="J1" s="727" t="str">
        <f>M1S2</f>
        <v>INSTRUCTIONS</v>
      </c>
      <c r="K1" s="727"/>
      <c r="L1" s="727"/>
      <c r="M1" s="727"/>
      <c r="N1" s="166"/>
      <c r="O1" s="166"/>
      <c r="P1" s="166"/>
      <c r="Q1" s="166"/>
      <c r="R1" s="166"/>
      <c r="S1" s="166"/>
      <c r="T1" s="166"/>
      <c r="U1" s="189"/>
      <c r="V1" s="190" t="s">
        <v>118</v>
      </c>
      <c r="W1" s="190"/>
      <c r="X1" s="190"/>
      <c r="Y1" s="190"/>
      <c r="Z1" s="166"/>
      <c r="AA1" s="166"/>
      <c r="AB1" s="166"/>
      <c r="AC1" s="166"/>
      <c r="AD1" s="166"/>
      <c r="AE1" s="166"/>
      <c r="AF1" s="166"/>
      <c r="AG1" s="166"/>
      <c r="AH1" s="166"/>
      <c r="AI1" s="166"/>
      <c r="AJ1" s="166"/>
      <c r="AP1" s="734" t="str">
        <f>IF(ACTIVEINSPECT="Yes","Complete "&amp;M5S4,"")</f>
        <v/>
      </c>
      <c r="AQ1" s="734"/>
      <c r="AR1" s="734"/>
      <c r="AS1" s="734"/>
      <c r="AT1" s="730" t="str">
        <f>IF(ACTIVEOFFER="Yes","Sign "&amp;M5S6,"")</f>
        <v>Sign OBR: Repayment Agreement</v>
      </c>
      <c r="AU1" s="730"/>
      <c r="AV1" s="730"/>
      <c r="AW1" s="730"/>
      <c r="AX1" s="730" t="str">
        <f>IF(ACTIVECOMPL="Yes","Sign "&amp;M5S5,"")</f>
        <v xml:space="preserve">Sign Project Completion Certification </v>
      </c>
      <c r="AY1" s="730"/>
      <c r="AZ1" s="730"/>
      <c r="BA1" s="730"/>
      <c r="BB1" s="732" t="str">
        <f>M1S4</f>
        <v>INCENTIVE RATES &amp; REQUIREMENTS</v>
      </c>
      <c r="BC1" s="732"/>
      <c r="BD1" s="732"/>
      <c r="BE1" s="732"/>
      <c r="BF1" s="732"/>
      <c r="BG1" s="732"/>
      <c r="BH1" s="722" t="s">
        <v>119</v>
      </c>
      <c r="BI1" s="723"/>
      <c r="BJ1" s="723"/>
      <c r="BK1" s="723"/>
      <c r="BL1" s="676"/>
      <c r="BM1" s="676"/>
      <c r="BN1" s="676"/>
      <c r="BO1" s="676"/>
      <c r="BP1" s="676"/>
      <c r="BQ1" s="676"/>
      <c r="BR1" s="676"/>
    </row>
    <row r="2" spans="1:112" customFormat="1" ht="16.350000000000001" customHeight="1">
      <c r="B2" s="36"/>
      <c r="C2" s="36"/>
      <c r="D2" s="36"/>
      <c r="E2" s="36"/>
      <c r="F2" s="750"/>
      <c r="G2" s="750"/>
      <c r="H2" s="750"/>
      <c r="I2" s="750"/>
      <c r="J2" s="728"/>
      <c r="K2" s="728"/>
      <c r="L2" s="728"/>
      <c r="M2" s="728"/>
      <c r="N2" s="166"/>
      <c r="O2" s="166"/>
      <c r="P2" s="166"/>
      <c r="Q2" s="166"/>
      <c r="R2" s="166"/>
      <c r="S2" s="166"/>
      <c r="T2" s="166"/>
      <c r="U2" s="189"/>
      <c r="V2" s="190"/>
      <c r="W2" s="190"/>
      <c r="X2" s="190"/>
      <c r="Y2" s="190"/>
      <c r="Z2" s="166"/>
      <c r="AA2" s="166"/>
      <c r="AB2" s="166"/>
      <c r="AC2" s="166"/>
      <c r="AD2" s="166"/>
      <c r="AE2" s="166"/>
      <c r="AF2" s="166"/>
      <c r="AG2" s="166"/>
      <c r="AH2" s="166"/>
      <c r="AI2" s="166"/>
      <c r="AJ2" s="166"/>
      <c r="AP2" s="734"/>
      <c r="AQ2" s="734"/>
      <c r="AR2" s="734"/>
      <c r="AS2" s="734"/>
      <c r="AT2" s="730"/>
      <c r="AU2" s="730"/>
      <c r="AV2" s="730"/>
      <c r="AW2" s="730"/>
      <c r="AX2" s="730"/>
      <c r="AY2" s="730"/>
      <c r="AZ2" s="730"/>
      <c r="BA2" s="730"/>
      <c r="BB2" s="732"/>
      <c r="BC2" s="732"/>
      <c r="BD2" s="732"/>
      <c r="BE2" s="732"/>
      <c r="BF2" s="732"/>
      <c r="BG2" s="732"/>
      <c r="BH2" s="723"/>
      <c r="BI2" s="723"/>
      <c r="BJ2" s="723"/>
      <c r="BK2" s="723"/>
      <c r="BL2" s="676"/>
      <c r="BM2" s="676"/>
      <c r="BN2" s="676"/>
      <c r="BO2" s="676"/>
      <c r="BP2" s="676"/>
      <c r="BQ2" s="676"/>
      <c r="BR2" s="676"/>
    </row>
    <row r="3" spans="1:112" s="614" customFormat="1" ht="16.350000000000001" customHeight="1" thickBot="1">
      <c r="B3" s="627"/>
      <c r="C3" s="627"/>
      <c r="D3" s="627"/>
      <c r="E3" s="627"/>
      <c r="F3" s="875"/>
      <c r="G3" s="875"/>
      <c r="H3" s="875"/>
      <c r="I3" s="875"/>
      <c r="J3" s="876"/>
      <c r="K3" s="876"/>
      <c r="L3" s="876"/>
      <c r="M3" s="876"/>
      <c r="N3" s="608"/>
      <c r="O3" s="608"/>
      <c r="P3" s="608"/>
      <c r="Q3" s="608"/>
      <c r="R3" s="608"/>
      <c r="S3" s="608"/>
      <c r="T3" s="608"/>
      <c r="U3" s="608"/>
      <c r="V3" s="609"/>
      <c r="W3" s="609"/>
      <c r="X3" s="609"/>
      <c r="Y3" s="609"/>
      <c r="AP3" s="868"/>
      <c r="AQ3" s="868"/>
      <c r="AR3" s="868"/>
      <c r="AS3" s="868"/>
      <c r="AT3" s="869"/>
      <c r="AU3" s="869"/>
      <c r="AV3" s="869"/>
      <c r="AW3" s="869"/>
      <c r="AX3" s="869"/>
      <c r="AY3" s="869"/>
      <c r="AZ3" s="869"/>
      <c r="BA3" s="869"/>
      <c r="BB3" s="1009"/>
      <c r="BC3" s="1009"/>
      <c r="BD3" s="1009"/>
      <c r="BE3" s="1009"/>
      <c r="BF3" s="1009"/>
      <c r="BG3" s="1009"/>
      <c r="BH3" s="871"/>
      <c r="BI3" s="871"/>
      <c r="BJ3" s="871"/>
      <c r="BK3" s="871"/>
      <c r="BL3" s="677"/>
      <c r="BM3" s="677"/>
      <c r="BN3" s="677"/>
      <c r="BO3" s="677"/>
      <c r="BP3" s="677"/>
      <c r="BQ3" s="677"/>
      <c r="BR3" s="677"/>
    </row>
    <row r="4" spans="1:112" s="496" customFormat="1" ht="16.350000000000001" customHeight="1">
      <c r="A4" s="632"/>
      <c r="B4" s="632"/>
      <c r="C4" s="632"/>
      <c r="D4" s="632"/>
      <c r="E4" s="632"/>
      <c r="F4" s="632"/>
      <c r="G4" s="632"/>
      <c r="H4" s="632"/>
      <c r="I4" s="632"/>
      <c r="J4" s="632"/>
      <c r="K4" s="632"/>
      <c r="L4" s="632"/>
      <c r="M4" s="632"/>
      <c r="N4" s="633"/>
      <c r="O4" s="498"/>
      <c r="P4" s="632"/>
      <c r="Q4" s="632"/>
      <c r="R4" s="632"/>
      <c r="S4" s="632"/>
      <c r="T4" s="634" t="s">
        <v>707</v>
      </c>
      <c r="U4" s="635" t="str">
        <f>M05S07F07</f>
        <v>Custom</v>
      </c>
      <c r="V4" s="649"/>
      <c r="W4" s="649"/>
      <c r="X4" s="636"/>
      <c r="Y4" s="636"/>
      <c r="Z4" s="636"/>
      <c r="AA4" s="632"/>
      <c r="AB4" s="632"/>
      <c r="AC4" s="634" t="s">
        <v>708</v>
      </c>
      <c r="AD4" s="635" t="str">
        <f>IF(M02S02F02="","[Project Name]",LEFT(M02S02F02,25))</f>
        <v>[Project Name]</v>
      </c>
      <c r="AE4" s="649"/>
      <c r="AF4" s="647"/>
      <c r="AG4" s="647"/>
      <c r="AH4" s="647"/>
      <c r="AI4" s="647"/>
      <c r="AJ4" s="647"/>
      <c r="AK4" s="647"/>
      <c r="AL4" s="634" t="s">
        <v>709</v>
      </c>
      <c r="AM4" s="637" t="str">
        <f>IF(M02S02F27="Yes",Status_Final,Status_Pre)</f>
        <v>Draft Pre-Application</v>
      </c>
      <c r="AN4" s="649"/>
      <c r="AO4" s="498"/>
      <c r="AP4" s="632"/>
      <c r="AQ4" s="632"/>
      <c r="AR4" s="498"/>
      <c r="AS4" s="498"/>
      <c r="AT4" s="632"/>
      <c r="AU4" s="632"/>
      <c r="AV4" s="632"/>
      <c r="AW4" s="634" t="s">
        <v>710</v>
      </c>
      <c r="AX4" s="872">
        <f>Incent_Total_Cap_All</f>
        <v>0</v>
      </c>
      <c r="AY4" s="872"/>
      <c r="AZ4" s="872"/>
      <c r="BA4" s="872"/>
      <c r="BB4" s="873" t="s">
        <v>711</v>
      </c>
      <c r="BC4" s="873"/>
      <c r="BD4" s="873"/>
      <c r="BE4" s="873"/>
      <c r="BF4" s="873"/>
      <c r="BG4" s="872" t="str">
        <f>OBR_Amount_Requested</f>
        <v/>
      </c>
      <c r="BH4" s="872"/>
      <c r="BI4" s="872"/>
      <c r="BJ4" s="872"/>
      <c r="BK4" s="498"/>
      <c r="BL4" s="617"/>
      <c r="BM4" s="617"/>
      <c r="BN4" s="617"/>
      <c r="BO4" s="617"/>
      <c r="BP4" s="617"/>
      <c r="BQ4" s="617"/>
      <c r="BR4" s="617"/>
    </row>
    <row r="5" spans="1:112"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142"/>
      <c r="BK5" s="142"/>
      <c r="BL5"/>
      <c r="BM5"/>
      <c r="BN5"/>
      <c r="BO5"/>
      <c r="BP5"/>
      <c r="BQ5"/>
      <c r="BR5"/>
      <c r="BS5"/>
    </row>
    <row r="6" spans="1:112"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c r="BJ6"/>
      <c r="BK6"/>
      <c r="BL6"/>
      <c r="BM6"/>
      <c r="BN6"/>
      <c r="BO6"/>
      <c r="BP6"/>
      <c r="BQ6"/>
      <c r="BR6"/>
      <c r="BS6"/>
    </row>
    <row r="7" spans="1:112"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c r="BJ7"/>
      <c r="BK7"/>
      <c r="BL7"/>
      <c r="BM7"/>
      <c r="BN7"/>
      <c r="BO7"/>
      <c r="BP7"/>
      <c r="BQ7"/>
      <c r="BR7"/>
      <c r="BS7"/>
      <c r="DD7"/>
      <c r="DE7"/>
      <c r="DF7"/>
      <c r="DG7"/>
      <c r="DH7"/>
    </row>
    <row r="8" spans="1:112"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14"/>
      <c r="BK8" s="614"/>
      <c r="BL8"/>
      <c r="BM8"/>
      <c r="BN8"/>
      <c r="BO8"/>
      <c r="BP8"/>
      <c r="BQ8"/>
      <c r="BR8"/>
      <c r="BS8"/>
      <c r="DD8"/>
      <c r="DE8"/>
      <c r="DF8"/>
      <c r="DG8"/>
      <c r="DH8"/>
    </row>
    <row r="9" spans="1:112" s="50" customFormat="1" ht="16.350000000000001" customHeight="1">
      <c r="A9" s="43"/>
      <c r="B9" s="44"/>
      <c r="C9" s="44"/>
      <c r="D9" s="44"/>
      <c r="E9" s="44"/>
      <c r="F9" s="43"/>
      <c r="G9" s="43"/>
      <c r="H9" s="43"/>
      <c r="I9" s="43"/>
      <c r="J9" s="43"/>
      <c r="K9" s="1051" t="str">
        <f>M4S2</f>
        <v>Lighting &amp; Lighting Controls</v>
      </c>
      <c r="L9" s="1014"/>
      <c r="M9" s="1014"/>
      <c r="N9" s="1014"/>
      <c r="O9" s="1005" t="str">
        <f>M4S3</f>
        <v>HVAC</v>
      </c>
      <c r="P9" s="1005"/>
      <c r="Q9" s="1005"/>
      <c r="R9" s="1005"/>
      <c r="S9" s="1005" t="str">
        <f>M4S4</f>
        <v>Heating</v>
      </c>
      <c r="T9" s="1005"/>
      <c r="U9" s="1005"/>
      <c r="V9" s="1005"/>
      <c r="W9" s="1005" t="str">
        <f>M4S5</f>
        <v>Water Heating &amp; Boilers</v>
      </c>
      <c r="X9" s="1005"/>
      <c r="Y9" s="1005"/>
      <c r="Z9" s="1005"/>
      <c r="AA9" s="1029" t="str">
        <f>M4S6</f>
        <v>Refrigeration</v>
      </c>
      <c r="AB9" s="1030"/>
      <c r="AC9" s="1030"/>
      <c r="AD9" s="1030"/>
      <c r="AE9" s="1031"/>
      <c r="AF9" s="1010" t="str">
        <f>M4S7</f>
        <v>Food Service</v>
      </c>
      <c r="AG9" s="1011"/>
      <c r="AH9" s="1011"/>
      <c r="AI9" s="1011"/>
      <c r="AJ9" s="1012"/>
      <c r="AK9" s="1010" t="str">
        <f>M4S8</f>
        <v>Agriculture</v>
      </c>
      <c r="AL9" s="1011"/>
      <c r="AM9" s="1011"/>
      <c r="AN9" s="1011"/>
      <c r="AO9" s="1012"/>
      <c r="AP9" s="1005" t="str">
        <f>M4S9</f>
        <v>Plug Load</v>
      </c>
      <c r="AQ9" s="1005"/>
      <c r="AR9" s="1005"/>
      <c r="AS9" s="1005"/>
      <c r="AT9" s="1005" t="str">
        <f>M4S10</f>
        <v>Residential Appliances</v>
      </c>
      <c r="AU9" s="1005"/>
      <c r="AV9" s="1005"/>
      <c r="AW9" s="1005"/>
      <c r="AX9" s="1054" t="str">
        <f>M4S11</f>
        <v>Miscellaneous</v>
      </c>
      <c r="AY9" s="1054"/>
      <c r="AZ9" s="1054"/>
      <c r="BA9" s="1054"/>
      <c r="BB9" s="43"/>
      <c r="BC9" s="43"/>
      <c r="BD9" s="43"/>
      <c r="BE9"/>
      <c r="BF9" s="43"/>
      <c r="BG9" s="43"/>
      <c r="BH9" s="43"/>
      <c r="BI9" s="43"/>
      <c r="BJ9" s="43"/>
      <c r="BK9"/>
      <c r="BL9"/>
      <c r="BM9"/>
      <c r="BN9"/>
      <c r="BO9"/>
      <c r="BP9"/>
      <c r="BQ9"/>
      <c r="BR9"/>
      <c r="BS9"/>
      <c r="DD9"/>
      <c r="DE9"/>
      <c r="DF9"/>
      <c r="DG9"/>
      <c r="DH9"/>
    </row>
    <row r="10" spans="1:112" s="50" customFormat="1" ht="16.350000000000001" customHeight="1">
      <c r="A10" s="43"/>
      <c r="B10" s="44"/>
      <c r="C10" s="44"/>
      <c r="D10" s="44"/>
      <c r="E10" s="44"/>
      <c r="F10" s="43"/>
      <c r="G10" s="43"/>
      <c r="H10" s="43"/>
      <c r="I10" s="43"/>
      <c r="J10" s="43"/>
      <c r="K10" s="1051"/>
      <c r="L10" s="1014"/>
      <c r="M10" s="1014"/>
      <c r="N10" s="1014"/>
      <c r="O10" s="1005"/>
      <c r="P10" s="1005"/>
      <c r="Q10" s="1005"/>
      <c r="R10" s="1005"/>
      <c r="S10" s="1005"/>
      <c r="T10" s="1005"/>
      <c r="U10" s="1005"/>
      <c r="V10" s="1005"/>
      <c r="W10" s="1005"/>
      <c r="X10" s="1005"/>
      <c r="Y10" s="1005"/>
      <c r="Z10" s="1005"/>
      <c r="AA10" s="1032"/>
      <c r="AB10" s="1033"/>
      <c r="AC10" s="1033"/>
      <c r="AD10" s="1033"/>
      <c r="AE10" s="1034"/>
      <c r="AF10" s="1013"/>
      <c r="AG10" s="1014"/>
      <c r="AH10" s="1014"/>
      <c r="AI10" s="1014"/>
      <c r="AJ10" s="1015"/>
      <c r="AK10" s="1013"/>
      <c r="AL10" s="1014"/>
      <c r="AM10" s="1014"/>
      <c r="AN10" s="1014"/>
      <c r="AO10" s="1015"/>
      <c r="AP10" s="1005"/>
      <c r="AQ10" s="1005"/>
      <c r="AR10" s="1005"/>
      <c r="AS10" s="1005"/>
      <c r="AT10" s="1005"/>
      <c r="AU10" s="1005"/>
      <c r="AV10" s="1005"/>
      <c r="AW10" s="1005"/>
      <c r="AX10" s="1054"/>
      <c r="AY10" s="1054"/>
      <c r="AZ10" s="1054"/>
      <c r="BA10" s="1054"/>
      <c r="BB10" s="43"/>
      <c r="BC10" s="43"/>
      <c r="BD10" s="43"/>
      <c r="BE10"/>
      <c r="BF10" s="43"/>
      <c r="BG10" s="43"/>
      <c r="BH10" s="43"/>
      <c r="BI10" s="43"/>
      <c r="BJ10" s="43"/>
      <c r="BK10"/>
      <c r="BL10"/>
      <c r="BM10"/>
      <c r="BN10"/>
      <c r="BO10"/>
      <c r="BP10"/>
      <c r="BQ10"/>
      <c r="BR10"/>
      <c r="DD10"/>
      <c r="DE10"/>
      <c r="DF10"/>
      <c r="DG10"/>
      <c r="DH10"/>
    </row>
    <row r="11" spans="1:112" ht="16.350000000000001" customHeight="1">
      <c r="A11"/>
      <c r="B11" s="49"/>
      <c r="C11" s="49"/>
      <c r="D11" s="49"/>
      <c r="E11" s="49"/>
      <c r="F11"/>
      <c r="G11"/>
      <c r="H11"/>
      <c r="I11"/>
      <c r="J11"/>
      <c r="K11" s="1052"/>
      <c r="L11" s="1053"/>
      <c r="M11" s="1053"/>
      <c r="N11" s="1053"/>
      <c r="O11" s="1006"/>
      <c r="P11" s="1006"/>
      <c r="Q11" s="1006"/>
      <c r="R11" s="1006"/>
      <c r="S11" s="1006"/>
      <c r="T11" s="1006"/>
      <c r="U11" s="1006"/>
      <c r="V11" s="1006"/>
      <c r="W11" s="1006"/>
      <c r="X11" s="1006"/>
      <c r="Y11" s="1006"/>
      <c r="Z11" s="1006"/>
      <c r="AA11" s="1035"/>
      <c r="AB11" s="1036"/>
      <c r="AC11" s="1036"/>
      <c r="AD11" s="1036"/>
      <c r="AE11" s="1037"/>
      <c r="AF11" s="1016"/>
      <c r="AG11" s="1017"/>
      <c r="AH11" s="1017"/>
      <c r="AI11" s="1017"/>
      <c r="AJ11" s="1018"/>
      <c r="AK11" s="1016"/>
      <c r="AL11" s="1017"/>
      <c r="AM11" s="1017"/>
      <c r="AN11" s="1017"/>
      <c r="AO11" s="1018"/>
      <c r="AP11" s="1006"/>
      <c r="AQ11" s="1006"/>
      <c r="AR11" s="1006"/>
      <c r="AS11" s="1006"/>
      <c r="AT11" s="1006"/>
      <c r="AU11" s="1006"/>
      <c r="AV11" s="1006"/>
      <c r="AW11" s="1006"/>
      <c r="AX11" s="1055"/>
      <c r="AY11" s="1055"/>
      <c r="AZ11" s="1055"/>
      <c r="BA11" s="1055"/>
      <c r="BB11"/>
      <c r="BC11"/>
      <c r="BD11"/>
      <c r="BE11"/>
      <c r="BF11"/>
      <c r="BG11"/>
      <c r="BH11"/>
      <c r="BI11"/>
      <c r="BJ11"/>
      <c r="BK11"/>
      <c r="BL11"/>
      <c r="BM11"/>
      <c r="BN11"/>
      <c r="BO11"/>
      <c r="BP11"/>
      <c r="BQ11"/>
      <c r="BR11"/>
      <c r="DD11"/>
      <c r="DE11"/>
      <c r="DF11"/>
      <c r="DG11"/>
      <c r="DH11"/>
    </row>
    <row r="12" spans="1:112" ht="16.350000000000001" customHeight="1">
      <c r="A12" s="41"/>
      <c r="B12" s="41"/>
      <c r="C12" s="41"/>
      <c r="D12" s="41"/>
      <c r="E12" s="41"/>
      <c r="F12" s="41"/>
      <c r="G12"/>
      <c r="H12"/>
      <c r="I12"/>
      <c r="J12"/>
      <c r="K12"/>
      <c r="L12"/>
      <c r="M12"/>
      <c r="N12"/>
      <c r="O12"/>
      <c r="P12"/>
      <c r="Q12"/>
      <c r="R12"/>
      <c r="S12"/>
      <c r="T12"/>
      <c r="U12"/>
      <c r="V12"/>
      <c r="W12"/>
      <c r="X12"/>
      <c r="Y12" s="1004">
        <f>IFERROR(SUM(BF18:BG217,AQ14),0)</f>
        <v>0</v>
      </c>
      <c r="Z12" s="1004"/>
      <c r="AA12" s="1004"/>
      <c r="AB12" s="1004"/>
      <c r="AC12" s="1004">
        <f>IFERROR(SUM(BH18:BJ217),0)</f>
        <v>0</v>
      </c>
      <c r="AD12" s="1004"/>
      <c r="AE12" s="1004"/>
      <c r="AF12" s="1004"/>
      <c r="AG12" s="1004"/>
      <c r="AH12" s="1007">
        <f>IFERROR(SUMIF(BH18:BJ217,"&gt;0",BK18:BM217),0)</f>
        <v>0</v>
      </c>
      <c r="AI12" s="1007"/>
      <c r="AJ12" s="1007"/>
      <c r="AK12" s="1007"/>
      <c r="AL12" s="1008">
        <f>IFERROR(SUMIF(BH18:BJ217,"&gt;0",BN18:BP217),0)</f>
        <v>0</v>
      </c>
      <c r="AM12" s="1008"/>
      <c r="AN12" s="1008"/>
      <c r="AO12" s="1008"/>
      <c r="AP12"/>
      <c r="AQ12" s="1019" t="s">
        <v>1399</v>
      </c>
      <c r="AR12" s="1019"/>
      <c r="AS12" s="1019"/>
      <c r="AT12" s="1019"/>
      <c r="AU12" s="1019"/>
      <c r="AV12" s="1019"/>
      <c r="AW12" s="1019"/>
      <c r="AX12" s="1020"/>
      <c r="AY12" s="1020"/>
      <c r="AZ12" s="1020"/>
      <c r="BA12" s="1020"/>
      <c r="BB12"/>
      <c r="BC12"/>
      <c r="BD12"/>
      <c r="BE12"/>
      <c r="BF12"/>
      <c r="BG12"/>
      <c r="BH12"/>
      <c r="BI12"/>
      <c r="BJ12"/>
      <c r="BK12"/>
      <c r="BL12"/>
      <c r="BM12"/>
      <c r="BN12"/>
      <c r="BO12"/>
      <c r="BP12"/>
      <c r="BQ12"/>
      <c r="BR12"/>
      <c r="DD12"/>
      <c r="DE12"/>
      <c r="DF12"/>
      <c r="DG12"/>
      <c r="DH12"/>
    </row>
    <row r="13" spans="1:112" ht="16.350000000000001" customHeight="1">
      <c r="A13" s="41"/>
      <c r="B13" s="41"/>
      <c r="C13"/>
      <c r="D13"/>
      <c r="E13"/>
      <c r="F13"/>
      <c r="G13"/>
      <c r="H13"/>
      <c r="I13"/>
      <c r="J13"/>
      <c r="K13"/>
      <c r="L13"/>
      <c r="M13"/>
      <c r="N13"/>
      <c r="O13"/>
      <c r="P13"/>
      <c r="Q13"/>
      <c r="R13"/>
      <c r="S13"/>
      <c r="T13"/>
      <c r="U13"/>
      <c r="V13"/>
      <c r="W13"/>
      <c r="X13"/>
      <c r="Y13" s="1004"/>
      <c r="Z13" s="1004"/>
      <c r="AA13" s="1004"/>
      <c r="AB13" s="1004"/>
      <c r="AC13" s="1004"/>
      <c r="AD13" s="1004"/>
      <c r="AE13" s="1004"/>
      <c r="AF13" s="1004"/>
      <c r="AG13" s="1004"/>
      <c r="AH13" s="1007"/>
      <c r="AI13" s="1007"/>
      <c r="AJ13" s="1007"/>
      <c r="AK13" s="1007"/>
      <c r="AL13" s="1008"/>
      <c r="AM13" s="1008"/>
      <c r="AN13" s="1008"/>
      <c r="AO13" s="1008"/>
      <c r="AP13"/>
      <c r="AQ13" s="1020"/>
      <c r="AR13" s="1020"/>
      <c r="AS13" s="1020"/>
      <c r="AT13" s="1020"/>
      <c r="AU13" s="1020"/>
      <c r="AV13" s="1020"/>
      <c r="AW13" s="1020"/>
      <c r="AX13" s="1020"/>
      <c r="AY13" s="1020"/>
      <c r="AZ13" s="1020"/>
      <c r="BA13" s="1020"/>
      <c r="BB13"/>
      <c r="BC13"/>
      <c r="BD13"/>
      <c r="BE13"/>
      <c r="BF13"/>
      <c r="BG13"/>
      <c r="BH13"/>
      <c r="BI13"/>
      <c r="BJ13"/>
      <c r="BK13"/>
      <c r="BL13"/>
      <c r="BM13"/>
      <c r="BN13"/>
      <c r="BO13"/>
      <c r="BP13"/>
      <c r="BQ13"/>
      <c r="BR13"/>
      <c r="CW13" s="1041" t="s">
        <v>1400</v>
      </c>
      <c r="CX13" s="1041"/>
      <c r="CY13" s="1041"/>
    </row>
    <row r="14" spans="1:112" ht="16.350000000000001" customHeight="1">
      <c r="A14"/>
      <c r="B14"/>
      <c r="C14"/>
      <c r="D14"/>
      <c r="E14"/>
      <c r="F14"/>
      <c r="G14"/>
      <c r="H14"/>
      <c r="I14"/>
      <c r="J14"/>
      <c r="K14"/>
      <c r="L14"/>
      <c r="M14"/>
      <c r="N14"/>
      <c r="O14"/>
      <c r="P14"/>
      <c r="Q14"/>
      <c r="R14"/>
      <c r="S14"/>
      <c r="T14"/>
      <c r="U14"/>
      <c r="V14"/>
      <c r="W14"/>
      <c r="X14"/>
      <c r="Y14" s="1003" t="s">
        <v>1401</v>
      </c>
      <c r="Z14" s="1003"/>
      <c r="AA14" s="1003"/>
      <c r="AB14" s="1003"/>
      <c r="AC14" s="1003" t="s">
        <v>1402</v>
      </c>
      <c r="AD14" s="1003"/>
      <c r="AE14" s="1003"/>
      <c r="AF14" s="1003"/>
      <c r="AG14" s="1003"/>
      <c r="AH14" s="1003" t="s">
        <v>1403</v>
      </c>
      <c r="AI14" s="1003"/>
      <c r="AJ14" s="1003"/>
      <c r="AK14" s="1003"/>
      <c r="AL14" s="1003" t="s">
        <v>1403</v>
      </c>
      <c r="AM14" s="1003"/>
      <c r="AN14" s="1003"/>
      <c r="AO14" s="1003"/>
      <c r="AP14"/>
      <c r="AQ14" s="1021"/>
      <c r="AR14" s="1021"/>
      <c r="AS14" s="1021"/>
      <c r="AT14" s="1021"/>
      <c r="AU14" s="1021"/>
      <c r="AV14" s="1021"/>
      <c r="AW14" s="1021"/>
      <c r="AX14" s="1021"/>
      <c r="AY14" s="1021"/>
      <c r="AZ14" s="1021"/>
      <c r="BA14" s="1021"/>
      <c r="BB14"/>
      <c r="BC14"/>
      <c r="BD14"/>
      <c r="BE14"/>
      <c r="BF14"/>
      <c r="BG14"/>
      <c r="BH14"/>
      <c r="BI14"/>
      <c r="BJ14"/>
      <c r="BK14"/>
      <c r="BL14"/>
      <c r="BM14"/>
      <c r="BN14"/>
      <c r="BO14"/>
      <c r="BP14"/>
      <c r="BQ14"/>
      <c r="BR14"/>
      <c r="BV14" s="1040" t="s">
        <v>1404</v>
      </c>
      <c r="BW14" s="1040"/>
      <c r="BX14" s="1040"/>
      <c r="BY14" s="1040"/>
      <c r="BZ14" s="1040"/>
      <c r="CW14" s="1041"/>
      <c r="CX14" s="1041"/>
      <c r="CY14" s="1041"/>
    </row>
    <row r="15" spans="1:112" ht="16.350000000000001" customHeight="1">
      <c r="A15"/>
      <c r="B15"/>
      <c r="C15"/>
      <c r="D15" s="47"/>
      <c r="E15" s="47"/>
      <c r="F15" s="47"/>
      <c r="G15" s="47"/>
      <c r="H15" s="47"/>
      <c r="I15" s="47"/>
      <c r="J15" s="47"/>
      <c r="K15" s="47"/>
      <c r="L15" s="1038" t="s">
        <v>1405</v>
      </c>
      <c r="M15" s="1038"/>
      <c r="N15" s="1038"/>
      <c r="O15" s="1038"/>
      <c r="P15" s="1038"/>
      <c r="Q15" s="1038"/>
      <c r="R15" s="1038"/>
      <c r="S15" s="1038"/>
      <c r="T15" s="1038"/>
      <c r="U15" s="1038"/>
      <c r="V15" s="1038"/>
      <c r="W15" s="1038"/>
      <c r="X15" s="1038"/>
      <c r="Y15" s="1038"/>
      <c r="Z15" s="1038"/>
      <c r="AA15" s="1038" t="s">
        <v>1406</v>
      </c>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679"/>
      <c r="AW15" s="679"/>
      <c r="AX15" s="679"/>
      <c r="AY15" s="679"/>
      <c r="AZ15" s="679"/>
      <c r="BA15" s="679"/>
      <c r="BB15"/>
      <c r="BC15"/>
      <c r="BD15"/>
      <c r="BE15"/>
      <c r="BF15"/>
      <c r="BG15"/>
      <c r="BH15"/>
      <c r="BI15"/>
      <c r="BJ15"/>
      <c r="BK15"/>
      <c r="BL15"/>
      <c r="BM15"/>
      <c r="BN15"/>
      <c r="BO15"/>
      <c r="BP15"/>
      <c r="BQ15"/>
      <c r="BR15"/>
      <c r="BS15"/>
      <c r="BT15"/>
      <c r="BU15"/>
      <c r="BV15" s="1040"/>
      <c r="BW15" s="1040"/>
      <c r="BX15" s="1040"/>
      <c r="BY15" s="1040"/>
      <c r="BZ15" s="1040"/>
      <c r="CA15"/>
      <c r="CB15"/>
      <c r="CC15"/>
      <c r="CD15"/>
      <c r="CE15"/>
      <c r="CF15"/>
      <c r="CG15"/>
      <c r="CH15"/>
      <c r="CI15"/>
      <c r="CJ15"/>
      <c r="CK15"/>
      <c r="CL15"/>
      <c r="CM15"/>
      <c r="CN15"/>
      <c r="CO15"/>
      <c r="CP15"/>
      <c r="CQ15"/>
      <c r="CR15"/>
      <c r="CS15"/>
      <c r="CT15"/>
      <c r="CW15" s="595"/>
      <c r="CX15" s="595"/>
      <c r="CY15" s="595"/>
    </row>
    <row r="16" spans="1:112" ht="16.350000000000001" customHeight="1">
      <c r="A16"/>
      <c r="B16"/>
      <c r="C16" s="992" t="s">
        <v>1407</v>
      </c>
      <c r="D16" s="992"/>
      <c r="E16" s="992"/>
      <c r="F16" s="991" t="s">
        <v>1408</v>
      </c>
      <c r="G16" s="991"/>
      <c r="H16" s="991"/>
      <c r="I16" s="991"/>
      <c r="J16" s="991"/>
      <c r="K16" s="991"/>
      <c r="L16" s="991" t="s">
        <v>1409</v>
      </c>
      <c r="M16" s="991"/>
      <c r="N16" s="991"/>
      <c r="O16" s="991"/>
      <c r="P16" s="991"/>
      <c r="Q16" s="991"/>
      <c r="R16" s="991" t="s">
        <v>1410</v>
      </c>
      <c r="S16" s="991"/>
      <c r="T16" s="991"/>
      <c r="U16" s="991" t="s">
        <v>1411</v>
      </c>
      <c r="V16" s="991"/>
      <c r="W16" s="991"/>
      <c r="X16" s="991" t="s">
        <v>1412</v>
      </c>
      <c r="Y16" s="991"/>
      <c r="Z16" s="991"/>
      <c r="AA16" s="991" t="s">
        <v>1413</v>
      </c>
      <c r="AB16" s="991"/>
      <c r="AC16" s="991"/>
      <c r="AD16" s="1022" t="s">
        <v>1409</v>
      </c>
      <c r="AE16" s="991"/>
      <c r="AF16" s="991"/>
      <c r="AG16" s="991"/>
      <c r="AH16" s="991"/>
      <c r="AI16" s="991"/>
      <c r="AJ16" s="991" t="s">
        <v>1410</v>
      </c>
      <c r="AK16" s="991"/>
      <c r="AL16" s="991"/>
      <c r="AM16" s="991" t="s">
        <v>1411</v>
      </c>
      <c r="AN16" s="991"/>
      <c r="AO16" s="991"/>
      <c r="AP16" s="991" t="s">
        <v>1412</v>
      </c>
      <c r="AQ16" s="991"/>
      <c r="AR16" s="991"/>
      <c r="AS16" s="991" t="s">
        <v>1413</v>
      </c>
      <c r="AT16" s="991"/>
      <c r="AU16" s="991"/>
      <c r="AV16" s="1024" t="s">
        <v>1414</v>
      </c>
      <c r="AW16" s="1024"/>
      <c r="AX16" s="1024"/>
      <c r="AY16" s="1024" t="s">
        <v>1415</v>
      </c>
      <c r="AZ16" s="1024"/>
      <c r="BA16" s="1024"/>
      <c r="BB16" s="989" t="s">
        <v>1416</v>
      </c>
      <c r="BC16" s="989"/>
      <c r="BD16" s="989"/>
      <c r="BE16" s="989"/>
      <c r="BF16" s="991" t="s">
        <v>224</v>
      </c>
      <c r="BG16" s="991"/>
      <c r="BH16" s="984" t="s">
        <v>1417</v>
      </c>
      <c r="BI16" s="984"/>
      <c r="BJ16" s="984"/>
      <c r="BK16" s="984" t="s">
        <v>1418</v>
      </c>
      <c r="BL16" s="984"/>
      <c r="BM16" s="984"/>
      <c r="BN16" s="984" t="s">
        <v>1419</v>
      </c>
      <c r="BO16" s="984"/>
      <c r="BP16" s="984"/>
      <c r="BQ16"/>
      <c r="BR16"/>
      <c r="BS16" s="987" t="s">
        <v>1420</v>
      </c>
      <c r="BT16" s="987" t="s">
        <v>1421</v>
      </c>
      <c r="BU16"/>
      <c r="BV16" s="987" t="s">
        <v>1422</v>
      </c>
      <c r="BW16" s="987" t="s">
        <v>1423</v>
      </c>
      <c r="BX16" s="987" t="s">
        <v>1424</v>
      </c>
      <c r="BY16" s="987" t="s">
        <v>1425</v>
      </c>
      <c r="BZ16" s="987" t="s">
        <v>1426</v>
      </c>
      <c r="CA16"/>
      <c r="CB16" s="987" t="s">
        <v>1427</v>
      </c>
      <c r="CC16" s="987" t="s">
        <v>779</v>
      </c>
      <c r="CD16" s="987" t="s">
        <v>1428</v>
      </c>
      <c r="CE16" s="987" t="s">
        <v>1429</v>
      </c>
      <c r="CF16" s="987" t="s">
        <v>1430</v>
      </c>
      <c r="CG16" s="987" t="s">
        <v>1431</v>
      </c>
      <c r="CH16" s="987" t="s">
        <v>1432</v>
      </c>
      <c r="CI16" s="987" t="s">
        <v>1433</v>
      </c>
      <c r="CJ16" s="987" t="s">
        <v>1434</v>
      </c>
      <c r="CK16" s="987" t="s">
        <v>1435</v>
      </c>
      <c r="CL16" s="987" t="s">
        <v>1436</v>
      </c>
      <c r="CM16" s="987" t="s">
        <v>1437</v>
      </c>
      <c r="CN16" s="987" t="s">
        <v>1438</v>
      </c>
      <c r="CO16" s="987" t="s">
        <v>1439</v>
      </c>
      <c r="CP16" s="987" t="s">
        <v>1440</v>
      </c>
      <c r="CQ16" s="987" t="s">
        <v>1441</v>
      </c>
      <c r="CR16" s="987" t="s">
        <v>1442</v>
      </c>
      <c r="CS16" s="987" t="s">
        <v>1443</v>
      </c>
      <c r="CT16" s="987" t="s">
        <v>1444</v>
      </c>
      <c r="CU16" s="987" t="s">
        <v>1445</v>
      </c>
      <c r="CV16" s="919" t="s">
        <v>1446</v>
      </c>
      <c r="CW16" s="919" t="s">
        <v>1447</v>
      </c>
      <c r="CX16" s="919" t="s">
        <v>1448</v>
      </c>
      <c r="CY16" s="1042" t="s">
        <v>1449</v>
      </c>
      <c r="CZ16" s="1042" t="s">
        <v>1450</v>
      </c>
      <c r="DA16" s="1042" t="s">
        <v>1491</v>
      </c>
    </row>
    <row r="17" spans="1:144" ht="16.350000000000001" customHeight="1">
      <c r="A17"/>
      <c r="B17" s="12"/>
      <c r="C17" s="993"/>
      <c r="D17" s="993"/>
      <c r="E17" s="993"/>
      <c r="F17" s="990"/>
      <c r="G17" s="990"/>
      <c r="H17" s="990"/>
      <c r="I17" s="990"/>
      <c r="J17" s="990"/>
      <c r="K17" s="990"/>
      <c r="L17" s="990"/>
      <c r="M17" s="990"/>
      <c r="N17" s="990"/>
      <c r="O17" s="990"/>
      <c r="P17" s="990"/>
      <c r="Q17" s="990"/>
      <c r="R17" s="991"/>
      <c r="S17" s="991"/>
      <c r="T17" s="991"/>
      <c r="U17" s="991"/>
      <c r="V17" s="991"/>
      <c r="W17" s="991"/>
      <c r="X17" s="991"/>
      <c r="Y17" s="991"/>
      <c r="Z17" s="991"/>
      <c r="AA17" s="991"/>
      <c r="AB17" s="991"/>
      <c r="AC17" s="991"/>
      <c r="AD17" s="1023"/>
      <c r="AE17" s="990"/>
      <c r="AF17" s="990"/>
      <c r="AG17" s="990"/>
      <c r="AH17" s="990"/>
      <c r="AI17" s="990"/>
      <c r="AJ17" s="990"/>
      <c r="AK17" s="990"/>
      <c r="AL17" s="990"/>
      <c r="AM17" s="990"/>
      <c r="AN17" s="990"/>
      <c r="AO17" s="990"/>
      <c r="AP17" s="990"/>
      <c r="AQ17" s="990"/>
      <c r="AR17" s="990"/>
      <c r="AS17" s="991"/>
      <c r="AT17" s="991"/>
      <c r="AU17" s="991"/>
      <c r="AV17" s="1039" t="s">
        <v>1451</v>
      </c>
      <c r="AW17" s="1039"/>
      <c r="AX17" s="1039"/>
      <c r="AY17" s="1039"/>
      <c r="AZ17" s="1039"/>
      <c r="BA17" s="1039"/>
      <c r="BB17" s="990" t="s">
        <v>1452</v>
      </c>
      <c r="BC17" s="990"/>
      <c r="BD17" s="990" t="s">
        <v>1453</v>
      </c>
      <c r="BE17" s="990"/>
      <c r="BF17" s="990"/>
      <c r="BG17" s="990"/>
      <c r="BH17" s="985"/>
      <c r="BI17" s="985"/>
      <c r="BJ17" s="985"/>
      <c r="BK17" s="985"/>
      <c r="BL17" s="985"/>
      <c r="BM17" s="985"/>
      <c r="BN17" s="985"/>
      <c r="BO17" s="985"/>
      <c r="BP17" s="985"/>
      <c r="BQ17"/>
      <c r="BR17"/>
      <c r="BS17" s="987"/>
      <c r="BT17" s="987"/>
      <c r="BU17"/>
      <c r="BV17" s="988"/>
      <c r="BW17" s="988"/>
      <c r="BX17" s="988"/>
      <c r="BY17" s="988"/>
      <c r="BZ17" s="988"/>
      <c r="CA17"/>
      <c r="CB17" s="988"/>
      <c r="CC17" s="988"/>
      <c r="CD17" s="988"/>
      <c r="CE17" s="988"/>
      <c r="CF17" s="988"/>
      <c r="CG17" s="988"/>
      <c r="CH17" s="988"/>
      <c r="CI17" s="988"/>
      <c r="CJ17" s="988"/>
      <c r="CK17" s="988"/>
      <c r="CL17" s="988"/>
      <c r="CM17" s="988"/>
      <c r="CN17" s="988"/>
      <c r="CO17" s="988"/>
      <c r="CP17" s="988"/>
      <c r="CQ17" s="988"/>
      <c r="CR17" s="988"/>
      <c r="CS17" s="988"/>
      <c r="CT17" s="988"/>
      <c r="CU17" s="987"/>
      <c r="CV17" s="919"/>
      <c r="CW17" s="919"/>
      <c r="CX17" s="919"/>
      <c r="CY17" s="1042"/>
      <c r="CZ17" s="1042"/>
      <c r="DA17" s="1042"/>
      <c r="DD17" s="670" t="s">
        <v>1454</v>
      </c>
      <c r="DE17" s="670" t="s">
        <v>1455</v>
      </c>
      <c r="DF17" s="670" t="s">
        <v>1456</v>
      </c>
      <c r="DG17" s="670" t="s">
        <v>1457</v>
      </c>
      <c r="DH17" s="670" t="s">
        <v>1458</v>
      </c>
      <c r="DI17" s="670" t="s">
        <v>1459</v>
      </c>
      <c r="DJ17" s="670" t="s">
        <v>1460</v>
      </c>
      <c r="DK17" s="670" t="s">
        <v>1461</v>
      </c>
      <c r="DL17" s="670" t="s">
        <v>1462</v>
      </c>
      <c r="DM17" s="670" t="s">
        <v>1463</v>
      </c>
      <c r="DN17" s="670" t="s">
        <v>1464</v>
      </c>
      <c r="DO17" s="670" t="s">
        <v>1465</v>
      </c>
      <c r="DP17" s="670" t="s">
        <v>1466</v>
      </c>
      <c r="DQ17" s="670" t="s">
        <v>1467</v>
      </c>
      <c r="DR17" s="670" t="s">
        <v>1468</v>
      </c>
      <c r="DS17" s="670" t="s">
        <v>1469</v>
      </c>
      <c r="DT17" s="670" t="s">
        <v>1470</v>
      </c>
      <c r="DU17" s="670" t="s">
        <v>1471</v>
      </c>
      <c r="DV17" s="670" t="s">
        <v>1472</v>
      </c>
      <c r="DW17" s="670" t="s">
        <v>1473</v>
      </c>
      <c r="DX17" s="670" t="s">
        <v>1474</v>
      </c>
      <c r="DY17" s="670" t="s">
        <v>1475</v>
      </c>
      <c r="DZ17" s="670" t="s">
        <v>1476</v>
      </c>
      <c r="EA17" s="703" t="s">
        <v>1477</v>
      </c>
      <c r="EB17" s="703" t="s">
        <v>1478</v>
      </c>
      <c r="EC17" s="703" t="s">
        <v>1479</v>
      </c>
      <c r="ED17" s="703" t="s">
        <v>1480</v>
      </c>
      <c r="EE17" s="703" t="s">
        <v>1481</v>
      </c>
      <c r="EF17" s="703" t="s">
        <v>1482</v>
      </c>
      <c r="EG17" s="703" t="s">
        <v>1483</v>
      </c>
      <c r="EH17" s="703" t="s">
        <v>1484</v>
      </c>
      <c r="EI17" s="703" t="s">
        <v>1485</v>
      </c>
      <c r="EJ17" s="703" t="s">
        <v>1486</v>
      </c>
      <c r="EK17" s="703" t="s">
        <v>1487</v>
      </c>
      <c r="EL17" s="703" t="s">
        <v>1488</v>
      </c>
      <c r="EM17" s="703" t="s">
        <v>1489</v>
      </c>
      <c r="EN17" s="703" t="s">
        <v>1490</v>
      </c>
    </row>
    <row r="18" spans="1:144" ht="16.350000000000001" customHeight="1">
      <c r="A18" s="462"/>
      <c r="B18" s="994">
        <v>1</v>
      </c>
      <c r="C18" s="995"/>
      <c r="D18" s="996"/>
      <c r="E18" s="997"/>
      <c r="F18" s="961"/>
      <c r="G18" s="962"/>
      <c r="H18" s="962"/>
      <c r="I18" s="962"/>
      <c r="J18" s="962"/>
      <c r="K18" s="963"/>
      <c r="L18" s="961"/>
      <c r="M18" s="962"/>
      <c r="N18" s="962"/>
      <c r="O18" s="962"/>
      <c r="P18" s="962"/>
      <c r="Q18" s="963"/>
      <c r="R18" s="1044"/>
      <c r="S18" s="1044"/>
      <c r="T18" s="1044"/>
      <c r="U18" s="1044"/>
      <c r="V18" s="1044"/>
      <c r="W18" s="1044"/>
      <c r="X18" s="1045"/>
      <c r="Y18" s="1045"/>
      <c r="Z18" s="1045"/>
      <c r="AA18" s="1045"/>
      <c r="AB18" s="1045"/>
      <c r="AC18" s="1045"/>
      <c r="AD18" s="961"/>
      <c r="AE18" s="962"/>
      <c r="AF18" s="962"/>
      <c r="AG18" s="962"/>
      <c r="AH18" s="962"/>
      <c r="AI18" s="963"/>
      <c r="AJ18" s="949"/>
      <c r="AK18" s="950"/>
      <c r="AL18" s="951"/>
      <c r="AM18" s="949"/>
      <c r="AN18" s="950"/>
      <c r="AO18" s="951"/>
      <c r="AP18" s="955"/>
      <c r="AQ18" s="956"/>
      <c r="AR18" s="957"/>
      <c r="AS18" s="955"/>
      <c r="AT18" s="956"/>
      <c r="AU18" s="957"/>
      <c r="AV18" s="968"/>
      <c r="AW18" s="969"/>
      <c r="AX18" s="970"/>
      <c r="AY18" s="968"/>
      <c r="AZ18" s="969"/>
      <c r="BA18" s="970"/>
      <c r="BB18" s="945"/>
      <c r="BC18" s="946"/>
      <c r="BD18" s="945"/>
      <c r="BE18" s="946"/>
      <c r="BF18" s="929" t="str">
        <f>IF(CB18="OK",ROUND(BB18+BD18,2),"")</f>
        <v/>
      </c>
      <c r="BG18" s="930"/>
      <c r="BH18" s="1099" t="str">
        <f>IFERROR(IF(AND($CB18="OK",$CU18="OK"),$CI18,IF($CB18&lt;&gt;"OK",$CB18,$CU18)),"")</f>
        <v/>
      </c>
      <c r="BI18" s="1100"/>
      <c r="BJ18" s="1101"/>
      <c r="BK18" s="933" t="str">
        <f>IF($CB18="OK",CM18,"")</f>
        <v/>
      </c>
      <c r="BL18" s="934"/>
      <c r="BM18" s="935"/>
      <c r="BN18" s="939" t="str">
        <f>IF($CB18="OK",$CR18,"")</f>
        <v/>
      </c>
      <c r="BO18" s="940"/>
      <c r="BP18" s="941"/>
      <c r="BQ18"/>
      <c r="BR18"/>
      <c r="BS18" s="967"/>
      <c r="BT18" s="967"/>
      <c r="BU18"/>
      <c r="BV18" s="926" t="str">
        <f>IFERROR(ROUND(IF(AND(CB18="OK",CU18="OK"),CT18,""),0),"")</f>
        <v/>
      </c>
      <c r="BW18" s="926" t="str">
        <f>IFERROR(ROUND(IF(AND(CB18="OK",CU18="OK"),BV18/3,""),0),"")</f>
        <v/>
      </c>
      <c r="BX18" s="926"/>
      <c r="BY18" s="927"/>
      <c r="BZ18" s="928"/>
      <c r="CA18"/>
      <c r="CB18" s="986" t="str">
        <f>IF(AND(C18="",F18="",R18="",AD18="",U18="",X18="",L18="",AJ18="",AV18="",AM18="",AP18="",AY18="",AV19="",BB18="",BD18="",AA18="",AS18=""),"",
IF(OR(C18="",F18="",R18="",AD18="",U18="",X18="",L18="",AJ18="",AV18="",AM18="",AP18="",AY18="",AV19="",BB18="",BD18="",AA18="",AS18=""),"Missing Fields",
IF(AND(M02S04F04disp="Required",M02S04F04=""),"TA Info Incomplete",
"OK")))</f>
        <v/>
      </c>
      <c r="CC18" s="925" t="str">
        <f>IF(AND(CB18="OK",CU18="OK"),INDEX(Tbl_Cust_Misc[Measure Number], MATCH(F18,Tbl_Cust_Misc[Proj Desc 1],0)),"")</f>
        <v/>
      </c>
      <c r="CD18" s="925"/>
      <c r="CE18" s="925" t="str">
        <f>IF(CB18="OK","Measure","")</f>
        <v/>
      </c>
      <c r="CF18" s="925" t="str">
        <f>IF(CB18="OK",1,"")</f>
        <v/>
      </c>
      <c r="CG18" s="978" t="str">
        <f>IFERROR(CI18/CF18,"")</f>
        <v/>
      </c>
      <c r="CH18" s="978" t="str">
        <f>IF(CB18="OK",IF(CM18&gt;0,CM18*Incent_Rate_kWh,0)+IF(CO18&gt;0,CO18*Incent_Rate_thm,0),"")</f>
        <v/>
      </c>
      <c r="CI18" s="978" t="str">
        <f>IFERROR(IF($CB18="OK",IF(INCENTTOCOST_CUST&gt;CostCap_Cust,
CH18*CostCap_Cust/INCENTTOCOST_CUST,CH18),""),"")</f>
        <v/>
      </c>
      <c r="CJ18" s="977">
        <f t="shared" ref="CJ18" si="0">CM18</f>
        <v>0</v>
      </c>
      <c r="CK18" s="977">
        <f>CN18</f>
        <v>0</v>
      </c>
      <c r="CL18" s="977">
        <f>CO18</f>
        <v>0</v>
      </c>
      <c r="CM18" s="977">
        <f>R18-AJ18</f>
        <v>0</v>
      </c>
      <c r="CN18" s="977">
        <f>U18-AM18</f>
        <v>0</v>
      </c>
      <c r="CO18" s="977">
        <f>IF(CR18&gt;0,CR18,0)</f>
        <v>0</v>
      </c>
      <c r="CP18" s="977">
        <f>CM18</f>
        <v>0</v>
      </c>
      <c r="CQ18" s="977">
        <f>CN18</f>
        <v>0</v>
      </c>
      <c r="CR18" s="977">
        <f>X18-AP18</f>
        <v>0</v>
      </c>
      <c r="CS18" s="983"/>
      <c r="CT18" s="1056" t="str">
        <f>IF(CB18="OK",INDEX(Tbl_Cust_Misc[EUL], MATCH(F18,Tbl_Cust_Misc[Proj Desc 1],0)),"")</f>
        <v/>
      </c>
      <c r="CU18" s="979" t="str">
        <f>IFERROR(IF(AND($CM18&lt;=0,$CN18&lt;=0,$CO18&lt;=0),"No Savings","OK"),"")</f>
        <v>No Savings</v>
      </c>
      <c r="CV18" s="925" t="str">
        <f>IF(AND(CB18="OK",CU18="OK"),"1","")</f>
        <v/>
      </c>
      <c r="CW18" s="1043" t="str">
        <f>IFERROR(IF($CB18="OK",ROUND($AQ$14-SUM($CW$20:$CW$37),2),""),"")</f>
        <v/>
      </c>
      <c r="CX18" s="925" t="str">
        <f>IFERROR(IF(M02S04F04="Customer/Self-Installed",CW18,IF($CB18="OK",CW18+BD18,"")),"")</f>
        <v/>
      </c>
      <c r="CY18" s="925" t="str">
        <f>IFERROR(IF($CB18="OK",CX18+BB18,""),"")</f>
        <v/>
      </c>
      <c r="CZ18" s="925" t="str">
        <f>IF(CB18="OK",INDEX(MEASURES3_M!$O$54:$O$58, MATCH(F18,MEASURES3_M!$C$54:$C$58,0)),"")</f>
        <v/>
      </c>
      <c r="DA18" s="925" t="str">
        <f>IF(CB18="OK",INDEX(MEASURES3_M!$P$54:$P$58, MATCH(F18,MEASURES3_M!$C$54:$C$58,0)),"")</f>
        <v/>
      </c>
      <c r="DD18" s="980" t="str">
        <f>IFERROR(IF(CB18&lt;&gt;"OK","",CM18*VLOOKUP('DATA TABLES_Project'!$C$247,'DATA TABLES_Project'!$A$250:$B$285,2,FALSE)),"")</f>
        <v/>
      </c>
      <c r="DE18" s="925" t="str">
        <f>IFERROR(IF(CB18&lt;&gt;"OK","",CM18*CZ18*0.92),"")</f>
        <v/>
      </c>
      <c r="DF18" s="925" t="str">
        <f>IFERROR(IF(CB18&lt;&gt;"OK","",CM18*CZ18*0.92*VLOOKUP('DATA TABLES_Project'!$C$247,'DATA TABLES_Project'!$A$250:$B$285,2,FALSE)),"")</f>
        <v/>
      </c>
      <c r="DG18" s="925" t="str">
        <f>IFERROR(IF(CB18&lt;&gt;"OK","",CM18*BV18),IF(BX18="Dual",(CM18*BW18)+((BY18-AJ18)*(BV18-BW18)),""))</f>
        <v/>
      </c>
      <c r="DH18" s="925" t="str">
        <f ca="1">IFERROR(IF(CB18&lt;&gt;"OK","",IF(OR(BX18="Single",BX18=""), CM18*BV18*AVERAGE(INDEX('DATA TABLES_Project'!$B$250:$B$285, MATCH('DATA TABLES_Project'!$C$247,'DATA TABLES_Project'!$A$250:$A$285, 0)):OFFSET(INDEX('DATA TABLES_Project'!$B$250:$B$285, MATCH('DATA TABLES_Project'!$C$247,'DATA TABLES_Project'!$A$250:$A$285, 0)),BV18-1,0)),CM18*BW18*AVERAGE(INDEX('DATA TABLES_Project'!$B$250:$B$285, MATCH('DATA TABLES_Project'!$C$247,'DATA TABLES_Project'!$A$250:$A$285, 0)):OFFSET(INDEX('DATA TABLES_Project'!$B$250:$B$285, MATCH('DATA TABLES_Project'!$C$247,'DATA TABLES_Project'!$A$250:$A$285, 0)),BW18-1,0)) + ((BY18-AJ18)*(BV18-BW18)*AVERAGE(OFFSET(INDEX('DATA TABLES_Project'!$B$250:$B$285, MATCH('DATA TABLES_Project'!$C$247,'DATA TABLES_Project'!$A$250:$A$285, 0)),BW18,0):OFFSET(INDEX('DATA TABLES_Project'!$B$250:$B$285, MATCH('DATA TABLES_Project'!$C$247,'DATA TABLES_Project'!$A$250:$A$285, 0)),BV18-1,0))))), "")</f>
        <v/>
      </c>
      <c r="DI18" s="925" t="str">
        <f>IFERROR(IF(CB18&lt;&gt;"OK","",IF(BX18="Dual",(CM18*BW18)+((BY18-AJ18)*(BV18-BW18))*CZ18*0.92,CM18*CZ18*BV18*0.92)),"")</f>
        <v/>
      </c>
      <c r="DJ18" s="925" t="str">
        <f ca="1">IFERROR(IF(CB18&lt;&gt;"OK","",IF(OR(BX18="Single",BX18=""),0.92*CZ18*CM18*BV18*AVERAGE(INDEX('DATA TABLES_Project'!$B$250:$B$285, MATCH('DATA TABLES_Project'!$C$247,'DATA TABLES_Project'!$A$250:$A$285, 0)):OFFSET(INDEX('DATA TABLES_Project'!$B$250:$B$285, MATCH('DATA TABLES_Project'!$C$247,'DATA TABLES_Project'!$A$250:$A$285, 0)),BV18-1,0)),0.92*CZ18*CM18*BW18*AVERAGE(INDEX('DATA TABLES_Project'!$B$250:$B$285, MATCH('DATA TABLES_Project'!$C$247,'DATA TABLES_Project'!$A$250:$A$285, 0)):OFFSET(INDEX('DATA TABLES_Project'!$B$250:$B$285, MATCH('DATA TABLES_Project'!$C$247,'DATA TABLES_Project'!$A$250:$A$285, 0)),BW18-1,0)) + (0.92*CZ18*(BY18-AJ18)*(BV18-BW18)*AVERAGE(OFFSET(INDEX('DATA TABLES_Project'!$B$250:$B$285, MATCH('DATA TABLES_Project'!$C$247,'DATA TABLES_Project'!$A$250:$A$285, 0)),BW18,0):OFFSET(INDEX('DATA TABLES_Project'!$B$250:$B$285, MATCH('DATA TABLES_Project'!$C$247,'DATA TABLES_Project'!$A$250:$A$285, 0)),BV18-1,0))))), "")</f>
        <v/>
      </c>
      <c r="DK18" s="925" t="str">
        <f>IFERROR(IF(CB18&lt;&gt;"OK","",CO18*'DATA TABLES_Project'!$C$250),"")</f>
        <v/>
      </c>
      <c r="DL18" s="925" t="str">
        <f>IFERROR(IF(CB18&lt;&gt;"OK","",CO18*DA18*0.92),"")</f>
        <v/>
      </c>
      <c r="DM18" s="925" t="str">
        <f>IFERROR(IF(CB18&lt;&gt;"OK","",CO18*'DATA TABLES_Project'!$C$250*DA18*0.92),"")</f>
        <v/>
      </c>
      <c r="DN18" s="925" t="str">
        <f>IFERROR(IF(CB18&lt;&gt;"OK","",CO18*BV18),IF(BX18="Dual",(CO18*BW18)+((BZ18-AP18)*(BV18-BW18)),""))</f>
        <v/>
      </c>
      <c r="DO18" s="925" t="str">
        <f ca="1">IFERROR(IF(CB18&lt;&gt;"OK","",CO18*BV18*AVERAGE('DATA TABLES_Project'!$C$250:OFFSET('DATA TABLES_Project'!$C$250,BV18,0))),IF(BX18="Dual",(CO18*BW18*AVERAGE('DATA TABLES_Project'!$C$251:$C$259))+((BZ18-AP18)*(BV18-BW18)*AVERAGE('DATA TABLES_Project'!$C$260:$C$279)),""))</f>
        <v/>
      </c>
      <c r="DP18" s="925" t="str">
        <f>IFERROR(IF(CB18&lt;&gt;"OK","",IF(BX18="Dual",((CO18*BW18)+(BZ18-AP18)*(BV18-BW18))*DA18*0.92,CO18*BV18*DA18*0.92)),"")</f>
        <v/>
      </c>
      <c r="DQ18" s="925" t="str">
        <f ca="1">IFERROR(IF(CB18&lt;&gt;"OK","",IF(BX18="Dual",(0.92*DA18*CO18*BW18*AVERAGE('DATA TABLES_Project'!$C$251:$C$259))+(0.92*DA18*(BZ18-AP18)*(BV18-BW18)*AVERAGE('DATA TABLES_Project'!$C$260:$C$279)),0.92*DA18*CO18*BV18*AVERAGE('DATA TABLES_Project'!$C$250:OFFSET('DATA TABLES_Project'!$C$250,BV18,0)))),"")</f>
        <v/>
      </c>
      <c r="DR18" s="925" t="str">
        <f>IFERROR(IF($CB18&lt;&gt;"OK","",CM18*'DATA TABLES_Project'!$B$290+IF(CO18&lt;0,0,CO18*'DATA TABLES_Project'!$B$291)),"")</f>
        <v/>
      </c>
      <c r="DS18" s="925" t="str">
        <f>IFERROR(IF($CB18&lt;&gt;"OK","",DD18*'DATA TABLES_Project'!$B$290+IF(DK18&lt;0,0,DK18*'DATA TABLES_Project'!$B$291)),"")</f>
        <v/>
      </c>
      <c r="DT18" s="925" t="str">
        <f>IFERROR(IF($CB18&lt;&gt;"OK","",DE18*'DATA TABLES_Project'!$B$290+IF(DL18&lt;0,0,DL18*'DATA TABLES_Project'!$B$291)),"")</f>
        <v/>
      </c>
      <c r="DU18" s="925" t="str">
        <f>IFERROR(IF($CB18&lt;&gt;"OK","",DF18*'DATA TABLES_Project'!$B$290+IF(DM18&lt;0,0,DM18*'DATA TABLES_Project'!$B$291)),"")</f>
        <v/>
      </c>
      <c r="DV18" s="925" t="str">
        <f>IFERROR(IF($CB18&lt;&gt;"OK","",DG18*'DATA TABLES_Project'!$B$290+IF(DN18&lt;0,0,DN18*'DATA TABLES_Project'!$B$291)),"")</f>
        <v/>
      </c>
      <c r="DW18" s="925" t="str">
        <f>IFERROR(IF($CB18&lt;&gt;"OK","",DH18*'DATA TABLES_Project'!$B$290+IF(DO18&lt;0,0,DO18*'DATA TABLES_Project'!$B$291)),"")</f>
        <v/>
      </c>
      <c r="DX18" s="925" t="str">
        <f>IFERROR(IF($CB18&lt;&gt;"OK","",DI18*'DATA TABLES_Project'!$B$290+IF(DP18&lt;0,0,DP18*'DATA TABLES_Project'!$B$291)),"")</f>
        <v/>
      </c>
      <c r="DY18" s="925" t="str">
        <f>IFERROR(IF($CB18&lt;&gt;"OK","",DJ18*'DATA TABLES_Project'!$B$290+IF(DQ18&lt;0,0,DQ18*'DATA TABLES_Project'!$B$291)),"")</f>
        <v/>
      </c>
      <c r="DZ18" s="925" t="str">
        <f>IFERROR(IF($CB18&lt;&gt;"OK","",AS18),"")</f>
        <v/>
      </c>
      <c r="EA18" s="925" t="str">
        <f>IFERROR(IF(CB18&lt;&gt;"OK","",CN18*'DATA TABLES_Project'!$B$250*CZ18*1.03),"")</f>
        <v/>
      </c>
      <c r="EB18" s="925" t="str">
        <f>IFERROR(IF(CB18&lt;&gt;"OK","",CN18*CZ18*1.03),"")</f>
        <v/>
      </c>
      <c r="EC18" s="925" t="str">
        <f>IFERROR(IF(CB18&lt;&gt;"OK","",CZ18*DZ18*'DATA TABLES_Project'!$C$250*0.92),"")</f>
        <v/>
      </c>
      <c r="ED18" s="925" t="str">
        <f>IFERROR(IF(CB18&lt;&gt;"OK","",CZ18*DZ18*'DATA TABLES_Project'!$C$250*0.92),"")</f>
        <v/>
      </c>
      <c r="EE18" s="925" t="str">
        <f>IFERROR(IF(CB18&lt;&gt;"OK","",CZ18*DZ18*0.92),"")</f>
        <v/>
      </c>
      <c r="EF18" s="925" t="str">
        <f>IFERROR(IF(CB18&lt;&gt;"OK","",CZ18*DZ18*0.92),"")</f>
        <v/>
      </c>
      <c r="EG18" s="925" t="str">
        <f>IFERROR(IF($CB18&lt;&gt;"OK","",CM18*'DATA TABLES_Project'!$B$290+CO18*'DATA TABLES_Project'!$B$291),"")</f>
        <v/>
      </c>
      <c r="EH18" s="925" t="str">
        <f>IFERROR(IF($CB18&lt;&gt;"OK","",DD18*'DATA TABLES_Project'!$B$290+DK18*'DATA TABLES_Project'!$B$291),"")</f>
        <v/>
      </c>
      <c r="EI18" s="925" t="str">
        <f>IFERROR(IF($CB18&lt;&gt;"OK","",DE18*'DATA TABLES_Project'!$B$290+DL18*'DATA TABLES_Project'!$B$291),"")</f>
        <v/>
      </c>
      <c r="EJ18" s="925" t="str">
        <f>IFERROR(IF($CB18&lt;&gt;"OK","",DF18*'DATA TABLES_Project'!$B$290+DM18*'DATA TABLES_Project'!$B$291),"")</f>
        <v/>
      </c>
      <c r="EK18" s="925" t="str">
        <f>IFERROR(IF($CB18&lt;&gt;"OK","",DG18*'DATA TABLES_Project'!$B$290+DN18*'DATA TABLES_Project'!$B$291),"")</f>
        <v/>
      </c>
      <c r="EL18" s="925" t="str">
        <f>IFERROR(IF($CB18&lt;&gt;"OK","",DH18*'DATA TABLES_Project'!$B$290+DO18*'DATA TABLES_Project'!$B$291),"")</f>
        <v/>
      </c>
      <c r="EM18" s="925" t="str">
        <f>IFERROR(IF($CB18&lt;&gt;"OK","",DI18*'DATA TABLES_Project'!$B$290+DP18*'DATA TABLES_Project'!$B$291),"")</f>
        <v/>
      </c>
      <c r="EN18" s="925" t="str">
        <f>IFERROR(IF($CB18&lt;&gt;"OK","",DJ18*'DATA TABLES_Project'!$B$290+DQ18*'DATA TABLES_Project'!$B$291),"")</f>
        <v/>
      </c>
    </row>
    <row r="19" spans="1:144" ht="16.350000000000001" customHeight="1">
      <c r="A19" s="462"/>
      <c r="B19" s="994"/>
      <c r="C19" s="998"/>
      <c r="D19" s="999"/>
      <c r="E19" s="1000"/>
      <c r="F19" s="964"/>
      <c r="G19" s="965"/>
      <c r="H19" s="965"/>
      <c r="I19" s="965"/>
      <c r="J19" s="965"/>
      <c r="K19" s="966"/>
      <c r="L19" s="964"/>
      <c r="M19" s="965"/>
      <c r="N19" s="965"/>
      <c r="O19" s="965"/>
      <c r="P19" s="965"/>
      <c r="Q19" s="966"/>
      <c r="R19" s="1044"/>
      <c r="S19" s="1044"/>
      <c r="T19" s="1044"/>
      <c r="U19" s="1044"/>
      <c r="V19" s="1044"/>
      <c r="W19" s="1044"/>
      <c r="X19" s="1045"/>
      <c r="Y19" s="1045"/>
      <c r="Z19" s="1045"/>
      <c r="AA19" s="1045"/>
      <c r="AB19" s="1045"/>
      <c r="AC19" s="1045"/>
      <c r="AD19" s="964"/>
      <c r="AE19" s="965"/>
      <c r="AF19" s="965"/>
      <c r="AG19" s="965"/>
      <c r="AH19" s="965"/>
      <c r="AI19" s="966"/>
      <c r="AJ19" s="952"/>
      <c r="AK19" s="953"/>
      <c r="AL19" s="954"/>
      <c r="AM19" s="952"/>
      <c r="AN19" s="953"/>
      <c r="AO19" s="954"/>
      <c r="AP19" s="958"/>
      <c r="AQ19" s="959"/>
      <c r="AR19" s="960"/>
      <c r="AS19" s="958"/>
      <c r="AT19" s="959"/>
      <c r="AU19" s="960"/>
      <c r="AV19" s="968"/>
      <c r="AW19" s="969"/>
      <c r="AX19" s="969"/>
      <c r="AY19" s="969"/>
      <c r="AZ19" s="969"/>
      <c r="BA19" s="970"/>
      <c r="BB19" s="947"/>
      <c r="BC19" s="948"/>
      <c r="BD19" s="947"/>
      <c r="BE19" s="948"/>
      <c r="BF19" s="931"/>
      <c r="BG19" s="932"/>
      <c r="BH19" s="1102"/>
      <c r="BI19" s="1103"/>
      <c r="BJ19" s="1104"/>
      <c r="BK19" s="936"/>
      <c r="BL19" s="937"/>
      <c r="BM19" s="938"/>
      <c r="BN19" s="942"/>
      <c r="BO19" s="943"/>
      <c r="BP19" s="944"/>
      <c r="BQ19"/>
      <c r="BR19"/>
      <c r="BS19" s="967"/>
      <c r="BT19" s="967"/>
      <c r="BU19"/>
      <c r="BV19" s="926"/>
      <c r="BW19" s="926"/>
      <c r="BX19" s="926"/>
      <c r="BY19" s="927"/>
      <c r="BZ19" s="928"/>
      <c r="CA19"/>
      <c r="CB19" s="986"/>
      <c r="CC19" s="925"/>
      <c r="CD19" s="925"/>
      <c r="CE19" s="925"/>
      <c r="CF19" s="925"/>
      <c r="CG19" s="925"/>
      <c r="CH19" s="925"/>
      <c r="CI19" s="925"/>
      <c r="CJ19" s="977"/>
      <c r="CK19" s="977"/>
      <c r="CL19" s="977"/>
      <c r="CM19" s="977"/>
      <c r="CN19" s="977"/>
      <c r="CO19" s="977"/>
      <c r="CP19" s="977"/>
      <c r="CQ19" s="977"/>
      <c r="CR19" s="977"/>
      <c r="CS19" s="983"/>
      <c r="CT19" s="1056"/>
      <c r="CU19" s="979"/>
      <c r="CV19" s="925"/>
      <c r="CW19" s="1043"/>
      <c r="CX19" s="925"/>
      <c r="CY19" s="925"/>
      <c r="CZ19" s="925"/>
      <c r="DA19" s="925"/>
      <c r="DD19" s="981"/>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row>
    <row r="20" spans="1:144" customFormat="1" ht="16.350000000000001" customHeight="1">
      <c r="A20" s="462"/>
      <c r="B20" s="994">
        <v>2</v>
      </c>
      <c r="C20" s="995"/>
      <c r="D20" s="996"/>
      <c r="E20" s="997"/>
      <c r="F20" s="961"/>
      <c r="G20" s="962"/>
      <c r="H20" s="962"/>
      <c r="I20" s="962"/>
      <c r="J20" s="962"/>
      <c r="K20" s="963"/>
      <c r="L20" s="961"/>
      <c r="M20" s="962"/>
      <c r="N20" s="962"/>
      <c r="O20" s="962"/>
      <c r="P20" s="962"/>
      <c r="Q20" s="963"/>
      <c r="R20" s="1044"/>
      <c r="S20" s="1044"/>
      <c r="T20" s="1044"/>
      <c r="U20" s="1044"/>
      <c r="V20" s="1044"/>
      <c r="W20" s="1044"/>
      <c r="X20" s="1045"/>
      <c r="Y20" s="1045"/>
      <c r="Z20" s="1045"/>
      <c r="AA20" s="1045"/>
      <c r="AB20" s="1045"/>
      <c r="AC20" s="1045"/>
      <c r="AD20" s="961"/>
      <c r="AE20" s="962"/>
      <c r="AF20" s="962"/>
      <c r="AG20" s="962"/>
      <c r="AH20" s="962"/>
      <c r="AI20" s="963"/>
      <c r="AJ20" s="949"/>
      <c r="AK20" s="950"/>
      <c r="AL20" s="951"/>
      <c r="AM20" s="949"/>
      <c r="AN20" s="950"/>
      <c r="AO20" s="951"/>
      <c r="AP20" s="955"/>
      <c r="AQ20" s="956"/>
      <c r="AR20" s="957"/>
      <c r="AS20" s="955"/>
      <c r="AT20" s="956"/>
      <c r="AU20" s="957"/>
      <c r="AV20" s="968"/>
      <c r="AW20" s="969"/>
      <c r="AX20" s="970"/>
      <c r="AY20" s="968"/>
      <c r="AZ20" s="969"/>
      <c r="BA20" s="970"/>
      <c r="BB20" s="945"/>
      <c r="BC20" s="946"/>
      <c r="BD20" s="945"/>
      <c r="BE20" s="946"/>
      <c r="BF20" s="929" t="str">
        <f t="shared" ref="BF20" si="1">IF(CB20="OK",ROUND(BB20+BD20,2),"")</f>
        <v/>
      </c>
      <c r="BG20" s="930"/>
      <c r="BH20" s="1099" t="str">
        <f t="shared" ref="BH20" si="2">IFERROR(IF(AND($CB20="OK",$CU20="OK"),$CI20,IF($CB20&lt;&gt;"OK",$CB20,$CU20)),"")</f>
        <v/>
      </c>
      <c r="BI20" s="1100"/>
      <c r="BJ20" s="1101"/>
      <c r="BK20" s="933" t="str">
        <f t="shared" ref="BK20" si="3">IF($CB20="OK",CM20,"")</f>
        <v/>
      </c>
      <c r="BL20" s="934"/>
      <c r="BM20" s="935"/>
      <c r="BN20" s="939" t="str">
        <f t="shared" ref="BN20" si="4">IF($CB20="OK",$CR20,"")</f>
        <v/>
      </c>
      <c r="BO20" s="940"/>
      <c r="BP20" s="941"/>
      <c r="BS20" s="967"/>
      <c r="BT20" s="967"/>
      <c r="BV20" s="926" t="str">
        <f t="shared" ref="BV20" si="5">IFERROR(ROUND(IF(AND(CB20="OK",CU20="OK"),CT20,""),0),"")</f>
        <v/>
      </c>
      <c r="BW20" s="926" t="str">
        <f t="shared" ref="BW20" si="6">IFERROR(ROUND(IF(AND(CB20="OK",CU20="OK"),BV20/3,""),0),"")</f>
        <v/>
      </c>
      <c r="BX20" s="926"/>
      <c r="BY20" s="927"/>
      <c r="BZ20" s="928"/>
      <c r="CB20" s="986" t="str">
        <f>IF(AND(C20="",F20="",R20="",AD20="",U20="",X20="",L20="",AJ20="",AV20="",AM20="",AP20="",AY20="",AV21="",BB20="",BD20="",AA20="",AS20=""),"",
IF(OR(C20="",F20="",R20="",AD20="",U20="",X20="",L20="",AJ20="",AV20="",AM20="",AP20="",AY20="",AV21="",BB20="",BD20="",AA20="",AS20=""),"Missing Fields",
IF(AND(M02S04F04disp="Required",M02S04F04=""),"TA Info Incomplete",
"OK")))</f>
        <v/>
      </c>
      <c r="CC20" s="925" t="str">
        <f>IF(AND(CB20="OK",CU20="OK"),INDEX(Tbl_Cust_Misc[Measure Number], MATCH(F20,Tbl_Cust_Misc[Proj Desc 1],0)),"")</f>
        <v/>
      </c>
      <c r="CD20" s="925"/>
      <c r="CE20" s="925" t="str">
        <f t="shared" ref="CE20" si="7">IF(CB20="OK","Measure","")</f>
        <v/>
      </c>
      <c r="CF20" s="925" t="str">
        <f t="shared" ref="CF20" si="8">IF(CB20="OK",1,"")</f>
        <v/>
      </c>
      <c r="CG20" s="978" t="str">
        <f t="shared" ref="CG20" si="9">IFERROR(CI20/CF20,"")</f>
        <v/>
      </c>
      <c r="CH20" s="978" t="str">
        <f>IF(CB20="OK",IF(CM20&gt;0,CM20*Incent_Rate_kWh,0)+IF(CO20&gt;0,CO20*Incent_Rate_thm,0),"")</f>
        <v/>
      </c>
      <c r="CI20" s="978" t="str">
        <f>IFERROR(IF($CB20="OK",IF(INCENTTOCOST_CUST&gt;CostCap_Cust,
CH20*CostCap_Cust/INCENTTOCOST_CUST,CH20),""),"")</f>
        <v/>
      </c>
      <c r="CJ20" s="977">
        <f t="shared" ref="CJ20" si="10">CM20</f>
        <v>0</v>
      </c>
      <c r="CK20" s="977">
        <f t="shared" ref="CK20" si="11">CN20</f>
        <v>0</v>
      </c>
      <c r="CL20" s="977">
        <f t="shared" ref="CL20" si="12">CO20</f>
        <v>0</v>
      </c>
      <c r="CM20" s="977">
        <f>R20-AJ20</f>
        <v>0</v>
      </c>
      <c r="CN20" s="977">
        <f>U20-AM20</f>
        <v>0</v>
      </c>
      <c r="CO20" s="977">
        <f t="shared" ref="CO20" si="13">IF(CR20&gt;0,CR20,0)</f>
        <v>0</v>
      </c>
      <c r="CP20" s="977">
        <f t="shared" ref="CP20" si="14">CM20</f>
        <v>0</v>
      </c>
      <c r="CQ20" s="977">
        <f t="shared" ref="CQ20" si="15">CN20</f>
        <v>0</v>
      </c>
      <c r="CR20" s="977">
        <f>X20-AP20</f>
        <v>0</v>
      </c>
      <c r="CS20" s="983"/>
      <c r="CT20" s="1056" t="str">
        <f>IF(CB20="OK",INDEX(Tbl_Cust_Misc[EUL], MATCH(F20,Tbl_Cust_Misc[Proj Desc 1],0)),"")</f>
        <v/>
      </c>
      <c r="CU20" s="979" t="str">
        <f t="shared" ref="CU20" si="16">IFERROR(IF(AND($CM20&lt;=0,$CN20&lt;=0,$CO20&lt;=0),"No Savings","OK"),"")</f>
        <v>No Savings</v>
      </c>
      <c r="CV20" s="925" t="str">
        <f t="shared" ref="CV20" si="17">IF(AND(CB20="OK",CU20="OK"),"1","")</f>
        <v/>
      </c>
      <c r="CW20" s="925" t="str">
        <f>IFERROR(IF($CB20="OK",ROUND($AQ$14*SUM(BB20:BE21)/SUM($BF$18:$BG$37),2),""),"")</f>
        <v/>
      </c>
      <c r="CX20" s="925" t="str">
        <f>IFERROR(IF(M02S04F04="Customer/Self-Installed",CW20,IF($CB20="OK",CW20+BD20,"")),"")</f>
        <v/>
      </c>
      <c r="CY20" s="925" t="str">
        <f>IFERROR(IF($CB20="OK",CX20+BB20,""),"")</f>
        <v/>
      </c>
      <c r="CZ20" s="925" t="str">
        <f>IF(CB20="OK",INDEX(MEASURES3_M!$O$54:$O$58, MATCH(F20,MEASURES3_M!$C$54:$C$58,0)),"")</f>
        <v/>
      </c>
      <c r="DA20" s="925" t="str">
        <f>IF(CB20="OK",INDEX(MEASURES3_M!$P$54:$P$58, MATCH(F20,MEASURES3_M!$C$54:$C$58,0)),"")</f>
        <v/>
      </c>
      <c r="DD20" s="980" t="str">
        <f>IFERROR(IF(CB20&lt;&gt;"OK","",CM20*VLOOKUP('DATA TABLES_Project'!$C$247,'DATA TABLES_Project'!$A$250:$B$285,2,FALSE)),"")</f>
        <v/>
      </c>
      <c r="DE20" s="925" t="str">
        <f t="shared" ref="DE20" si="18">IFERROR(IF(CB20&lt;&gt;"OK","",CM20*CZ20*0.92),"")</f>
        <v/>
      </c>
      <c r="DF20" s="980" t="str">
        <f>IFERROR(IF(CB20&lt;&gt;"OK","",CM20*CZ20*0.92*VLOOKUP('DATA TABLES_Project'!$C$247,'DATA TABLES_Project'!$A$250:$B$285,2,FALSE)),"")</f>
        <v/>
      </c>
      <c r="DG20" s="925" t="str">
        <f t="shared" ref="DG20" si="19">IFERROR(IF(CB20&lt;&gt;"OK","",CM20*BV20),IF(BX20="Dual",(CM20*BW20)+((BY20-AJ20)*(BV20-BW20)),""))</f>
        <v/>
      </c>
      <c r="DH20" s="925" t="str">
        <f ca="1">IFERROR(IF(CB20&lt;&gt;"OK","",IF(OR(BX20="Single",BX20=""), CM20*BV20*AVERAGE(INDEX('DATA TABLES_Project'!$B$250:$B$285, MATCH('DATA TABLES_Project'!$C$247,'DATA TABLES_Project'!$A$250:$A$285, 0)):OFFSET(INDEX('DATA TABLES_Project'!$B$250:$B$285, MATCH('DATA TABLES_Project'!$C$247,'DATA TABLES_Project'!$A$250:$A$285, 0)),BV20-1,0)),CM20*BW20*AVERAGE(INDEX('DATA TABLES_Project'!$B$250:$B$285, MATCH('DATA TABLES_Project'!$C$247,'DATA TABLES_Project'!$A$250:$A$285, 0)):OFFSET(INDEX('DATA TABLES_Project'!$B$250:$B$285, MATCH('DATA TABLES_Project'!$C$247,'DATA TABLES_Project'!$A$250:$A$285, 0)),BW20-1,0)) + ((BY20-AJ20)*(BV20-BW20)*AVERAGE(OFFSET(INDEX('DATA TABLES_Project'!$B$250:$B$285, MATCH('DATA TABLES_Project'!$C$247,'DATA TABLES_Project'!$A$250:$A$285, 0)),BW20,0):OFFSET(INDEX('DATA TABLES_Project'!$B$250:$B$285, MATCH('DATA TABLES_Project'!$C$247,'DATA TABLES_Project'!$A$250:$A$285, 0)),BV20-1,0))))), "")</f>
        <v/>
      </c>
      <c r="DI20" s="925" t="str">
        <f t="shared" ref="DI20" si="20">IFERROR(IF(CB20&lt;&gt;"OK","",IF(BX20="Dual",(CM20*BW20)+((BY20-AJ20)*(BV20-BW20))*CZ20*0.92,CM20*CZ20*BV20*0.92)),"")</f>
        <v/>
      </c>
      <c r="DJ20" s="925" t="str">
        <f ca="1">IFERROR(IF(CB20&lt;&gt;"OK","",IF(OR(BX20="Single",BX20=""),0.92*CZ20*CM20*BV20*AVERAGE(INDEX('DATA TABLES_Project'!$B$250:$B$285, MATCH('DATA TABLES_Project'!$C$247,'DATA TABLES_Project'!$A$250:$A$285, 0)):OFFSET(INDEX('DATA TABLES_Project'!$B$250:$B$285, MATCH('DATA TABLES_Project'!$C$247,'DATA TABLES_Project'!$A$250:$A$285, 0)),BV20-1,0)),0.92*CZ20*CM20*BW20*AVERAGE(INDEX('DATA TABLES_Project'!$B$250:$B$285, MATCH('DATA TABLES_Project'!$C$247,'DATA TABLES_Project'!$A$250:$A$285, 0)):OFFSET(INDEX('DATA TABLES_Project'!$B$250:$B$285, MATCH('DATA TABLES_Project'!$C$247,'DATA TABLES_Project'!$A$250:$A$285, 0)),BW20-1,0)) + (0.92*CZ20*(BY20-AJ20)*(BV20-BW20)*AVERAGE(OFFSET(INDEX('DATA TABLES_Project'!$B$250:$B$285, MATCH('DATA TABLES_Project'!$C$247,'DATA TABLES_Project'!$A$250:$A$285, 0)),BW20,0):OFFSET(INDEX('DATA TABLES_Project'!$B$250:$B$285, MATCH('DATA TABLES_Project'!$C$247,'DATA TABLES_Project'!$A$250:$A$285, 0)),BV20-1,0))))), "")</f>
        <v/>
      </c>
      <c r="DK20" s="925" t="str">
        <f>IFERROR(IF(CB20&lt;&gt;"OK","",CO20*'DATA TABLES_Project'!$C$250),"")</f>
        <v/>
      </c>
      <c r="DL20" s="925" t="str">
        <f t="shared" ref="DL20" si="21">IFERROR(IF(CB20&lt;&gt;"OK","",CO20*DA20*0.92),"")</f>
        <v/>
      </c>
      <c r="DM20" s="925" t="str">
        <f>IFERROR(IF(CB20&lt;&gt;"OK","",CO20*'DATA TABLES_Project'!$C$250*DA20*0.92),"")</f>
        <v/>
      </c>
      <c r="DN20" s="925" t="str">
        <f t="shared" ref="DN20" si="22">IFERROR(IF(CB20&lt;&gt;"OK","",CO20*BV20),IF(BX20="Dual",(CO20*BW20)+((BZ20-AP20)*(BV20-BW20)),""))</f>
        <v/>
      </c>
      <c r="DO20" s="925" t="str">
        <f ca="1">IFERROR(IF(CB20&lt;&gt;"OK","",CO20*BV20*AVERAGE('DATA TABLES_Project'!$C$250:OFFSET('DATA TABLES_Project'!$C$250,BV20,0))),IF(BX20="Dual",(CO20*BW20*AVERAGE('DATA TABLES_Project'!$C$251:$C$259))+((BZ20-AP20)*(BV20-BW20)*AVERAGE('DATA TABLES_Project'!$C$260:$C$279)),""))</f>
        <v/>
      </c>
      <c r="DP20" s="925" t="str">
        <f t="shared" ref="DP20" si="23">IFERROR(IF(CB20&lt;&gt;"OK","",IF(BX20="Dual",((CO20*BW20)+(BZ20-AP20)*(BV20-BW20))*DA20*0.92,CO20*BV20*DA20*0.92)),"")</f>
        <v/>
      </c>
      <c r="DQ20" s="925" t="str">
        <f ca="1">IFERROR(IF(CB20&lt;&gt;"OK","",IF(BX20="Dual",(0.92*DA20*CO20*BW20*AVERAGE('DATA TABLES_Project'!$C$251:$C$259))+(0.92*DA20*(BZ20-AP20)*(BV20-BW20)*AVERAGE('DATA TABLES_Project'!$C$260:$C$279)),0.92*DA20*CO20*BV20*AVERAGE('DATA TABLES_Project'!$C$250:OFFSET('DATA TABLES_Project'!$C$250,BV20,0)))),"")</f>
        <v/>
      </c>
      <c r="DR20" s="980" t="str">
        <f>IFERROR(IF($CB20&lt;&gt;"OK","",CM20*'DATA TABLES_Project'!$B$290+IF(CO20&lt;0,0,CO20*'DATA TABLES_Project'!$B$291)),"")</f>
        <v/>
      </c>
      <c r="DS20" s="980" t="str">
        <f>IFERROR(IF($CB20&lt;&gt;"OK","",DD20*'DATA TABLES_Project'!$B$290+IF(DK20&lt;0,0,DK20*'DATA TABLES_Project'!$B$291)),"")</f>
        <v/>
      </c>
      <c r="DT20" s="980" t="str">
        <f>IFERROR(IF($CB20&lt;&gt;"OK","",DE20*'DATA TABLES_Project'!$B$290+IF(DL20&lt;0,0,DL20*'DATA TABLES_Project'!$B$291)),"")</f>
        <v/>
      </c>
      <c r="DU20" s="980" t="str">
        <f>IFERROR(IF($CB20&lt;&gt;"OK","",DF20*'DATA TABLES_Project'!$B$290+IF(DM20&lt;0,0,DM20*'DATA TABLES_Project'!$B$291)),"")</f>
        <v/>
      </c>
      <c r="DV20" s="980" t="str">
        <f>IFERROR(IF($CB20&lt;&gt;"OK","",DG20*'DATA TABLES_Project'!$B$290+IF(DN20&lt;0,0,DN20*'DATA TABLES_Project'!$B$291)),"")</f>
        <v/>
      </c>
      <c r="DW20" s="980" t="str">
        <f>IFERROR(IF($CB20&lt;&gt;"OK","",DH20*'DATA TABLES_Project'!$B$290+IF(DO20&lt;0,0,DO20*'DATA TABLES_Project'!$B$291)),"")</f>
        <v/>
      </c>
      <c r="DX20" s="980" t="str">
        <f>IFERROR(IF($CB20&lt;&gt;"OK","",DI20*'DATA TABLES_Project'!$B$290+IF(DP20&lt;0,0,DP20*'DATA TABLES_Project'!$B$291)),"")</f>
        <v/>
      </c>
      <c r="DY20" s="925" t="str">
        <f>IFERROR(IF($CB20&lt;&gt;"OK","",DJ20*'DATA TABLES_Project'!$B$290+IF(DQ20&lt;0,0,DQ20*'DATA TABLES_Project'!$B$291)),"")</f>
        <v/>
      </c>
      <c r="DZ20" s="925" t="str">
        <f t="shared" ref="DZ20" si="24">IFERROR(IF($CB20&lt;&gt;"OK","",AS20),"")</f>
        <v/>
      </c>
      <c r="EA20" s="925" t="str">
        <f>IFERROR(IF(CB20&lt;&gt;"OK","",CN20*'DATA TABLES_Project'!$B$250*CZ20*1.03),"")</f>
        <v/>
      </c>
      <c r="EB20" s="925" t="str">
        <f t="shared" ref="EB20" si="25">IFERROR(IF(CB20&lt;&gt;"OK","",CN20*CZ20*1.03),"")</f>
        <v/>
      </c>
      <c r="EC20" s="925" t="str">
        <f>IFERROR(IF(CB20&lt;&gt;"OK","",CZ20*DZ20*'DATA TABLES_Project'!$C$250*0.92),"")</f>
        <v/>
      </c>
      <c r="ED20" s="925" t="str">
        <f>IFERROR(IF(CB20&lt;&gt;"OK","",CZ20*DZ20*'DATA TABLES_Project'!$C$250*0.92),"")</f>
        <v/>
      </c>
      <c r="EE20" s="925" t="str">
        <f t="shared" ref="EE20" si="26">IFERROR(IF(CB20&lt;&gt;"OK","",CZ20*DZ20*0.92),"")</f>
        <v/>
      </c>
      <c r="EF20" s="925" t="str">
        <f t="shared" ref="EF20" si="27">IFERROR(IF(CB20&lt;&gt;"OK","",CZ20*DZ20*0.92),"")</f>
        <v/>
      </c>
      <c r="EG20" s="925" t="str">
        <f>IFERROR(IF($CB20&lt;&gt;"OK","",CM20*'DATA TABLES_Project'!$B$290+CO20*'DATA TABLES_Project'!$B$291),"")</f>
        <v/>
      </c>
      <c r="EH20" s="925" t="str">
        <f>IFERROR(IF($CB20&lt;&gt;"OK","",DD20*'DATA TABLES_Project'!$B$290+DK20*'DATA TABLES_Project'!$B$291),"")</f>
        <v/>
      </c>
      <c r="EI20" s="925" t="str">
        <f>IFERROR(IF($CB20&lt;&gt;"OK","",DE20*'DATA TABLES_Project'!$B$290+DL20*'DATA TABLES_Project'!$B$291),"")</f>
        <v/>
      </c>
      <c r="EJ20" s="925" t="str">
        <f>IFERROR(IF($CB20&lt;&gt;"OK","",DF20*'DATA TABLES_Project'!$B$290+DM20*'DATA TABLES_Project'!$B$291),"")</f>
        <v/>
      </c>
      <c r="EK20" s="925" t="str">
        <f>IFERROR(IF($CB20&lt;&gt;"OK","",DG20*'DATA TABLES_Project'!$B$290+DN20*'DATA TABLES_Project'!$B$291),"")</f>
        <v/>
      </c>
      <c r="EL20" s="925" t="str">
        <f>IFERROR(IF($CB20&lt;&gt;"OK","",DH20*'DATA TABLES_Project'!$B$290+DO20*'DATA TABLES_Project'!$B$291),"")</f>
        <v/>
      </c>
      <c r="EM20" s="925" t="str">
        <f>IFERROR(IF($CB20&lt;&gt;"OK","",DI20*'DATA TABLES_Project'!$B$290+DP20*'DATA TABLES_Project'!$B$291),"")</f>
        <v/>
      </c>
      <c r="EN20" s="925" t="str">
        <f>IFERROR(IF($CB20&lt;&gt;"OK","",DJ20*'DATA TABLES_Project'!$B$290+DQ20*'DATA TABLES_Project'!$B$291),"")</f>
        <v/>
      </c>
    </row>
    <row r="21" spans="1:144" customFormat="1" ht="16.350000000000001" customHeight="1">
      <c r="A21" s="462"/>
      <c r="B21" s="994"/>
      <c r="C21" s="998"/>
      <c r="D21" s="999"/>
      <c r="E21" s="1000"/>
      <c r="F21" s="964"/>
      <c r="G21" s="965"/>
      <c r="H21" s="965"/>
      <c r="I21" s="965"/>
      <c r="J21" s="965"/>
      <c r="K21" s="966"/>
      <c r="L21" s="964"/>
      <c r="M21" s="965"/>
      <c r="N21" s="965"/>
      <c r="O21" s="965"/>
      <c r="P21" s="965"/>
      <c r="Q21" s="966"/>
      <c r="R21" s="1044"/>
      <c r="S21" s="1044"/>
      <c r="T21" s="1044"/>
      <c r="U21" s="1044"/>
      <c r="V21" s="1044"/>
      <c r="W21" s="1044"/>
      <c r="X21" s="1045"/>
      <c r="Y21" s="1045"/>
      <c r="Z21" s="1045"/>
      <c r="AA21" s="1045"/>
      <c r="AB21" s="1045"/>
      <c r="AC21" s="1045"/>
      <c r="AD21" s="964"/>
      <c r="AE21" s="965"/>
      <c r="AF21" s="965"/>
      <c r="AG21" s="965"/>
      <c r="AH21" s="965"/>
      <c r="AI21" s="966"/>
      <c r="AJ21" s="952"/>
      <c r="AK21" s="953"/>
      <c r="AL21" s="954"/>
      <c r="AM21" s="952"/>
      <c r="AN21" s="953"/>
      <c r="AO21" s="954"/>
      <c r="AP21" s="958"/>
      <c r="AQ21" s="959"/>
      <c r="AR21" s="960"/>
      <c r="AS21" s="958"/>
      <c r="AT21" s="959"/>
      <c r="AU21" s="960"/>
      <c r="AV21" s="968"/>
      <c r="AW21" s="969"/>
      <c r="AX21" s="969"/>
      <c r="AY21" s="969"/>
      <c r="AZ21" s="969"/>
      <c r="BA21" s="970"/>
      <c r="BB21" s="947"/>
      <c r="BC21" s="948"/>
      <c r="BD21" s="947"/>
      <c r="BE21" s="948"/>
      <c r="BF21" s="931"/>
      <c r="BG21" s="932"/>
      <c r="BH21" s="1102"/>
      <c r="BI21" s="1103"/>
      <c r="BJ21" s="1104"/>
      <c r="BK21" s="936"/>
      <c r="BL21" s="937"/>
      <c r="BM21" s="938"/>
      <c r="BN21" s="942"/>
      <c r="BO21" s="943"/>
      <c r="BP21" s="944"/>
      <c r="BS21" s="967"/>
      <c r="BT21" s="967"/>
      <c r="BV21" s="926"/>
      <c r="BW21" s="926"/>
      <c r="BX21" s="926"/>
      <c r="BY21" s="927"/>
      <c r="BZ21" s="928"/>
      <c r="CB21" s="986"/>
      <c r="CC21" s="925"/>
      <c r="CD21" s="925"/>
      <c r="CE21" s="925"/>
      <c r="CF21" s="925"/>
      <c r="CG21" s="925"/>
      <c r="CH21" s="925"/>
      <c r="CI21" s="925"/>
      <c r="CJ21" s="977"/>
      <c r="CK21" s="977"/>
      <c r="CL21" s="977"/>
      <c r="CM21" s="977"/>
      <c r="CN21" s="977"/>
      <c r="CO21" s="977"/>
      <c r="CP21" s="977"/>
      <c r="CQ21" s="977"/>
      <c r="CR21" s="977"/>
      <c r="CS21" s="983"/>
      <c r="CT21" s="1056"/>
      <c r="CU21" s="979"/>
      <c r="CV21" s="925"/>
      <c r="CW21" s="925"/>
      <c r="CX21" s="925"/>
      <c r="CY21" s="925"/>
      <c r="CZ21" s="925"/>
      <c r="DA21" s="925"/>
      <c r="DD21" s="981"/>
      <c r="DE21" s="925"/>
      <c r="DF21" s="981"/>
      <c r="DG21" s="925"/>
      <c r="DH21" s="925"/>
      <c r="DI21" s="925"/>
      <c r="DJ21" s="925"/>
      <c r="DK21" s="925"/>
      <c r="DL21" s="925"/>
      <c r="DM21" s="925"/>
      <c r="DN21" s="925"/>
      <c r="DO21" s="925"/>
      <c r="DP21" s="925"/>
      <c r="DQ21" s="925"/>
      <c r="DR21" s="981"/>
      <c r="DS21" s="981"/>
      <c r="DT21" s="981"/>
      <c r="DU21" s="981"/>
      <c r="DV21" s="981"/>
      <c r="DW21" s="981"/>
      <c r="DX21" s="981"/>
      <c r="DY21" s="925"/>
      <c r="DZ21" s="925"/>
      <c r="EA21" s="925"/>
      <c r="EB21" s="925"/>
      <c r="EC21" s="925"/>
      <c r="ED21" s="925"/>
      <c r="EE21" s="925"/>
      <c r="EF21" s="925"/>
      <c r="EG21" s="925"/>
      <c r="EH21" s="925"/>
      <c r="EI21" s="925"/>
      <c r="EJ21" s="925"/>
      <c r="EK21" s="925"/>
      <c r="EL21" s="925"/>
      <c r="EM21" s="925"/>
      <c r="EN21" s="925"/>
    </row>
    <row r="22" spans="1:144" customFormat="1" ht="16.350000000000001" customHeight="1">
      <c r="A22" s="462"/>
      <c r="B22" s="994">
        <v>3</v>
      </c>
      <c r="C22" s="995"/>
      <c r="D22" s="996"/>
      <c r="E22" s="997"/>
      <c r="F22" s="961"/>
      <c r="G22" s="962"/>
      <c r="H22" s="962"/>
      <c r="I22" s="962"/>
      <c r="J22" s="962"/>
      <c r="K22" s="963"/>
      <c r="L22" s="961"/>
      <c r="M22" s="962"/>
      <c r="N22" s="962"/>
      <c r="O22" s="962"/>
      <c r="P22" s="962"/>
      <c r="Q22" s="963"/>
      <c r="R22" s="1044"/>
      <c r="S22" s="1044"/>
      <c r="T22" s="1044"/>
      <c r="U22" s="1044"/>
      <c r="V22" s="1044"/>
      <c r="W22" s="1044"/>
      <c r="X22" s="1045"/>
      <c r="Y22" s="1045"/>
      <c r="Z22" s="1045"/>
      <c r="AA22" s="1045"/>
      <c r="AB22" s="1045"/>
      <c r="AC22" s="1045"/>
      <c r="AD22" s="961"/>
      <c r="AE22" s="962"/>
      <c r="AF22" s="962"/>
      <c r="AG22" s="962"/>
      <c r="AH22" s="962"/>
      <c r="AI22" s="963"/>
      <c r="AJ22" s="949"/>
      <c r="AK22" s="950"/>
      <c r="AL22" s="951"/>
      <c r="AM22" s="949"/>
      <c r="AN22" s="950"/>
      <c r="AO22" s="951"/>
      <c r="AP22" s="955"/>
      <c r="AQ22" s="956"/>
      <c r="AR22" s="957"/>
      <c r="AS22" s="955"/>
      <c r="AT22" s="956"/>
      <c r="AU22" s="957"/>
      <c r="AV22" s="968"/>
      <c r="AW22" s="969"/>
      <c r="AX22" s="970"/>
      <c r="AY22" s="968"/>
      <c r="AZ22" s="969"/>
      <c r="BA22" s="970"/>
      <c r="BB22" s="945"/>
      <c r="BC22" s="946"/>
      <c r="BD22" s="945"/>
      <c r="BE22" s="946"/>
      <c r="BF22" s="929" t="str">
        <f t="shared" ref="BF22" si="28">IF(CB22="OK",ROUND(BB22+BD22,2),"")</f>
        <v/>
      </c>
      <c r="BG22" s="930"/>
      <c r="BH22" s="1099" t="str">
        <f t="shared" ref="BH22" si="29">IFERROR(IF(AND($CB22="OK",$CU22="OK"),$CI22,IF($CB22&lt;&gt;"OK",$CB22,$CU22)),"")</f>
        <v/>
      </c>
      <c r="BI22" s="1100"/>
      <c r="BJ22" s="1101"/>
      <c r="BK22" s="933" t="str">
        <f t="shared" ref="BK22" si="30">IF($CB22="OK",CM22,"")</f>
        <v/>
      </c>
      <c r="BL22" s="934"/>
      <c r="BM22" s="935"/>
      <c r="BN22" s="939" t="str">
        <f t="shared" ref="BN22" si="31">IF($CB22="OK",$CR22,"")</f>
        <v/>
      </c>
      <c r="BO22" s="940"/>
      <c r="BP22" s="941"/>
      <c r="BS22" s="967"/>
      <c r="BT22" s="967"/>
      <c r="BV22" s="926" t="str">
        <f t="shared" ref="BV22" si="32">IFERROR(ROUND(IF(AND(CB22="OK",CU22="OK"),CT22,""),0),"")</f>
        <v/>
      </c>
      <c r="BW22" s="926" t="str">
        <f t="shared" ref="BW22" si="33">IFERROR(ROUND(IF(AND(CB22="OK",CU22="OK"),BV22/3,""),0),"")</f>
        <v/>
      </c>
      <c r="BX22" s="926"/>
      <c r="BY22" s="927"/>
      <c r="BZ22" s="928"/>
      <c r="CB22" s="986" t="str">
        <f>IF(AND(C22="",F22="",R22="",AD22="",U22="",X22="",L22="",AJ22="",AV22="",AM22="",AP22="",AY22="",AV23="",BB22="",BD22="",AA22="",AS22=""),"",
IF(OR(C22="",F22="",R22="",AD22="",U22="",X22="",L22="",AJ22="",AV22="",AM22="",AP22="",AY22="",AV23="",BB22="",BD22="",AA22="",AS22=""),"Missing Fields",
IF(AND(M02S04F04disp="Required",M02S04F04=""),"TA Info Incomplete",
"OK")))</f>
        <v/>
      </c>
      <c r="CC22" s="925" t="str">
        <f>IF(AND(CB22="OK",CU22="OK"),INDEX(Tbl_Cust_Misc[Measure Number], MATCH(F22,Tbl_Cust_Misc[Proj Desc 1],0)),"")</f>
        <v/>
      </c>
      <c r="CD22" s="925"/>
      <c r="CE22" s="925" t="str">
        <f t="shared" ref="CE22" si="34">IF(CB22="OK","Measure","")</f>
        <v/>
      </c>
      <c r="CF22" s="925" t="str">
        <f t="shared" ref="CF22" si="35">IF(CB22="OK",1,"")</f>
        <v/>
      </c>
      <c r="CG22" s="978" t="str">
        <f t="shared" ref="CG22" si="36">IFERROR(CI22/CF22,"")</f>
        <v/>
      </c>
      <c r="CH22" s="978" t="str">
        <f>IF(CB22="OK",IF(CM22&gt;0,CM22*Incent_Rate_kWh,0)+IF(CO22&gt;0,CO22*Incent_Rate_thm,0),"")</f>
        <v/>
      </c>
      <c r="CI22" s="978" t="str">
        <f>IFERROR(IF($CB22="OK",IF(INCENTTOCOST_CUST&gt;CostCap_Cust,
CH22*CostCap_Cust/INCENTTOCOST_CUST,CH22),""),"")</f>
        <v/>
      </c>
      <c r="CJ22" s="977">
        <f t="shared" ref="CJ22" si="37">CM22</f>
        <v>0</v>
      </c>
      <c r="CK22" s="977">
        <f t="shared" ref="CK22" si="38">CN22</f>
        <v>0</v>
      </c>
      <c r="CL22" s="977">
        <f t="shared" ref="CL22" si="39">CO22</f>
        <v>0</v>
      </c>
      <c r="CM22" s="977">
        <f>R22-AJ22</f>
        <v>0</v>
      </c>
      <c r="CN22" s="977">
        <f>U22-AM22</f>
        <v>0</v>
      </c>
      <c r="CO22" s="977">
        <f t="shared" ref="CO22" si="40">IF(CR22&gt;0,CR22,0)</f>
        <v>0</v>
      </c>
      <c r="CP22" s="977">
        <f t="shared" ref="CP22" si="41">CM22</f>
        <v>0</v>
      </c>
      <c r="CQ22" s="977">
        <f t="shared" ref="CQ22" si="42">CN22</f>
        <v>0</v>
      </c>
      <c r="CR22" s="977">
        <f>X22-AP22</f>
        <v>0</v>
      </c>
      <c r="CS22" s="983"/>
      <c r="CT22" s="1056" t="str">
        <f>IF(CB22="OK",INDEX(Tbl_Cust_Misc[EUL], MATCH(F22,Tbl_Cust_Misc[Proj Desc 1],0)),"")</f>
        <v/>
      </c>
      <c r="CU22" s="979" t="str">
        <f t="shared" ref="CU22" si="43">IFERROR(IF(AND($CM22&lt;=0,$CN22&lt;=0,$CO22&lt;=0),"No Savings","OK"),"")</f>
        <v>No Savings</v>
      </c>
      <c r="CV22" s="925" t="str">
        <f t="shared" ref="CV22" si="44">IF(AND(CB22="OK",CU22="OK"),"1","")</f>
        <v/>
      </c>
      <c r="CW22" s="925" t="str">
        <f>IFERROR(IF($CB22="OK",ROUND($AQ$14*SUM(BB22:BE23)/SUM($BF$18:$BG$37),2),""),"")</f>
        <v/>
      </c>
      <c r="CX22" s="925" t="str">
        <f>IFERROR(IF(M02S04F04="Customer/Self-Installed",CW22,IF($CB22="OK",CW22+BD22,"")),"")</f>
        <v/>
      </c>
      <c r="CY22" s="925" t="str">
        <f>IFERROR(IF($CB22="OK",CX22+BB22,""),"")</f>
        <v/>
      </c>
      <c r="CZ22" s="925" t="str">
        <f>IF(CB22="OK",INDEX(MEASURES3_M!$O$54:$O$58, MATCH(F22,MEASURES3_M!$C$54:$C$58,0)),"")</f>
        <v/>
      </c>
      <c r="DA22" s="925" t="str">
        <f>IF(CB22="OK",INDEX(MEASURES3_M!$P$54:$P$58, MATCH(F22,MEASURES3_M!$C$54:$C$58,0)),"")</f>
        <v/>
      </c>
      <c r="DD22" s="980" t="str">
        <f>IFERROR(IF(CB22&lt;&gt;"OK","",CM22*VLOOKUP('DATA TABLES_Project'!$C$247,'DATA TABLES_Project'!$A$250:$B$285,2,FALSE)),"")</f>
        <v/>
      </c>
      <c r="DE22" s="925" t="str">
        <f t="shared" ref="DE22" si="45">IFERROR(IF(CB22&lt;&gt;"OK","",CM22*CZ22*0.92),"")</f>
        <v/>
      </c>
      <c r="DF22" s="980" t="str">
        <f>IFERROR(IF(CB22&lt;&gt;"OK","",CM22*CZ22*0.92*VLOOKUP('DATA TABLES_Project'!$C$247,'DATA TABLES_Project'!$A$250:$B$285,2,FALSE)),"")</f>
        <v/>
      </c>
      <c r="DG22" s="925" t="str">
        <f t="shared" ref="DG22" si="46">IFERROR(IF(CB22&lt;&gt;"OK","",CM22*BV22),IF(BX22="Dual",(CM22*BW22)+((BY22-AJ22)*(BV22-BW22)),""))</f>
        <v/>
      </c>
      <c r="DH22" s="925" t="str">
        <f ca="1">IFERROR(IF(CB22&lt;&gt;"OK","",IF(OR(BX22="Single",BX22=""), CM22*BV22*AVERAGE(INDEX('DATA TABLES_Project'!$B$250:$B$285, MATCH('DATA TABLES_Project'!$C$247,'DATA TABLES_Project'!$A$250:$A$285, 0)):OFFSET(INDEX('DATA TABLES_Project'!$B$250:$B$285, MATCH('DATA TABLES_Project'!$C$247,'DATA TABLES_Project'!$A$250:$A$285, 0)),BV22-1,0)),CM22*BW22*AVERAGE(INDEX('DATA TABLES_Project'!$B$250:$B$285, MATCH('DATA TABLES_Project'!$C$247,'DATA TABLES_Project'!$A$250:$A$285, 0)):OFFSET(INDEX('DATA TABLES_Project'!$B$250:$B$285, MATCH('DATA TABLES_Project'!$C$247,'DATA TABLES_Project'!$A$250:$A$285, 0)),BW22-1,0)) + ((BY22-AJ22)*(BV22-BW22)*AVERAGE(OFFSET(INDEX('DATA TABLES_Project'!$B$250:$B$285, MATCH('DATA TABLES_Project'!$C$247,'DATA TABLES_Project'!$A$250:$A$285, 0)),BW22,0):OFFSET(INDEX('DATA TABLES_Project'!$B$250:$B$285, MATCH('DATA TABLES_Project'!$C$247,'DATA TABLES_Project'!$A$250:$A$285, 0)),BV22-1,0))))), "")</f>
        <v/>
      </c>
      <c r="DI22" s="925" t="str">
        <f t="shared" ref="DI22" si="47">IFERROR(IF(CB22&lt;&gt;"OK","",IF(BX22="Dual",(CM22*BW22)+((BY22-AJ22)*(BV22-BW22))*CZ22*0.92,CM22*CZ22*BV22*0.92)),"")</f>
        <v/>
      </c>
      <c r="DJ22" s="925" t="str">
        <f ca="1">IFERROR(IF(CB22&lt;&gt;"OK","",IF(OR(BX22="Single",BX22=""),0.92*CZ22*CM22*BV22*AVERAGE(INDEX('DATA TABLES_Project'!$B$250:$B$285, MATCH('DATA TABLES_Project'!$C$247,'DATA TABLES_Project'!$A$250:$A$285, 0)):OFFSET(INDEX('DATA TABLES_Project'!$B$250:$B$285, MATCH('DATA TABLES_Project'!$C$247,'DATA TABLES_Project'!$A$250:$A$285, 0)),BV22-1,0)),0.92*CZ22*CM22*BW22*AVERAGE(INDEX('DATA TABLES_Project'!$B$250:$B$285, MATCH('DATA TABLES_Project'!$C$247,'DATA TABLES_Project'!$A$250:$A$285, 0)):OFFSET(INDEX('DATA TABLES_Project'!$B$250:$B$285, MATCH('DATA TABLES_Project'!$C$247,'DATA TABLES_Project'!$A$250:$A$285, 0)),BW22-1,0)) + (0.92*CZ22*(BY22-AJ22)*(BV22-BW22)*AVERAGE(OFFSET(INDEX('DATA TABLES_Project'!$B$250:$B$285, MATCH('DATA TABLES_Project'!$C$247,'DATA TABLES_Project'!$A$250:$A$285, 0)),BW22,0):OFFSET(INDEX('DATA TABLES_Project'!$B$250:$B$285, MATCH('DATA TABLES_Project'!$C$247,'DATA TABLES_Project'!$A$250:$A$285, 0)),BV22-1,0))))), "")</f>
        <v/>
      </c>
      <c r="DK22" s="925" t="str">
        <f>IFERROR(IF(CB22&lt;&gt;"OK","",CO22*'DATA TABLES_Project'!$C$250),"")</f>
        <v/>
      </c>
      <c r="DL22" s="925" t="str">
        <f t="shared" ref="DL22" si="48">IFERROR(IF(CB22&lt;&gt;"OK","",CO22*DA22*0.92),"")</f>
        <v/>
      </c>
      <c r="DM22" s="925" t="str">
        <f>IFERROR(IF(CB22&lt;&gt;"OK","",CO22*'DATA TABLES_Project'!$C$250*DA22*0.92),"")</f>
        <v/>
      </c>
      <c r="DN22" s="925" t="str">
        <f t="shared" ref="DN22" si="49">IFERROR(IF(CB22&lt;&gt;"OK","",CO22*BV22),IF(BX22="Dual",(CO22*BW22)+((BZ22-AP22)*(BV22-BW22)),""))</f>
        <v/>
      </c>
      <c r="DO22" s="925" t="str">
        <f ca="1">IFERROR(IF(CB22&lt;&gt;"OK","",CO22*BV22*AVERAGE('DATA TABLES_Project'!$C$250:OFFSET('DATA TABLES_Project'!$C$250,BV22,0))),IF(BX22="Dual",(CO22*BW22*AVERAGE('DATA TABLES_Project'!$C$251:$C$259))+((BZ22-AP22)*(BV22-BW22)*AVERAGE('DATA TABLES_Project'!$C$260:$C$279)),""))</f>
        <v/>
      </c>
      <c r="DP22" s="925" t="str">
        <f t="shared" ref="DP22" si="50">IFERROR(IF(CB22&lt;&gt;"OK","",IF(BX22="Dual",((CO22*BW22)+(BZ22-AP22)*(BV22-BW22))*DA22*0.92,CO22*BV22*DA22*0.92)),"")</f>
        <v/>
      </c>
      <c r="DQ22" s="925" t="str">
        <f ca="1">IFERROR(IF(CB22&lt;&gt;"OK","",IF(BX22="Dual",(0.92*DA22*CO22*BW22*AVERAGE('DATA TABLES_Project'!$C$251:$C$259))+(0.92*DA22*(BZ22-AP22)*(BV22-BW22)*AVERAGE('DATA TABLES_Project'!$C$260:$C$279)),0.92*DA22*CO22*BV22*AVERAGE('DATA TABLES_Project'!$C$250:OFFSET('DATA TABLES_Project'!$C$250,BV22,0)))),"")</f>
        <v/>
      </c>
      <c r="DR22" s="980" t="str">
        <f>IFERROR(IF($CB22&lt;&gt;"OK","",CM22*'DATA TABLES_Project'!$B$290+IF(CO22&lt;0,0,CO22*'DATA TABLES_Project'!$B$291)),"")</f>
        <v/>
      </c>
      <c r="DS22" s="980" t="str">
        <f>IFERROR(IF($CB22&lt;&gt;"OK","",DD22*'DATA TABLES_Project'!$B$290+IF(DK22&lt;0,0,DK22*'DATA TABLES_Project'!$B$291)),"")</f>
        <v/>
      </c>
      <c r="DT22" s="980" t="str">
        <f>IFERROR(IF($CB22&lt;&gt;"OK","",DE22*'DATA TABLES_Project'!$B$290+IF(DL22&lt;0,0,DL22*'DATA TABLES_Project'!$B$291)),"")</f>
        <v/>
      </c>
      <c r="DU22" s="980" t="str">
        <f>IFERROR(IF($CB22&lt;&gt;"OK","",DF22*'DATA TABLES_Project'!$B$290+IF(DM22&lt;0,0,DM22*'DATA TABLES_Project'!$B$291)),"")</f>
        <v/>
      </c>
      <c r="DV22" s="980" t="str">
        <f>IFERROR(IF($CB22&lt;&gt;"OK","",DG22*'DATA TABLES_Project'!$B$290+IF(DN22&lt;0,0,DN22*'DATA TABLES_Project'!$B$291)),"")</f>
        <v/>
      </c>
      <c r="DW22" s="980" t="str">
        <f>IFERROR(IF($CB22&lt;&gt;"OK","",DH22*'DATA TABLES_Project'!$B$290+IF(DO22&lt;0,0,DO22*'DATA TABLES_Project'!$B$291)),"")</f>
        <v/>
      </c>
      <c r="DX22" s="980" t="str">
        <f>IFERROR(IF($CB22&lt;&gt;"OK","",DI22*'DATA TABLES_Project'!$B$290+IF(DP22&lt;0,0,DP22*'DATA TABLES_Project'!$B$291)),"")</f>
        <v/>
      </c>
      <c r="DY22" s="925" t="str">
        <f>IFERROR(IF($CB22&lt;&gt;"OK","",DJ22*'DATA TABLES_Project'!$B$290+IF(DQ22&lt;0,0,DQ22*'DATA TABLES_Project'!$B$291)),"")</f>
        <v/>
      </c>
      <c r="DZ22" s="925" t="str">
        <f t="shared" ref="DZ22" si="51">IFERROR(IF($CB22&lt;&gt;"OK","",AS22),"")</f>
        <v/>
      </c>
      <c r="EA22" s="925" t="str">
        <f>IFERROR(IF(CB22&lt;&gt;"OK","",CN22*'DATA TABLES_Project'!$B$250*CZ22*1.03),"")</f>
        <v/>
      </c>
      <c r="EB22" s="925" t="str">
        <f t="shared" ref="EB22" si="52">IFERROR(IF(CB22&lt;&gt;"OK","",CN22*CZ22*1.03),"")</f>
        <v/>
      </c>
      <c r="EC22" s="925" t="str">
        <f>IFERROR(IF(CB22&lt;&gt;"OK","",CZ22*DZ22*'DATA TABLES_Project'!$C$250*0.92),"")</f>
        <v/>
      </c>
      <c r="ED22" s="925" t="str">
        <f>IFERROR(IF(CB22&lt;&gt;"OK","",CZ22*DZ22*'DATA TABLES_Project'!$C$250*0.92),"")</f>
        <v/>
      </c>
      <c r="EE22" s="925" t="str">
        <f t="shared" ref="EE22" si="53">IFERROR(IF(CB22&lt;&gt;"OK","",CZ22*DZ22*0.92),"")</f>
        <v/>
      </c>
      <c r="EF22" s="925" t="str">
        <f t="shared" ref="EF22" si="54">IFERROR(IF(CB22&lt;&gt;"OK","",CZ22*DZ22*0.92),"")</f>
        <v/>
      </c>
      <c r="EG22" s="925" t="str">
        <f>IFERROR(IF($CB22&lt;&gt;"OK","",CM22*'DATA TABLES_Project'!$B$290+CO22*'DATA TABLES_Project'!$B$291),"")</f>
        <v/>
      </c>
      <c r="EH22" s="925" t="str">
        <f>IFERROR(IF($CB22&lt;&gt;"OK","",DD22*'DATA TABLES_Project'!$B$290+DK22*'DATA TABLES_Project'!$B$291),"")</f>
        <v/>
      </c>
      <c r="EI22" s="925" t="str">
        <f>IFERROR(IF($CB22&lt;&gt;"OK","",DE22*'DATA TABLES_Project'!$B$290+DL22*'DATA TABLES_Project'!$B$291),"")</f>
        <v/>
      </c>
      <c r="EJ22" s="925" t="str">
        <f>IFERROR(IF($CB22&lt;&gt;"OK","",DF22*'DATA TABLES_Project'!$B$290+DM22*'DATA TABLES_Project'!$B$291),"")</f>
        <v/>
      </c>
      <c r="EK22" s="925" t="str">
        <f>IFERROR(IF($CB22&lt;&gt;"OK","",DG22*'DATA TABLES_Project'!$B$290+DN22*'DATA TABLES_Project'!$B$291),"")</f>
        <v/>
      </c>
      <c r="EL22" s="925" t="str">
        <f>IFERROR(IF($CB22&lt;&gt;"OK","",DH22*'DATA TABLES_Project'!$B$290+DO22*'DATA TABLES_Project'!$B$291),"")</f>
        <v/>
      </c>
      <c r="EM22" s="925" t="str">
        <f>IFERROR(IF($CB22&lt;&gt;"OK","",DI22*'DATA TABLES_Project'!$B$290+DP22*'DATA TABLES_Project'!$B$291),"")</f>
        <v/>
      </c>
      <c r="EN22" s="925" t="str">
        <f>IFERROR(IF($CB22&lt;&gt;"OK","",DJ22*'DATA TABLES_Project'!$B$290+DQ22*'DATA TABLES_Project'!$B$291),"")</f>
        <v/>
      </c>
    </row>
    <row r="23" spans="1:144" customFormat="1" ht="16.350000000000001" customHeight="1">
      <c r="A23" s="462"/>
      <c r="B23" s="994"/>
      <c r="C23" s="998"/>
      <c r="D23" s="999"/>
      <c r="E23" s="1000"/>
      <c r="F23" s="964"/>
      <c r="G23" s="965"/>
      <c r="H23" s="965"/>
      <c r="I23" s="965"/>
      <c r="J23" s="965"/>
      <c r="K23" s="966"/>
      <c r="L23" s="964"/>
      <c r="M23" s="965"/>
      <c r="N23" s="965"/>
      <c r="O23" s="965"/>
      <c r="P23" s="965"/>
      <c r="Q23" s="966"/>
      <c r="R23" s="1044"/>
      <c r="S23" s="1044"/>
      <c r="T23" s="1044"/>
      <c r="U23" s="1044"/>
      <c r="V23" s="1044"/>
      <c r="W23" s="1044"/>
      <c r="X23" s="1045"/>
      <c r="Y23" s="1045"/>
      <c r="Z23" s="1045"/>
      <c r="AA23" s="1045"/>
      <c r="AB23" s="1045"/>
      <c r="AC23" s="1045"/>
      <c r="AD23" s="964"/>
      <c r="AE23" s="965"/>
      <c r="AF23" s="965"/>
      <c r="AG23" s="965"/>
      <c r="AH23" s="965"/>
      <c r="AI23" s="966"/>
      <c r="AJ23" s="952"/>
      <c r="AK23" s="953"/>
      <c r="AL23" s="954"/>
      <c r="AM23" s="952"/>
      <c r="AN23" s="953"/>
      <c r="AO23" s="954"/>
      <c r="AP23" s="958"/>
      <c r="AQ23" s="959"/>
      <c r="AR23" s="960"/>
      <c r="AS23" s="958"/>
      <c r="AT23" s="959"/>
      <c r="AU23" s="960"/>
      <c r="AV23" s="968"/>
      <c r="AW23" s="969"/>
      <c r="AX23" s="969"/>
      <c r="AY23" s="969"/>
      <c r="AZ23" s="969"/>
      <c r="BA23" s="970"/>
      <c r="BB23" s="947"/>
      <c r="BC23" s="948"/>
      <c r="BD23" s="947"/>
      <c r="BE23" s="948"/>
      <c r="BF23" s="931"/>
      <c r="BG23" s="932"/>
      <c r="BH23" s="1102"/>
      <c r="BI23" s="1103"/>
      <c r="BJ23" s="1104"/>
      <c r="BK23" s="936"/>
      <c r="BL23" s="937"/>
      <c r="BM23" s="938"/>
      <c r="BN23" s="942"/>
      <c r="BO23" s="943"/>
      <c r="BP23" s="944"/>
      <c r="BS23" s="967"/>
      <c r="BT23" s="967"/>
      <c r="BV23" s="926"/>
      <c r="BW23" s="926"/>
      <c r="BX23" s="926"/>
      <c r="BY23" s="927"/>
      <c r="BZ23" s="928"/>
      <c r="CB23" s="986"/>
      <c r="CC23" s="925"/>
      <c r="CD23" s="925"/>
      <c r="CE23" s="925"/>
      <c r="CF23" s="925"/>
      <c r="CG23" s="925"/>
      <c r="CH23" s="925"/>
      <c r="CI23" s="925"/>
      <c r="CJ23" s="977"/>
      <c r="CK23" s="977"/>
      <c r="CL23" s="977"/>
      <c r="CM23" s="977"/>
      <c r="CN23" s="977"/>
      <c r="CO23" s="977"/>
      <c r="CP23" s="977"/>
      <c r="CQ23" s="977"/>
      <c r="CR23" s="977"/>
      <c r="CS23" s="983"/>
      <c r="CT23" s="1056"/>
      <c r="CU23" s="979"/>
      <c r="CV23" s="925"/>
      <c r="CW23" s="925"/>
      <c r="CX23" s="925"/>
      <c r="CY23" s="925"/>
      <c r="CZ23" s="925"/>
      <c r="DA23" s="925"/>
      <c r="DD23" s="981"/>
      <c r="DE23" s="925"/>
      <c r="DF23" s="981"/>
      <c r="DG23" s="925"/>
      <c r="DH23" s="925"/>
      <c r="DI23" s="925"/>
      <c r="DJ23" s="925"/>
      <c r="DK23" s="925"/>
      <c r="DL23" s="925"/>
      <c r="DM23" s="925"/>
      <c r="DN23" s="925"/>
      <c r="DO23" s="925"/>
      <c r="DP23" s="925"/>
      <c r="DQ23" s="925"/>
      <c r="DR23" s="981"/>
      <c r="DS23" s="981"/>
      <c r="DT23" s="981"/>
      <c r="DU23" s="981"/>
      <c r="DV23" s="981"/>
      <c r="DW23" s="981"/>
      <c r="DX23" s="981"/>
      <c r="DY23" s="925"/>
      <c r="DZ23" s="925"/>
      <c r="EA23" s="925"/>
      <c r="EB23" s="925"/>
      <c r="EC23" s="925"/>
      <c r="ED23" s="925"/>
      <c r="EE23" s="925"/>
      <c r="EF23" s="925"/>
      <c r="EG23" s="925"/>
      <c r="EH23" s="925"/>
      <c r="EI23" s="925"/>
      <c r="EJ23" s="925"/>
      <c r="EK23" s="925"/>
      <c r="EL23" s="925"/>
      <c r="EM23" s="925"/>
      <c r="EN23" s="925"/>
    </row>
    <row r="24" spans="1:144" customFormat="1" ht="16.350000000000001" customHeight="1">
      <c r="A24" s="462"/>
      <c r="B24" s="994">
        <v>4</v>
      </c>
      <c r="C24" s="995"/>
      <c r="D24" s="996"/>
      <c r="E24" s="997"/>
      <c r="F24" s="961"/>
      <c r="G24" s="962"/>
      <c r="H24" s="962"/>
      <c r="I24" s="962"/>
      <c r="J24" s="962"/>
      <c r="K24" s="963"/>
      <c r="L24" s="961"/>
      <c r="M24" s="962"/>
      <c r="N24" s="962"/>
      <c r="O24" s="962"/>
      <c r="P24" s="962"/>
      <c r="Q24" s="963"/>
      <c r="R24" s="1044"/>
      <c r="S24" s="1044"/>
      <c r="T24" s="1044"/>
      <c r="U24" s="1044"/>
      <c r="V24" s="1044"/>
      <c r="W24" s="1044"/>
      <c r="X24" s="1045"/>
      <c r="Y24" s="1045"/>
      <c r="Z24" s="1045"/>
      <c r="AA24" s="1045"/>
      <c r="AB24" s="1045"/>
      <c r="AC24" s="1045"/>
      <c r="AD24" s="961"/>
      <c r="AE24" s="962"/>
      <c r="AF24" s="962"/>
      <c r="AG24" s="962"/>
      <c r="AH24" s="962"/>
      <c r="AI24" s="963"/>
      <c r="AJ24" s="949"/>
      <c r="AK24" s="950"/>
      <c r="AL24" s="951"/>
      <c r="AM24" s="949"/>
      <c r="AN24" s="950"/>
      <c r="AO24" s="951"/>
      <c r="AP24" s="955"/>
      <c r="AQ24" s="956"/>
      <c r="AR24" s="957"/>
      <c r="AS24" s="955"/>
      <c r="AT24" s="956"/>
      <c r="AU24" s="957"/>
      <c r="AV24" s="968"/>
      <c r="AW24" s="969"/>
      <c r="AX24" s="970"/>
      <c r="AY24" s="968"/>
      <c r="AZ24" s="969"/>
      <c r="BA24" s="970"/>
      <c r="BB24" s="945"/>
      <c r="BC24" s="946"/>
      <c r="BD24" s="945"/>
      <c r="BE24" s="946"/>
      <c r="BF24" s="929" t="str">
        <f t="shared" ref="BF24" si="55">IF(CB24="OK",ROUND(BB24+BD24,2),"")</f>
        <v/>
      </c>
      <c r="BG24" s="930"/>
      <c r="BH24" s="1099" t="str">
        <f t="shared" ref="BH24" si="56">IFERROR(IF(AND($CB24="OK",$CU24="OK"),$CI24,IF($CB24&lt;&gt;"OK",$CB24,$CU24)),"")</f>
        <v/>
      </c>
      <c r="BI24" s="1100"/>
      <c r="BJ24" s="1101"/>
      <c r="BK24" s="933" t="str">
        <f t="shared" ref="BK24" si="57">IF($CB24="OK",CM24,"")</f>
        <v/>
      </c>
      <c r="BL24" s="934"/>
      <c r="BM24" s="935"/>
      <c r="BN24" s="939" t="str">
        <f t="shared" ref="BN24" si="58">IF($CB24="OK",$CR24,"")</f>
        <v/>
      </c>
      <c r="BO24" s="940"/>
      <c r="BP24" s="941"/>
      <c r="BS24" s="967"/>
      <c r="BT24" s="967"/>
      <c r="BV24" s="926" t="str">
        <f t="shared" ref="BV24" si="59">IFERROR(ROUND(IF(AND(CB24="OK",CU24="OK"),CT24,""),0),"")</f>
        <v/>
      </c>
      <c r="BW24" s="926" t="str">
        <f t="shared" ref="BW24" si="60">IFERROR(ROUND(IF(AND(CB24="OK",CU24="OK"),BV24/3,""),0),"")</f>
        <v/>
      </c>
      <c r="BX24" s="926"/>
      <c r="BY24" s="927"/>
      <c r="BZ24" s="928"/>
      <c r="CB24" s="986" t="str">
        <f>IF(AND(C24="",F24="",R24="",AD24="",U24="",X24="",L24="",AJ24="",AV24="",AM24="",AP24="",AY24="",AV25="",BB24="",BD24="",AA24="",AS24=""),"",
IF(OR(C24="",F24="",R24="",AD24="",U24="",X24="",L24="",AJ24="",AV24="",AM24="",AP24="",AY24="",AV25="",BB24="",BD24="",AA24="",AS24=""),"Missing Fields",
IF(AND(M02S04F04disp="Required",M02S04F04=""),"TA Info Incomplete",
"OK")))</f>
        <v/>
      </c>
      <c r="CC24" s="925" t="str">
        <f>IF(AND(CB24="OK",CU24="OK"),INDEX(Tbl_Cust_Misc[Measure Number], MATCH(F24,Tbl_Cust_Misc[Proj Desc 1],0)),"")</f>
        <v/>
      </c>
      <c r="CD24" s="925"/>
      <c r="CE24" s="925" t="str">
        <f t="shared" ref="CE24" si="61">IF(CB24="OK","Measure","")</f>
        <v/>
      </c>
      <c r="CF24" s="925" t="str">
        <f t="shared" ref="CF24" si="62">IF(CB24="OK",1,"")</f>
        <v/>
      </c>
      <c r="CG24" s="978" t="str">
        <f t="shared" ref="CG24" si="63">IFERROR(CI24/CF24,"")</f>
        <v/>
      </c>
      <c r="CH24" s="978" t="str">
        <f>IF(CB24="OK",IF(CM24&gt;0,CM24*Incent_Rate_kWh,0)+IF(CO24&gt;0,CO24*Incent_Rate_thm,0),"")</f>
        <v/>
      </c>
      <c r="CI24" s="978" t="str">
        <f>IFERROR(IF($CB24="OK",IF(INCENTTOCOST_CUST&gt;CostCap_Cust,
CH24*CostCap_Cust/INCENTTOCOST_CUST,CH24),""),"")</f>
        <v/>
      </c>
      <c r="CJ24" s="977">
        <f t="shared" ref="CJ24" si="64">CM24</f>
        <v>0</v>
      </c>
      <c r="CK24" s="977">
        <f t="shared" ref="CK24" si="65">CN24</f>
        <v>0</v>
      </c>
      <c r="CL24" s="977">
        <f t="shared" ref="CL24" si="66">CO24</f>
        <v>0</v>
      </c>
      <c r="CM24" s="977">
        <f>R24-AJ24</f>
        <v>0</v>
      </c>
      <c r="CN24" s="977">
        <f>U24-AM24</f>
        <v>0</v>
      </c>
      <c r="CO24" s="977">
        <f t="shared" ref="CO24" si="67">IF(CR24&gt;0,CR24,0)</f>
        <v>0</v>
      </c>
      <c r="CP24" s="977">
        <f t="shared" ref="CP24" si="68">CM24</f>
        <v>0</v>
      </c>
      <c r="CQ24" s="977">
        <f t="shared" ref="CQ24" si="69">CN24</f>
        <v>0</v>
      </c>
      <c r="CR24" s="977">
        <f>X24-AP24</f>
        <v>0</v>
      </c>
      <c r="CS24" s="983"/>
      <c r="CT24" s="1056" t="str">
        <f>IF(CB24="OK",INDEX(Tbl_Cust_Misc[EUL], MATCH(F24,Tbl_Cust_Misc[Proj Desc 1],0)),"")</f>
        <v/>
      </c>
      <c r="CU24" s="979" t="str">
        <f t="shared" ref="CU24" si="70">IFERROR(IF(AND($CM24&lt;=0,$CN24&lt;=0,$CO24&lt;=0),"No Savings","OK"),"")</f>
        <v>No Savings</v>
      </c>
      <c r="CV24" s="925" t="str">
        <f t="shared" ref="CV24" si="71">IF(AND(CB24="OK",CU24="OK"),"1","")</f>
        <v/>
      </c>
      <c r="CW24" s="925" t="str">
        <f>IFERROR(IF($CB24="OK",ROUND($AQ$14*SUM(BB24:BE25)/SUM($BF$18:$BG$37),2),""),"")</f>
        <v/>
      </c>
      <c r="CX24" s="925" t="str">
        <f>IFERROR(IF(M02S04F04="Customer/Self-Installed",CW24,IF($CB24="OK",CW24+BD24,"")),"")</f>
        <v/>
      </c>
      <c r="CY24" s="925" t="str">
        <f>IFERROR(IF($CB24="OK",CX24+BB24,""),"")</f>
        <v/>
      </c>
      <c r="CZ24" s="925" t="str">
        <f>IF(CB24="OK",INDEX(MEASURES3_M!$O$54:$O$58, MATCH(F24,MEASURES3_M!$C$54:$C$58,0)),"")</f>
        <v/>
      </c>
      <c r="DA24" s="925" t="str">
        <f>IF(CB24="OK",INDEX(MEASURES3_M!$P$54:$P$58, MATCH(F24,MEASURES3_M!$C$54:$C$58,0)),"")</f>
        <v/>
      </c>
      <c r="DD24" s="980" t="str">
        <f>IFERROR(IF(CB24&lt;&gt;"OK","",CM24*VLOOKUP('DATA TABLES_Project'!$C$247,'DATA TABLES_Project'!$A$250:$B$285,2,FALSE)),"")</f>
        <v/>
      </c>
      <c r="DE24" s="925" t="str">
        <f t="shared" ref="DE24" si="72">IFERROR(IF(CB24&lt;&gt;"OK","",CM24*CZ24*0.92),"")</f>
        <v/>
      </c>
      <c r="DF24" s="980" t="str">
        <f>IFERROR(IF(CB24&lt;&gt;"OK","",CM24*CZ24*0.92*VLOOKUP('DATA TABLES_Project'!$C$247,'DATA TABLES_Project'!$A$250:$B$285,2,FALSE)),"")</f>
        <v/>
      </c>
      <c r="DG24" s="925" t="str">
        <f t="shared" ref="DG24" si="73">IFERROR(IF(CB24&lt;&gt;"OK","",CM24*BV24),IF(BX24="Dual",(CM24*BW24)+((BY24-AJ24)*(BV24-BW24)),""))</f>
        <v/>
      </c>
      <c r="DH24" s="925" t="str">
        <f ca="1">IFERROR(IF(CB24&lt;&gt;"OK","",IF(OR(BX24="Single",BX24=""), CM24*BV24*AVERAGE(INDEX('DATA TABLES_Project'!$B$250:$B$285, MATCH('DATA TABLES_Project'!$C$247,'DATA TABLES_Project'!$A$250:$A$285, 0)):OFFSET(INDEX('DATA TABLES_Project'!$B$250:$B$285, MATCH('DATA TABLES_Project'!$C$247,'DATA TABLES_Project'!$A$250:$A$285, 0)),BV24-1,0)),CM24*BW24*AVERAGE(INDEX('DATA TABLES_Project'!$B$250:$B$285, MATCH('DATA TABLES_Project'!$C$247,'DATA TABLES_Project'!$A$250:$A$285, 0)):OFFSET(INDEX('DATA TABLES_Project'!$B$250:$B$285, MATCH('DATA TABLES_Project'!$C$247,'DATA TABLES_Project'!$A$250:$A$285, 0)),BW24-1,0)) + ((BY24-AJ24)*(BV24-BW24)*AVERAGE(OFFSET(INDEX('DATA TABLES_Project'!$B$250:$B$285, MATCH('DATA TABLES_Project'!$C$247,'DATA TABLES_Project'!$A$250:$A$285, 0)),BW24,0):OFFSET(INDEX('DATA TABLES_Project'!$B$250:$B$285, MATCH('DATA TABLES_Project'!$C$247,'DATA TABLES_Project'!$A$250:$A$285, 0)),BV24-1,0))))), "")</f>
        <v/>
      </c>
      <c r="DI24" s="925" t="str">
        <f t="shared" ref="DI24" si="74">IFERROR(IF(CB24&lt;&gt;"OK","",IF(BX24="Dual",(CM24*BW24)+((BY24-AJ24)*(BV24-BW24))*CZ24*0.92,CM24*CZ24*BV24*0.92)),"")</f>
        <v/>
      </c>
      <c r="DJ24" s="925" t="str">
        <f ca="1">IFERROR(IF(CB24&lt;&gt;"OK","",IF(OR(BX24="Single",BX24=""),0.92*CZ24*CM24*BV24*AVERAGE(INDEX('DATA TABLES_Project'!$B$250:$B$285, MATCH('DATA TABLES_Project'!$C$247,'DATA TABLES_Project'!$A$250:$A$285, 0)):OFFSET(INDEX('DATA TABLES_Project'!$B$250:$B$285, MATCH('DATA TABLES_Project'!$C$247,'DATA TABLES_Project'!$A$250:$A$285, 0)),BV24-1,0)),0.92*CZ24*CM24*BW24*AVERAGE(INDEX('DATA TABLES_Project'!$B$250:$B$285, MATCH('DATA TABLES_Project'!$C$247,'DATA TABLES_Project'!$A$250:$A$285, 0)):OFFSET(INDEX('DATA TABLES_Project'!$B$250:$B$285, MATCH('DATA TABLES_Project'!$C$247,'DATA TABLES_Project'!$A$250:$A$285, 0)),BW24-1,0)) + (0.92*CZ24*(BY24-AJ24)*(BV24-BW24)*AVERAGE(OFFSET(INDEX('DATA TABLES_Project'!$B$250:$B$285, MATCH('DATA TABLES_Project'!$C$247,'DATA TABLES_Project'!$A$250:$A$285, 0)),BW24,0):OFFSET(INDEX('DATA TABLES_Project'!$B$250:$B$285, MATCH('DATA TABLES_Project'!$C$247,'DATA TABLES_Project'!$A$250:$A$285, 0)),BV24-1,0))))), "")</f>
        <v/>
      </c>
      <c r="DK24" s="925" t="str">
        <f>IFERROR(IF(CB24&lt;&gt;"OK","",CO24*'DATA TABLES_Project'!$C$250),"")</f>
        <v/>
      </c>
      <c r="DL24" s="925" t="str">
        <f t="shared" ref="DL24" si="75">IFERROR(IF(CB24&lt;&gt;"OK","",CO24*DA24*0.92),"")</f>
        <v/>
      </c>
      <c r="DM24" s="925" t="str">
        <f>IFERROR(IF(CB24&lt;&gt;"OK","",CO24*'DATA TABLES_Project'!$C$250*DA24*0.92),"")</f>
        <v/>
      </c>
      <c r="DN24" s="925" t="str">
        <f t="shared" ref="DN24" si="76">IFERROR(IF(CB24&lt;&gt;"OK","",CO24*BV24),IF(BX24="Dual",(CO24*BW24)+((BZ24-AP24)*(BV24-BW24)),""))</f>
        <v/>
      </c>
      <c r="DO24" s="925" t="str">
        <f ca="1">IFERROR(IF(CB24&lt;&gt;"OK","",CO24*BV24*AVERAGE('DATA TABLES_Project'!$C$250:OFFSET('DATA TABLES_Project'!$C$250,BV24,0))),IF(BX24="Dual",(CO24*BW24*AVERAGE('DATA TABLES_Project'!$C$251:$C$259))+((BZ24-AP24)*(BV24-BW24)*AVERAGE('DATA TABLES_Project'!$C$260:$C$279)),""))</f>
        <v/>
      </c>
      <c r="DP24" s="925" t="str">
        <f t="shared" ref="DP24" si="77">IFERROR(IF(CB24&lt;&gt;"OK","",IF(BX24="Dual",((CO24*BW24)+(BZ24-AP24)*(BV24-BW24))*DA24*0.92,CO24*BV24*DA24*0.92)),"")</f>
        <v/>
      </c>
      <c r="DQ24" s="925" t="str">
        <f ca="1">IFERROR(IF(CB24&lt;&gt;"OK","",IF(BX24="Dual",(0.92*DA24*CO24*BW24*AVERAGE('DATA TABLES_Project'!$C$251:$C$259))+(0.92*DA24*(BZ24-AP24)*(BV24-BW24)*AVERAGE('DATA TABLES_Project'!$C$260:$C$279)),0.92*DA24*CO24*BV24*AVERAGE('DATA TABLES_Project'!$C$250:OFFSET('DATA TABLES_Project'!$C$250,BV24,0)))),"")</f>
        <v/>
      </c>
      <c r="DR24" s="980" t="str">
        <f>IFERROR(IF($CB24&lt;&gt;"OK","",CM24*'DATA TABLES_Project'!$B$290+IF(CO24&lt;0,0,CO24*'DATA TABLES_Project'!$B$291)),"")</f>
        <v/>
      </c>
      <c r="DS24" s="980" t="str">
        <f>IFERROR(IF($CB24&lt;&gt;"OK","",DD24*'DATA TABLES_Project'!$B$290+IF(DK24&lt;0,0,DK24*'DATA TABLES_Project'!$B$291)),"")</f>
        <v/>
      </c>
      <c r="DT24" s="980" t="str">
        <f>IFERROR(IF($CB24&lt;&gt;"OK","",DE24*'DATA TABLES_Project'!$B$290+IF(DL24&lt;0,0,DL24*'DATA TABLES_Project'!$B$291)),"")</f>
        <v/>
      </c>
      <c r="DU24" s="980" t="str">
        <f>IFERROR(IF($CB24&lt;&gt;"OK","",DF24*'DATA TABLES_Project'!$B$290+IF(DM24&lt;0,0,DM24*'DATA TABLES_Project'!$B$291)),"")</f>
        <v/>
      </c>
      <c r="DV24" s="980" t="str">
        <f>IFERROR(IF($CB24&lt;&gt;"OK","",DG24*'DATA TABLES_Project'!$B$290+IF(DN24&lt;0,0,DN24*'DATA TABLES_Project'!$B$291)),"")</f>
        <v/>
      </c>
      <c r="DW24" s="980" t="str">
        <f>IFERROR(IF($CB24&lt;&gt;"OK","",DH24*'DATA TABLES_Project'!$B$290+IF(DO24&lt;0,0,DO24*'DATA TABLES_Project'!$B$291)),"")</f>
        <v/>
      </c>
      <c r="DX24" s="980" t="str">
        <f>IFERROR(IF($CB24&lt;&gt;"OK","",DI24*'DATA TABLES_Project'!$B$290+IF(DP24&lt;0,0,DP24*'DATA TABLES_Project'!$B$291)),"")</f>
        <v/>
      </c>
      <c r="DY24" s="925" t="str">
        <f>IFERROR(IF($CB24&lt;&gt;"OK","",DJ24*'DATA TABLES_Project'!$B$290+IF(DQ24&lt;0,0,DQ24*'DATA TABLES_Project'!$B$291)),"")</f>
        <v/>
      </c>
      <c r="DZ24" s="925" t="str">
        <f t="shared" ref="DZ24" si="78">IFERROR(IF($CB24&lt;&gt;"OK","",AS24),"")</f>
        <v/>
      </c>
      <c r="EA24" s="925" t="str">
        <f>IFERROR(IF(CB24&lt;&gt;"OK","",CN24*'DATA TABLES_Project'!$B$250*CZ24*1.03),"")</f>
        <v/>
      </c>
      <c r="EB24" s="925" t="str">
        <f t="shared" ref="EB24" si="79">IFERROR(IF(CB24&lt;&gt;"OK","",CN24*CZ24*1.03),"")</f>
        <v/>
      </c>
      <c r="EC24" s="925" t="str">
        <f>IFERROR(IF(CB24&lt;&gt;"OK","",CZ24*DZ24*'DATA TABLES_Project'!$C$250*0.92),"")</f>
        <v/>
      </c>
      <c r="ED24" s="925" t="str">
        <f>IFERROR(IF(CB24&lt;&gt;"OK","",CZ24*DZ24*'DATA TABLES_Project'!$C$250*0.92),"")</f>
        <v/>
      </c>
      <c r="EE24" s="925" t="str">
        <f t="shared" ref="EE24" si="80">IFERROR(IF(CB24&lt;&gt;"OK","",CZ24*DZ24*0.92),"")</f>
        <v/>
      </c>
      <c r="EF24" s="925" t="str">
        <f t="shared" ref="EF24" si="81">IFERROR(IF(CB24&lt;&gt;"OK","",CZ24*DZ24*0.92),"")</f>
        <v/>
      </c>
      <c r="EG24" s="925" t="str">
        <f>IFERROR(IF($CB24&lt;&gt;"OK","",CM24*'DATA TABLES_Project'!$B$290+CO24*'DATA TABLES_Project'!$B$291),"")</f>
        <v/>
      </c>
      <c r="EH24" s="925" t="str">
        <f>IFERROR(IF($CB24&lt;&gt;"OK","",DD24*'DATA TABLES_Project'!$B$290+DK24*'DATA TABLES_Project'!$B$291),"")</f>
        <v/>
      </c>
      <c r="EI24" s="925" t="str">
        <f>IFERROR(IF($CB24&lt;&gt;"OK","",DE24*'DATA TABLES_Project'!$B$290+DL24*'DATA TABLES_Project'!$B$291),"")</f>
        <v/>
      </c>
      <c r="EJ24" s="925" t="str">
        <f>IFERROR(IF($CB24&lt;&gt;"OK","",DF24*'DATA TABLES_Project'!$B$290+DM24*'DATA TABLES_Project'!$B$291),"")</f>
        <v/>
      </c>
      <c r="EK24" s="925" t="str">
        <f>IFERROR(IF($CB24&lt;&gt;"OK","",DG24*'DATA TABLES_Project'!$B$290+DN24*'DATA TABLES_Project'!$B$291),"")</f>
        <v/>
      </c>
      <c r="EL24" s="925" t="str">
        <f>IFERROR(IF($CB24&lt;&gt;"OK","",DH24*'DATA TABLES_Project'!$B$290+DO24*'DATA TABLES_Project'!$B$291),"")</f>
        <v/>
      </c>
      <c r="EM24" s="925" t="str">
        <f>IFERROR(IF($CB24&lt;&gt;"OK","",DI24*'DATA TABLES_Project'!$B$290+DP24*'DATA TABLES_Project'!$B$291),"")</f>
        <v/>
      </c>
      <c r="EN24" s="925" t="str">
        <f>IFERROR(IF($CB24&lt;&gt;"OK","",DJ24*'DATA TABLES_Project'!$B$290+DQ24*'DATA TABLES_Project'!$B$291),"")</f>
        <v/>
      </c>
    </row>
    <row r="25" spans="1:144" customFormat="1" ht="16.350000000000001" customHeight="1">
      <c r="A25" s="462"/>
      <c r="B25" s="994"/>
      <c r="C25" s="998"/>
      <c r="D25" s="999"/>
      <c r="E25" s="1000"/>
      <c r="F25" s="964"/>
      <c r="G25" s="965"/>
      <c r="H25" s="965"/>
      <c r="I25" s="965"/>
      <c r="J25" s="965"/>
      <c r="K25" s="966"/>
      <c r="L25" s="964"/>
      <c r="M25" s="965"/>
      <c r="N25" s="965"/>
      <c r="O25" s="965"/>
      <c r="P25" s="965"/>
      <c r="Q25" s="966"/>
      <c r="R25" s="1044"/>
      <c r="S25" s="1044"/>
      <c r="T25" s="1044"/>
      <c r="U25" s="1044"/>
      <c r="V25" s="1044"/>
      <c r="W25" s="1044"/>
      <c r="X25" s="1045"/>
      <c r="Y25" s="1045"/>
      <c r="Z25" s="1045"/>
      <c r="AA25" s="1045"/>
      <c r="AB25" s="1045"/>
      <c r="AC25" s="1045"/>
      <c r="AD25" s="964"/>
      <c r="AE25" s="965"/>
      <c r="AF25" s="965"/>
      <c r="AG25" s="965"/>
      <c r="AH25" s="965"/>
      <c r="AI25" s="966"/>
      <c r="AJ25" s="952"/>
      <c r="AK25" s="953"/>
      <c r="AL25" s="954"/>
      <c r="AM25" s="952"/>
      <c r="AN25" s="953"/>
      <c r="AO25" s="954"/>
      <c r="AP25" s="958"/>
      <c r="AQ25" s="959"/>
      <c r="AR25" s="960"/>
      <c r="AS25" s="958"/>
      <c r="AT25" s="959"/>
      <c r="AU25" s="960"/>
      <c r="AV25" s="968"/>
      <c r="AW25" s="969"/>
      <c r="AX25" s="969"/>
      <c r="AY25" s="969"/>
      <c r="AZ25" s="969"/>
      <c r="BA25" s="970"/>
      <c r="BB25" s="947"/>
      <c r="BC25" s="948"/>
      <c r="BD25" s="947"/>
      <c r="BE25" s="948"/>
      <c r="BF25" s="931"/>
      <c r="BG25" s="932"/>
      <c r="BH25" s="1102"/>
      <c r="BI25" s="1103"/>
      <c r="BJ25" s="1104"/>
      <c r="BK25" s="936"/>
      <c r="BL25" s="937"/>
      <c r="BM25" s="938"/>
      <c r="BN25" s="942"/>
      <c r="BO25" s="943"/>
      <c r="BP25" s="944"/>
      <c r="BS25" s="967"/>
      <c r="BT25" s="967"/>
      <c r="BV25" s="926"/>
      <c r="BW25" s="926"/>
      <c r="BX25" s="926"/>
      <c r="BY25" s="927"/>
      <c r="BZ25" s="928"/>
      <c r="CB25" s="986"/>
      <c r="CC25" s="925"/>
      <c r="CD25" s="925"/>
      <c r="CE25" s="925"/>
      <c r="CF25" s="925"/>
      <c r="CG25" s="925"/>
      <c r="CH25" s="925"/>
      <c r="CI25" s="925"/>
      <c r="CJ25" s="977"/>
      <c r="CK25" s="977"/>
      <c r="CL25" s="977"/>
      <c r="CM25" s="977"/>
      <c r="CN25" s="977"/>
      <c r="CO25" s="977"/>
      <c r="CP25" s="977"/>
      <c r="CQ25" s="977"/>
      <c r="CR25" s="977"/>
      <c r="CS25" s="983"/>
      <c r="CT25" s="1056"/>
      <c r="CU25" s="979"/>
      <c r="CV25" s="925"/>
      <c r="CW25" s="925"/>
      <c r="CX25" s="925"/>
      <c r="CY25" s="925"/>
      <c r="CZ25" s="925"/>
      <c r="DA25" s="925"/>
      <c r="DD25" s="981"/>
      <c r="DE25" s="925"/>
      <c r="DF25" s="981"/>
      <c r="DG25" s="925"/>
      <c r="DH25" s="925"/>
      <c r="DI25" s="925"/>
      <c r="DJ25" s="925"/>
      <c r="DK25" s="925"/>
      <c r="DL25" s="925"/>
      <c r="DM25" s="925"/>
      <c r="DN25" s="925"/>
      <c r="DO25" s="925"/>
      <c r="DP25" s="925"/>
      <c r="DQ25" s="925"/>
      <c r="DR25" s="981"/>
      <c r="DS25" s="981"/>
      <c r="DT25" s="981"/>
      <c r="DU25" s="981"/>
      <c r="DV25" s="981"/>
      <c r="DW25" s="981"/>
      <c r="DX25" s="981"/>
      <c r="DY25" s="925"/>
      <c r="DZ25" s="925"/>
      <c r="EA25" s="925"/>
      <c r="EB25" s="925"/>
      <c r="EC25" s="925"/>
      <c r="ED25" s="925"/>
      <c r="EE25" s="925"/>
      <c r="EF25" s="925"/>
      <c r="EG25" s="925"/>
      <c r="EH25" s="925"/>
      <c r="EI25" s="925"/>
      <c r="EJ25" s="925"/>
      <c r="EK25" s="925"/>
      <c r="EL25" s="925"/>
      <c r="EM25" s="925"/>
      <c r="EN25" s="925"/>
    </row>
    <row r="26" spans="1:144" customFormat="1" ht="16.350000000000001" customHeight="1">
      <c r="A26" s="462"/>
      <c r="B26" s="994">
        <v>5</v>
      </c>
      <c r="C26" s="995"/>
      <c r="D26" s="996"/>
      <c r="E26" s="997"/>
      <c r="F26" s="961"/>
      <c r="G26" s="962"/>
      <c r="H26" s="962"/>
      <c r="I26" s="962"/>
      <c r="J26" s="962"/>
      <c r="K26" s="963"/>
      <c r="L26" s="961"/>
      <c r="M26" s="962"/>
      <c r="N26" s="962"/>
      <c r="O26" s="962"/>
      <c r="P26" s="962"/>
      <c r="Q26" s="963"/>
      <c r="R26" s="1044"/>
      <c r="S26" s="1044"/>
      <c r="T26" s="1044"/>
      <c r="U26" s="1044"/>
      <c r="V26" s="1044"/>
      <c r="W26" s="1044"/>
      <c r="X26" s="1045"/>
      <c r="Y26" s="1045"/>
      <c r="Z26" s="1045"/>
      <c r="AA26" s="1045"/>
      <c r="AB26" s="1045"/>
      <c r="AC26" s="1045"/>
      <c r="AD26" s="961"/>
      <c r="AE26" s="962"/>
      <c r="AF26" s="962"/>
      <c r="AG26" s="962"/>
      <c r="AH26" s="962"/>
      <c r="AI26" s="963"/>
      <c r="AJ26" s="949"/>
      <c r="AK26" s="950"/>
      <c r="AL26" s="951"/>
      <c r="AM26" s="949"/>
      <c r="AN26" s="950"/>
      <c r="AO26" s="951"/>
      <c r="AP26" s="955"/>
      <c r="AQ26" s="956"/>
      <c r="AR26" s="957"/>
      <c r="AS26" s="955"/>
      <c r="AT26" s="956"/>
      <c r="AU26" s="957"/>
      <c r="AV26" s="968"/>
      <c r="AW26" s="969"/>
      <c r="AX26" s="970"/>
      <c r="AY26" s="968"/>
      <c r="AZ26" s="969"/>
      <c r="BA26" s="970"/>
      <c r="BB26" s="945"/>
      <c r="BC26" s="946"/>
      <c r="BD26" s="945"/>
      <c r="BE26" s="946"/>
      <c r="BF26" s="929" t="str">
        <f t="shared" ref="BF26" si="82">IF(CB26="OK",ROUND(BB26+BD26,2),"")</f>
        <v/>
      </c>
      <c r="BG26" s="930"/>
      <c r="BH26" s="1099" t="str">
        <f t="shared" ref="BH26" si="83">IFERROR(IF(AND($CB26="OK",$CU26="OK"),$CI26,IF($CB26&lt;&gt;"OK",$CB26,$CU26)),"")</f>
        <v/>
      </c>
      <c r="BI26" s="1100"/>
      <c r="BJ26" s="1101"/>
      <c r="BK26" s="933" t="str">
        <f t="shared" ref="BK26" si="84">IF($CB26="OK",CM26,"")</f>
        <v/>
      </c>
      <c r="BL26" s="934"/>
      <c r="BM26" s="935"/>
      <c r="BN26" s="939" t="str">
        <f t="shared" ref="BN26" si="85">IF($CB26="OK",$CR26,"")</f>
        <v/>
      </c>
      <c r="BO26" s="940"/>
      <c r="BP26" s="941"/>
      <c r="BS26" s="967"/>
      <c r="BT26" s="967"/>
      <c r="BV26" s="926" t="str">
        <f t="shared" ref="BV26" si="86">IFERROR(ROUND(IF(AND(CB26="OK",CU26="OK"),CT26,""),0),"")</f>
        <v/>
      </c>
      <c r="BW26" s="926" t="str">
        <f t="shared" ref="BW26" si="87">IFERROR(ROUND(IF(AND(CB26="OK",CU26="OK"),BV26/3,""),0),"")</f>
        <v/>
      </c>
      <c r="BX26" s="926"/>
      <c r="BY26" s="927"/>
      <c r="BZ26" s="928"/>
      <c r="CB26" s="986" t="str">
        <f>IF(AND(C26="",F26="",R26="",AD26="",U26="",X26="",L26="",AJ26="",AV26="",AM26="",AP26="",AY26="",AV27="",BB26="",BD26="",AA26="",AS26=""),"",
IF(OR(C26="",F26="",R26="",AD26="",U26="",X26="",L26="",AJ26="",AV26="",AM26="",AP26="",AY26="",AV27="",BB26="",BD26="",AA26="",AS26=""),"Missing Fields",
IF(AND(M02S04F04disp="Required",M02S04F04=""),"TA Info Incomplete",
"OK")))</f>
        <v/>
      </c>
      <c r="CC26" s="925" t="str">
        <f>IF(AND(CB26="OK",CU26="OK"),INDEX(Tbl_Cust_Misc[Measure Number], MATCH(F26,Tbl_Cust_Misc[Proj Desc 1],0)),"")</f>
        <v/>
      </c>
      <c r="CD26" s="925"/>
      <c r="CE26" s="925" t="str">
        <f t="shared" ref="CE26" si="88">IF(CB26="OK","Measure","")</f>
        <v/>
      </c>
      <c r="CF26" s="925" t="str">
        <f t="shared" ref="CF26" si="89">IF(CB26="OK",1,"")</f>
        <v/>
      </c>
      <c r="CG26" s="978" t="str">
        <f t="shared" ref="CG26" si="90">IFERROR(CI26/CF26,"")</f>
        <v/>
      </c>
      <c r="CH26" s="978" t="str">
        <f>IF(CB26="OK",IF(CM26&gt;0,CM26*Incent_Rate_kWh,0)+IF(CO26&gt;0,CO26*Incent_Rate_thm,0),"")</f>
        <v/>
      </c>
      <c r="CI26" s="978" t="str">
        <f>IFERROR(IF($CB26="OK",IF(INCENTTOCOST_CUST&gt;CostCap_Cust,
CH26*CostCap_Cust/INCENTTOCOST_CUST,CH26),""),"")</f>
        <v/>
      </c>
      <c r="CJ26" s="977">
        <f t="shared" ref="CJ26" si="91">CM26</f>
        <v>0</v>
      </c>
      <c r="CK26" s="977">
        <f t="shared" ref="CK26" si="92">CN26</f>
        <v>0</v>
      </c>
      <c r="CL26" s="977">
        <f t="shared" ref="CL26" si="93">CO26</f>
        <v>0</v>
      </c>
      <c r="CM26" s="977">
        <f>R26-AJ26</f>
        <v>0</v>
      </c>
      <c r="CN26" s="977">
        <f>U26-AM26</f>
        <v>0</v>
      </c>
      <c r="CO26" s="977">
        <f t="shared" ref="CO26" si="94">IF(CR26&gt;0,CR26,0)</f>
        <v>0</v>
      </c>
      <c r="CP26" s="977">
        <f t="shared" ref="CP26" si="95">CM26</f>
        <v>0</v>
      </c>
      <c r="CQ26" s="977">
        <f t="shared" ref="CQ26" si="96">CN26</f>
        <v>0</v>
      </c>
      <c r="CR26" s="977">
        <f>X26-AP26</f>
        <v>0</v>
      </c>
      <c r="CS26" s="983"/>
      <c r="CT26" s="1056" t="str">
        <f>IF(CB26="OK",INDEX(Tbl_Cust_Misc[EUL], MATCH(F26,Tbl_Cust_Misc[Proj Desc 1],0)),"")</f>
        <v/>
      </c>
      <c r="CU26" s="979" t="str">
        <f t="shared" ref="CU26" si="97">IFERROR(IF(AND($CM26&lt;=0,$CN26&lt;=0,$CO26&lt;=0),"No Savings","OK"),"")</f>
        <v>No Savings</v>
      </c>
      <c r="CV26" s="925" t="str">
        <f t="shared" ref="CV26" si="98">IF(AND(CB26="OK",CU26="OK"),"1","")</f>
        <v/>
      </c>
      <c r="CW26" s="925" t="str">
        <f>IFERROR(IF($CB26="OK",ROUND($AQ$14*SUM(BB26:BE27)/SUM($BF$18:$BG$37),2),""),"")</f>
        <v/>
      </c>
      <c r="CX26" s="925" t="str">
        <f>IFERROR(IF(M02S04F04="Customer/Self-Installed",CW26,IF($CB26="OK",CW26+BD26,"")),"")</f>
        <v/>
      </c>
      <c r="CY26" s="925" t="str">
        <f>IFERROR(IF($CB26="OK",CX26+BB26,""),"")</f>
        <v/>
      </c>
      <c r="CZ26" s="925" t="str">
        <f>IF(CB26="OK",INDEX(MEASURES3_M!$O$54:$O$58, MATCH(F26,MEASURES3_M!$C$54:$C$58,0)),"")</f>
        <v/>
      </c>
      <c r="DA26" s="925" t="str">
        <f>IF(CB26="OK",INDEX(MEASURES3_M!$P$54:$P$58, MATCH(F26,MEASURES3_M!$C$54:$C$58,0)),"")</f>
        <v/>
      </c>
      <c r="DD26" s="980" t="str">
        <f>IFERROR(IF(CB26&lt;&gt;"OK","",CM26*VLOOKUP('DATA TABLES_Project'!$C$247,'DATA TABLES_Project'!$A$250:$B$285,2,FALSE)),"")</f>
        <v/>
      </c>
      <c r="DE26" s="925" t="str">
        <f t="shared" ref="DE26" si="99">IFERROR(IF(CB26&lt;&gt;"OK","",CM26*CZ26*0.92),"")</f>
        <v/>
      </c>
      <c r="DF26" s="980" t="str">
        <f>IFERROR(IF(CB26&lt;&gt;"OK","",CM26*CZ26*0.92*VLOOKUP('DATA TABLES_Project'!$C$247,'DATA TABLES_Project'!$A$250:$B$285,2,FALSE)),"")</f>
        <v/>
      </c>
      <c r="DG26" s="925" t="str">
        <f t="shared" ref="DG26" si="100">IFERROR(IF(CB26&lt;&gt;"OK","",CM26*BV26),IF(BX26="Dual",(CM26*BW26)+((BY26-AJ26)*(BV26-BW26)),""))</f>
        <v/>
      </c>
      <c r="DH26" s="925" t="str">
        <f ca="1">IFERROR(IF(CB26&lt;&gt;"OK","",IF(OR(BX26="Single",BX26=""), CM26*BV26*AVERAGE(INDEX('DATA TABLES_Project'!$B$250:$B$285, MATCH('DATA TABLES_Project'!$C$247,'DATA TABLES_Project'!$A$250:$A$285, 0)):OFFSET(INDEX('DATA TABLES_Project'!$B$250:$B$285, MATCH('DATA TABLES_Project'!$C$247,'DATA TABLES_Project'!$A$250:$A$285, 0)),BV26-1,0)),CM26*BW26*AVERAGE(INDEX('DATA TABLES_Project'!$B$250:$B$285, MATCH('DATA TABLES_Project'!$C$247,'DATA TABLES_Project'!$A$250:$A$285, 0)):OFFSET(INDEX('DATA TABLES_Project'!$B$250:$B$285, MATCH('DATA TABLES_Project'!$C$247,'DATA TABLES_Project'!$A$250:$A$285, 0)),BW26-1,0)) + ((BY26-AJ26)*(BV26-BW26)*AVERAGE(OFFSET(INDEX('DATA TABLES_Project'!$B$250:$B$285, MATCH('DATA TABLES_Project'!$C$247,'DATA TABLES_Project'!$A$250:$A$285, 0)),BW26,0):OFFSET(INDEX('DATA TABLES_Project'!$B$250:$B$285, MATCH('DATA TABLES_Project'!$C$247,'DATA TABLES_Project'!$A$250:$A$285, 0)),BV26-1,0))))), "")</f>
        <v/>
      </c>
      <c r="DI26" s="925" t="str">
        <f t="shared" ref="DI26" si="101">IFERROR(IF(CB26&lt;&gt;"OK","",IF(BX26="Dual",(CM26*BW26)+((BY26-AJ26)*(BV26-BW26))*CZ26*0.92,CM26*CZ26*BV26*0.92)),"")</f>
        <v/>
      </c>
      <c r="DJ26" s="925" t="str">
        <f ca="1">IFERROR(IF(CB26&lt;&gt;"OK","",IF(OR(BX26="Single",BX26=""),0.92*CZ26*CM26*BV26*AVERAGE(INDEX('DATA TABLES_Project'!$B$250:$B$285, MATCH('DATA TABLES_Project'!$C$247,'DATA TABLES_Project'!$A$250:$A$285, 0)):OFFSET(INDEX('DATA TABLES_Project'!$B$250:$B$285, MATCH('DATA TABLES_Project'!$C$247,'DATA TABLES_Project'!$A$250:$A$285, 0)),BV26-1,0)),0.92*CZ26*CM26*BW26*AVERAGE(INDEX('DATA TABLES_Project'!$B$250:$B$285, MATCH('DATA TABLES_Project'!$C$247,'DATA TABLES_Project'!$A$250:$A$285, 0)):OFFSET(INDEX('DATA TABLES_Project'!$B$250:$B$285, MATCH('DATA TABLES_Project'!$C$247,'DATA TABLES_Project'!$A$250:$A$285, 0)),BW26-1,0)) + (0.92*CZ26*(BY26-AJ26)*(BV26-BW26)*AVERAGE(OFFSET(INDEX('DATA TABLES_Project'!$B$250:$B$285, MATCH('DATA TABLES_Project'!$C$247,'DATA TABLES_Project'!$A$250:$A$285, 0)),BW26,0):OFFSET(INDEX('DATA TABLES_Project'!$B$250:$B$285, MATCH('DATA TABLES_Project'!$C$247,'DATA TABLES_Project'!$A$250:$A$285, 0)),BV26-1,0))))), "")</f>
        <v/>
      </c>
      <c r="DK26" s="925" t="str">
        <f>IFERROR(IF(CB26&lt;&gt;"OK","",CO26*'DATA TABLES_Project'!$C$250),"")</f>
        <v/>
      </c>
      <c r="DL26" s="925" t="str">
        <f t="shared" ref="DL26" si="102">IFERROR(IF(CB26&lt;&gt;"OK","",CO26*DA26*0.92),"")</f>
        <v/>
      </c>
      <c r="DM26" s="925" t="str">
        <f>IFERROR(IF(CB26&lt;&gt;"OK","",CO26*'DATA TABLES_Project'!$C$250*DA26*0.92),"")</f>
        <v/>
      </c>
      <c r="DN26" s="925" t="str">
        <f t="shared" ref="DN26" si="103">IFERROR(IF(CB26&lt;&gt;"OK","",CO26*BV26),IF(BX26="Dual",(CO26*BW26)+((BZ26-AP26)*(BV26-BW26)),""))</f>
        <v/>
      </c>
      <c r="DO26" s="925" t="str">
        <f ca="1">IFERROR(IF(CB26&lt;&gt;"OK","",CO26*BV26*AVERAGE('DATA TABLES_Project'!$C$250:OFFSET('DATA TABLES_Project'!$C$250,BV26,0))),IF(BX26="Dual",(CO26*BW26*AVERAGE('DATA TABLES_Project'!$C$251:$C$259))+((BZ26-AP26)*(BV26-BW26)*AVERAGE('DATA TABLES_Project'!$C$260:$C$279)),""))</f>
        <v/>
      </c>
      <c r="DP26" s="925" t="str">
        <f t="shared" ref="DP26" si="104">IFERROR(IF(CB26&lt;&gt;"OK","",IF(BX26="Dual",((CO26*BW26)+(BZ26-AP26)*(BV26-BW26))*DA26*0.92,CO26*BV26*DA26*0.92)),"")</f>
        <v/>
      </c>
      <c r="DQ26" s="925" t="str">
        <f ca="1">IFERROR(IF(CB26&lt;&gt;"OK","",IF(BX26="Dual",(0.92*DA26*CO26*BW26*AVERAGE('DATA TABLES_Project'!$C$251:$C$259))+(0.92*DA26*(BZ26-AP26)*(BV26-BW26)*AVERAGE('DATA TABLES_Project'!$C$260:$C$279)),0.92*DA26*CO26*BV26*AVERAGE('DATA TABLES_Project'!$C$250:OFFSET('DATA TABLES_Project'!$C$250,BV26,0)))),"")</f>
        <v/>
      </c>
      <c r="DR26" s="980" t="str">
        <f>IFERROR(IF($CB26&lt;&gt;"OK","",CM26*'DATA TABLES_Project'!$B$290+IF(CO26&lt;0,0,CO26*'DATA TABLES_Project'!$B$291)),"")</f>
        <v/>
      </c>
      <c r="DS26" s="980" t="str">
        <f>IFERROR(IF($CB26&lt;&gt;"OK","",DD26*'DATA TABLES_Project'!$B$290+IF(DK26&lt;0,0,DK26*'DATA TABLES_Project'!$B$291)),"")</f>
        <v/>
      </c>
      <c r="DT26" s="980" t="str">
        <f>IFERROR(IF($CB26&lt;&gt;"OK","",DE26*'DATA TABLES_Project'!$B$290+IF(DL26&lt;0,0,DL26*'DATA TABLES_Project'!$B$291)),"")</f>
        <v/>
      </c>
      <c r="DU26" s="980" t="str">
        <f>IFERROR(IF($CB26&lt;&gt;"OK","",DF26*'DATA TABLES_Project'!$B$290+IF(DM26&lt;0,0,DM26*'DATA TABLES_Project'!$B$291)),"")</f>
        <v/>
      </c>
      <c r="DV26" s="980" t="str">
        <f>IFERROR(IF($CB26&lt;&gt;"OK","",DG26*'DATA TABLES_Project'!$B$290+IF(DN26&lt;0,0,DN26*'DATA TABLES_Project'!$B$291)),"")</f>
        <v/>
      </c>
      <c r="DW26" s="980" t="str">
        <f>IFERROR(IF($CB26&lt;&gt;"OK","",DH26*'DATA TABLES_Project'!$B$290+IF(DO26&lt;0,0,DO26*'DATA TABLES_Project'!$B$291)),"")</f>
        <v/>
      </c>
      <c r="DX26" s="980" t="str">
        <f>IFERROR(IF($CB26&lt;&gt;"OK","",DI26*'DATA TABLES_Project'!$B$290+IF(DP26&lt;0,0,DP26*'DATA TABLES_Project'!$B$291)),"")</f>
        <v/>
      </c>
      <c r="DY26" s="925" t="str">
        <f>IFERROR(IF($CB26&lt;&gt;"OK","",DJ26*'DATA TABLES_Project'!$B$290+IF(DQ26&lt;0,0,DQ26*'DATA TABLES_Project'!$B$291)),"")</f>
        <v/>
      </c>
      <c r="DZ26" s="925" t="str">
        <f t="shared" ref="DZ26" si="105">IFERROR(IF($CB26&lt;&gt;"OK","",AS26),"")</f>
        <v/>
      </c>
      <c r="EA26" s="925" t="str">
        <f>IFERROR(IF(CB26&lt;&gt;"OK","",CN26*'DATA TABLES_Project'!$B$250*CZ26*1.03),"")</f>
        <v/>
      </c>
      <c r="EB26" s="925" t="str">
        <f t="shared" ref="EB26" si="106">IFERROR(IF(CB26&lt;&gt;"OK","",CN26*CZ26*1.03),"")</f>
        <v/>
      </c>
      <c r="EC26" s="925" t="str">
        <f>IFERROR(IF(CB26&lt;&gt;"OK","",CZ26*DZ26*'DATA TABLES_Project'!$C$250*0.92),"")</f>
        <v/>
      </c>
      <c r="ED26" s="925" t="str">
        <f>IFERROR(IF(CB26&lt;&gt;"OK","",CZ26*DZ26*'DATA TABLES_Project'!$C$250*0.92),"")</f>
        <v/>
      </c>
      <c r="EE26" s="925" t="str">
        <f t="shared" ref="EE26" si="107">IFERROR(IF(CB26&lt;&gt;"OK","",CZ26*DZ26*0.92),"")</f>
        <v/>
      </c>
      <c r="EF26" s="925" t="str">
        <f t="shared" ref="EF26" si="108">IFERROR(IF(CB26&lt;&gt;"OK","",CZ26*DZ26*0.92),"")</f>
        <v/>
      </c>
      <c r="EG26" s="925" t="str">
        <f>IFERROR(IF($CB26&lt;&gt;"OK","",CM26*'DATA TABLES_Project'!$B$290+CO26*'DATA TABLES_Project'!$B$291),"")</f>
        <v/>
      </c>
      <c r="EH26" s="925" t="str">
        <f>IFERROR(IF($CB26&lt;&gt;"OK","",DD26*'DATA TABLES_Project'!$B$290+DK26*'DATA TABLES_Project'!$B$291),"")</f>
        <v/>
      </c>
      <c r="EI26" s="925" t="str">
        <f>IFERROR(IF($CB26&lt;&gt;"OK","",DE26*'DATA TABLES_Project'!$B$290+DL26*'DATA TABLES_Project'!$B$291),"")</f>
        <v/>
      </c>
      <c r="EJ26" s="925" t="str">
        <f>IFERROR(IF($CB26&lt;&gt;"OK","",DF26*'DATA TABLES_Project'!$B$290+DM26*'DATA TABLES_Project'!$B$291),"")</f>
        <v/>
      </c>
      <c r="EK26" s="925" t="str">
        <f>IFERROR(IF($CB26&lt;&gt;"OK","",DG26*'DATA TABLES_Project'!$B$290+DN26*'DATA TABLES_Project'!$B$291),"")</f>
        <v/>
      </c>
      <c r="EL26" s="925" t="str">
        <f>IFERROR(IF($CB26&lt;&gt;"OK","",DH26*'DATA TABLES_Project'!$B$290+DO26*'DATA TABLES_Project'!$B$291),"")</f>
        <v/>
      </c>
      <c r="EM26" s="925" t="str">
        <f>IFERROR(IF($CB26&lt;&gt;"OK","",DI26*'DATA TABLES_Project'!$B$290+DP26*'DATA TABLES_Project'!$B$291),"")</f>
        <v/>
      </c>
      <c r="EN26" s="925" t="str">
        <f>IFERROR(IF($CB26&lt;&gt;"OK","",DJ26*'DATA TABLES_Project'!$B$290+DQ26*'DATA TABLES_Project'!$B$291),"")</f>
        <v/>
      </c>
    </row>
    <row r="27" spans="1:144" customFormat="1" ht="16.350000000000001" customHeight="1">
      <c r="A27" s="462"/>
      <c r="B27" s="994"/>
      <c r="C27" s="998"/>
      <c r="D27" s="999"/>
      <c r="E27" s="1000"/>
      <c r="F27" s="964"/>
      <c r="G27" s="965"/>
      <c r="H27" s="965"/>
      <c r="I27" s="965"/>
      <c r="J27" s="965"/>
      <c r="K27" s="966"/>
      <c r="L27" s="964"/>
      <c r="M27" s="965"/>
      <c r="N27" s="965"/>
      <c r="O27" s="965"/>
      <c r="P27" s="965"/>
      <c r="Q27" s="966"/>
      <c r="R27" s="1044"/>
      <c r="S27" s="1044"/>
      <c r="T27" s="1044"/>
      <c r="U27" s="1044"/>
      <c r="V27" s="1044"/>
      <c r="W27" s="1044"/>
      <c r="X27" s="1045"/>
      <c r="Y27" s="1045"/>
      <c r="Z27" s="1045"/>
      <c r="AA27" s="1045"/>
      <c r="AB27" s="1045"/>
      <c r="AC27" s="1045"/>
      <c r="AD27" s="964"/>
      <c r="AE27" s="965"/>
      <c r="AF27" s="965"/>
      <c r="AG27" s="965"/>
      <c r="AH27" s="965"/>
      <c r="AI27" s="966"/>
      <c r="AJ27" s="952"/>
      <c r="AK27" s="953"/>
      <c r="AL27" s="954"/>
      <c r="AM27" s="952"/>
      <c r="AN27" s="953"/>
      <c r="AO27" s="954"/>
      <c r="AP27" s="958"/>
      <c r="AQ27" s="959"/>
      <c r="AR27" s="960"/>
      <c r="AS27" s="958"/>
      <c r="AT27" s="959"/>
      <c r="AU27" s="960"/>
      <c r="AV27" s="968"/>
      <c r="AW27" s="969"/>
      <c r="AX27" s="969"/>
      <c r="AY27" s="969"/>
      <c r="AZ27" s="969"/>
      <c r="BA27" s="970"/>
      <c r="BB27" s="947"/>
      <c r="BC27" s="948"/>
      <c r="BD27" s="947"/>
      <c r="BE27" s="948"/>
      <c r="BF27" s="931"/>
      <c r="BG27" s="932"/>
      <c r="BH27" s="1102"/>
      <c r="BI27" s="1103"/>
      <c r="BJ27" s="1104"/>
      <c r="BK27" s="936"/>
      <c r="BL27" s="937"/>
      <c r="BM27" s="938"/>
      <c r="BN27" s="942"/>
      <c r="BO27" s="943"/>
      <c r="BP27" s="944"/>
      <c r="BS27" s="967"/>
      <c r="BT27" s="967"/>
      <c r="BV27" s="926"/>
      <c r="BW27" s="926"/>
      <c r="BX27" s="926"/>
      <c r="BY27" s="927"/>
      <c r="BZ27" s="928"/>
      <c r="CB27" s="986"/>
      <c r="CC27" s="925"/>
      <c r="CD27" s="925"/>
      <c r="CE27" s="925"/>
      <c r="CF27" s="925"/>
      <c r="CG27" s="925"/>
      <c r="CH27" s="925"/>
      <c r="CI27" s="925"/>
      <c r="CJ27" s="977"/>
      <c r="CK27" s="977"/>
      <c r="CL27" s="977"/>
      <c r="CM27" s="977"/>
      <c r="CN27" s="977"/>
      <c r="CO27" s="977"/>
      <c r="CP27" s="977"/>
      <c r="CQ27" s="977"/>
      <c r="CR27" s="977"/>
      <c r="CS27" s="983"/>
      <c r="CT27" s="1056"/>
      <c r="CU27" s="979"/>
      <c r="CV27" s="925"/>
      <c r="CW27" s="925"/>
      <c r="CX27" s="925"/>
      <c r="CY27" s="925"/>
      <c r="CZ27" s="925"/>
      <c r="DA27" s="925"/>
      <c r="DD27" s="981"/>
      <c r="DE27" s="925"/>
      <c r="DF27" s="981"/>
      <c r="DG27" s="925"/>
      <c r="DH27" s="925"/>
      <c r="DI27" s="925"/>
      <c r="DJ27" s="925"/>
      <c r="DK27" s="925"/>
      <c r="DL27" s="925"/>
      <c r="DM27" s="925"/>
      <c r="DN27" s="925"/>
      <c r="DO27" s="925"/>
      <c r="DP27" s="925"/>
      <c r="DQ27" s="925"/>
      <c r="DR27" s="981"/>
      <c r="DS27" s="981"/>
      <c r="DT27" s="981"/>
      <c r="DU27" s="981"/>
      <c r="DV27" s="981"/>
      <c r="DW27" s="981"/>
      <c r="DX27" s="981"/>
      <c r="DY27" s="925"/>
      <c r="DZ27" s="925"/>
      <c r="EA27" s="925"/>
      <c r="EB27" s="925"/>
      <c r="EC27" s="925"/>
      <c r="ED27" s="925"/>
      <c r="EE27" s="925"/>
      <c r="EF27" s="925"/>
      <c r="EG27" s="925"/>
      <c r="EH27" s="925"/>
      <c r="EI27" s="925"/>
      <c r="EJ27" s="925"/>
      <c r="EK27" s="925"/>
      <c r="EL27" s="925"/>
      <c r="EM27" s="925"/>
      <c r="EN27" s="925"/>
    </row>
    <row r="28" spans="1:144" customFormat="1" ht="16.350000000000001" customHeight="1">
      <c r="A28" s="462"/>
      <c r="B28" s="994">
        <v>6</v>
      </c>
      <c r="C28" s="995"/>
      <c r="D28" s="996"/>
      <c r="E28" s="997"/>
      <c r="F28" s="961"/>
      <c r="G28" s="962"/>
      <c r="H28" s="962"/>
      <c r="I28" s="962"/>
      <c r="J28" s="962"/>
      <c r="K28" s="963"/>
      <c r="L28" s="961"/>
      <c r="M28" s="962"/>
      <c r="N28" s="962"/>
      <c r="O28" s="962"/>
      <c r="P28" s="962"/>
      <c r="Q28" s="963"/>
      <c r="R28" s="1044"/>
      <c r="S28" s="1044"/>
      <c r="T28" s="1044"/>
      <c r="U28" s="1044"/>
      <c r="V28" s="1044"/>
      <c r="W28" s="1044"/>
      <c r="X28" s="1045"/>
      <c r="Y28" s="1045"/>
      <c r="Z28" s="1045"/>
      <c r="AA28" s="1045"/>
      <c r="AB28" s="1045"/>
      <c r="AC28" s="1045"/>
      <c r="AD28" s="961"/>
      <c r="AE28" s="962"/>
      <c r="AF28" s="962"/>
      <c r="AG28" s="962"/>
      <c r="AH28" s="962"/>
      <c r="AI28" s="963"/>
      <c r="AJ28" s="949"/>
      <c r="AK28" s="950"/>
      <c r="AL28" s="951"/>
      <c r="AM28" s="949"/>
      <c r="AN28" s="950"/>
      <c r="AO28" s="951"/>
      <c r="AP28" s="955"/>
      <c r="AQ28" s="956"/>
      <c r="AR28" s="957"/>
      <c r="AS28" s="955"/>
      <c r="AT28" s="956"/>
      <c r="AU28" s="957"/>
      <c r="AV28" s="968"/>
      <c r="AW28" s="969"/>
      <c r="AX28" s="970"/>
      <c r="AY28" s="968"/>
      <c r="AZ28" s="969"/>
      <c r="BA28" s="970"/>
      <c r="BB28" s="945"/>
      <c r="BC28" s="946"/>
      <c r="BD28" s="945"/>
      <c r="BE28" s="946"/>
      <c r="BF28" s="929" t="str">
        <f t="shared" ref="BF28" si="109">IF(CB28="OK",ROUND(BB28+BD28,2),"")</f>
        <v/>
      </c>
      <c r="BG28" s="930"/>
      <c r="BH28" s="1099" t="str">
        <f t="shared" ref="BH28" si="110">IFERROR(IF(AND($CB28="OK",$CU28="OK"),$CI28,IF($CB28&lt;&gt;"OK",$CB28,$CU28)),"")</f>
        <v/>
      </c>
      <c r="BI28" s="1100"/>
      <c r="BJ28" s="1101"/>
      <c r="BK28" s="933" t="str">
        <f t="shared" ref="BK28" si="111">IF($CB28="OK",CM28,"")</f>
        <v/>
      </c>
      <c r="BL28" s="934"/>
      <c r="BM28" s="935"/>
      <c r="BN28" s="939" t="str">
        <f t="shared" ref="BN28" si="112">IF($CB28="OK",$CR28,"")</f>
        <v/>
      </c>
      <c r="BO28" s="940"/>
      <c r="BP28" s="941"/>
      <c r="BS28" s="967"/>
      <c r="BT28" s="967"/>
      <c r="BV28" s="926" t="str">
        <f t="shared" ref="BV28" si="113">IFERROR(ROUND(IF(AND(CB28="OK",CU28="OK"),CT28,""),0),"")</f>
        <v/>
      </c>
      <c r="BW28" s="926" t="str">
        <f t="shared" ref="BW28" si="114">IFERROR(ROUND(IF(AND(CB28="OK",CU28="OK"),BV28/3,""),0),"")</f>
        <v/>
      </c>
      <c r="BX28" s="926"/>
      <c r="BY28" s="927"/>
      <c r="BZ28" s="928"/>
      <c r="CB28" s="986" t="str">
        <f>IF(AND(C28="",F28="",R28="",AD28="",U28="",X28="",L28="",AJ28="",AV28="",AM28="",AP28="",AY28="",AV29="",BB28="",BD28="",AA28="",AS28=""),"",
IF(OR(C28="",F28="",R28="",AD28="",U28="",X28="",L28="",AJ28="",AV28="",AM28="",AP28="",AY28="",AV29="",BB28="",BD28="",AA28="",AS28=""),"Missing Fields",
IF(AND(M02S04F04disp="Required",M02S04F04=""),"TA Info Incomplete",
"OK")))</f>
        <v/>
      </c>
      <c r="CC28" s="925" t="str">
        <f>IF(AND(CB28="OK",CU28="OK"),INDEX(Tbl_Cust_Misc[Measure Number], MATCH(F28,Tbl_Cust_Misc[Proj Desc 1],0)),"")</f>
        <v/>
      </c>
      <c r="CD28" s="925"/>
      <c r="CE28" s="925" t="str">
        <f t="shared" ref="CE28" si="115">IF(CB28="OK","Measure","")</f>
        <v/>
      </c>
      <c r="CF28" s="925" t="str">
        <f t="shared" ref="CF28" si="116">IF(CB28="OK",1,"")</f>
        <v/>
      </c>
      <c r="CG28" s="978" t="str">
        <f t="shared" ref="CG28" si="117">IFERROR(CI28/CF28,"")</f>
        <v/>
      </c>
      <c r="CH28" s="978" t="str">
        <f>IF(CB28="OK",IF(CM28&gt;0,CM28*Incent_Rate_kWh,0)+IF(CO28&gt;0,CO28*Incent_Rate_thm,0),"")</f>
        <v/>
      </c>
      <c r="CI28" s="978" t="str">
        <f>IFERROR(IF($CB28="OK",IF(INCENTTOCOST_CUST&gt;CostCap_Cust,
CH28*CostCap_Cust/INCENTTOCOST_CUST,CH28),""),"")</f>
        <v/>
      </c>
      <c r="CJ28" s="977">
        <f t="shared" ref="CJ28" si="118">CM28</f>
        <v>0</v>
      </c>
      <c r="CK28" s="977">
        <f t="shared" ref="CK28" si="119">CN28</f>
        <v>0</v>
      </c>
      <c r="CL28" s="977">
        <f t="shared" ref="CL28" si="120">CO28</f>
        <v>0</v>
      </c>
      <c r="CM28" s="977">
        <f>R28-AJ28</f>
        <v>0</v>
      </c>
      <c r="CN28" s="977">
        <f>U28-AM28</f>
        <v>0</v>
      </c>
      <c r="CO28" s="977">
        <f t="shared" ref="CO28" si="121">IF(CR28&gt;0,CR28,0)</f>
        <v>0</v>
      </c>
      <c r="CP28" s="977">
        <f t="shared" ref="CP28" si="122">CM28</f>
        <v>0</v>
      </c>
      <c r="CQ28" s="977">
        <f t="shared" ref="CQ28" si="123">CN28</f>
        <v>0</v>
      </c>
      <c r="CR28" s="977">
        <f>X28-AP28</f>
        <v>0</v>
      </c>
      <c r="CS28" s="983"/>
      <c r="CT28" s="1056" t="str">
        <f>IF(CB28="OK",INDEX(Tbl_Cust_Misc[EUL], MATCH(F28,Tbl_Cust_Misc[Proj Desc 1],0)),"")</f>
        <v/>
      </c>
      <c r="CU28" s="979" t="str">
        <f t="shared" ref="CU28" si="124">IFERROR(IF(AND($CM28&lt;=0,$CN28&lt;=0,$CO28&lt;=0),"No Savings","OK"),"")</f>
        <v>No Savings</v>
      </c>
      <c r="CV28" s="925" t="str">
        <f t="shared" ref="CV28" si="125">IF(AND(CB28="OK",CU28="OK"),"1","")</f>
        <v/>
      </c>
      <c r="CW28" s="925" t="str">
        <f>IFERROR(IF($CB28="OK",ROUND($AQ$14*SUM(BB28:BE29)/SUM($BF$18:$BG$37),2),""),"")</f>
        <v/>
      </c>
      <c r="CX28" s="925" t="str">
        <f>IFERROR(IF(M02S04F04="Customer/Self-Installed",CW28,IF($CB28="OK",CW28+BD28,"")),"")</f>
        <v/>
      </c>
      <c r="CY28" s="925" t="str">
        <f>IFERROR(IF($CB28="OK",CX28+BB28,""),"")</f>
        <v/>
      </c>
      <c r="CZ28" s="925" t="str">
        <f>IF(CB28="OK",INDEX(MEASURES3_M!$O$54:$O$58, MATCH(F28,MEASURES3_M!$C$54:$C$58,0)),"")</f>
        <v/>
      </c>
      <c r="DA28" s="925" t="str">
        <f>IF(CB28="OK",INDEX(MEASURES3_M!$P$54:$P$58, MATCH(F28,MEASURES3_M!$C$54:$C$58,0)),"")</f>
        <v/>
      </c>
      <c r="DD28" s="980" t="str">
        <f>IFERROR(IF(CB28&lt;&gt;"OK","",CM28*VLOOKUP('DATA TABLES_Project'!$C$247,'DATA TABLES_Project'!$A$250:$B$285,2,FALSE)),"")</f>
        <v/>
      </c>
      <c r="DE28" s="925" t="str">
        <f t="shared" ref="DE28" si="126">IFERROR(IF(CB28&lt;&gt;"OK","",CM28*CZ28*0.92),"")</f>
        <v/>
      </c>
      <c r="DF28" s="980" t="str">
        <f>IFERROR(IF(CB28&lt;&gt;"OK","",CM28*CZ28*0.92*VLOOKUP('DATA TABLES_Project'!$C$247,'DATA TABLES_Project'!$A$250:$B$285,2,FALSE)),"")</f>
        <v/>
      </c>
      <c r="DG28" s="925" t="str">
        <f t="shared" ref="DG28" si="127">IFERROR(IF(CB28&lt;&gt;"OK","",CM28*BV28),IF(BX28="Dual",(CM28*BW28)+((BY28-AJ28)*(BV28-BW28)),""))</f>
        <v/>
      </c>
      <c r="DH28" s="925" t="str">
        <f ca="1">IFERROR(IF(CB28&lt;&gt;"OK","",IF(OR(BX28="Single",BX28=""), CM28*BV28*AVERAGE(INDEX('DATA TABLES_Project'!$B$250:$B$285, MATCH('DATA TABLES_Project'!$C$247,'DATA TABLES_Project'!$A$250:$A$285, 0)):OFFSET(INDEX('DATA TABLES_Project'!$B$250:$B$285, MATCH('DATA TABLES_Project'!$C$247,'DATA TABLES_Project'!$A$250:$A$285, 0)),BV28-1,0)),CM28*BW28*AVERAGE(INDEX('DATA TABLES_Project'!$B$250:$B$285, MATCH('DATA TABLES_Project'!$C$247,'DATA TABLES_Project'!$A$250:$A$285, 0)):OFFSET(INDEX('DATA TABLES_Project'!$B$250:$B$285, MATCH('DATA TABLES_Project'!$C$247,'DATA TABLES_Project'!$A$250:$A$285, 0)),BW28-1,0)) + ((BY28-AJ28)*(BV28-BW28)*AVERAGE(OFFSET(INDEX('DATA TABLES_Project'!$B$250:$B$285, MATCH('DATA TABLES_Project'!$C$247,'DATA TABLES_Project'!$A$250:$A$285, 0)),BW28,0):OFFSET(INDEX('DATA TABLES_Project'!$B$250:$B$285, MATCH('DATA TABLES_Project'!$C$247,'DATA TABLES_Project'!$A$250:$A$285, 0)),BV28-1,0))))), "")</f>
        <v/>
      </c>
      <c r="DI28" s="925" t="str">
        <f t="shared" ref="DI28" si="128">IFERROR(IF(CB28&lt;&gt;"OK","",IF(BX28="Dual",(CM28*BW28)+((BY28-AJ28)*(BV28-BW28))*CZ28*0.92,CM28*CZ28*BV28*0.92)),"")</f>
        <v/>
      </c>
      <c r="DJ28" s="925" t="str">
        <f ca="1">IFERROR(IF(CB28&lt;&gt;"OK","",IF(OR(BX28="Single",BX28=""),0.92*CZ28*CM28*BV28*AVERAGE(INDEX('DATA TABLES_Project'!$B$250:$B$285, MATCH('DATA TABLES_Project'!$C$247,'DATA TABLES_Project'!$A$250:$A$285, 0)):OFFSET(INDEX('DATA TABLES_Project'!$B$250:$B$285, MATCH('DATA TABLES_Project'!$C$247,'DATA TABLES_Project'!$A$250:$A$285, 0)),BV28-1,0)),0.92*CZ28*CM28*BW28*AVERAGE(INDEX('DATA TABLES_Project'!$B$250:$B$285, MATCH('DATA TABLES_Project'!$C$247,'DATA TABLES_Project'!$A$250:$A$285, 0)):OFFSET(INDEX('DATA TABLES_Project'!$B$250:$B$285, MATCH('DATA TABLES_Project'!$C$247,'DATA TABLES_Project'!$A$250:$A$285, 0)),BW28-1,0)) + (0.92*CZ28*(BY28-AJ28)*(BV28-BW28)*AVERAGE(OFFSET(INDEX('DATA TABLES_Project'!$B$250:$B$285, MATCH('DATA TABLES_Project'!$C$247,'DATA TABLES_Project'!$A$250:$A$285, 0)),BW28,0):OFFSET(INDEX('DATA TABLES_Project'!$B$250:$B$285, MATCH('DATA TABLES_Project'!$C$247,'DATA TABLES_Project'!$A$250:$A$285, 0)),BV28-1,0))))), "")</f>
        <v/>
      </c>
      <c r="DK28" s="925" t="str">
        <f>IFERROR(IF(CB28&lt;&gt;"OK","",CO28*'DATA TABLES_Project'!$C$250),"")</f>
        <v/>
      </c>
      <c r="DL28" s="925" t="str">
        <f t="shared" ref="DL28" si="129">IFERROR(IF(CB28&lt;&gt;"OK","",CO28*DA28*0.92),"")</f>
        <v/>
      </c>
      <c r="DM28" s="925" t="str">
        <f>IFERROR(IF(CB28&lt;&gt;"OK","",CO28*'DATA TABLES_Project'!$C$250*DA28*0.92),"")</f>
        <v/>
      </c>
      <c r="DN28" s="925" t="str">
        <f t="shared" ref="DN28" si="130">IFERROR(IF(CB28&lt;&gt;"OK","",CO28*BV28),IF(BX28="Dual",(CO28*BW28)+((BZ28-AP28)*(BV28-BW28)),""))</f>
        <v/>
      </c>
      <c r="DO28" s="925" t="str">
        <f ca="1">IFERROR(IF(CB28&lt;&gt;"OK","",CO28*BV28*AVERAGE('DATA TABLES_Project'!$C$250:OFFSET('DATA TABLES_Project'!$C$250,BV28,0))),IF(BX28="Dual",(CO28*BW28*AVERAGE('DATA TABLES_Project'!$C$251:$C$259))+((BZ28-AP28)*(BV28-BW28)*AVERAGE('DATA TABLES_Project'!$C$260:$C$279)),""))</f>
        <v/>
      </c>
      <c r="DP28" s="925" t="str">
        <f t="shared" ref="DP28" si="131">IFERROR(IF(CB28&lt;&gt;"OK","",IF(BX28="Dual",((CO28*BW28)+(BZ28-AP28)*(BV28-BW28))*DA28*0.92,CO28*BV28*DA28*0.92)),"")</f>
        <v/>
      </c>
      <c r="DQ28" s="925" t="str">
        <f ca="1">IFERROR(IF(CB28&lt;&gt;"OK","",IF(BX28="Dual",(0.92*DA28*CO28*BW28*AVERAGE('DATA TABLES_Project'!$C$251:$C$259))+(0.92*DA28*(BZ28-AP28)*(BV28-BW28)*AVERAGE('DATA TABLES_Project'!$C$260:$C$279)),0.92*DA28*CO28*BV28*AVERAGE('DATA TABLES_Project'!$C$250:OFFSET('DATA TABLES_Project'!$C$250,BV28,0)))),"")</f>
        <v/>
      </c>
      <c r="DR28" s="980" t="str">
        <f>IFERROR(IF($CB28&lt;&gt;"OK","",CM28*'DATA TABLES_Project'!$B$290+IF(CO28&lt;0,0,CO28*'DATA TABLES_Project'!$B$291)),"")</f>
        <v/>
      </c>
      <c r="DS28" s="980" t="str">
        <f>IFERROR(IF($CB28&lt;&gt;"OK","",DD28*'DATA TABLES_Project'!$B$290+IF(DK28&lt;0,0,DK28*'DATA TABLES_Project'!$B$291)),"")</f>
        <v/>
      </c>
      <c r="DT28" s="980" t="str">
        <f>IFERROR(IF($CB28&lt;&gt;"OK","",DE28*'DATA TABLES_Project'!$B$290+IF(DL28&lt;0,0,DL28*'DATA TABLES_Project'!$B$291)),"")</f>
        <v/>
      </c>
      <c r="DU28" s="980" t="str">
        <f>IFERROR(IF($CB28&lt;&gt;"OK","",DF28*'DATA TABLES_Project'!$B$290+IF(DM28&lt;0,0,DM28*'DATA TABLES_Project'!$B$291)),"")</f>
        <v/>
      </c>
      <c r="DV28" s="980" t="str">
        <f>IFERROR(IF($CB28&lt;&gt;"OK","",DG28*'DATA TABLES_Project'!$B$290+IF(DN28&lt;0,0,DN28*'DATA TABLES_Project'!$B$291)),"")</f>
        <v/>
      </c>
      <c r="DW28" s="980" t="str">
        <f>IFERROR(IF($CB28&lt;&gt;"OK","",DH28*'DATA TABLES_Project'!$B$290+IF(DO28&lt;0,0,DO28*'DATA TABLES_Project'!$B$291)),"")</f>
        <v/>
      </c>
      <c r="DX28" s="980" t="str">
        <f>IFERROR(IF($CB28&lt;&gt;"OK","",DI28*'DATA TABLES_Project'!$B$290+IF(DP28&lt;0,0,DP28*'DATA TABLES_Project'!$B$291)),"")</f>
        <v/>
      </c>
      <c r="DY28" s="925" t="str">
        <f>IFERROR(IF($CB28&lt;&gt;"OK","",DJ28*'DATA TABLES_Project'!$B$290+IF(DQ28&lt;0,0,DQ28*'DATA TABLES_Project'!$B$291)),"")</f>
        <v/>
      </c>
      <c r="DZ28" s="925" t="str">
        <f t="shared" ref="DZ28" si="132">IFERROR(IF($CB28&lt;&gt;"OK","",AS28),"")</f>
        <v/>
      </c>
      <c r="EA28" s="925" t="str">
        <f>IFERROR(IF(CB28&lt;&gt;"OK","",CN28*'DATA TABLES_Project'!$B$250*CZ28*1.03),"")</f>
        <v/>
      </c>
      <c r="EB28" s="925" t="str">
        <f t="shared" ref="EB28" si="133">IFERROR(IF(CB28&lt;&gt;"OK","",CN28*CZ28*1.03),"")</f>
        <v/>
      </c>
      <c r="EC28" s="925" t="str">
        <f>IFERROR(IF(CB28&lt;&gt;"OK","",CZ28*DZ28*'DATA TABLES_Project'!$C$250*0.92),"")</f>
        <v/>
      </c>
      <c r="ED28" s="925" t="str">
        <f>IFERROR(IF(CB28&lt;&gt;"OK","",CZ28*DZ28*'DATA TABLES_Project'!$C$250*0.92),"")</f>
        <v/>
      </c>
      <c r="EE28" s="925" t="str">
        <f t="shared" ref="EE28" si="134">IFERROR(IF(CB28&lt;&gt;"OK","",CZ28*DZ28*0.92),"")</f>
        <v/>
      </c>
      <c r="EF28" s="925" t="str">
        <f t="shared" ref="EF28" si="135">IFERROR(IF(CB28&lt;&gt;"OK","",CZ28*DZ28*0.92),"")</f>
        <v/>
      </c>
      <c r="EG28" s="925" t="str">
        <f>IFERROR(IF($CB28&lt;&gt;"OK","",CM28*'DATA TABLES_Project'!$B$290+CO28*'DATA TABLES_Project'!$B$291),"")</f>
        <v/>
      </c>
      <c r="EH28" s="925" t="str">
        <f>IFERROR(IF($CB28&lt;&gt;"OK","",DD28*'DATA TABLES_Project'!$B$290+DK28*'DATA TABLES_Project'!$B$291),"")</f>
        <v/>
      </c>
      <c r="EI28" s="925" t="str">
        <f>IFERROR(IF($CB28&lt;&gt;"OK","",DE28*'DATA TABLES_Project'!$B$290+DL28*'DATA TABLES_Project'!$B$291),"")</f>
        <v/>
      </c>
      <c r="EJ28" s="925" t="str">
        <f>IFERROR(IF($CB28&lt;&gt;"OK","",DF28*'DATA TABLES_Project'!$B$290+DM28*'DATA TABLES_Project'!$B$291),"")</f>
        <v/>
      </c>
      <c r="EK28" s="925" t="str">
        <f>IFERROR(IF($CB28&lt;&gt;"OK","",DG28*'DATA TABLES_Project'!$B$290+DN28*'DATA TABLES_Project'!$B$291),"")</f>
        <v/>
      </c>
      <c r="EL28" s="925" t="str">
        <f>IFERROR(IF($CB28&lt;&gt;"OK","",DH28*'DATA TABLES_Project'!$B$290+DO28*'DATA TABLES_Project'!$B$291),"")</f>
        <v/>
      </c>
      <c r="EM28" s="925" t="str">
        <f>IFERROR(IF($CB28&lt;&gt;"OK","",DI28*'DATA TABLES_Project'!$B$290+DP28*'DATA TABLES_Project'!$B$291),"")</f>
        <v/>
      </c>
      <c r="EN28" s="925" t="str">
        <f>IFERROR(IF($CB28&lt;&gt;"OK","",DJ28*'DATA TABLES_Project'!$B$290+DQ28*'DATA TABLES_Project'!$B$291),"")</f>
        <v/>
      </c>
    </row>
    <row r="29" spans="1:144" customFormat="1" ht="16.350000000000001" customHeight="1">
      <c r="A29" s="462"/>
      <c r="B29" s="994"/>
      <c r="C29" s="998"/>
      <c r="D29" s="999"/>
      <c r="E29" s="1000"/>
      <c r="F29" s="964"/>
      <c r="G29" s="965"/>
      <c r="H29" s="965"/>
      <c r="I29" s="965"/>
      <c r="J29" s="965"/>
      <c r="K29" s="966"/>
      <c r="L29" s="964"/>
      <c r="M29" s="965"/>
      <c r="N29" s="965"/>
      <c r="O29" s="965"/>
      <c r="P29" s="965"/>
      <c r="Q29" s="966"/>
      <c r="R29" s="1044"/>
      <c r="S29" s="1044"/>
      <c r="T29" s="1044"/>
      <c r="U29" s="1044"/>
      <c r="V29" s="1044"/>
      <c r="W29" s="1044"/>
      <c r="X29" s="1045"/>
      <c r="Y29" s="1045"/>
      <c r="Z29" s="1045"/>
      <c r="AA29" s="1045"/>
      <c r="AB29" s="1045"/>
      <c r="AC29" s="1045"/>
      <c r="AD29" s="964"/>
      <c r="AE29" s="965"/>
      <c r="AF29" s="965"/>
      <c r="AG29" s="965"/>
      <c r="AH29" s="965"/>
      <c r="AI29" s="966"/>
      <c r="AJ29" s="952"/>
      <c r="AK29" s="953"/>
      <c r="AL29" s="954"/>
      <c r="AM29" s="952"/>
      <c r="AN29" s="953"/>
      <c r="AO29" s="954"/>
      <c r="AP29" s="958"/>
      <c r="AQ29" s="959"/>
      <c r="AR29" s="960"/>
      <c r="AS29" s="958"/>
      <c r="AT29" s="959"/>
      <c r="AU29" s="960"/>
      <c r="AV29" s="968"/>
      <c r="AW29" s="969"/>
      <c r="AX29" s="969"/>
      <c r="AY29" s="969"/>
      <c r="AZ29" s="969"/>
      <c r="BA29" s="970"/>
      <c r="BB29" s="947"/>
      <c r="BC29" s="948"/>
      <c r="BD29" s="947"/>
      <c r="BE29" s="948"/>
      <c r="BF29" s="931"/>
      <c r="BG29" s="932"/>
      <c r="BH29" s="1102"/>
      <c r="BI29" s="1103"/>
      <c r="BJ29" s="1104"/>
      <c r="BK29" s="936"/>
      <c r="BL29" s="937"/>
      <c r="BM29" s="938"/>
      <c r="BN29" s="942"/>
      <c r="BO29" s="943"/>
      <c r="BP29" s="944"/>
      <c r="BS29" s="967"/>
      <c r="BT29" s="967"/>
      <c r="BV29" s="926"/>
      <c r="BW29" s="926"/>
      <c r="BX29" s="926"/>
      <c r="BY29" s="927"/>
      <c r="BZ29" s="928"/>
      <c r="CB29" s="986"/>
      <c r="CC29" s="925"/>
      <c r="CD29" s="925"/>
      <c r="CE29" s="925"/>
      <c r="CF29" s="925"/>
      <c r="CG29" s="925"/>
      <c r="CH29" s="925"/>
      <c r="CI29" s="925"/>
      <c r="CJ29" s="977"/>
      <c r="CK29" s="977"/>
      <c r="CL29" s="977"/>
      <c r="CM29" s="977"/>
      <c r="CN29" s="977"/>
      <c r="CO29" s="977"/>
      <c r="CP29" s="977"/>
      <c r="CQ29" s="977"/>
      <c r="CR29" s="977"/>
      <c r="CS29" s="983"/>
      <c r="CT29" s="1056"/>
      <c r="CU29" s="979"/>
      <c r="CV29" s="925"/>
      <c r="CW29" s="925"/>
      <c r="CX29" s="925"/>
      <c r="CY29" s="925"/>
      <c r="CZ29" s="925"/>
      <c r="DA29" s="925"/>
      <c r="DD29" s="981"/>
      <c r="DE29" s="925"/>
      <c r="DF29" s="981"/>
      <c r="DG29" s="925"/>
      <c r="DH29" s="925"/>
      <c r="DI29" s="925"/>
      <c r="DJ29" s="925"/>
      <c r="DK29" s="925"/>
      <c r="DL29" s="925"/>
      <c r="DM29" s="925"/>
      <c r="DN29" s="925"/>
      <c r="DO29" s="925"/>
      <c r="DP29" s="925"/>
      <c r="DQ29" s="925"/>
      <c r="DR29" s="981"/>
      <c r="DS29" s="981"/>
      <c r="DT29" s="981"/>
      <c r="DU29" s="981"/>
      <c r="DV29" s="981"/>
      <c r="DW29" s="981"/>
      <c r="DX29" s="981"/>
      <c r="DY29" s="925"/>
      <c r="DZ29" s="925"/>
      <c r="EA29" s="925"/>
      <c r="EB29" s="925"/>
      <c r="EC29" s="925"/>
      <c r="ED29" s="925"/>
      <c r="EE29" s="925"/>
      <c r="EF29" s="925"/>
      <c r="EG29" s="925"/>
      <c r="EH29" s="925"/>
      <c r="EI29" s="925"/>
      <c r="EJ29" s="925"/>
      <c r="EK29" s="925"/>
      <c r="EL29" s="925"/>
      <c r="EM29" s="925"/>
      <c r="EN29" s="925"/>
    </row>
    <row r="30" spans="1:144" customFormat="1" ht="15.75" customHeight="1">
      <c r="A30" s="462"/>
      <c r="B30" s="994">
        <v>7</v>
      </c>
      <c r="C30" s="995"/>
      <c r="D30" s="996"/>
      <c r="E30" s="997"/>
      <c r="F30" s="961"/>
      <c r="G30" s="962"/>
      <c r="H30" s="962"/>
      <c r="I30" s="962"/>
      <c r="J30" s="962"/>
      <c r="K30" s="963"/>
      <c r="L30" s="961"/>
      <c r="M30" s="962"/>
      <c r="N30" s="962"/>
      <c r="O30" s="962"/>
      <c r="P30" s="962"/>
      <c r="Q30" s="963"/>
      <c r="R30" s="1044"/>
      <c r="S30" s="1044"/>
      <c r="T30" s="1044"/>
      <c r="U30" s="1044"/>
      <c r="V30" s="1044"/>
      <c r="W30" s="1044"/>
      <c r="X30" s="1045"/>
      <c r="Y30" s="1045"/>
      <c r="Z30" s="1045"/>
      <c r="AA30" s="1045"/>
      <c r="AB30" s="1045"/>
      <c r="AC30" s="1045"/>
      <c r="AD30" s="961"/>
      <c r="AE30" s="962"/>
      <c r="AF30" s="962"/>
      <c r="AG30" s="962"/>
      <c r="AH30" s="962"/>
      <c r="AI30" s="963"/>
      <c r="AJ30" s="949"/>
      <c r="AK30" s="950"/>
      <c r="AL30" s="951"/>
      <c r="AM30" s="949"/>
      <c r="AN30" s="950"/>
      <c r="AO30" s="951"/>
      <c r="AP30" s="955"/>
      <c r="AQ30" s="956"/>
      <c r="AR30" s="957"/>
      <c r="AS30" s="955"/>
      <c r="AT30" s="956"/>
      <c r="AU30" s="957"/>
      <c r="AV30" s="968"/>
      <c r="AW30" s="969"/>
      <c r="AX30" s="970"/>
      <c r="AY30" s="968"/>
      <c r="AZ30" s="969"/>
      <c r="BA30" s="970"/>
      <c r="BB30" s="945"/>
      <c r="BC30" s="946"/>
      <c r="BD30" s="945"/>
      <c r="BE30" s="946"/>
      <c r="BF30" s="929" t="str">
        <f t="shared" ref="BF30" si="136">IF(CB30="OK",ROUND(BB30+BD30,2),"")</f>
        <v/>
      </c>
      <c r="BG30" s="930"/>
      <c r="BH30" s="1099" t="str">
        <f t="shared" ref="BH30" si="137">IFERROR(IF(AND($CB30="OK",$CU30="OK"),$CI30,IF($CB30&lt;&gt;"OK",$CB30,$CU30)),"")</f>
        <v/>
      </c>
      <c r="BI30" s="1100"/>
      <c r="BJ30" s="1101"/>
      <c r="BK30" s="933" t="str">
        <f t="shared" ref="BK30" si="138">IF($CB30="OK",CM30,"")</f>
        <v/>
      </c>
      <c r="BL30" s="934"/>
      <c r="BM30" s="935"/>
      <c r="BN30" s="939" t="str">
        <f t="shared" ref="BN30" si="139">IF($CB30="OK",$CR30,"")</f>
        <v/>
      </c>
      <c r="BO30" s="940"/>
      <c r="BP30" s="941"/>
      <c r="BS30" s="967"/>
      <c r="BT30" s="967"/>
      <c r="BV30" s="926" t="str">
        <f t="shared" ref="BV30" si="140">IFERROR(ROUND(IF(AND(CB30="OK",CU30="OK"),CT30,""),0),"")</f>
        <v/>
      </c>
      <c r="BW30" s="926" t="str">
        <f t="shared" ref="BW30" si="141">IFERROR(ROUND(IF(AND(CB30="OK",CU30="OK"),BV30/3,""),0),"")</f>
        <v/>
      </c>
      <c r="BX30" s="926"/>
      <c r="BY30" s="927"/>
      <c r="BZ30" s="928"/>
      <c r="CB30" s="986" t="str">
        <f>IF(AND(C30="",F30="",R30="",AD30="",U30="",X30="",L30="",AJ30="",AV30="",AM30="",AP30="",AY30="",AV31="",BB30="",BD30="",AA30="",AS30=""),"",
IF(OR(C30="",F30="",R30="",AD30="",U30="",X30="",L30="",AJ30="",AV30="",AM30="",AP30="",AY30="",AV31="",BB30="",BD30="",AA30="",AS30=""),"Missing Fields",
IF(AND(M02S04F04disp="Required",M02S04F04=""),"TA Info Incomplete",
"OK")))</f>
        <v/>
      </c>
      <c r="CC30" s="925" t="str">
        <f>IF(AND(CB30="OK",CU30="OK"),INDEX(Tbl_Cust_Misc[Measure Number], MATCH(F30,Tbl_Cust_Misc[Proj Desc 1],0)),"")</f>
        <v/>
      </c>
      <c r="CD30" s="925"/>
      <c r="CE30" s="925" t="str">
        <f t="shared" ref="CE30" si="142">IF(CB30="OK","Measure","")</f>
        <v/>
      </c>
      <c r="CF30" s="925" t="str">
        <f t="shared" ref="CF30" si="143">IF(CB30="OK",1,"")</f>
        <v/>
      </c>
      <c r="CG30" s="978" t="str">
        <f t="shared" ref="CG30" si="144">IFERROR(CI30/CF30,"")</f>
        <v/>
      </c>
      <c r="CH30" s="978" t="str">
        <f>IF(CB30="OK",IF(CM30&gt;0,CM30*Incent_Rate_kWh,0)+IF(CO30&gt;0,CO30*Incent_Rate_thm,0),"")</f>
        <v/>
      </c>
      <c r="CI30" s="978" t="str">
        <f>IFERROR(IF($CB30="OK",IF(INCENTTOCOST_CUST&gt;CostCap_Cust,
CH30*CostCap_Cust/INCENTTOCOST_CUST,CH30),""),"")</f>
        <v/>
      </c>
      <c r="CJ30" s="977">
        <f t="shared" ref="CJ30" si="145">CM30</f>
        <v>0</v>
      </c>
      <c r="CK30" s="977">
        <f t="shared" ref="CK30" si="146">CN30</f>
        <v>0</v>
      </c>
      <c r="CL30" s="977">
        <f t="shared" ref="CL30" si="147">CO30</f>
        <v>0</v>
      </c>
      <c r="CM30" s="977">
        <f>R30-AJ30</f>
        <v>0</v>
      </c>
      <c r="CN30" s="977">
        <f>U30-AM30</f>
        <v>0</v>
      </c>
      <c r="CO30" s="977">
        <f t="shared" ref="CO30" si="148">IF(CR30&gt;0,CR30,0)</f>
        <v>0</v>
      </c>
      <c r="CP30" s="977">
        <f t="shared" ref="CP30" si="149">CM30</f>
        <v>0</v>
      </c>
      <c r="CQ30" s="977">
        <f t="shared" ref="CQ30" si="150">CN30</f>
        <v>0</v>
      </c>
      <c r="CR30" s="977">
        <f>X30-AP30</f>
        <v>0</v>
      </c>
      <c r="CS30" s="983"/>
      <c r="CT30" s="1056" t="str">
        <f>IF(CB30="OK",INDEX(Tbl_Cust_Misc[EUL], MATCH(F30,Tbl_Cust_Misc[Proj Desc 1],0)),"")</f>
        <v/>
      </c>
      <c r="CU30" s="979" t="str">
        <f t="shared" ref="CU30" si="151">IFERROR(IF(AND($CM30&lt;=0,$CN30&lt;=0,$CO30&lt;=0),"No Savings","OK"),"")</f>
        <v>No Savings</v>
      </c>
      <c r="CV30" s="925" t="str">
        <f t="shared" ref="CV30" si="152">IF(AND(CB30="OK",CU30="OK"),"1","")</f>
        <v/>
      </c>
      <c r="CW30" s="925" t="str">
        <f>IFERROR(IF($CB30="OK",ROUND($AQ$14*SUM(BB30:BE31)/SUM($BF$18:$BG$37),2),""),"")</f>
        <v/>
      </c>
      <c r="CX30" s="925" t="str">
        <f>IFERROR(IF(M02S04F04="Customer/Self-Installed",CW30,IF($CB30="OK",CW30+BD30,"")),"")</f>
        <v/>
      </c>
      <c r="CY30" s="925" t="str">
        <f>IFERROR(IF($CB30="OK",CX30+BB30,""),"")</f>
        <v/>
      </c>
      <c r="CZ30" s="925" t="str">
        <f>IF(CB30="OK",INDEX(MEASURES3_M!$O$54:$O$58, MATCH(F30,MEASURES3_M!$C$54:$C$58,0)),"")</f>
        <v/>
      </c>
      <c r="DA30" s="925" t="str">
        <f>IF(CB30="OK",INDEX(MEASURES3_M!$P$54:$P$58, MATCH(F30,MEASURES3_M!$C$54:$C$58,0)),"")</f>
        <v/>
      </c>
      <c r="DD30" s="980" t="str">
        <f>IFERROR(IF(CB30&lt;&gt;"OK","",CM30*VLOOKUP('DATA TABLES_Project'!$C$247,'DATA TABLES_Project'!$A$250:$B$285,2,FALSE)),"")</f>
        <v/>
      </c>
      <c r="DE30" s="925" t="str">
        <f t="shared" ref="DE30" si="153">IFERROR(IF(CB30&lt;&gt;"OK","",CM30*CZ30*0.92),"")</f>
        <v/>
      </c>
      <c r="DF30" s="980" t="str">
        <f>IFERROR(IF(CB30&lt;&gt;"OK","",CM30*CZ30*0.92*VLOOKUP('DATA TABLES_Project'!$C$247,'DATA TABLES_Project'!$A$250:$B$285,2,FALSE)),"")</f>
        <v/>
      </c>
      <c r="DG30" s="925" t="str">
        <f t="shared" ref="DG30" si="154">IFERROR(IF(CB30&lt;&gt;"OK","",CM30*BV30),IF(BX30="Dual",(CM30*BW30)+((BY30-AJ30)*(BV30-BW30)),""))</f>
        <v/>
      </c>
      <c r="DH30" s="925" t="str">
        <f ca="1">IFERROR(IF(CB30&lt;&gt;"OK","",IF(OR(BX30="Single",BX30=""), CM30*BV30*AVERAGE(INDEX('DATA TABLES_Project'!$B$250:$B$285, MATCH('DATA TABLES_Project'!$C$247,'DATA TABLES_Project'!$A$250:$A$285, 0)):OFFSET(INDEX('DATA TABLES_Project'!$B$250:$B$285, MATCH('DATA TABLES_Project'!$C$247,'DATA TABLES_Project'!$A$250:$A$285, 0)),BV30-1,0)),CM30*BW30*AVERAGE(INDEX('DATA TABLES_Project'!$B$250:$B$285, MATCH('DATA TABLES_Project'!$C$247,'DATA TABLES_Project'!$A$250:$A$285, 0)):OFFSET(INDEX('DATA TABLES_Project'!$B$250:$B$285, MATCH('DATA TABLES_Project'!$C$247,'DATA TABLES_Project'!$A$250:$A$285, 0)),BW30-1,0)) + ((BY30-AJ30)*(BV30-BW30)*AVERAGE(OFFSET(INDEX('DATA TABLES_Project'!$B$250:$B$285, MATCH('DATA TABLES_Project'!$C$247,'DATA TABLES_Project'!$A$250:$A$285, 0)),BW30,0):OFFSET(INDEX('DATA TABLES_Project'!$B$250:$B$285, MATCH('DATA TABLES_Project'!$C$247,'DATA TABLES_Project'!$A$250:$A$285, 0)),BV30-1,0))))), "")</f>
        <v/>
      </c>
      <c r="DI30" s="925" t="str">
        <f t="shared" ref="DI30" si="155">IFERROR(IF(CB30&lt;&gt;"OK","",IF(BX30="Dual",(CM30*BW30)+((BY30-AJ30)*(BV30-BW30))*CZ30*0.92,CM30*CZ30*BV30*0.92)),"")</f>
        <v/>
      </c>
      <c r="DJ30" s="925" t="str">
        <f ca="1">IFERROR(IF(CB30&lt;&gt;"OK","",IF(OR(BX30="Single",BX30=""),0.92*CZ30*CM30*BV30*AVERAGE(INDEX('DATA TABLES_Project'!$B$250:$B$285, MATCH('DATA TABLES_Project'!$C$247,'DATA TABLES_Project'!$A$250:$A$285, 0)):OFFSET(INDEX('DATA TABLES_Project'!$B$250:$B$285, MATCH('DATA TABLES_Project'!$C$247,'DATA TABLES_Project'!$A$250:$A$285, 0)),BV30-1,0)),0.92*CZ30*CM30*BW30*AVERAGE(INDEX('DATA TABLES_Project'!$B$250:$B$285, MATCH('DATA TABLES_Project'!$C$247,'DATA TABLES_Project'!$A$250:$A$285, 0)):OFFSET(INDEX('DATA TABLES_Project'!$B$250:$B$285, MATCH('DATA TABLES_Project'!$C$247,'DATA TABLES_Project'!$A$250:$A$285, 0)),BW30-1,0)) + (0.92*CZ30*(BY30-AJ30)*(BV30-BW30)*AVERAGE(OFFSET(INDEX('DATA TABLES_Project'!$B$250:$B$285, MATCH('DATA TABLES_Project'!$C$247,'DATA TABLES_Project'!$A$250:$A$285, 0)),BW30,0):OFFSET(INDEX('DATA TABLES_Project'!$B$250:$B$285, MATCH('DATA TABLES_Project'!$C$247,'DATA TABLES_Project'!$A$250:$A$285, 0)),BV30-1,0))))), "")</f>
        <v/>
      </c>
      <c r="DK30" s="925" t="str">
        <f>IFERROR(IF(CB30&lt;&gt;"OK","",CO30*'DATA TABLES_Project'!$C$250),"")</f>
        <v/>
      </c>
      <c r="DL30" s="925" t="str">
        <f t="shared" ref="DL30" si="156">IFERROR(IF(CB30&lt;&gt;"OK","",CO30*DA30*0.92),"")</f>
        <v/>
      </c>
      <c r="DM30" s="925" t="str">
        <f>IFERROR(IF(CB30&lt;&gt;"OK","",CO30*'DATA TABLES_Project'!$C$250*DA30*0.92),"")</f>
        <v/>
      </c>
      <c r="DN30" s="925" t="str">
        <f t="shared" ref="DN30" si="157">IFERROR(IF(CB30&lt;&gt;"OK","",CO30*BV30),IF(BX30="Dual",(CO30*BW30)+((BZ30-AP30)*(BV30-BW30)),""))</f>
        <v/>
      </c>
      <c r="DO30" s="925" t="str">
        <f ca="1">IFERROR(IF(CB30&lt;&gt;"OK","",CO30*BV30*AVERAGE('DATA TABLES_Project'!$C$250:OFFSET('DATA TABLES_Project'!$C$250,BV30,0))),IF(BX30="Dual",(CO30*BW30*AVERAGE('DATA TABLES_Project'!$C$251:$C$259))+((BZ30-AP30)*(BV30-BW30)*AVERAGE('DATA TABLES_Project'!$C$260:$C$279)),""))</f>
        <v/>
      </c>
      <c r="DP30" s="925" t="str">
        <f t="shared" ref="DP30" si="158">IFERROR(IF(CB30&lt;&gt;"OK","",IF(BX30="Dual",((CO30*BW30)+(BZ30-AP30)*(BV30-BW30))*DA30*0.92,CO30*BV30*DA30*0.92)),"")</f>
        <v/>
      </c>
      <c r="DQ30" s="925" t="str">
        <f ca="1">IFERROR(IF(CB30&lt;&gt;"OK","",IF(BX30="Dual",(0.92*DA30*CO30*BW30*AVERAGE('DATA TABLES_Project'!$C$251:$C$259))+(0.92*DA30*(BZ30-AP30)*(BV30-BW30)*AVERAGE('DATA TABLES_Project'!$C$260:$C$279)),0.92*DA30*CO30*BV30*AVERAGE('DATA TABLES_Project'!$C$250:OFFSET('DATA TABLES_Project'!$C$250,BV30,0)))),"")</f>
        <v/>
      </c>
      <c r="DR30" s="980" t="str">
        <f>IFERROR(IF($CB30&lt;&gt;"OK","",CM30*'DATA TABLES_Project'!$B$290+IF(CO30&lt;0,0,CO30*'DATA TABLES_Project'!$B$291)),"")</f>
        <v/>
      </c>
      <c r="DS30" s="980" t="str">
        <f>IFERROR(IF($CB30&lt;&gt;"OK","",DD30*'DATA TABLES_Project'!$B$290+IF(DK30&lt;0,0,DK30*'DATA TABLES_Project'!$B$291)),"")</f>
        <v/>
      </c>
      <c r="DT30" s="980" t="str">
        <f>IFERROR(IF($CB30&lt;&gt;"OK","",DE30*'DATA TABLES_Project'!$B$290+IF(DL30&lt;0,0,DL30*'DATA TABLES_Project'!$B$291)),"")</f>
        <v/>
      </c>
      <c r="DU30" s="980" t="str">
        <f>IFERROR(IF($CB30&lt;&gt;"OK","",DF30*'DATA TABLES_Project'!$B$290+IF(DM30&lt;0,0,DM30*'DATA TABLES_Project'!$B$291)),"")</f>
        <v/>
      </c>
      <c r="DV30" s="980" t="str">
        <f>IFERROR(IF($CB30&lt;&gt;"OK","",DG30*'DATA TABLES_Project'!$B$290+IF(DN30&lt;0,0,DN30*'DATA TABLES_Project'!$B$291)),"")</f>
        <v/>
      </c>
      <c r="DW30" s="980" t="str">
        <f>IFERROR(IF($CB30&lt;&gt;"OK","",DH30*'DATA TABLES_Project'!$B$290+IF(DO30&lt;0,0,DO30*'DATA TABLES_Project'!$B$291)),"")</f>
        <v/>
      </c>
      <c r="DX30" s="980" t="str">
        <f>IFERROR(IF($CB30&lt;&gt;"OK","",DI30*'DATA TABLES_Project'!$B$290+IF(DP30&lt;0,0,DP30*'DATA TABLES_Project'!$B$291)),"")</f>
        <v/>
      </c>
      <c r="DY30" s="925" t="str">
        <f>IFERROR(IF($CB30&lt;&gt;"OK","",DJ30*'DATA TABLES_Project'!$B$290+IF(DQ30&lt;0,0,DQ30*'DATA TABLES_Project'!$B$291)),"")</f>
        <v/>
      </c>
      <c r="DZ30" s="925" t="str">
        <f t="shared" ref="DZ30" si="159">IFERROR(IF($CB30&lt;&gt;"OK","",AS30),"")</f>
        <v/>
      </c>
      <c r="EA30" s="925" t="str">
        <f>IFERROR(IF(CB30&lt;&gt;"OK","",CN30*'DATA TABLES_Project'!$B$250*CZ30*1.03),"")</f>
        <v/>
      </c>
      <c r="EB30" s="925" t="str">
        <f t="shared" ref="EB30" si="160">IFERROR(IF(CB30&lt;&gt;"OK","",CN30*CZ30*1.03),"")</f>
        <v/>
      </c>
      <c r="EC30" s="925" t="str">
        <f>IFERROR(IF(CB30&lt;&gt;"OK","",CZ30*DZ30*'DATA TABLES_Project'!$C$250*0.92),"")</f>
        <v/>
      </c>
      <c r="ED30" s="925" t="str">
        <f>IFERROR(IF(CB30&lt;&gt;"OK","",CZ30*DZ30*'DATA TABLES_Project'!$C$250*0.92),"")</f>
        <v/>
      </c>
      <c r="EE30" s="925" t="str">
        <f t="shared" ref="EE30" si="161">IFERROR(IF(CB30&lt;&gt;"OK","",CZ30*DZ30*0.92),"")</f>
        <v/>
      </c>
      <c r="EF30" s="925" t="str">
        <f t="shared" ref="EF30" si="162">IFERROR(IF(CB30&lt;&gt;"OK","",CZ30*DZ30*0.92),"")</f>
        <v/>
      </c>
      <c r="EG30" s="925" t="str">
        <f>IFERROR(IF($CB30&lt;&gt;"OK","",CM30*'DATA TABLES_Project'!$B$290+CO30*'DATA TABLES_Project'!$B$291),"")</f>
        <v/>
      </c>
      <c r="EH30" s="925" t="str">
        <f>IFERROR(IF($CB30&lt;&gt;"OK","",DD30*'DATA TABLES_Project'!$B$290+DK30*'DATA TABLES_Project'!$B$291),"")</f>
        <v/>
      </c>
      <c r="EI30" s="925" t="str">
        <f>IFERROR(IF($CB30&lt;&gt;"OK","",DE30*'DATA TABLES_Project'!$B$290+DL30*'DATA TABLES_Project'!$B$291),"")</f>
        <v/>
      </c>
      <c r="EJ30" s="925" t="str">
        <f>IFERROR(IF($CB30&lt;&gt;"OK","",DF30*'DATA TABLES_Project'!$B$290+DM30*'DATA TABLES_Project'!$B$291),"")</f>
        <v/>
      </c>
      <c r="EK30" s="925" t="str">
        <f>IFERROR(IF($CB30&lt;&gt;"OK","",DG30*'DATA TABLES_Project'!$B$290+DN30*'DATA TABLES_Project'!$B$291),"")</f>
        <v/>
      </c>
      <c r="EL30" s="925" t="str">
        <f>IFERROR(IF($CB30&lt;&gt;"OK","",DH30*'DATA TABLES_Project'!$B$290+DO30*'DATA TABLES_Project'!$B$291),"")</f>
        <v/>
      </c>
      <c r="EM30" s="925" t="str">
        <f>IFERROR(IF($CB30&lt;&gt;"OK","",DI30*'DATA TABLES_Project'!$B$290+DP30*'DATA TABLES_Project'!$B$291),"")</f>
        <v/>
      </c>
      <c r="EN30" s="925" t="str">
        <f>IFERROR(IF($CB30&lt;&gt;"OK","",DJ30*'DATA TABLES_Project'!$B$290+DQ30*'DATA TABLES_Project'!$B$291),"")</f>
        <v/>
      </c>
    </row>
    <row r="31" spans="1:144" customFormat="1" ht="15.75" customHeight="1">
      <c r="A31" s="462"/>
      <c r="B31" s="994"/>
      <c r="C31" s="998"/>
      <c r="D31" s="999"/>
      <c r="E31" s="1000"/>
      <c r="F31" s="964"/>
      <c r="G31" s="965"/>
      <c r="H31" s="965"/>
      <c r="I31" s="965"/>
      <c r="J31" s="965"/>
      <c r="K31" s="966"/>
      <c r="L31" s="964"/>
      <c r="M31" s="965"/>
      <c r="N31" s="965"/>
      <c r="O31" s="965"/>
      <c r="P31" s="965"/>
      <c r="Q31" s="966"/>
      <c r="R31" s="1044"/>
      <c r="S31" s="1044"/>
      <c r="T31" s="1044"/>
      <c r="U31" s="1044"/>
      <c r="V31" s="1044"/>
      <c r="W31" s="1044"/>
      <c r="X31" s="1045"/>
      <c r="Y31" s="1045"/>
      <c r="Z31" s="1045"/>
      <c r="AA31" s="1045"/>
      <c r="AB31" s="1045"/>
      <c r="AC31" s="1045"/>
      <c r="AD31" s="964"/>
      <c r="AE31" s="965"/>
      <c r="AF31" s="965"/>
      <c r="AG31" s="965"/>
      <c r="AH31" s="965"/>
      <c r="AI31" s="966"/>
      <c r="AJ31" s="952"/>
      <c r="AK31" s="953"/>
      <c r="AL31" s="954"/>
      <c r="AM31" s="952"/>
      <c r="AN31" s="953"/>
      <c r="AO31" s="954"/>
      <c r="AP31" s="958"/>
      <c r="AQ31" s="959"/>
      <c r="AR31" s="960"/>
      <c r="AS31" s="958"/>
      <c r="AT31" s="959"/>
      <c r="AU31" s="960"/>
      <c r="AV31" s="968"/>
      <c r="AW31" s="969"/>
      <c r="AX31" s="969"/>
      <c r="AY31" s="969"/>
      <c r="AZ31" s="969"/>
      <c r="BA31" s="970"/>
      <c r="BB31" s="947"/>
      <c r="BC31" s="948"/>
      <c r="BD31" s="947"/>
      <c r="BE31" s="948"/>
      <c r="BF31" s="931"/>
      <c r="BG31" s="932"/>
      <c r="BH31" s="1102"/>
      <c r="BI31" s="1103"/>
      <c r="BJ31" s="1104"/>
      <c r="BK31" s="936"/>
      <c r="BL31" s="937"/>
      <c r="BM31" s="938"/>
      <c r="BN31" s="942"/>
      <c r="BO31" s="943"/>
      <c r="BP31" s="944"/>
      <c r="BS31" s="967"/>
      <c r="BT31" s="967"/>
      <c r="BV31" s="926"/>
      <c r="BW31" s="926"/>
      <c r="BX31" s="926"/>
      <c r="BY31" s="927"/>
      <c r="BZ31" s="928"/>
      <c r="CB31" s="986"/>
      <c r="CC31" s="925"/>
      <c r="CD31" s="925"/>
      <c r="CE31" s="925"/>
      <c r="CF31" s="925"/>
      <c r="CG31" s="925"/>
      <c r="CH31" s="925"/>
      <c r="CI31" s="925"/>
      <c r="CJ31" s="977"/>
      <c r="CK31" s="977"/>
      <c r="CL31" s="977"/>
      <c r="CM31" s="977"/>
      <c r="CN31" s="977"/>
      <c r="CO31" s="977"/>
      <c r="CP31" s="977"/>
      <c r="CQ31" s="977"/>
      <c r="CR31" s="977"/>
      <c r="CS31" s="983"/>
      <c r="CT31" s="1056"/>
      <c r="CU31" s="979"/>
      <c r="CV31" s="925"/>
      <c r="CW31" s="925"/>
      <c r="CX31" s="925"/>
      <c r="CY31" s="925"/>
      <c r="CZ31" s="925"/>
      <c r="DA31" s="925"/>
      <c r="DD31" s="981"/>
      <c r="DE31" s="925"/>
      <c r="DF31" s="981"/>
      <c r="DG31" s="925"/>
      <c r="DH31" s="925"/>
      <c r="DI31" s="925"/>
      <c r="DJ31" s="925"/>
      <c r="DK31" s="925"/>
      <c r="DL31" s="925"/>
      <c r="DM31" s="925"/>
      <c r="DN31" s="925"/>
      <c r="DO31" s="925"/>
      <c r="DP31" s="925"/>
      <c r="DQ31" s="925"/>
      <c r="DR31" s="981"/>
      <c r="DS31" s="981"/>
      <c r="DT31" s="981"/>
      <c r="DU31" s="981"/>
      <c r="DV31" s="981"/>
      <c r="DW31" s="981"/>
      <c r="DX31" s="981"/>
      <c r="DY31" s="925"/>
      <c r="DZ31" s="925"/>
      <c r="EA31" s="925"/>
      <c r="EB31" s="925"/>
      <c r="EC31" s="925"/>
      <c r="ED31" s="925"/>
      <c r="EE31" s="925"/>
      <c r="EF31" s="925"/>
      <c r="EG31" s="925"/>
      <c r="EH31" s="925"/>
      <c r="EI31" s="925"/>
      <c r="EJ31" s="925"/>
      <c r="EK31" s="925"/>
      <c r="EL31" s="925"/>
      <c r="EM31" s="925"/>
      <c r="EN31" s="925"/>
    </row>
    <row r="32" spans="1:144" customFormat="1" ht="16.350000000000001" customHeight="1">
      <c r="A32" s="462"/>
      <c r="B32" s="994">
        <v>8</v>
      </c>
      <c r="C32" s="995"/>
      <c r="D32" s="996"/>
      <c r="E32" s="997"/>
      <c r="F32" s="961"/>
      <c r="G32" s="962"/>
      <c r="H32" s="962"/>
      <c r="I32" s="962"/>
      <c r="J32" s="962"/>
      <c r="K32" s="963"/>
      <c r="L32" s="961"/>
      <c r="M32" s="962"/>
      <c r="N32" s="962"/>
      <c r="O32" s="962"/>
      <c r="P32" s="962"/>
      <c r="Q32" s="963"/>
      <c r="R32" s="1044"/>
      <c r="S32" s="1044"/>
      <c r="T32" s="1044"/>
      <c r="U32" s="1044"/>
      <c r="V32" s="1044"/>
      <c r="W32" s="1044"/>
      <c r="X32" s="1045"/>
      <c r="Y32" s="1045"/>
      <c r="Z32" s="1045"/>
      <c r="AA32" s="1045"/>
      <c r="AB32" s="1045"/>
      <c r="AC32" s="1045"/>
      <c r="AD32" s="961"/>
      <c r="AE32" s="962"/>
      <c r="AF32" s="962"/>
      <c r="AG32" s="962"/>
      <c r="AH32" s="962"/>
      <c r="AI32" s="963"/>
      <c r="AJ32" s="949"/>
      <c r="AK32" s="950"/>
      <c r="AL32" s="951"/>
      <c r="AM32" s="949"/>
      <c r="AN32" s="950"/>
      <c r="AO32" s="951"/>
      <c r="AP32" s="955"/>
      <c r="AQ32" s="956"/>
      <c r="AR32" s="957"/>
      <c r="AS32" s="955"/>
      <c r="AT32" s="956"/>
      <c r="AU32" s="957"/>
      <c r="AV32" s="968"/>
      <c r="AW32" s="969"/>
      <c r="AX32" s="970"/>
      <c r="AY32" s="968"/>
      <c r="AZ32" s="969"/>
      <c r="BA32" s="970"/>
      <c r="BB32" s="945"/>
      <c r="BC32" s="946"/>
      <c r="BD32" s="945"/>
      <c r="BE32" s="946"/>
      <c r="BF32" s="929" t="str">
        <f t="shared" ref="BF32" si="163">IF(CB32="OK",ROUND(BB32+BD32,2),"")</f>
        <v/>
      </c>
      <c r="BG32" s="930"/>
      <c r="BH32" s="1099" t="str">
        <f t="shared" ref="BH32" si="164">IFERROR(IF(AND($CB32="OK",$CU32="OK"),$CI32,IF($CB32&lt;&gt;"OK",$CB32,$CU32)),"")</f>
        <v/>
      </c>
      <c r="BI32" s="1100"/>
      <c r="BJ32" s="1101"/>
      <c r="BK32" s="933" t="str">
        <f t="shared" ref="BK32" si="165">IF($CB32="OK",CM32,"")</f>
        <v/>
      </c>
      <c r="BL32" s="934"/>
      <c r="BM32" s="935"/>
      <c r="BN32" s="939" t="str">
        <f t="shared" ref="BN32" si="166">IF($CB32="OK",$CR32,"")</f>
        <v/>
      </c>
      <c r="BO32" s="940"/>
      <c r="BP32" s="941"/>
      <c r="BS32" s="967"/>
      <c r="BT32" s="967"/>
      <c r="BV32" s="926" t="str">
        <f t="shared" ref="BV32" si="167">IFERROR(ROUND(IF(AND(CB32="OK",CU32="OK"),CT32,""),0),"")</f>
        <v/>
      </c>
      <c r="BW32" s="926" t="str">
        <f t="shared" ref="BW32" si="168">IFERROR(ROUND(IF(AND(CB32="OK",CU32="OK"),BV32/3,""),0),"")</f>
        <v/>
      </c>
      <c r="BX32" s="926"/>
      <c r="BY32" s="927"/>
      <c r="BZ32" s="928"/>
      <c r="CB32" s="986" t="str">
        <f>IF(AND(C32="",F32="",R32="",AD32="",U32="",X32="",L32="",AJ32="",AV32="",AM32="",AP32="",AY32="",AV33="",BB32="",BD32="",AA32="",AS32=""),"",
IF(OR(C32="",F32="",R32="",AD32="",U32="",X32="",L32="",AJ32="",AV32="",AM32="",AP32="",AY32="",AV33="",BB32="",BD32="",AA32="",AS32=""),"Missing Fields",
IF(AND(M02S04F04disp="Required",M02S04F04=""),"TA Info Incomplete",
"OK")))</f>
        <v/>
      </c>
      <c r="CC32" s="925" t="str">
        <f>IF(AND(CB32="OK",CU32="OK"),INDEX(Tbl_Cust_Misc[Measure Number], MATCH(F32,Tbl_Cust_Misc[Proj Desc 1],0)),"")</f>
        <v/>
      </c>
      <c r="CD32" s="925"/>
      <c r="CE32" s="925" t="str">
        <f t="shared" ref="CE32" si="169">IF(CB32="OK","Measure","")</f>
        <v/>
      </c>
      <c r="CF32" s="925" t="str">
        <f t="shared" ref="CF32" si="170">IF(CB32="OK",1,"")</f>
        <v/>
      </c>
      <c r="CG32" s="978" t="str">
        <f t="shared" ref="CG32" si="171">IFERROR(CI32/CF32,"")</f>
        <v/>
      </c>
      <c r="CH32" s="978" t="str">
        <f>IF(CB32="OK",IF(CM32&gt;0,CM32*Incent_Rate_kWh,0)+IF(CO32&gt;0,CO32*Incent_Rate_thm,0),"")</f>
        <v/>
      </c>
      <c r="CI32" s="978" t="str">
        <f>IFERROR(IF($CB32="OK",IF(INCENTTOCOST_CUST&gt;CostCap_Cust,
CH32*CostCap_Cust/INCENTTOCOST_CUST,CH32),""),"")</f>
        <v/>
      </c>
      <c r="CJ32" s="977">
        <f t="shared" ref="CJ32" si="172">CM32</f>
        <v>0</v>
      </c>
      <c r="CK32" s="977">
        <f t="shared" ref="CK32" si="173">CN32</f>
        <v>0</v>
      </c>
      <c r="CL32" s="977">
        <f t="shared" ref="CL32" si="174">CO32</f>
        <v>0</v>
      </c>
      <c r="CM32" s="977">
        <f>R32-AJ32</f>
        <v>0</v>
      </c>
      <c r="CN32" s="977">
        <f>U32-AM32</f>
        <v>0</v>
      </c>
      <c r="CO32" s="977">
        <f t="shared" ref="CO32" si="175">IF(CR32&gt;0,CR32,0)</f>
        <v>0</v>
      </c>
      <c r="CP32" s="977">
        <f t="shared" ref="CP32" si="176">CM32</f>
        <v>0</v>
      </c>
      <c r="CQ32" s="977">
        <f t="shared" ref="CQ32" si="177">CN32</f>
        <v>0</v>
      </c>
      <c r="CR32" s="977">
        <f>X32-AP32</f>
        <v>0</v>
      </c>
      <c r="CS32" s="983"/>
      <c r="CT32" s="1056" t="str">
        <f>IF(CB32="OK",INDEX(Tbl_Cust_Misc[EUL], MATCH(F32,Tbl_Cust_Misc[Proj Desc 1],0)),"")</f>
        <v/>
      </c>
      <c r="CU32" s="979" t="str">
        <f t="shared" ref="CU32" si="178">IFERROR(IF(AND($CM32&lt;=0,$CN32&lt;=0,$CO32&lt;=0),"No Savings","OK"),"")</f>
        <v>No Savings</v>
      </c>
      <c r="CV32" s="925" t="str">
        <f t="shared" ref="CV32" si="179">IF(AND(CB32="OK",CU32="OK"),"1","")</f>
        <v/>
      </c>
      <c r="CW32" s="925" t="str">
        <f>IFERROR(IF($CB32="OK",ROUND($AQ$14*SUM(BB32:BE33)/SUM($BF$18:$BG$37),2),""),"")</f>
        <v/>
      </c>
      <c r="CX32" s="925" t="str">
        <f>IFERROR(IF(M02S04F04="Customer/Self-Installed",CW32,IF($CB32="OK",CW32+BD32,"")),"")</f>
        <v/>
      </c>
      <c r="CY32" s="925" t="str">
        <f>IFERROR(IF($CB32="OK",CX32+BB32,""),"")</f>
        <v/>
      </c>
      <c r="CZ32" s="925" t="str">
        <f>IF(CB32="OK",INDEX(MEASURES3_M!$O$54:$O$58, MATCH(F32,MEASURES3_M!$C$54:$C$58,0)),"")</f>
        <v/>
      </c>
      <c r="DA32" s="925" t="str">
        <f>IF(CB32="OK",INDEX(MEASURES3_M!$P$54:$P$58, MATCH(F32,MEASURES3_M!$C$54:$C$58,0)),"")</f>
        <v/>
      </c>
      <c r="DD32" s="980" t="str">
        <f>IFERROR(IF(CB32&lt;&gt;"OK","",CM32*VLOOKUP('DATA TABLES_Project'!$C$247,'DATA TABLES_Project'!$A$250:$B$285,2,FALSE)),"")</f>
        <v/>
      </c>
      <c r="DE32" s="925" t="str">
        <f t="shared" ref="DE32" si="180">IFERROR(IF(CB32&lt;&gt;"OK","",CM32*CZ32*0.92),"")</f>
        <v/>
      </c>
      <c r="DF32" s="980" t="str">
        <f>IFERROR(IF(CB32&lt;&gt;"OK","",CM32*CZ32*0.92*VLOOKUP('DATA TABLES_Project'!$C$247,'DATA TABLES_Project'!$A$250:$B$285,2,FALSE)),"")</f>
        <v/>
      </c>
      <c r="DG32" s="925" t="str">
        <f t="shared" ref="DG32" si="181">IFERROR(IF(CB32&lt;&gt;"OK","",CM32*BV32),IF(BX32="Dual",(CM32*BW32)+((BY32-AJ32)*(BV32-BW32)),""))</f>
        <v/>
      </c>
      <c r="DH32" s="925" t="str">
        <f ca="1">IFERROR(IF(CB32&lt;&gt;"OK","",IF(OR(BX32="Single",BX32=""), CM32*BV32*AVERAGE(INDEX('DATA TABLES_Project'!$B$250:$B$285, MATCH('DATA TABLES_Project'!$C$247,'DATA TABLES_Project'!$A$250:$A$285, 0)):OFFSET(INDEX('DATA TABLES_Project'!$B$250:$B$285, MATCH('DATA TABLES_Project'!$C$247,'DATA TABLES_Project'!$A$250:$A$285, 0)),BV32-1,0)),CM32*BW32*AVERAGE(INDEX('DATA TABLES_Project'!$B$250:$B$285, MATCH('DATA TABLES_Project'!$C$247,'DATA TABLES_Project'!$A$250:$A$285, 0)):OFFSET(INDEX('DATA TABLES_Project'!$B$250:$B$285, MATCH('DATA TABLES_Project'!$C$247,'DATA TABLES_Project'!$A$250:$A$285, 0)),BW32-1,0)) + ((BY32-AJ32)*(BV32-BW32)*AVERAGE(OFFSET(INDEX('DATA TABLES_Project'!$B$250:$B$285, MATCH('DATA TABLES_Project'!$C$247,'DATA TABLES_Project'!$A$250:$A$285, 0)),BW32,0):OFFSET(INDEX('DATA TABLES_Project'!$B$250:$B$285, MATCH('DATA TABLES_Project'!$C$247,'DATA TABLES_Project'!$A$250:$A$285, 0)),BV32-1,0))))), "")</f>
        <v/>
      </c>
      <c r="DI32" s="925" t="str">
        <f t="shared" ref="DI32" si="182">IFERROR(IF(CB32&lt;&gt;"OK","",IF(BX32="Dual",(CM32*BW32)+((BY32-AJ32)*(BV32-BW32))*CZ32*0.92,CM32*CZ32*BV32*0.92)),"")</f>
        <v/>
      </c>
      <c r="DJ32" s="925" t="str">
        <f ca="1">IFERROR(IF(CB32&lt;&gt;"OK","",IF(OR(BX32="Single",BX32=""),0.92*CZ32*CM32*BV32*AVERAGE(INDEX('DATA TABLES_Project'!$B$250:$B$285, MATCH('DATA TABLES_Project'!$C$247,'DATA TABLES_Project'!$A$250:$A$285, 0)):OFFSET(INDEX('DATA TABLES_Project'!$B$250:$B$285, MATCH('DATA TABLES_Project'!$C$247,'DATA TABLES_Project'!$A$250:$A$285, 0)),BV32-1,0)),0.92*CZ32*CM32*BW32*AVERAGE(INDEX('DATA TABLES_Project'!$B$250:$B$285, MATCH('DATA TABLES_Project'!$C$247,'DATA TABLES_Project'!$A$250:$A$285, 0)):OFFSET(INDEX('DATA TABLES_Project'!$B$250:$B$285, MATCH('DATA TABLES_Project'!$C$247,'DATA TABLES_Project'!$A$250:$A$285, 0)),BW32-1,0)) + (0.92*CZ32*(BY32-AJ32)*(BV32-BW32)*AVERAGE(OFFSET(INDEX('DATA TABLES_Project'!$B$250:$B$285, MATCH('DATA TABLES_Project'!$C$247,'DATA TABLES_Project'!$A$250:$A$285, 0)),BW32,0):OFFSET(INDEX('DATA TABLES_Project'!$B$250:$B$285, MATCH('DATA TABLES_Project'!$C$247,'DATA TABLES_Project'!$A$250:$A$285, 0)),BV32-1,0))))), "")</f>
        <v/>
      </c>
      <c r="DK32" s="925" t="str">
        <f>IFERROR(IF(CB32&lt;&gt;"OK","",CO32*'DATA TABLES_Project'!$C$250),"")</f>
        <v/>
      </c>
      <c r="DL32" s="925" t="str">
        <f t="shared" ref="DL32" si="183">IFERROR(IF(CB32&lt;&gt;"OK","",CO32*DA32*0.92),"")</f>
        <v/>
      </c>
      <c r="DM32" s="925" t="str">
        <f>IFERROR(IF(CB32&lt;&gt;"OK","",CO32*'DATA TABLES_Project'!$C$250*DA32*0.92),"")</f>
        <v/>
      </c>
      <c r="DN32" s="925" t="str">
        <f t="shared" ref="DN32" si="184">IFERROR(IF(CB32&lt;&gt;"OK","",CO32*BV32),IF(BX32="Dual",(CO32*BW32)+((BZ32-AP32)*(BV32-BW32)),""))</f>
        <v/>
      </c>
      <c r="DO32" s="925" t="str">
        <f ca="1">IFERROR(IF(CB32&lt;&gt;"OK","",CO32*BV32*AVERAGE('DATA TABLES_Project'!$C$250:OFFSET('DATA TABLES_Project'!$C$250,BV32,0))),IF(BX32="Dual",(CO32*BW32*AVERAGE('DATA TABLES_Project'!$C$251:$C$259))+((BZ32-AP32)*(BV32-BW32)*AVERAGE('DATA TABLES_Project'!$C$260:$C$279)),""))</f>
        <v/>
      </c>
      <c r="DP32" s="925" t="str">
        <f t="shared" ref="DP32" si="185">IFERROR(IF(CB32&lt;&gt;"OK","",IF(BX32="Dual",((CO32*BW32)+(BZ32-AP32)*(BV32-BW32))*DA32*0.92,CO32*BV32*DA32*0.92)),"")</f>
        <v/>
      </c>
      <c r="DQ32" s="925" t="str">
        <f ca="1">IFERROR(IF(CB32&lt;&gt;"OK","",IF(BX32="Dual",(0.92*DA32*CO32*BW32*AVERAGE('DATA TABLES_Project'!$C$251:$C$259))+(0.92*DA32*(BZ32-AP32)*(BV32-BW32)*AVERAGE('DATA TABLES_Project'!$C$260:$C$279)),0.92*DA32*CO32*BV32*AVERAGE('DATA TABLES_Project'!$C$250:OFFSET('DATA TABLES_Project'!$C$250,BV32,0)))),"")</f>
        <v/>
      </c>
      <c r="DR32" s="980" t="str">
        <f>IFERROR(IF($CB32&lt;&gt;"OK","",CM32*'DATA TABLES_Project'!$B$290+IF(CO32&lt;0,0,CO32*'DATA TABLES_Project'!$B$291)),"")</f>
        <v/>
      </c>
      <c r="DS32" s="980" t="str">
        <f>IFERROR(IF($CB32&lt;&gt;"OK","",DD32*'DATA TABLES_Project'!$B$290+IF(DK32&lt;0,0,DK32*'DATA TABLES_Project'!$B$291)),"")</f>
        <v/>
      </c>
      <c r="DT32" s="980" t="str">
        <f>IFERROR(IF($CB32&lt;&gt;"OK","",DE32*'DATA TABLES_Project'!$B$290+IF(DL32&lt;0,0,DL32*'DATA TABLES_Project'!$B$291)),"")</f>
        <v/>
      </c>
      <c r="DU32" s="980" t="str">
        <f>IFERROR(IF($CB32&lt;&gt;"OK","",DF32*'DATA TABLES_Project'!$B$290+IF(DM32&lt;0,0,DM32*'DATA TABLES_Project'!$B$291)),"")</f>
        <v/>
      </c>
      <c r="DV32" s="980" t="str">
        <f>IFERROR(IF($CB32&lt;&gt;"OK","",DG32*'DATA TABLES_Project'!$B$290+IF(DN32&lt;0,0,DN32*'DATA TABLES_Project'!$B$291)),"")</f>
        <v/>
      </c>
      <c r="DW32" s="980" t="str">
        <f>IFERROR(IF($CB32&lt;&gt;"OK","",DH32*'DATA TABLES_Project'!$B$290+IF(DO32&lt;0,0,DO32*'DATA TABLES_Project'!$B$291)),"")</f>
        <v/>
      </c>
      <c r="DX32" s="980" t="str">
        <f>IFERROR(IF($CB32&lt;&gt;"OK","",DI32*'DATA TABLES_Project'!$B$290+IF(DP32&lt;0,0,DP32*'DATA TABLES_Project'!$B$291)),"")</f>
        <v/>
      </c>
      <c r="DY32" s="925" t="str">
        <f>IFERROR(IF($CB32&lt;&gt;"OK","",DJ32*'DATA TABLES_Project'!$B$290+IF(DQ32&lt;0,0,DQ32*'DATA TABLES_Project'!$B$291)),"")</f>
        <v/>
      </c>
      <c r="DZ32" s="925" t="str">
        <f t="shared" ref="DZ32" si="186">IFERROR(IF($CB32&lt;&gt;"OK","",AS32),"")</f>
        <v/>
      </c>
      <c r="EA32" s="925" t="str">
        <f>IFERROR(IF(CB32&lt;&gt;"OK","",CN32*'DATA TABLES_Project'!$B$250*CZ32*1.03),"")</f>
        <v/>
      </c>
      <c r="EB32" s="925" t="str">
        <f t="shared" ref="EB32" si="187">IFERROR(IF(CB32&lt;&gt;"OK","",CN32*CZ32*1.03),"")</f>
        <v/>
      </c>
      <c r="EC32" s="925" t="str">
        <f>IFERROR(IF(CB32&lt;&gt;"OK","",CZ32*DZ32*'DATA TABLES_Project'!$C$250*0.92),"")</f>
        <v/>
      </c>
      <c r="ED32" s="925" t="str">
        <f>IFERROR(IF(CB32&lt;&gt;"OK","",CZ32*DZ32*'DATA TABLES_Project'!$C$250*0.92),"")</f>
        <v/>
      </c>
      <c r="EE32" s="925" t="str">
        <f t="shared" ref="EE32" si="188">IFERROR(IF(CB32&lt;&gt;"OK","",CZ32*DZ32*0.92),"")</f>
        <v/>
      </c>
      <c r="EF32" s="925" t="str">
        <f t="shared" ref="EF32" si="189">IFERROR(IF(CB32&lt;&gt;"OK","",CZ32*DZ32*0.92),"")</f>
        <v/>
      </c>
      <c r="EG32" s="925" t="str">
        <f>IFERROR(IF($CB32&lt;&gt;"OK","",CM32*'DATA TABLES_Project'!$B$290+CO32*'DATA TABLES_Project'!$B$291),"")</f>
        <v/>
      </c>
      <c r="EH32" s="925" t="str">
        <f>IFERROR(IF($CB32&lt;&gt;"OK","",DD32*'DATA TABLES_Project'!$B$290+DK32*'DATA TABLES_Project'!$B$291),"")</f>
        <v/>
      </c>
      <c r="EI32" s="925" t="str">
        <f>IFERROR(IF($CB32&lt;&gt;"OK","",DE32*'DATA TABLES_Project'!$B$290+DL32*'DATA TABLES_Project'!$B$291),"")</f>
        <v/>
      </c>
      <c r="EJ32" s="925" t="str">
        <f>IFERROR(IF($CB32&lt;&gt;"OK","",DF32*'DATA TABLES_Project'!$B$290+DM32*'DATA TABLES_Project'!$B$291),"")</f>
        <v/>
      </c>
      <c r="EK32" s="925" t="str">
        <f>IFERROR(IF($CB32&lt;&gt;"OK","",DG32*'DATA TABLES_Project'!$B$290+DN32*'DATA TABLES_Project'!$B$291),"")</f>
        <v/>
      </c>
      <c r="EL32" s="925" t="str">
        <f>IFERROR(IF($CB32&lt;&gt;"OK","",DH32*'DATA TABLES_Project'!$B$290+DO32*'DATA TABLES_Project'!$B$291),"")</f>
        <v/>
      </c>
      <c r="EM32" s="925" t="str">
        <f>IFERROR(IF($CB32&lt;&gt;"OK","",DI32*'DATA TABLES_Project'!$B$290+DP32*'DATA TABLES_Project'!$B$291),"")</f>
        <v/>
      </c>
      <c r="EN32" s="925" t="str">
        <f>IFERROR(IF($CB32&lt;&gt;"OK","",DJ32*'DATA TABLES_Project'!$B$290+DQ32*'DATA TABLES_Project'!$B$291),"")</f>
        <v/>
      </c>
    </row>
    <row r="33" spans="1:144" customFormat="1" ht="16.350000000000001" customHeight="1">
      <c r="A33" s="462"/>
      <c r="B33" s="994"/>
      <c r="C33" s="998"/>
      <c r="D33" s="999"/>
      <c r="E33" s="1000"/>
      <c r="F33" s="964"/>
      <c r="G33" s="965"/>
      <c r="H33" s="965"/>
      <c r="I33" s="965"/>
      <c r="J33" s="965"/>
      <c r="K33" s="966"/>
      <c r="L33" s="964"/>
      <c r="M33" s="965"/>
      <c r="N33" s="965"/>
      <c r="O33" s="965"/>
      <c r="P33" s="965"/>
      <c r="Q33" s="966"/>
      <c r="R33" s="1044"/>
      <c r="S33" s="1044"/>
      <c r="T33" s="1044"/>
      <c r="U33" s="1044"/>
      <c r="V33" s="1044"/>
      <c r="W33" s="1044"/>
      <c r="X33" s="1045"/>
      <c r="Y33" s="1045"/>
      <c r="Z33" s="1045"/>
      <c r="AA33" s="1045"/>
      <c r="AB33" s="1045"/>
      <c r="AC33" s="1045"/>
      <c r="AD33" s="964"/>
      <c r="AE33" s="965"/>
      <c r="AF33" s="965"/>
      <c r="AG33" s="965"/>
      <c r="AH33" s="965"/>
      <c r="AI33" s="966"/>
      <c r="AJ33" s="952"/>
      <c r="AK33" s="953"/>
      <c r="AL33" s="954"/>
      <c r="AM33" s="952"/>
      <c r="AN33" s="953"/>
      <c r="AO33" s="954"/>
      <c r="AP33" s="958"/>
      <c r="AQ33" s="959"/>
      <c r="AR33" s="960"/>
      <c r="AS33" s="958"/>
      <c r="AT33" s="959"/>
      <c r="AU33" s="960"/>
      <c r="AV33" s="968"/>
      <c r="AW33" s="969"/>
      <c r="AX33" s="969"/>
      <c r="AY33" s="969"/>
      <c r="AZ33" s="969"/>
      <c r="BA33" s="970"/>
      <c r="BB33" s="947"/>
      <c r="BC33" s="948"/>
      <c r="BD33" s="947"/>
      <c r="BE33" s="948"/>
      <c r="BF33" s="931"/>
      <c r="BG33" s="932"/>
      <c r="BH33" s="1102"/>
      <c r="BI33" s="1103"/>
      <c r="BJ33" s="1104"/>
      <c r="BK33" s="936"/>
      <c r="BL33" s="937"/>
      <c r="BM33" s="938"/>
      <c r="BN33" s="942"/>
      <c r="BO33" s="943"/>
      <c r="BP33" s="944"/>
      <c r="BS33" s="967"/>
      <c r="BT33" s="967"/>
      <c r="BV33" s="926"/>
      <c r="BW33" s="926"/>
      <c r="BX33" s="926"/>
      <c r="BY33" s="927"/>
      <c r="BZ33" s="928"/>
      <c r="CB33" s="986"/>
      <c r="CC33" s="925"/>
      <c r="CD33" s="925"/>
      <c r="CE33" s="925"/>
      <c r="CF33" s="925"/>
      <c r="CG33" s="925"/>
      <c r="CH33" s="925"/>
      <c r="CI33" s="925"/>
      <c r="CJ33" s="977"/>
      <c r="CK33" s="977"/>
      <c r="CL33" s="977"/>
      <c r="CM33" s="977"/>
      <c r="CN33" s="977"/>
      <c r="CO33" s="977"/>
      <c r="CP33" s="977"/>
      <c r="CQ33" s="977"/>
      <c r="CR33" s="977"/>
      <c r="CS33" s="983"/>
      <c r="CT33" s="1056"/>
      <c r="CU33" s="979"/>
      <c r="CV33" s="925"/>
      <c r="CW33" s="925"/>
      <c r="CX33" s="925"/>
      <c r="CY33" s="925"/>
      <c r="CZ33" s="925"/>
      <c r="DA33" s="925"/>
      <c r="DD33" s="981"/>
      <c r="DE33" s="925"/>
      <c r="DF33" s="981"/>
      <c r="DG33" s="925"/>
      <c r="DH33" s="925"/>
      <c r="DI33" s="925"/>
      <c r="DJ33" s="925"/>
      <c r="DK33" s="925"/>
      <c r="DL33" s="925"/>
      <c r="DM33" s="925"/>
      <c r="DN33" s="925"/>
      <c r="DO33" s="925"/>
      <c r="DP33" s="925"/>
      <c r="DQ33" s="925"/>
      <c r="DR33" s="981"/>
      <c r="DS33" s="981"/>
      <c r="DT33" s="981"/>
      <c r="DU33" s="981"/>
      <c r="DV33" s="981"/>
      <c r="DW33" s="981"/>
      <c r="DX33" s="981"/>
      <c r="DY33" s="925"/>
      <c r="DZ33" s="925"/>
      <c r="EA33" s="925"/>
      <c r="EB33" s="925"/>
      <c r="EC33" s="925"/>
      <c r="ED33" s="925"/>
      <c r="EE33" s="925"/>
      <c r="EF33" s="925"/>
      <c r="EG33" s="925"/>
      <c r="EH33" s="925"/>
      <c r="EI33" s="925"/>
      <c r="EJ33" s="925"/>
      <c r="EK33" s="925"/>
      <c r="EL33" s="925"/>
      <c r="EM33" s="925"/>
      <c r="EN33" s="925"/>
    </row>
    <row r="34" spans="1:144" customFormat="1" ht="16.350000000000001" customHeight="1">
      <c r="A34" s="462"/>
      <c r="B34" s="994">
        <v>9</v>
      </c>
      <c r="C34" s="995"/>
      <c r="D34" s="996"/>
      <c r="E34" s="997"/>
      <c r="F34" s="961"/>
      <c r="G34" s="962"/>
      <c r="H34" s="962"/>
      <c r="I34" s="962"/>
      <c r="J34" s="962"/>
      <c r="K34" s="963"/>
      <c r="L34" s="961"/>
      <c r="M34" s="962"/>
      <c r="N34" s="962"/>
      <c r="O34" s="962"/>
      <c r="P34" s="962"/>
      <c r="Q34" s="963"/>
      <c r="R34" s="1044"/>
      <c r="S34" s="1044"/>
      <c r="T34" s="1044"/>
      <c r="U34" s="1044"/>
      <c r="V34" s="1044"/>
      <c r="W34" s="1044"/>
      <c r="X34" s="1045"/>
      <c r="Y34" s="1045"/>
      <c r="Z34" s="1045"/>
      <c r="AA34" s="1045"/>
      <c r="AB34" s="1045"/>
      <c r="AC34" s="1045"/>
      <c r="AD34" s="961"/>
      <c r="AE34" s="962"/>
      <c r="AF34" s="962"/>
      <c r="AG34" s="962"/>
      <c r="AH34" s="962"/>
      <c r="AI34" s="963"/>
      <c r="AJ34" s="949"/>
      <c r="AK34" s="950"/>
      <c r="AL34" s="951"/>
      <c r="AM34" s="949"/>
      <c r="AN34" s="950"/>
      <c r="AO34" s="951"/>
      <c r="AP34" s="955"/>
      <c r="AQ34" s="956"/>
      <c r="AR34" s="957"/>
      <c r="AS34" s="955"/>
      <c r="AT34" s="956"/>
      <c r="AU34" s="957"/>
      <c r="AV34" s="968"/>
      <c r="AW34" s="969"/>
      <c r="AX34" s="970"/>
      <c r="AY34" s="968"/>
      <c r="AZ34" s="969"/>
      <c r="BA34" s="970"/>
      <c r="BB34" s="945"/>
      <c r="BC34" s="946"/>
      <c r="BD34" s="945"/>
      <c r="BE34" s="946"/>
      <c r="BF34" s="929" t="str">
        <f t="shared" ref="BF34" si="190">IF(CB34="OK",ROUND(BB34+BD34,2),"")</f>
        <v/>
      </c>
      <c r="BG34" s="930"/>
      <c r="BH34" s="1099" t="str">
        <f t="shared" ref="BH34" si="191">IFERROR(IF(AND($CB34="OK",$CU34="OK"),$CI34,IF($CB34&lt;&gt;"OK",$CB34,$CU34)),"")</f>
        <v/>
      </c>
      <c r="BI34" s="1100"/>
      <c r="BJ34" s="1101"/>
      <c r="BK34" s="933" t="str">
        <f t="shared" ref="BK34" si="192">IF($CB34="OK",CM34,"")</f>
        <v/>
      </c>
      <c r="BL34" s="934"/>
      <c r="BM34" s="935"/>
      <c r="BN34" s="939" t="str">
        <f t="shared" ref="BN34" si="193">IF($CB34="OK",$CR34,"")</f>
        <v/>
      </c>
      <c r="BO34" s="940"/>
      <c r="BP34" s="941"/>
      <c r="BS34" s="967"/>
      <c r="BT34" s="967"/>
      <c r="BV34" s="926" t="str">
        <f t="shared" ref="BV34" si="194">IFERROR(ROUND(IF(AND(CB34="OK",CU34="OK"),CT34,""),0),"")</f>
        <v/>
      </c>
      <c r="BW34" s="926" t="str">
        <f t="shared" ref="BW34" si="195">IFERROR(ROUND(IF(AND(CB34="OK",CU34="OK"),BV34/3,""),0),"")</f>
        <v/>
      </c>
      <c r="BX34" s="926"/>
      <c r="BY34" s="927"/>
      <c r="BZ34" s="928"/>
      <c r="CB34" s="986" t="str">
        <f>IF(AND(C34="",F34="",R34="",AD34="",U34="",X34="",L34="",AJ34="",AV34="",AM34="",AP34="",AY34="",AV35="",BB34="",BD34="",AA34="",AS34=""),"",
IF(OR(C34="",F34="",R34="",AD34="",U34="",X34="",L34="",AJ34="",AV34="",AM34="",AP34="",AY34="",AV35="",BB34="",BD34="",AA34="",AS34=""),"Missing Fields",
IF(AND(M02S04F04disp="Required",M02S04F04=""),"TA Info Incomplete",
"OK")))</f>
        <v/>
      </c>
      <c r="CC34" s="925" t="str">
        <f>IF(AND(CB34="OK",CU34="OK"),INDEX(Tbl_Cust_Misc[Measure Number], MATCH(F34,Tbl_Cust_Misc[Proj Desc 1],0)),"")</f>
        <v/>
      </c>
      <c r="CD34" s="925"/>
      <c r="CE34" s="925" t="str">
        <f t="shared" ref="CE34" si="196">IF(CB34="OK","Measure","")</f>
        <v/>
      </c>
      <c r="CF34" s="925" t="str">
        <f t="shared" ref="CF34" si="197">IF(CB34="OK",1,"")</f>
        <v/>
      </c>
      <c r="CG34" s="978" t="str">
        <f t="shared" ref="CG34" si="198">IFERROR(CI34/CF34,"")</f>
        <v/>
      </c>
      <c r="CH34" s="978" t="str">
        <f>IF(CB34="OK",IF(CM34&gt;0,CM34*Incent_Rate_kWh,0)+IF(CO34&gt;0,CO34*Incent_Rate_thm,0),"")</f>
        <v/>
      </c>
      <c r="CI34" s="978" t="str">
        <f>IFERROR(IF($CB34="OK",IF(INCENTTOCOST_CUST&gt;CostCap_Cust,
CH34*CostCap_Cust/INCENTTOCOST_CUST,CH34),""),"")</f>
        <v/>
      </c>
      <c r="CJ34" s="977">
        <f t="shared" ref="CJ34" si="199">CM34</f>
        <v>0</v>
      </c>
      <c r="CK34" s="977">
        <f t="shared" ref="CK34" si="200">CN34</f>
        <v>0</v>
      </c>
      <c r="CL34" s="977">
        <f t="shared" ref="CL34" si="201">CO34</f>
        <v>0</v>
      </c>
      <c r="CM34" s="977">
        <f>R34-AJ34</f>
        <v>0</v>
      </c>
      <c r="CN34" s="977">
        <f>U34-AM34</f>
        <v>0</v>
      </c>
      <c r="CO34" s="977">
        <f t="shared" ref="CO34" si="202">IF(CR34&gt;0,CR34,0)</f>
        <v>0</v>
      </c>
      <c r="CP34" s="977">
        <f t="shared" ref="CP34" si="203">CM34</f>
        <v>0</v>
      </c>
      <c r="CQ34" s="977">
        <f t="shared" ref="CQ34" si="204">CN34</f>
        <v>0</v>
      </c>
      <c r="CR34" s="977">
        <f>X34-AP34</f>
        <v>0</v>
      </c>
      <c r="CS34" s="983"/>
      <c r="CT34" s="1056" t="str">
        <f>IF(CB34="OK",INDEX(Tbl_Cust_Misc[EUL], MATCH(F34,Tbl_Cust_Misc[Proj Desc 1],0)),"")</f>
        <v/>
      </c>
      <c r="CU34" s="979" t="str">
        <f t="shared" ref="CU34" si="205">IFERROR(IF(AND($CM34&lt;=0,$CN34&lt;=0,$CO34&lt;=0),"No Savings","OK"),"")</f>
        <v>No Savings</v>
      </c>
      <c r="CV34" s="925" t="str">
        <f t="shared" ref="CV34" si="206">IF(AND(CB34="OK",CU34="OK"),"1","")</f>
        <v/>
      </c>
      <c r="CW34" s="925" t="str">
        <f>IFERROR(IF($CB34="OK",ROUND($AQ$14*SUM(BB34:BE35)/SUM($BF$18:$BG$37),2),""),"")</f>
        <v/>
      </c>
      <c r="CX34" s="925" t="str">
        <f>IFERROR(IF(M02S04F04="Customer/Self-Installed",CW34,IF($CB34="OK",CW34+BD34,"")),"")</f>
        <v/>
      </c>
      <c r="CY34" s="925" t="str">
        <f>IFERROR(IF($CB34="OK",CX34+BB34,""),"")</f>
        <v/>
      </c>
      <c r="CZ34" s="925" t="str">
        <f>IF(CB34="OK",INDEX(MEASURES3_M!$O$54:$O$58, MATCH(F34,MEASURES3_M!$C$54:$C$58,0)),"")</f>
        <v/>
      </c>
      <c r="DA34" s="925" t="str">
        <f>IF(CB34="OK",INDEX(MEASURES3_M!$P$54:$P$58, MATCH(F34,MEASURES3_M!$C$54:$C$58,0)),"")</f>
        <v/>
      </c>
      <c r="DD34" s="980" t="str">
        <f>IFERROR(IF(CB34&lt;&gt;"OK","",CM34*VLOOKUP('DATA TABLES_Project'!$C$247,'DATA TABLES_Project'!$A$250:$B$285,2,FALSE)),"")</f>
        <v/>
      </c>
      <c r="DE34" s="925" t="str">
        <f t="shared" ref="DE34" si="207">IFERROR(IF(CB34&lt;&gt;"OK","",CM34*CZ34*0.92),"")</f>
        <v/>
      </c>
      <c r="DF34" s="980" t="str">
        <f>IFERROR(IF(CB34&lt;&gt;"OK","",CM34*CZ34*0.92*VLOOKUP('DATA TABLES_Project'!$C$247,'DATA TABLES_Project'!$A$250:$B$285,2,FALSE)),"")</f>
        <v/>
      </c>
      <c r="DG34" s="925" t="str">
        <f t="shared" ref="DG34" si="208">IFERROR(IF(CB34&lt;&gt;"OK","",CM34*BV34),IF(BX34="Dual",(CM34*BW34)+((BY34-AJ34)*(BV34-BW34)),""))</f>
        <v/>
      </c>
      <c r="DH34" s="925" t="str">
        <f ca="1">IFERROR(IF(CB34&lt;&gt;"OK","",IF(OR(BX34="Single",BX34=""), CM34*BV34*AVERAGE(INDEX('DATA TABLES_Project'!$B$250:$B$285, MATCH('DATA TABLES_Project'!$C$247,'DATA TABLES_Project'!$A$250:$A$285, 0)):OFFSET(INDEX('DATA TABLES_Project'!$B$250:$B$285, MATCH('DATA TABLES_Project'!$C$247,'DATA TABLES_Project'!$A$250:$A$285, 0)),BV34-1,0)),CM34*BW34*AVERAGE(INDEX('DATA TABLES_Project'!$B$250:$B$285, MATCH('DATA TABLES_Project'!$C$247,'DATA TABLES_Project'!$A$250:$A$285, 0)):OFFSET(INDEX('DATA TABLES_Project'!$B$250:$B$285, MATCH('DATA TABLES_Project'!$C$247,'DATA TABLES_Project'!$A$250:$A$285, 0)),BW34-1,0)) + ((BY34-AJ34)*(BV34-BW34)*AVERAGE(OFFSET(INDEX('DATA TABLES_Project'!$B$250:$B$285, MATCH('DATA TABLES_Project'!$C$247,'DATA TABLES_Project'!$A$250:$A$285, 0)),BW34,0):OFFSET(INDEX('DATA TABLES_Project'!$B$250:$B$285, MATCH('DATA TABLES_Project'!$C$247,'DATA TABLES_Project'!$A$250:$A$285, 0)),BV34-1,0))))), "")</f>
        <v/>
      </c>
      <c r="DI34" s="925" t="str">
        <f t="shared" ref="DI34" si="209">IFERROR(IF(CB34&lt;&gt;"OK","",IF(BX34="Dual",(CM34*BW34)+((BY34-AJ34)*(BV34-BW34))*CZ34*0.92,CM34*CZ34*BV34*0.92)),"")</f>
        <v/>
      </c>
      <c r="DJ34" s="925" t="str">
        <f ca="1">IFERROR(IF(CB34&lt;&gt;"OK","",IF(OR(BX34="Single",BX34=""),0.92*CZ34*CM34*BV34*AVERAGE(INDEX('DATA TABLES_Project'!$B$250:$B$285, MATCH('DATA TABLES_Project'!$C$247,'DATA TABLES_Project'!$A$250:$A$285, 0)):OFFSET(INDEX('DATA TABLES_Project'!$B$250:$B$285, MATCH('DATA TABLES_Project'!$C$247,'DATA TABLES_Project'!$A$250:$A$285, 0)),BV34-1,0)),0.92*CZ34*CM34*BW34*AVERAGE(INDEX('DATA TABLES_Project'!$B$250:$B$285, MATCH('DATA TABLES_Project'!$C$247,'DATA TABLES_Project'!$A$250:$A$285, 0)):OFFSET(INDEX('DATA TABLES_Project'!$B$250:$B$285, MATCH('DATA TABLES_Project'!$C$247,'DATA TABLES_Project'!$A$250:$A$285, 0)),BW34-1,0)) + (0.92*CZ34*(BY34-AJ34)*(BV34-BW34)*AVERAGE(OFFSET(INDEX('DATA TABLES_Project'!$B$250:$B$285, MATCH('DATA TABLES_Project'!$C$247,'DATA TABLES_Project'!$A$250:$A$285, 0)),BW34,0):OFFSET(INDEX('DATA TABLES_Project'!$B$250:$B$285, MATCH('DATA TABLES_Project'!$C$247,'DATA TABLES_Project'!$A$250:$A$285, 0)),BV34-1,0))))), "")</f>
        <v/>
      </c>
      <c r="DK34" s="925" t="str">
        <f>IFERROR(IF(CB34&lt;&gt;"OK","",CO34*'DATA TABLES_Project'!$C$250),"")</f>
        <v/>
      </c>
      <c r="DL34" s="925" t="str">
        <f t="shared" ref="DL34" si="210">IFERROR(IF(CB34&lt;&gt;"OK","",CO34*DA34*0.92),"")</f>
        <v/>
      </c>
      <c r="DM34" s="925" t="str">
        <f>IFERROR(IF(CB34&lt;&gt;"OK","",CO34*'DATA TABLES_Project'!$C$250*DA34*0.92),"")</f>
        <v/>
      </c>
      <c r="DN34" s="925" t="str">
        <f t="shared" ref="DN34" si="211">IFERROR(IF(CB34&lt;&gt;"OK","",CO34*BV34),IF(BX34="Dual",(CO34*BW34)+((BZ34-AP34)*(BV34-BW34)),""))</f>
        <v/>
      </c>
      <c r="DO34" s="925" t="str">
        <f ca="1">IFERROR(IF(CB34&lt;&gt;"OK","",CO34*BV34*AVERAGE('DATA TABLES_Project'!$C$250:OFFSET('DATA TABLES_Project'!$C$250,BV34,0))),IF(BX34="Dual",(CO34*BW34*AVERAGE('DATA TABLES_Project'!$C$251:$C$259))+((BZ34-AP34)*(BV34-BW34)*AVERAGE('DATA TABLES_Project'!$C$260:$C$279)),""))</f>
        <v/>
      </c>
      <c r="DP34" s="925" t="str">
        <f t="shared" ref="DP34" si="212">IFERROR(IF(CB34&lt;&gt;"OK","",IF(BX34="Dual",((CO34*BW34)+(BZ34-AP34)*(BV34-BW34))*DA34*0.92,CO34*BV34*DA34*0.92)),"")</f>
        <v/>
      </c>
      <c r="DQ34" s="925" t="str">
        <f ca="1">IFERROR(IF(CB34&lt;&gt;"OK","",IF(BX34="Dual",(0.92*DA34*CO34*BW34*AVERAGE('DATA TABLES_Project'!$C$251:$C$259))+(0.92*DA34*(BZ34-AP34)*(BV34-BW34)*AVERAGE('DATA TABLES_Project'!$C$260:$C$279)),0.92*DA34*CO34*BV34*AVERAGE('DATA TABLES_Project'!$C$250:OFFSET('DATA TABLES_Project'!$C$250,BV34,0)))),"")</f>
        <v/>
      </c>
      <c r="DR34" s="980" t="str">
        <f>IFERROR(IF($CB34&lt;&gt;"OK","",CM34*'DATA TABLES_Project'!$B$290+IF(CO34&lt;0,0,CO34*'DATA TABLES_Project'!$B$291)),"")</f>
        <v/>
      </c>
      <c r="DS34" s="980" t="str">
        <f>IFERROR(IF($CB34&lt;&gt;"OK","",DD34*'DATA TABLES_Project'!$B$290+IF(DK34&lt;0,0,DK34*'DATA TABLES_Project'!$B$291)),"")</f>
        <v/>
      </c>
      <c r="DT34" s="980" t="str">
        <f>IFERROR(IF($CB34&lt;&gt;"OK","",DE34*'DATA TABLES_Project'!$B$290+IF(DL34&lt;0,0,DL34*'DATA TABLES_Project'!$B$291)),"")</f>
        <v/>
      </c>
      <c r="DU34" s="980" t="str">
        <f>IFERROR(IF($CB34&lt;&gt;"OK","",DF34*'DATA TABLES_Project'!$B$290+IF(DM34&lt;0,0,DM34*'DATA TABLES_Project'!$B$291)),"")</f>
        <v/>
      </c>
      <c r="DV34" s="980" t="str">
        <f>IFERROR(IF($CB34&lt;&gt;"OK","",DG34*'DATA TABLES_Project'!$B$290+IF(DN34&lt;0,0,DN34*'DATA TABLES_Project'!$B$291)),"")</f>
        <v/>
      </c>
      <c r="DW34" s="980" t="str">
        <f>IFERROR(IF($CB34&lt;&gt;"OK","",DH34*'DATA TABLES_Project'!$B$290+IF(DO34&lt;0,0,DO34*'DATA TABLES_Project'!$B$291)),"")</f>
        <v/>
      </c>
      <c r="DX34" s="980" t="str">
        <f>IFERROR(IF($CB34&lt;&gt;"OK","",DI34*'DATA TABLES_Project'!$B$290+IF(DP34&lt;0,0,DP34*'DATA TABLES_Project'!$B$291)),"")</f>
        <v/>
      </c>
      <c r="DY34" s="925" t="str">
        <f>IFERROR(IF($CB34&lt;&gt;"OK","",DJ34*'DATA TABLES_Project'!$B$290+IF(DQ34&lt;0,0,DQ34*'DATA TABLES_Project'!$B$291)),"")</f>
        <v/>
      </c>
      <c r="DZ34" s="925" t="str">
        <f t="shared" ref="DZ34" si="213">IFERROR(IF($CB34&lt;&gt;"OK","",AS34),"")</f>
        <v/>
      </c>
      <c r="EA34" s="925" t="str">
        <f>IFERROR(IF(CB34&lt;&gt;"OK","",CN34*'DATA TABLES_Project'!$B$250*CZ34*1.03),"")</f>
        <v/>
      </c>
      <c r="EB34" s="925" t="str">
        <f t="shared" ref="EB34" si="214">IFERROR(IF(CB34&lt;&gt;"OK","",CN34*CZ34*1.03),"")</f>
        <v/>
      </c>
      <c r="EC34" s="925" t="str">
        <f>IFERROR(IF(CB34&lt;&gt;"OK","",CZ34*DZ34*'DATA TABLES_Project'!$C$250*0.92),"")</f>
        <v/>
      </c>
      <c r="ED34" s="925" t="str">
        <f>IFERROR(IF(CB34&lt;&gt;"OK","",CZ34*DZ34*'DATA TABLES_Project'!$C$250*0.92),"")</f>
        <v/>
      </c>
      <c r="EE34" s="925" t="str">
        <f t="shared" ref="EE34" si="215">IFERROR(IF(CB34&lt;&gt;"OK","",CZ34*DZ34*0.92),"")</f>
        <v/>
      </c>
      <c r="EF34" s="925" t="str">
        <f t="shared" ref="EF34" si="216">IFERROR(IF(CB34&lt;&gt;"OK","",CZ34*DZ34*0.92),"")</f>
        <v/>
      </c>
      <c r="EG34" s="925" t="str">
        <f>IFERROR(IF($CB34&lt;&gt;"OK","",CM34*'DATA TABLES_Project'!$B$290+CO34*'DATA TABLES_Project'!$B$291),"")</f>
        <v/>
      </c>
      <c r="EH34" s="925" t="str">
        <f>IFERROR(IF($CB34&lt;&gt;"OK","",DD34*'DATA TABLES_Project'!$B$290+DK34*'DATA TABLES_Project'!$B$291),"")</f>
        <v/>
      </c>
      <c r="EI34" s="925" t="str">
        <f>IFERROR(IF($CB34&lt;&gt;"OK","",DE34*'DATA TABLES_Project'!$B$290+DL34*'DATA TABLES_Project'!$B$291),"")</f>
        <v/>
      </c>
      <c r="EJ34" s="925" t="str">
        <f>IFERROR(IF($CB34&lt;&gt;"OK","",DF34*'DATA TABLES_Project'!$B$290+DM34*'DATA TABLES_Project'!$B$291),"")</f>
        <v/>
      </c>
      <c r="EK34" s="925" t="str">
        <f>IFERROR(IF($CB34&lt;&gt;"OK","",DG34*'DATA TABLES_Project'!$B$290+DN34*'DATA TABLES_Project'!$B$291),"")</f>
        <v/>
      </c>
      <c r="EL34" s="925" t="str">
        <f>IFERROR(IF($CB34&lt;&gt;"OK","",DH34*'DATA TABLES_Project'!$B$290+DO34*'DATA TABLES_Project'!$B$291),"")</f>
        <v/>
      </c>
      <c r="EM34" s="925" t="str">
        <f>IFERROR(IF($CB34&lt;&gt;"OK","",DI34*'DATA TABLES_Project'!$B$290+DP34*'DATA TABLES_Project'!$B$291),"")</f>
        <v/>
      </c>
      <c r="EN34" s="925" t="str">
        <f>IFERROR(IF($CB34&lt;&gt;"OK","",DJ34*'DATA TABLES_Project'!$B$290+DQ34*'DATA TABLES_Project'!$B$291),"")</f>
        <v/>
      </c>
    </row>
    <row r="35" spans="1:144" customFormat="1" ht="16.350000000000001" customHeight="1">
      <c r="A35" s="462"/>
      <c r="B35" s="994"/>
      <c r="C35" s="998"/>
      <c r="D35" s="999"/>
      <c r="E35" s="1000"/>
      <c r="F35" s="964"/>
      <c r="G35" s="965"/>
      <c r="H35" s="965"/>
      <c r="I35" s="965"/>
      <c r="J35" s="965"/>
      <c r="K35" s="966"/>
      <c r="L35" s="964"/>
      <c r="M35" s="965"/>
      <c r="N35" s="965"/>
      <c r="O35" s="965"/>
      <c r="P35" s="965"/>
      <c r="Q35" s="966"/>
      <c r="R35" s="1044"/>
      <c r="S35" s="1044"/>
      <c r="T35" s="1044"/>
      <c r="U35" s="1044"/>
      <c r="V35" s="1044"/>
      <c r="W35" s="1044"/>
      <c r="X35" s="1045"/>
      <c r="Y35" s="1045"/>
      <c r="Z35" s="1045"/>
      <c r="AA35" s="1045"/>
      <c r="AB35" s="1045"/>
      <c r="AC35" s="1045"/>
      <c r="AD35" s="964"/>
      <c r="AE35" s="965"/>
      <c r="AF35" s="965"/>
      <c r="AG35" s="965"/>
      <c r="AH35" s="965"/>
      <c r="AI35" s="966"/>
      <c r="AJ35" s="952"/>
      <c r="AK35" s="953"/>
      <c r="AL35" s="954"/>
      <c r="AM35" s="952"/>
      <c r="AN35" s="953"/>
      <c r="AO35" s="954"/>
      <c r="AP35" s="958"/>
      <c r="AQ35" s="959"/>
      <c r="AR35" s="960"/>
      <c r="AS35" s="958"/>
      <c r="AT35" s="959"/>
      <c r="AU35" s="960"/>
      <c r="AV35" s="968"/>
      <c r="AW35" s="969"/>
      <c r="AX35" s="969"/>
      <c r="AY35" s="969"/>
      <c r="AZ35" s="969"/>
      <c r="BA35" s="970"/>
      <c r="BB35" s="947"/>
      <c r="BC35" s="948"/>
      <c r="BD35" s="947"/>
      <c r="BE35" s="948"/>
      <c r="BF35" s="931"/>
      <c r="BG35" s="932"/>
      <c r="BH35" s="1102"/>
      <c r="BI35" s="1103"/>
      <c r="BJ35" s="1104"/>
      <c r="BK35" s="936"/>
      <c r="BL35" s="937"/>
      <c r="BM35" s="938"/>
      <c r="BN35" s="942"/>
      <c r="BO35" s="943"/>
      <c r="BP35" s="944"/>
      <c r="BS35" s="967"/>
      <c r="BT35" s="967"/>
      <c r="BV35" s="926"/>
      <c r="BW35" s="926"/>
      <c r="BX35" s="926"/>
      <c r="BY35" s="927"/>
      <c r="BZ35" s="928"/>
      <c r="CB35" s="986"/>
      <c r="CC35" s="925"/>
      <c r="CD35" s="925"/>
      <c r="CE35" s="925"/>
      <c r="CF35" s="925"/>
      <c r="CG35" s="925"/>
      <c r="CH35" s="925"/>
      <c r="CI35" s="925"/>
      <c r="CJ35" s="977"/>
      <c r="CK35" s="977"/>
      <c r="CL35" s="977"/>
      <c r="CM35" s="977"/>
      <c r="CN35" s="977"/>
      <c r="CO35" s="977"/>
      <c r="CP35" s="977"/>
      <c r="CQ35" s="977"/>
      <c r="CR35" s="977"/>
      <c r="CS35" s="983"/>
      <c r="CT35" s="1056"/>
      <c r="CU35" s="979"/>
      <c r="CV35" s="925"/>
      <c r="CW35" s="925"/>
      <c r="CX35" s="925"/>
      <c r="CY35" s="925"/>
      <c r="CZ35" s="925"/>
      <c r="DA35" s="925"/>
      <c r="DD35" s="981"/>
      <c r="DE35" s="925"/>
      <c r="DF35" s="981"/>
      <c r="DG35" s="925"/>
      <c r="DH35" s="925"/>
      <c r="DI35" s="925"/>
      <c r="DJ35" s="925"/>
      <c r="DK35" s="925"/>
      <c r="DL35" s="925"/>
      <c r="DM35" s="925"/>
      <c r="DN35" s="925"/>
      <c r="DO35" s="925"/>
      <c r="DP35" s="925"/>
      <c r="DQ35" s="925"/>
      <c r="DR35" s="981"/>
      <c r="DS35" s="981"/>
      <c r="DT35" s="981"/>
      <c r="DU35" s="981"/>
      <c r="DV35" s="981"/>
      <c r="DW35" s="981"/>
      <c r="DX35" s="981"/>
      <c r="DY35" s="925"/>
      <c r="DZ35" s="925"/>
      <c r="EA35" s="925"/>
      <c r="EB35" s="925"/>
      <c r="EC35" s="925"/>
      <c r="ED35" s="925"/>
      <c r="EE35" s="925"/>
      <c r="EF35" s="925"/>
      <c r="EG35" s="925"/>
      <c r="EH35" s="925"/>
      <c r="EI35" s="925"/>
      <c r="EJ35" s="925"/>
      <c r="EK35" s="925"/>
      <c r="EL35" s="925"/>
      <c r="EM35" s="925"/>
      <c r="EN35" s="925"/>
    </row>
    <row r="36" spans="1:144" customFormat="1" ht="16.350000000000001" customHeight="1">
      <c r="A36" s="462"/>
      <c r="B36" s="994">
        <v>10</v>
      </c>
      <c r="C36" s="995"/>
      <c r="D36" s="996"/>
      <c r="E36" s="997"/>
      <c r="F36" s="961"/>
      <c r="G36" s="962"/>
      <c r="H36" s="962"/>
      <c r="I36" s="962"/>
      <c r="J36" s="962"/>
      <c r="K36" s="963"/>
      <c r="L36" s="961"/>
      <c r="M36" s="962"/>
      <c r="N36" s="962"/>
      <c r="O36" s="962"/>
      <c r="P36" s="962"/>
      <c r="Q36" s="963"/>
      <c r="R36" s="1044"/>
      <c r="S36" s="1044"/>
      <c r="T36" s="1044"/>
      <c r="U36" s="1044"/>
      <c r="V36" s="1044"/>
      <c r="W36" s="1044"/>
      <c r="X36" s="1045"/>
      <c r="Y36" s="1045"/>
      <c r="Z36" s="1045"/>
      <c r="AA36" s="1045"/>
      <c r="AB36" s="1045"/>
      <c r="AC36" s="1045"/>
      <c r="AD36" s="961"/>
      <c r="AE36" s="962"/>
      <c r="AF36" s="962"/>
      <c r="AG36" s="962"/>
      <c r="AH36" s="962"/>
      <c r="AI36" s="963"/>
      <c r="AJ36" s="949"/>
      <c r="AK36" s="950"/>
      <c r="AL36" s="951"/>
      <c r="AM36" s="949"/>
      <c r="AN36" s="950"/>
      <c r="AO36" s="951"/>
      <c r="AP36" s="955"/>
      <c r="AQ36" s="956"/>
      <c r="AR36" s="957"/>
      <c r="AS36" s="955"/>
      <c r="AT36" s="956"/>
      <c r="AU36" s="957"/>
      <c r="AV36" s="968"/>
      <c r="AW36" s="969"/>
      <c r="AX36" s="970"/>
      <c r="AY36" s="968"/>
      <c r="AZ36" s="969"/>
      <c r="BA36" s="970"/>
      <c r="BB36" s="945"/>
      <c r="BC36" s="946"/>
      <c r="BD36" s="945"/>
      <c r="BE36" s="946"/>
      <c r="BF36" s="929" t="str">
        <f t="shared" ref="BF36" si="217">IF(CB36="OK",ROUND(BB36+BD36,2),"")</f>
        <v/>
      </c>
      <c r="BG36" s="930"/>
      <c r="BH36" s="1099" t="str">
        <f t="shared" ref="BH36" si="218">IFERROR(IF(AND($CB36="OK",$CU36="OK"),$CI36,IF($CB36&lt;&gt;"OK",$CB36,$CU36)),"")</f>
        <v/>
      </c>
      <c r="BI36" s="1100"/>
      <c r="BJ36" s="1101"/>
      <c r="BK36" s="933" t="str">
        <f t="shared" ref="BK36" si="219">IF($CB36="OK",CM36,"")</f>
        <v/>
      </c>
      <c r="BL36" s="934"/>
      <c r="BM36" s="935"/>
      <c r="BN36" s="939" t="str">
        <f t="shared" ref="BN36" si="220">IF($CB36="OK",$CR36,"")</f>
        <v/>
      </c>
      <c r="BO36" s="940"/>
      <c r="BP36" s="941"/>
      <c r="BS36" s="967"/>
      <c r="BT36" s="967"/>
      <c r="BV36" s="926" t="str">
        <f t="shared" ref="BV36" si="221">IFERROR(ROUND(IF(AND(CB36="OK",CU36="OK"),CT36,""),0),"")</f>
        <v/>
      </c>
      <c r="BW36" s="926" t="str">
        <f t="shared" ref="BW36" si="222">IFERROR(ROUND(IF(AND(CB36="OK",CU36="OK"),BV36/3,""),0),"")</f>
        <v/>
      </c>
      <c r="BX36" s="926"/>
      <c r="BY36" s="927"/>
      <c r="BZ36" s="928"/>
      <c r="CB36" s="986" t="str">
        <f>IF(AND(C36="",F36="",R36="",AD36="",U36="",X36="",L36="",AJ36="",AV36="",AM36="",AP36="",AY36="",AV37="",BB36="",BD36="",AA36="",AS36=""),"",
IF(OR(C36="",F36="",R36="",AD36="",U36="",X36="",L36="",AJ36="",AV36="",AM36="",AP36="",AY36="",AV37="",BB36="",BD36="",AA36="",AS36=""),"Missing Fields",
IF(AND(M02S04F04disp="Required",M02S04F04=""),"TA Info Incomplete",
"OK")))</f>
        <v/>
      </c>
      <c r="CC36" s="925" t="str">
        <f>IF(AND(CB36="OK",CU36="OK"),INDEX(Tbl_Cust_Misc[Measure Number], MATCH(F36,Tbl_Cust_Misc[Proj Desc 1],0)),"")</f>
        <v/>
      </c>
      <c r="CD36" s="925"/>
      <c r="CE36" s="925" t="str">
        <f t="shared" ref="CE36" si="223">IF(CB36="OK","Measure","")</f>
        <v/>
      </c>
      <c r="CF36" s="925" t="str">
        <f t="shared" ref="CF36" si="224">IF(CB36="OK",1,"")</f>
        <v/>
      </c>
      <c r="CG36" s="978" t="str">
        <f t="shared" ref="CG36" si="225">IFERROR(CI36/CF36,"")</f>
        <v/>
      </c>
      <c r="CH36" s="978" t="str">
        <f>IF(CB36="OK",IF(CM36&gt;0,CM36*Incent_Rate_kWh,0)+IF(CO36&gt;0,CO36*Incent_Rate_thm,0),"")</f>
        <v/>
      </c>
      <c r="CI36" s="978" t="str">
        <f>IFERROR(IF($CB36="OK",IF(INCENTTOCOST_CUST&gt;CostCap_Cust,
CH36*CostCap_Cust/INCENTTOCOST_CUST,CH36),""),"")</f>
        <v/>
      </c>
      <c r="CJ36" s="977">
        <f t="shared" ref="CJ36" si="226">CM36</f>
        <v>0</v>
      </c>
      <c r="CK36" s="977">
        <f t="shared" ref="CK36" si="227">CN36</f>
        <v>0</v>
      </c>
      <c r="CL36" s="977">
        <f t="shared" ref="CL36" si="228">CO36</f>
        <v>0</v>
      </c>
      <c r="CM36" s="977">
        <f>R36-AJ36</f>
        <v>0</v>
      </c>
      <c r="CN36" s="977">
        <f>U36-AM36</f>
        <v>0</v>
      </c>
      <c r="CO36" s="977">
        <f t="shared" ref="CO36" si="229">IF(CR36&gt;0,CR36,0)</f>
        <v>0</v>
      </c>
      <c r="CP36" s="977">
        <f t="shared" ref="CP36" si="230">CM36</f>
        <v>0</v>
      </c>
      <c r="CQ36" s="977">
        <f t="shared" ref="CQ36" si="231">CN36</f>
        <v>0</v>
      </c>
      <c r="CR36" s="977">
        <f>X36-AP36</f>
        <v>0</v>
      </c>
      <c r="CS36" s="983"/>
      <c r="CT36" s="1056" t="str">
        <f>IF(CB36="OK",INDEX(Tbl_Cust_Misc[EUL], MATCH(F36,Tbl_Cust_Misc[Proj Desc 1],0)),"")</f>
        <v/>
      </c>
      <c r="CU36" s="979" t="str">
        <f t="shared" ref="CU36" si="232">IFERROR(IF(AND($CM36&lt;=0,$CN36&lt;=0,$CO36&lt;=0),"No Savings","OK"),"")</f>
        <v>No Savings</v>
      </c>
      <c r="CV36" s="925" t="str">
        <f t="shared" ref="CV36" si="233">IF(AND(CB36="OK",CU36="OK"),"1","")</f>
        <v/>
      </c>
      <c r="CW36" s="925" t="str">
        <f>IFERROR(IF($CB36="OK",ROUND($AQ$14*SUM(BB36:BE37)/SUM($BF$18:$BG$37),2),""),"")</f>
        <v/>
      </c>
      <c r="CX36" s="925" t="str">
        <f>IFERROR(IF(M02S04F04="Customer/Self-Installed",CW36,IF($CB36="OK",CW36+BD36,"")),"")</f>
        <v/>
      </c>
      <c r="CY36" s="925" t="str">
        <f>IFERROR(IF($CB36="OK",CX36+BB36,""),"")</f>
        <v/>
      </c>
      <c r="CZ36" s="925" t="str">
        <f>IF(CB36="OK",INDEX(MEASURES3_M!$O$54:$O$58, MATCH(F36,MEASURES3_M!$C$54:$C$58,0)),"")</f>
        <v/>
      </c>
      <c r="DA36" s="925" t="str">
        <f>IF(CB36="OK",INDEX(MEASURES3_M!$P$54:$P$58, MATCH(F36,MEASURES3_M!$C$54:$C$58,0)),"")</f>
        <v/>
      </c>
      <c r="DD36" s="980" t="str">
        <f>IFERROR(IF(CB36&lt;&gt;"OK","",CM36*VLOOKUP('DATA TABLES_Project'!$C$247,'DATA TABLES_Project'!$A$250:$B$285,2,FALSE)),"")</f>
        <v/>
      </c>
      <c r="DE36" s="925" t="str">
        <f t="shared" ref="DE36" si="234">IFERROR(IF(CB36&lt;&gt;"OK","",CM36*CZ36*0.92),"")</f>
        <v/>
      </c>
      <c r="DF36" s="980" t="str">
        <f>IFERROR(IF(CB36&lt;&gt;"OK","",CM36*CZ36*0.92*VLOOKUP('DATA TABLES_Project'!$C$247,'DATA TABLES_Project'!$A$250:$B$285,2,FALSE)),"")</f>
        <v/>
      </c>
      <c r="DG36" s="925" t="str">
        <f t="shared" ref="DG36" si="235">IFERROR(IF(CB36&lt;&gt;"OK","",CM36*BV36),IF(BX36="Dual",(CM36*BW36)+((BY36-AJ36)*(BV36-BW36)),""))</f>
        <v/>
      </c>
      <c r="DH36" s="925" t="str">
        <f ca="1">IFERROR(IF(CB36&lt;&gt;"OK","",IF(OR(BX36="Single",BX36=""), CM36*BV36*AVERAGE(INDEX('DATA TABLES_Project'!$B$250:$B$285, MATCH('DATA TABLES_Project'!$C$247,'DATA TABLES_Project'!$A$250:$A$285, 0)):OFFSET(INDEX('DATA TABLES_Project'!$B$250:$B$285, MATCH('DATA TABLES_Project'!$C$247,'DATA TABLES_Project'!$A$250:$A$285, 0)),BV36-1,0)),CM36*BW36*AVERAGE(INDEX('DATA TABLES_Project'!$B$250:$B$285, MATCH('DATA TABLES_Project'!$C$247,'DATA TABLES_Project'!$A$250:$A$285, 0)):OFFSET(INDEX('DATA TABLES_Project'!$B$250:$B$285, MATCH('DATA TABLES_Project'!$C$247,'DATA TABLES_Project'!$A$250:$A$285, 0)),BW36-1,0)) + ((BY36-AJ36)*(BV36-BW36)*AVERAGE(OFFSET(INDEX('DATA TABLES_Project'!$B$250:$B$285, MATCH('DATA TABLES_Project'!$C$247,'DATA TABLES_Project'!$A$250:$A$285, 0)),BW36,0):OFFSET(INDEX('DATA TABLES_Project'!$B$250:$B$285, MATCH('DATA TABLES_Project'!$C$247,'DATA TABLES_Project'!$A$250:$A$285, 0)),BV36-1,0))))), "")</f>
        <v/>
      </c>
      <c r="DI36" s="925" t="str">
        <f t="shared" ref="DI36" si="236">IFERROR(IF(CB36&lt;&gt;"OK","",IF(BX36="Dual",(CM36*BW36)+((BY36-AJ36)*(BV36-BW36))*CZ36*0.92,CM36*CZ36*BV36*0.92)),"")</f>
        <v/>
      </c>
      <c r="DJ36" s="925" t="str">
        <f ca="1">IFERROR(IF(CB36&lt;&gt;"OK","",IF(OR(BX36="Single",BX36=""),0.92*CZ36*CM36*BV36*AVERAGE(INDEX('DATA TABLES_Project'!$B$250:$B$285, MATCH('DATA TABLES_Project'!$C$247,'DATA TABLES_Project'!$A$250:$A$285, 0)):OFFSET(INDEX('DATA TABLES_Project'!$B$250:$B$285, MATCH('DATA TABLES_Project'!$C$247,'DATA TABLES_Project'!$A$250:$A$285, 0)),BV36-1,0)),0.92*CZ36*CM36*BW36*AVERAGE(INDEX('DATA TABLES_Project'!$B$250:$B$285, MATCH('DATA TABLES_Project'!$C$247,'DATA TABLES_Project'!$A$250:$A$285, 0)):OFFSET(INDEX('DATA TABLES_Project'!$B$250:$B$285, MATCH('DATA TABLES_Project'!$C$247,'DATA TABLES_Project'!$A$250:$A$285, 0)),BW36-1,0)) + (0.92*CZ36*(BY36-AJ36)*(BV36-BW36)*AVERAGE(OFFSET(INDEX('DATA TABLES_Project'!$B$250:$B$285, MATCH('DATA TABLES_Project'!$C$247,'DATA TABLES_Project'!$A$250:$A$285, 0)),BW36,0):OFFSET(INDEX('DATA TABLES_Project'!$B$250:$B$285, MATCH('DATA TABLES_Project'!$C$247,'DATA TABLES_Project'!$A$250:$A$285, 0)),BV36-1,0))))), "")</f>
        <v/>
      </c>
      <c r="DK36" s="925" t="str">
        <f>IFERROR(IF(CB36&lt;&gt;"OK","",CO36*'DATA TABLES_Project'!$C$250),"")</f>
        <v/>
      </c>
      <c r="DL36" s="925" t="str">
        <f t="shared" ref="DL36" si="237">IFERROR(IF(CB36&lt;&gt;"OK","",CO36*DA36*0.92),"")</f>
        <v/>
      </c>
      <c r="DM36" s="925" t="str">
        <f>IFERROR(IF(CB36&lt;&gt;"OK","",CO36*'DATA TABLES_Project'!$C$250*DA36*0.92),"")</f>
        <v/>
      </c>
      <c r="DN36" s="925" t="str">
        <f t="shared" ref="DN36" si="238">IFERROR(IF(CB36&lt;&gt;"OK","",CO36*BV36),IF(BX36="Dual",(CO36*BW36)+((BZ36-AP36)*(BV36-BW36)),""))</f>
        <v/>
      </c>
      <c r="DO36" s="925" t="str">
        <f ca="1">IFERROR(IF(CB36&lt;&gt;"OK","",CO36*BV36*AVERAGE('DATA TABLES_Project'!$C$250:OFFSET('DATA TABLES_Project'!$C$250,BV36,0))),IF(BX36="Dual",(CO36*BW36*AVERAGE('DATA TABLES_Project'!$C$251:$C$259))+((BZ36-AP36)*(BV36-BW36)*AVERAGE('DATA TABLES_Project'!$C$260:$C$279)),""))</f>
        <v/>
      </c>
      <c r="DP36" s="925" t="str">
        <f t="shared" ref="DP36" si="239">IFERROR(IF(CB36&lt;&gt;"OK","",IF(BX36="Dual",((CO36*BW36)+(BZ36-AP36)*(BV36-BW36))*DA36*0.92,CO36*BV36*DA36*0.92)),"")</f>
        <v/>
      </c>
      <c r="DQ36" s="925" t="str">
        <f ca="1">IFERROR(IF(CB36&lt;&gt;"OK","",IF(BX36="Dual",(0.92*DA36*CO36*BW36*AVERAGE('DATA TABLES_Project'!$C$251:$C$259))+(0.92*DA36*(BZ36-AP36)*(BV36-BW36)*AVERAGE('DATA TABLES_Project'!$C$260:$C$279)),0.92*DA36*CO36*BV36*AVERAGE('DATA TABLES_Project'!$C$250:OFFSET('DATA TABLES_Project'!$C$250,BV36,0)))),"")</f>
        <v/>
      </c>
      <c r="DR36" s="980" t="str">
        <f>IFERROR(IF($CB36&lt;&gt;"OK","",CM36*'DATA TABLES_Project'!$B$290+IF(CO36&lt;0,0,CO36*'DATA TABLES_Project'!$B$291)),"")</f>
        <v/>
      </c>
      <c r="DS36" s="980" t="str">
        <f>IFERROR(IF($CB36&lt;&gt;"OK","",DD36*'DATA TABLES_Project'!$B$290+IF(DK36&lt;0,0,DK36*'DATA TABLES_Project'!$B$291)),"")</f>
        <v/>
      </c>
      <c r="DT36" s="980" t="str">
        <f>IFERROR(IF($CB36&lt;&gt;"OK","",DE36*'DATA TABLES_Project'!$B$290+IF(DL36&lt;0,0,DL36*'DATA TABLES_Project'!$B$291)),"")</f>
        <v/>
      </c>
      <c r="DU36" s="980" t="str">
        <f>IFERROR(IF($CB36&lt;&gt;"OK","",DF36*'DATA TABLES_Project'!$B$290+IF(DM36&lt;0,0,DM36*'DATA TABLES_Project'!$B$291)),"")</f>
        <v/>
      </c>
      <c r="DV36" s="980" t="str">
        <f>IFERROR(IF($CB36&lt;&gt;"OK","",DG36*'DATA TABLES_Project'!$B$290+IF(DN36&lt;0,0,DN36*'DATA TABLES_Project'!$B$291)),"")</f>
        <v/>
      </c>
      <c r="DW36" s="980" t="str">
        <f>IFERROR(IF($CB36&lt;&gt;"OK","",DH36*'DATA TABLES_Project'!$B$290+IF(DO36&lt;0,0,DO36*'DATA TABLES_Project'!$B$291)),"")</f>
        <v/>
      </c>
      <c r="DX36" s="980" t="str">
        <f>IFERROR(IF($CB36&lt;&gt;"OK","",DI36*'DATA TABLES_Project'!$B$290+IF(DP36&lt;0,0,DP36*'DATA TABLES_Project'!$B$291)),"")</f>
        <v/>
      </c>
      <c r="DY36" s="925" t="str">
        <f>IFERROR(IF($CB36&lt;&gt;"OK","",DJ36*'DATA TABLES_Project'!$B$290+IF(DQ36&lt;0,0,DQ36*'DATA TABLES_Project'!$B$291)),"")</f>
        <v/>
      </c>
      <c r="DZ36" s="925" t="str">
        <f t="shared" ref="DZ36" si="240">IFERROR(IF($CB36&lt;&gt;"OK","",AS36),"")</f>
        <v/>
      </c>
      <c r="EA36" s="925" t="str">
        <f>IFERROR(IF(CB36&lt;&gt;"OK","",CN36*'DATA TABLES_Project'!$B$250*CZ36*1.03),"")</f>
        <v/>
      </c>
      <c r="EB36" s="925" t="str">
        <f t="shared" ref="EB36" si="241">IFERROR(IF(CB36&lt;&gt;"OK","",CN36*CZ36*1.03),"")</f>
        <v/>
      </c>
      <c r="EC36" s="925" t="str">
        <f>IFERROR(IF(CB36&lt;&gt;"OK","",CZ36*DZ36*'DATA TABLES_Project'!$C$250*0.92),"")</f>
        <v/>
      </c>
      <c r="ED36" s="925" t="str">
        <f>IFERROR(IF(CB36&lt;&gt;"OK","",CZ36*DZ36*'DATA TABLES_Project'!$C$250*0.92),"")</f>
        <v/>
      </c>
      <c r="EE36" s="925" t="str">
        <f t="shared" ref="EE36" si="242">IFERROR(IF(CB36&lt;&gt;"OK","",CZ36*DZ36*0.92),"")</f>
        <v/>
      </c>
      <c r="EF36" s="925" t="str">
        <f t="shared" ref="EF36" si="243">IFERROR(IF(CB36&lt;&gt;"OK","",CZ36*DZ36*0.92),"")</f>
        <v/>
      </c>
      <c r="EG36" s="925" t="str">
        <f>IFERROR(IF($CB36&lt;&gt;"OK","",CM36*'DATA TABLES_Project'!$B$290+CO36*'DATA TABLES_Project'!$B$291),"")</f>
        <v/>
      </c>
      <c r="EH36" s="925" t="str">
        <f>IFERROR(IF($CB36&lt;&gt;"OK","",DD36*'DATA TABLES_Project'!$B$290+DK36*'DATA TABLES_Project'!$B$291),"")</f>
        <v/>
      </c>
      <c r="EI36" s="925" t="str">
        <f>IFERROR(IF($CB36&lt;&gt;"OK","",DE36*'DATA TABLES_Project'!$B$290+DL36*'DATA TABLES_Project'!$B$291),"")</f>
        <v/>
      </c>
      <c r="EJ36" s="925" t="str">
        <f>IFERROR(IF($CB36&lt;&gt;"OK","",DF36*'DATA TABLES_Project'!$B$290+DM36*'DATA TABLES_Project'!$B$291),"")</f>
        <v/>
      </c>
      <c r="EK36" s="925" t="str">
        <f>IFERROR(IF($CB36&lt;&gt;"OK","",DG36*'DATA TABLES_Project'!$B$290+DN36*'DATA TABLES_Project'!$B$291),"")</f>
        <v/>
      </c>
      <c r="EL36" s="925" t="str">
        <f>IFERROR(IF($CB36&lt;&gt;"OK","",DH36*'DATA TABLES_Project'!$B$290+DO36*'DATA TABLES_Project'!$B$291),"")</f>
        <v/>
      </c>
      <c r="EM36" s="925" t="str">
        <f>IFERROR(IF($CB36&lt;&gt;"OK","",DI36*'DATA TABLES_Project'!$B$290+DP36*'DATA TABLES_Project'!$B$291),"")</f>
        <v/>
      </c>
      <c r="EN36" s="925" t="str">
        <f>IFERROR(IF($CB36&lt;&gt;"OK","",DJ36*'DATA TABLES_Project'!$B$290+DQ36*'DATA TABLES_Project'!$B$291),"")</f>
        <v/>
      </c>
    </row>
    <row r="37" spans="1:144" customFormat="1" ht="16.350000000000001" customHeight="1">
      <c r="A37" s="462"/>
      <c r="B37" s="994"/>
      <c r="C37" s="998"/>
      <c r="D37" s="999"/>
      <c r="E37" s="1000"/>
      <c r="F37" s="964"/>
      <c r="G37" s="965"/>
      <c r="H37" s="965"/>
      <c r="I37" s="965"/>
      <c r="J37" s="965"/>
      <c r="K37" s="966"/>
      <c r="L37" s="964"/>
      <c r="M37" s="965"/>
      <c r="N37" s="965"/>
      <c r="O37" s="965"/>
      <c r="P37" s="965"/>
      <c r="Q37" s="966"/>
      <c r="R37" s="1044"/>
      <c r="S37" s="1044"/>
      <c r="T37" s="1044"/>
      <c r="U37" s="1044"/>
      <c r="V37" s="1044"/>
      <c r="W37" s="1044"/>
      <c r="X37" s="1045"/>
      <c r="Y37" s="1045"/>
      <c r="Z37" s="1045"/>
      <c r="AA37" s="1045"/>
      <c r="AB37" s="1045"/>
      <c r="AC37" s="1045"/>
      <c r="AD37" s="964"/>
      <c r="AE37" s="965"/>
      <c r="AF37" s="965"/>
      <c r="AG37" s="965"/>
      <c r="AH37" s="965"/>
      <c r="AI37" s="966"/>
      <c r="AJ37" s="952"/>
      <c r="AK37" s="953"/>
      <c r="AL37" s="954"/>
      <c r="AM37" s="952"/>
      <c r="AN37" s="953"/>
      <c r="AO37" s="954"/>
      <c r="AP37" s="958"/>
      <c r="AQ37" s="959"/>
      <c r="AR37" s="960"/>
      <c r="AS37" s="958"/>
      <c r="AT37" s="959"/>
      <c r="AU37" s="960"/>
      <c r="AV37" s="968"/>
      <c r="AW37" s="969"/>
      <c r="AX37" s="969"/>
      <c r="AY37" s="969"/>
      <c r="AZ37" s="969"/>
      <c r="BA37" s="970"/>
      <c r="BB37" s="947"/>
      <c r="BC37" s="948"/>
      <c r="BD37" s="947"/>
      <c r="BE37" s="948"/>
      <c r="BF37" s="931"/>
      <c r="BG37" s="932"/>
      <c r="BH37" s="1102"/>
      <c r="BI37" s="1103"/>
      <c r="BJ37" s="1104"/>
      <c r="BK37" s="936"/>
      <c r="BL37" s="937"/>
      <c r="BM37" s="938"/>
      <c r="BN37" s="942"/>
      <c r="BO37" s="943"/>
      <c r="BP37" s="944"/>
      <c r="BS37" s="967"/>
      <c r="BT37" s="967"/>
      <c r="BV37" s="926"/>
      <c r="BW37" s="926"/>
      <c r="BX37" s="926"/>
      <c r="BY37" s="927"/>
      <c r="BZ37" s="928"/>
      <c r="CB37" s="986"/>
      <c r="CC37" s="925"/>
      <c r="CD37" s="925"/>
      <c r="CE37" s="925"/>
      <c r="CF37" s="925"/>
      <c r="CG37" s="925"/>
      <c r="CH37" s="925"/>
      <c r="CI37" s="925"/>
      <c r="CJ37" s="977"/>
      <c r="CK37" s="977"/>
      <c r="CL37" s="977"/>
      <c r="CM37" s="977"/>
      <c r="CN37" s="977"/>
      <c r="CO37" s="977"/>
      <c r="CP37" s="977"/>
      <c r="CQ37" s="977"/>
      <c r="CR37" s="977"/>
      <c r="CS37" s="983"/>
      <c r="CT37" s="1056"/>
      <c r="CU37" s="979"/>
      <c r="CV37" s="925"/>
      <c r="CW37" s="925"/>
      <c r="CX37" s="925"/>
      <c r="CY37" s="925"/>
      <c r="CZ37" s="925"/>
      <c r="DA37" s="925"/>
      <c r="DD37" s="981"/>
      <c r="DE37" s="925"/>
      <c r="DF37" s="981"/>
      <c r="DG37" s="925"/>
      <c r="DH37" s="925"/>
      <c r="DI37" s="925"/>
      <c r="DJ37" s="925"/>
      <c r="DK37" s="925"/>
      <c r="DL37" s="925"/>
      <c r="DM37" s="925"/>
      <c r="DN37" s="925"/>
      <c r="DO37" s="925"/>
      <c r="DP37" s="925"/>
      <c r="DQ37" s="925"/>
      <c r="DR37" s="981"/>
      <c r="DS37" s="981"/>
      <c r="DT37" s="981"/>
      <c r="DU37" s="981"/>
      <c r="DV37" s="981"/>
      <c r="DW37" s="981"/>
      <c r="DX37" s="981"/>
      <c r="DY37" s="925"/>
      <c r="DZ37" s="925"/>
      <c r="EA37" s="925"/>
      <c r="EB37" s="925"/>
      <c r="EC37" s="925"/>
      <c r="ED37" s="925"/>
      <c r="EE37" s="925"/>
      <c r="EF37" s="925"/>
      <c r="EG37" s="925"/>
      <c r="EH37" s="925"/>
      <c r="EI37" s="925"/>
      <c r="EJ37" s="925"/>
      <c r="EK37" s="925"/>
      <c r="EL37" s="925"/>
      <c r="EM37" s="925"/>
      <c r="EN37" s="925"/>
    </row>
    <row r="38" spans="1:144" customFormat="1" ht="16.350000000000001" customHeight="1">
      <c r="A38" s="462"/>
      <c r="B38" s="462"/>
      <c r="C38" s="462"/>
      <c r="D38" s="462"/>
      <c r="E38" s="462"/>
      <c r="F38" s="462"/>
      <c r="G38" s="462"/>
      <c r="H38" s="462"/>
      <c r="I38" s="462"/>
      <c r="J38" s="462"/>
      <c r="K38" s="462"/>
      <c r="L38" s="47"/>
      <c r="M38" s="47"/>
      <c r="N38" s="47"/>
      <c r="O38" s="47"/>
      <c r="P38" s="462"/>
      <c r="Q38" s="462"/>
      <c r="R38" s="462"/>
      <c r="S38" s="462"/>
      <c r="T38" s="462"/>
      <c r="U38" s="47"/>
      <c r="V38" s="47"/>
      <c r="W38" s="47"/>
      <c r="X38" s="47"/>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7"/>
      <c r="BB38" s="47"/>
      <c r="BC38" s="465"/>
      <c r="BD38" s="465"/>
      <c r="BE38" s="462"/>
      <c r="BF38" s="462"/>
      <c r="BG38" s="465"/>
      <c r="BH38" s="462"/>
      <c r="BI38" s="462"/>
      <c r="BJ38" s="462"/>
      <c r="CC38" s="12"/>
      <c r="CD38" s="12"/>
      <c r="CE38" s="12"/>
      <c r="CF38" s="12"/>
      <c r="CG38" s="12"/>
      <c r="CH38" s="12"/>
    </row>
    <row r="39" spans="1:144" customFormat="1" ht="16.350000000000001" hidden="1" customHeight="1">
      <c r="L39" s="12"/>
      <c r="M39" s="12"/>
      <c r="N39" s="12"/>
      <c r="O39" s="12"/>
      <c r="U39" s="12"/>
      <c r="V39" s="12"/>
      <c r="W39" s="12"/>
      <c r="X39" s="12"/>
      <c r="BA39" s="12"/>
      <c r="BB39" s="12"/>
      <c r="BC39" s="89"/>
      <c r="BD39" s="89"/>
      <c r="BG39" s="89"/>
      <c r="CC39" s="12"/>
      <c r="CD39" s="12"/>
      <c r="CE39" s="12"/>
      <c r="CF39" s="12"/>
      <c r="CG39" s="12"/>
      <c r="CH39" s="12"/>
    </row>
    <row r="40" spans="1:144" customFormat="1" ht="16.350000000000001" hidden="1" customHeight="1">
      <c r="L40" s="12"/>
      <c r="M40" s="12"/>
      <c r="N40" s="12"/>
      <c r="O40" s="12"/>
      <c r="U40" s="12"/>
      <c r="V40" s="12"/>
      <c r="W40" s="12"/>
      <c r="X40" s="12"/>
      <c r="BA40" s="12"/>
      <c r="BB40" s="12"/>
      <c r="BC40" s="89"/>
      <c r="BD40" s="89"/>
      <c r="BG40" s="89"/>
      <c r="CC40" s="12"/>
      <c r="CD40" s="12"/>
      <c r="CE40" s="12"/>
      <c r="CF40" s="12"/>
      <c r="CG40" s="12"/>
      <c r="CH40" s="12"/>
    </row>
    <row r="41" spans="1:144" customFormat="1" ht="16.350000000000001" hidden="1" customHeight="1">
      <c r="L41" s="12"/>
      <c r="M41" s="12"/>
      <c r="N41" s="12"/>
      <c r="O41" s="12"/>
      <c r="U41" s="12"/>
      <c r="V41" s="12"/>
      <c r="W41" s="12"/>
      <c r="X41" s="12"/>
      <c r="BA41" s="12"/>
      <c r="BB41" s="12"/>
      <c r="BC41" s="89"/>
      <c r="BD41" s="89"/>
      <c r="BG41" s="89"/>
      <c r="CC41" s="12"/>
      <c r="CD41" s="12"/>
      <c r="CE41" s="12"/>
      <c r="CF41" s="12"/>
      <c r="CG41" s="12"/>
      <c r="CH41" s="12"/>
    </row>
    <row r="42" spans="1:144" customFormat="1" ht="16.350000000000001" hidden="1" customHeight="1">
      <c r="L42" s="12"/>
      <c r="M42" s="12"/>
      <c r="N42" s="12"/>
      <c r="O42" s="12"/>
      <c r="U42" s="12"/>
      <c r="V42" s="12"/>
      <c r="W42" s="12"/>
      <c r="X42" s="12"/>
      <c r="BA42" s="12"/>
      <c r="BB42" s="12"/>
      <c r="BC42" s="89"/>
      <c r="BD42" s="89"/>
      <c r="BG42" s="89"/>
      <c r="CC42" s="12"/>
      <c r="CD42" s="12"/>
      <c r="CE42" s="12"/>
      <c r="CF42" s="12"/>
      <c r="CG42" s="12"/>
      <c r="CH42" s="12"/>
    </row>
    <row r="43" spans="1:144" customFormat="1" ht="16.350000000000001" hidden="1" customHeight="1">
      <c r="L43" s="12"/>
      <c r="M43" s="12"/>
      <c r="N43" s="12"/>
      <c r="O43" s="12"/>
      <c r="U43" s="12"/>
      <c r="V43" s="12"/>
      <c r="W43" s="12"/>
      <c r="X43" s="12"/>
      <c r="BA43" s="12"/>
      <c r="BB43" s="12"/>
      <c r="BC43" s="89"/>
      <c r="BD43" s="89"/>
      <c r="BG43" s="89"/>
      <c r="CC43" s="12"/>
      <c r="CD43" s="12"/>
      <c r="CE43" s="12"/>
      <c r="CF43" s="12"/>
      <c r="CG43" s="12"/>
      <c r="CH43" s="12"/>
    </row>
    <row r="44" spans="1:144" customFormat="1" ht="16.350000000000001" hidden="1" customHeight="1">
      <c r="L44" s="12"/>
      <c r="M44" s="12"/>
      <c r="N44" s="12"/>
      <c r="O44" s="12"/>
      <c r="U44" s="12"/>
      <c r="V44" s="12"/>
      <c r="W44" s="12"/>
      <c r="X44" s="12"/>
      <c r="BA44" s="12"/>
      <c r="BB44" s="12"/>
      <c r="BC44" s="89"/>
      <c r="BD44" s="89"/>
      <c r="BG44" s="89"/>
      <c r="CC44" s="12"/>
      <c r="CD44" s="12"/>
      <c r="CE44" s="12"/>
      <c r="CF44" s="12"/>
      <c r="CG44" s="12"/>
      <c r="CH44" s="12"/>
    </row>
    <row r="45" spans="1:144" customFormat="1" ht="16.350000000000001" hidden="1" customHeight="1">
      <c r="L45" s="12"/>
      <c r="M45" s="12"/>
      <c r="N45" s="12"/>
      <c r="O45" s="12"/>
      <c r="U45" s="12"/>
      <c r="V45" s="12"/>
      <c r="W45" s="12"/>
      <c r="X45" s="12"/>
      <c r="BA45" s="12"/>
      <c r="BB45" s="12"/>
      <c r="BC45" s="89"/>
      <c r="BD45" s="89"/>
      <c r="BG45" s="89"/>
      <c r="CC45" s="12"/>
      <c r="CD45" s="12"/>
      <c r="CE45" s="12"/>
      <c r="CF45" s="12"/>
      <c r="CG45" s="12"/>
      <c r="CH45" s="12"/>
    </row>
    <row r="46" spans="1:144" customFormat="1" ht="16.350000000000001" hidden="1" customHeight="1">
      <c r="L46" s="12"/>
      <c r="M46" s="12"/>
      <c r="N46" s="12"/>
      <c r="O46" s="12"/>
      <c r="U46" s="12"/>
      <c r="V46" s="12"/>
      <c r="W46" s="12"/>
      <c r="X46" s="12"/>
      <c r="BA46" s="12"/>
      <c r="BB46" s="12"/>
      <c r="BC46" s="89"/>
      <c r="BD46" s="89"/>
      <c r="BG46" s="89"/>
      <c r="CC46" s="12"/>
      <c r="CD46" s="12"/>
      <c r="CE46" s="12"/>
      <c r="CF46" s="12"/>
      <c r="CG46" s="12"/>
      <c r="CH46" s="12"/>
    </row>
    <row r="47" spans="1:144" customFormat="1" ht="16.350000000000001" hidden="1" customHeight="1">
      <c r="L47" s="12"/>
      <c r="M47" s="12"/>
      <c r="N47" s="12"/>
      <c r="O47" s="12"/>
      <c r="U47" s="12"/>
      <c r="V47" s="12"/>
      <c r="W47" s="12"/>
      <c r="X47" s="12"/>
      <c r="BA47" s="12"/>
      <c r="BB47" s="12"/>
      <c r="BC47" s="89"/>
      <c r="BD47" s="89"/>
      <c r="BG47" s="89"/>
      <c r="CC47" s="12"/>
      <c r="CD47" s="12"/>
      <c r="CE47" s="12"/>
      <c r="CF47" s="12"/>
      <c r="CG47" s="12"/>
      <c r="CH47" s="12"/>
    </row>
    <row r="48" spans="1:144" ht="16.350000000000001"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51"/>
      <c r="AZ48" s="52"/>
      <c r="BA48" s="12"/>
      <c r="BB48" s="12"/>
      <c r="BC48" s="102"/>
      <c r="BD48" s="102"/>
      <c r="BE48" s="52"/>
      <c r="BF48" s="12"/>
      <c r="BG48" s="90"/>
      <c r="BH48" s="12"/>
      <c r="BI48" s="12"/>
      <c r="BJ48" s="12"/>
      <c r="BK48"/>
      <c r="BL48"/>
      <c r="BM48"/>
      <c r="BN48"/>
      <c r="BO48"/>
      <c r="BP48"/>
      <c r="BQ48"/>
      <c r="BR48"/>
    </row>
    <row r="49" spans="51:70" s="12" customFormat="1" ht="16.350000000000001" hidden="1" customHeight="1">
      <c r="AY49" s="51"/>
      <c r="AZ49" s="52"/>
      <c r="BC49" s="102"/>
      <c r="BD49" s="102"/>
      <c r="BE49" s="52"/>
      <c r="BG49" s="90"/>
      <c r="BK49"/>
      <c r="BL49"/>
      <c r="BM49"/>
      <c r="BN49"/>
      <c r="BO49"/>
      <c r="BP49"/>
      <c r="BQ49"/>
      <c r="BR49"/>
    </row>
    <row r="50" spans="51:70" s="12" customFormat="1" ht="16.350000000000001" hidden="1" customHeight="1">
      <c r="AY50" s="51"/>
      <c r="AZ50" s="52"/>
      <c r="BC50" s="102"/>
      <c r="BD50" s="102"/>
      <c r="BE50" s="52"/>
      <c r="BG50" s="90"/>
      <c r="BK50"/>
      <c r="BL50"/>
      <c r="BM50"/>
      <c r="BN50"/>
      <c r="BO50"/>
      <c r="BP50"/>
      <c r="BQ50"/>
      <c r="BR50"/>
    </row>
    <row r="51" spans="51:70" s="12" customFormat="1" ht="16.350000000000001" hidden="1" customHeight="1">
      <c r="AY51" s="51"/>
      <c r="AZ51" s="52"/>
      <c r="BC51" s="102"/>
      <c r="BD51" s="102"/>
      <c r="BE51" s="52"/>
      <c r="BG51" s="90"/>
      <c r="BK51"/>
      <c r="BL51"/>
      <c r="BM51"/>
      <c r="BN51"/>
      <c r="BO51"/>
      <c r="BP51"/>
      <c r="BQ51"/>
      <c r="BR51"/>
    </row>
    <row r="52" spans="51:70" s="12" customFormat="1" ht="16.350000000000001" hidden="1" customHeight="1">
      <c r="AY52" s="51"/>
      <c r="AZ52" s="52"/>
      <c r="BC52" s="102"/>
      <c r="BD52" s="102"/>
      <c r="BE52" s="52"/>
      <c r="BG52" s="90"/>
      <c r="BK52"/>
      <c r="BL52"/>
      <c r="BM52"/>
      <c r="BN52"/>
      <c r="BO52"/>
      <c r="BP52"/>
      <c r="BQ52"/>
      <c r="BR52"/>
    </row>
    <row r="53" spans="51:70" s="12" customFormat="1" ht="16.350000000000001" hidden="1" customHeight="1">
      <c r="AY53" s="51"/>
      <c r="AZ53" s="52"/>
      <c r="BC53" s="102"/>
      <c r="BD53" s="102"/>
      <c r="BE53" s="52"/>
      <c r="BG53" s="90"/>
      <c r="BK53"/>
      <c r="BL53"/>
      <c r="BM53"/>
      <c r="BN53"/>
      <c r="BO53"/>
      <c r="BP53"/>
      <c r="BQ53"/>
      <c r="BR53"/>
    </row>
    <row r="54" spans="51:70" s="12" customFormat="1" ht="16.350000000000001" hidden="1" customHeight="1">
      <c r="AY54" s="51"/>
      <c r="AZ54" s="52"/>
      <c r="BC54" s="102"/>
      <c r="BD54" s="102"/>
      <c r="BE54" s="52"/>
      <c r="BG54" s="90"/>
      <c r="BK54"/>
      <c r="BL54"/>
      <c r="BM54"/>
      <c r="BN54"/>
      <c r="BO54"/>
      <c r="BP54"/>
      <c r="BQ54"/>
      <c r="BR54"/>
    </row>
    <row r="55" spans="51:70" s="12" customFormat="1" ht="16.350000000000001" hidden="1" customHeight="1">
      <c r="AY55" s="51"/>
      <c r="AZ55" s="52"/>
      <c r="BC55" s="102"/>
      <c r="BD55" s="102"/>
      <c r="BE55" s="52"/>
      <c r="BG55" s="90"/>
      <c r="BK55"/>
      <c r="BL55"/>
      <c r="BM55"/>
      <c r="BN55"/>
      <c r="BO55"/>
      <c r="BP55"/>
      <c r="BQ55"/>
      <c r="BR55"/>
    </row>
    <row r="56" spans="51:70" s="12" customFormat="1" ht="16.350000000000001" hidden="1" customHeight="1">
      <c r="AY56" s="51"/>
      <c r="AZ56" s="52"/>
      <c r="BC56" s="102"/>
      <c r="BD56" s="102"/>
      <c r="BE56" s="52"/>
      <c r="BG56" s="90"/>
      <c r="BK56"/>
      <c r="BL56"/>
      <c r="BM56"/>
      <c r="BN56"/>
      <c r="BO56"/>
      <c r="BP56"/>
      <c r="BQ56"/>
      <c r="BR56"/>
    </row>
    <row r="57" spans="51:70" s="12" customFormat="1" ht="16.350000000000001" hidden="1" customHeight="1">
      <c r="AY57" s="51"/>
      <c r="AZ57" s="52"/>
      <c r="BC57" s="102"/>
      <c r="BD57" s="102"/>
      <c r="BE57" s="52"/>
      <c r="BG57" s="90"/>
      <c r="BK57"/>
      <c r="BL57"/>
      <c r="BM57"/>
      <c r="BN57"/>
      <c r="BO57"/>
      <c r="BP57"/>
      <c r="BQ57"/>
      <c r="BR57"/>
    </row>
    <row r="58" spans="51:70" s="12" customFormat="1" ht="16.350000000000001" hidden="1" customHeight="1">
      <c r="AY58" s="51"/>
      <c r="AZ58" s="52"/>
      <c r="BC58" s="102"/>
      <c r="BD58" s="102"/>
      <c r="BE58" s="52"/>
      <c r="BG58" s="90"/>
      <c r="BK58"/>
      <c r="BL58"/>
      <c r="BM58"/>
      <c r="BN58"/>
      <c r="BO58"/>
      <c r="BP58"/>
      <c r="BQ58"/>
      <c r="BR58"/>
    </row>
    <row r="59" spans="51:70" s="12" customFormat="1" ht="16.350000000000001" hidden="1" customHeight="1">
      <c r="AY59" s="51"/>
      <c r="AZ59" s="52"/>
      <c r="BC59" s="102"/>
      <c r="BD59" s="102"/>
      <c r="BE59" s="52"/>
      <c r="BG59" s="90"/>
      <c r="BK59"/>
      <c r="BL59"/>
      <c r="BM59"/>
      <c r="BN59"/>
      <c r="BO59"/>
      <c r="BP59"/>
      <c r="BQ59"/>
      <c r="BR59"/>
    </row>
    <row r="60" spans="51:70" s="12" customFormat="1" ht="16.350000000000001" hidden="1" customHeight="1">
      <c r="AY60" s="51"/>
      <c r="AZ60" s="52"/>
      <c r="BC60" s="102"/>
      <c r="BD60" s="102"/>
      <c r="BE60" s="52"/>
      <c r="BG60" s="90"/>
      <c r="BK60"/>
      <c r="BL60"/>
      <c r="BM60"/>
      <c r="BN60"/>
      <c r="BO60"/>
      <c r="BP60"/>
      <c r="BQ60"/>
      <c r="BR60"/>
    </row>
    <row r="61" spans="51:70" s="12" customFormat="1" ht="16.350000000000001" hidden="1" customHeight="1">
      <c r="AY61" s="51"/>
      <c r="AZ61" s="52"/>
      <c r="BC61" s="102"/>
      <c r="BD61" s="102"/>
      <c r="BE61" s="52"/>
      <c r="BG61" s="90"/>
      <c r="BK61"/>
      <c r="BL61"/>
      <c r="BM61"/>
      <c r="BN61"/>
      <c r="BO61"/>
      <c r="BP61"/>
      <c r="BQ61"/>
      <c r="BR61"/>
    </row>
    <row r="62" spans="51:70" s="12" customFormat="1" ht="16.350000000000001" hidden="1" customHeight="1">
      <c r="AY62" s="51"/>
      <c r="AZ62" s="52"/>
      <c r="BC62" s="102"/>
      <c r="BD62" s="102"/>
      <c r="BE62" s="52"/>
      <c r="BG62" s="90"/>
      <c r="BK62"/>
      <c r="BL62"/>
      <c r="BM62"/>
      <c r="BN62"/>
      <c r="BO62"/>
      <c r="BP62"/>
      <c r="BQ62"/>
      <c r="BR62"/>
    </row>
    <row r="63" spans="51:70" s="12" customFormat="1" ht="16.350000000000001" hidden="1" customHeight="1">
      <c r="AY63" s="51"/>
      <c r="AZ63" s="52"/>
      <c r="BC63" s="102"/>
      <c r="BD63" s="102"/>
      <c r="BE63" s="52"/>
      <c r="BG63" s="90"/>
      <c r="BK63"/>
      <c r="BL63"/>
      <c r="BM63"/>
      <c r="BN63"/>
      <c r="BO63"/>
      <c r="BP63"/>
      <c r="BQ63"/>
      <c r="BR63"/>
    </row>
    <row r="64" spans="51:70" s="12" customFormat="1" ht="16.350000000000001" hidden="1" customHeight="1">
      <c r="AY64" s="51"/>
      <c r="AZ64" s="52"/>
      <c r="BC64" s="102"/>
      <c r="BD64" s="102"/>
      <c r="BE64" s="52"/>
      <c r="BG64" s="90"/>
      <c r="BK64"/>
      <c r="BL64"/>
      <c r="BM64"/>
      <c r="BN64"/>
      <c r="BO64"/>
      <c r="BP64"/>
      <c r="BQ64"/>
      <c r="BR64"/>
    </row>
    <row r="65" spans="51:70" s="12" customFormat="1" ht="16.350000000000001" hidden="1" customHeight="1">
      <c r="AY65" s="51"/>
      <c r="AZ65" s="52"/>
      <c r="BC65" s="102"/>
      <c r="BD65" s="102"/>
      <c r="BE65" s="52"/>
      <c r="BG65" s="90"/>
      <c r="BK65"/>
      <c r="BL65"/>
      <c r="BM65"/>
      <c r="BN65"/>
      <c r="BO65"/>
      <c r="BP65"/>
      <c r="BQ65"/>
      <c r="BR65"/>
    </row>
    <row r="66" spans="51:70" s="12" customFormat="1" ht="16.350000000000001" hidden="1" customHeight="1">
      <c r="AY66" s="51"/>
      <c r="AZ66" s="52"/>
      <c r="BC66" s="102"/>
      <c r="BD66" s="102"/>
      <c r="BE66" s="52"/>
      <c r="BG66" s="90"/>
      <c r="BK66"/>
      <c r="BL66"/>
      <c r="BM66"/>
      <c r="BN66"/>
      <c r="BO66"/>
      <c r="BP66"/>
      <c r="BQ66"/>
      <c r="BR66"/>
    </row>
    <row r="67" spans="51:70" s="12" customFormat="1" ht="16.350000000000001" hidden="1" customHeight="1">
      <c r="AY67" s="51"/>
      <c r="AZ67" s="52"/>
      <c r="BC67" s="102"/>
      <c r="BD67" s="102"/>
      <c r="BE67" s="52"/>
      <c r="BG67" s="90"/>
      <c r="BK67"/>
      <c r="BL67"/>
      <c r="BM67"/>
      <c r="BN67"/>
      <c r="BO67"/>
      <c r="BP67"/>
      <c r="BQ67"/>
      <c r="BR67"/>
    </row>
    <row r="68" spans="51:70" s="12" customFormat="1" ht="16.350000000000001" hidden="1" customHeight="1">
      <c r="AY68" s="51"/>
      <c r="AZ68" s="52"/>
      <c r="BC68" s="102"/>
      <c r="BD68" s="102"/>
      <c r="BE68" s="52"/>
      <c r="BG68" s="90"/>
      <c r="BK68"/>
      <c r="BL68"/>
      <c r="BM68"/>
      <c r="BN68"/>
      <c r="BO68"/>
      <c r="BP68"/>
      <c r="BQ68"/>
      <c r="BR68"/>
    </row>
    <row r="69" spans="51:70" s="12" customFormat="1" ht="16.350000000000001" hidden="1" customHeight="1">
      <c r="AY69" s="51"/>
      <c r="AZ69" s="52"/>
      <c r="BC69" s="102"/>
      <c r="BD69" s="102"/>
      <c r="BE69" s="52"/>
      <c r="BG69" s="90"/>
      <c r="BK69"/>
      <c r="BL69"/>
      <c r="BM69"/>
      <c r="BN69"/>
      <c r="BO69"/>
      <c r="BP69"/>
      <c r="BQ69"/>
      <c r="BR69"/>
    </row>
    <row r="70" spans="51:70" s="12" customFormat="1" ht="16.350000000000001" hidden="1" customHeight="1">
      <c r="AY70" s="51"/>
      <c r="AZ70" s="52"/>
      <c r="BC70" s="102"/>
      <c r="BD70" s="102"/>
      <c r="BE70" s="52"/>
      <c r="BG70" s="90"/>
      <c r="BK70"/>
      <c r="BL70"/>
      <c r="BM70"/>
      <c r="BN70"/>
      <c r="BO70"/>
      <c r="BP70"/>
      <c r="BQ70"/>
      <c r="BR70"/>
    </row>
    <row r="71" spans="51:70" s="12" customFormat="1" ht="16.350000000000001" hidden="1" customHeight="1">
      <c r="AY71" s="51"/>
      <c r="AZ71" s="52"/>
      <c r="BC71" s="102"/>
      <c r="BD71" s="102"/>
      <c r="BE71" s="52"/>
      <c r="BG71" s="90"/>
      <c r="BK71"/>
      <c r="BL71"/>
      <c r="BM71"/>
      <c r="BN71"/>
      <c r="BO71"/>
      <c r="BP71"/>
      <c r="BQ71"/>
      <c r="BR71"/>
    </row>
    <row r="72" spans="51:70" s="12" customFormat="1" ht="16.350000000000001" hidden="1" customHeight="1">
      <c r="AY72" s="51"/>
      <c r="AZ72" s="52"/>
      <c r="BC72" s="102"/>
      <c r="BD72" s="102"/>
      <c r="BE72" s="52"/>
      <c r="BG72" s="90"/>
      <c r="BK72"/>
      <c r="BL72"/>
      <c r="BM72"/>
      <c r="BN72"/>
      <c r="BO72"/>
      <c r="BP72"/>
      <c r="BQ72"/>
      <c r="BR72"/>
    </row>
    <row r="73" spans="51:70" s="12" customFormat="1" ht="16.350000000000001" hidden="1" customHeight="1">
      <c r="AY73" s="51"/>
      <c r="AZ73" s="52"/>
      <c r="BC73" s="102"/>
      <c r="BD73" s="102"/>
      <c r="BE73" s="52"/>
      <c r="BG73" s="90"/>
      <c r="BK73"/>
      <c r="BL73"/>
      <c r="BM73"/>
      <c r="BN73"/>
      <c r="BO73"/>
      <c r="BP73"/>
      <c r="BQ73"/>
      <c r="BR73"/>
    </row>
    <row r="74" spans="51:70" s="12" customFormat="1" ht="16.350000000000001" hidden="1" customHeight="1">
      <c r="AY74" s="51"/>
      <c r="AZ74" s="52"/>
      <c r="BC74" s="102"/>
      <c r="BD74" s="102"/>
      <c r="BE74" s="52"/>
      <c r="BG74" s="90"/>
      <c r="BK74"/>
      <c r="BL74"/>
      <c r="BM74"/>
      <c r="BN74"/>
      <c r="BO74"/>
      <c r="BP74"/>
      <c r="BQ74"/>
      <c r="BR74"/>
    </row>
    <row r="75" spans="51:70" s="12" customFormat="1" ht="16.350000000000001" hidden="1" customHeight="1">
      <c r="AY75" s="51"/>
      <c r="AZ75" s="52"/>
      <c r="BC75" s="102"/>
      <c r="BD75" s="102"/>
      <c r="BE75" s="52"/>
      <c r="BG75" s="90"/>
      <c r="BK75"/>
      <c r="BL75"/>
      <c r="BM75"/>
      <c r="BN75"/>
      <c r="BO75"/>
      <c r="BP75"/>
      <c r="BQ75"/>
      <c r="BR75"/>
    </row>
    <row r="76" spans="51:70" s="12" customFormat="1" ht="16.350000000000001" hidden="1" customHeight="1">
      <c r="AY76" s="51"/>
      <c r="AZ76" s="52"/>
      <c r="BC76" s="102"/>
      <c r="BD76" s="102"/>
      <c r="BE76" s="52"/>
      <c r="BG76" s="90"/>
      <c r="BK76"/>
      <c r="BL76"/>
      <c r="BM76"/>
      <c r="BN76"/>
      <c r="BO76"/>
      <c r="BP76"/>
      <c r="BQ76"/>
      <c r="BR76"/>
    </row>
    <row r="77" spans="51:70" s="12" customFormat="1" ht="16.350000000000001" hidden="1" customHeight="1">
      <c r="AY77" s="51"/>
      <c r="AZ77" s="52"/>
      <c r="BC77" s="102"/>
      <c r="BD77" s="102"/>
      <c r="BE77" s="52"/>
      <c r="BG77" s="90"/>
      <c r="BK77"/>
      <c r="BL77"/>
      <c r="BM77"/>
      <c r="BN77"/>
      <c r="BO77"/>
      <c r="BP77"/>
      <c r="BQ77"/>
      <c r="BR77"/>
    </row>
    <row r="78" spans="51:70" s="12" customFormat="1" ht="16.350000000000001" hidden="1" customHeight="1">
      <c r="AY78" s="51"/>
      <c r="AZ78" s="52"/>
      <c r="BC78" s="102"/>
      <c r="BD78" s="102"/>
      <c r="BE78" s="52"/>
      <c r="BG78" s="90"/>
      <c r="BK78"/>
      <c r="BL78"/>
      <c r="BM78"/>
      <c r="BN78"/>
      <c r="BO78"/>
      <c r="BP78"/>
      <c r="BQ78"/>
      <c r="BR78"/>
    </row>
    <row r="79" spans="51:70" s="12" customFormat="1" ht="16.350000000000001" hidden="1" customHeight="1">
      <c r="AY79" s="51"/>
      <c r="AZ79" s="52"/>
      <c r="BC79" s="102"/>
      <c r="BD79" s="102"/>
      <c r="BE79" s="52"/>
      <c r="BG79" s="90"/>
      <c r="BK79"/>
      <c r="BL79"/>
      <c r="BM79"/>
      <c r="BN79"/>
      <c r="BO79"/>
      <c r="BP79"/>
      <c r="BQ79"/>
      <c r="BR79"/>
    </row>
    <row r="80" spans="51:70" s="12" customFormat="1" ht="16.350000000000001" hidden="1" customHeight="1">
      <c r="AY80" s="51"/>
      <c r="AZ80" s="52"/>
      <c r="BC80" s="102"/>
      <c r="BD80" s="102"/>
      <c r="BE80" s="52"/>
      <c r="BG80" s="90"/>
      <c r="BK80"/>
      <c r="BL80"/>
      <c r="BM80"/>
      <c r="BN80"/>
      <c r="BO80"/>
      <c r="BP80"/>
      <c r="BQ80"/>
      <c r="BR80"/>
    </row>
    <row r="81" spans="51:70" s="12" customFormat="1" ht="16.350000000000001" hidden="1" customHeight="1">
      <c r="AY81" s="51"/>
      <c r="AZ81" s="52"/>
      <c r="BC81" s="102"/>
      <c r="BD81" s="102"/>
      <c r="BE81" s="52"/>
      <c r="BG81" s="90"/>
      <c r="BK81"/>
      <c r="BL81"/>
      <c r="BM81"/>
      <c r="BN81"/>
      <c r="BO81"/>
      <c r="BP81"/>
      <c r="BQ81"/>
      <c r="BR81"/>
    </row>
    <row r="82" spans="51:70" s="12" customFormat="1" ht="16.350000000000001" hidden="1" customHeight="1">
      <c r="AY82" s="51"/>
      <c r="AZ82" s="52"/>
      <c r="BC82" s="102"/>
      <c r="BD82" s="102"/>
      <c r="BE82" s="52"/>
      <c r="BG82" s="90"/>
      <c r="BK82"/>
      <c r="BL82"/>
      <c r="BM82"/>
      <c r="BN82"/>
      <c r="BO82"/>
      <c r="BP82"/>
      <c r="BQ82"/>
      <c r="BR82"/>
    </row>
    <row r="83" spans="51:70" s="12" customFormat="1" ht="16.350000000000001" hidden="1" customHeight="1">
      <c r="AY83" s="51"/>
      <c r="AZ83" s="52"/>
      <c r="BC83" s="102"/>
      <c r="BD83" s="102"/>
      <c r="BE83" s="52"/>
      <c r="BG83" s="90"/>
      <c r="BK83"/>
      <c r="BL83"/>
      <c r="BM83"/>
      <c r="BN83"/>
      <c r="BO83"/>
      <c r="BP83"/>
      <c r="BQ83"/>
      <c r="BR83"/>
    </row>
    <row r="84" spans="51:70" s="12" customFormat="1" ht="16.350000000000001" hidden="1" customHeight="1">
      <c r="AY84" s="51"/>
      <c r="AZ84" s="52"/>
      <c r="BC84" s="102"/>
      <c r="BD84" s="102"/>
      <c r="BE84" s="52"/>
      <c r="BG84" s="90"/>
      <c r="BK84"/>
      <c r="BL84"/>
      <c r="BM84"/>
      <c r="BN84"/>
      <c r="BO84"/>
      <c r="BP84"/>
      <c r="BQ84"/>
      <c r="BR84"/>
    </row>
    <row r="85" spans="51:70" s="12" customFormat="1" ht="16.350000000000001" hidden="1" customHeight="1">
      <c r="AY85" s="51"/>
      <c r="AZ85" s="52"/>
      <c r="BC85" s="102"/>
      <c r="BD85" s="102"/>
      <c r="BE85" s="52"/>
      <c r="BG85" s="90"/>
      <c r="BK85"/>
      <c r="BL85"/>
      <c r="BM85"/>
      <c r="BN85"/>
      <c r="BO85"/>
      <c r="BP85"/>
      <c r="BQ85"/>
      <c r="BR85"/>
    </row>
    <row r="86" spans="51:70" s="12" customFormat="1" ht="16.350000000000001" hidden="1" customHeight="1">
      <c r="AY86" s="51"/>
      <c r="AZ86" s="52"/>
      <c r="BC86" s="102"/>
      <c r="BD86" s="102"/>
      <c r="BE86" s="52"/>
      <c r="BG86" s="90"/>
      <c r="BK86"/>
      <c r="BL86"/>
      <c r="BM86"/>
      <c r="BN86"/>
      <c r="BO86"/>
      <c r="BP86"/>
      <c r="BQ86"/>
      <c r="BR86"/>
    </row>
    <row r="87" spans="51:70" s="12" customFormat="1" ht="16.350000000000001" hidden="1" customHeight="1">
      <c r="AY87" s="51"/>
      <c r="AZ87" s="52"/>
      <c r="BC87" s="102"/>
      <c r="BD87" s="102"/>
      <c r="BE87" s="52"/>
      <c r="BG87" s="90"/>
      <c r="BK87"/>
      <c r="BL87"/>
      <c r="BM87"/>
      <c r="BN87"/>
      <c r="BO87"/>
      <c r="BP87"/>
      <c r="BQ87"/>
      <c r="BR87"/>
    </row>
    <row r="88" spans="51:70" s="12" customFormat="1" ht="16.350000000000001" hidden="1" customHeight="1">
      <c r="AY88" s="51"/>
      <c r="AZ88" s="52"/>
      <c r="BC88" s="102"/>
      <c r="BD88" s="102"/>
      <c r="BE88" s="52"/>
      <c r="BG88" s="90"/>
      <c r="BK88"/>
      <c r="BL88"/>
      <c r="BM88"/>
      <c r="BN88"/>
      <c r="BO88"/>
      <c r="BP88"/>
      <c r="BQ88"/>
      <c r="BR88"/>
    </row>
    <row r="89" spans="51:70" s="12" customFormat="1" ht="16.350000000000001" hidden="1" customHeight="1">
      <c r="AY89" s="51"/>
      <c r="AZ89" s="52"/>
      <c r="BC89" s="102"/>
      <c r="BD89" s="102"/>
      <c r="BE89" s="52"/>
      <c r="BG89" s="90"/>
      <c r="BK89"/>
      <c r="BL89"/>
      <c r="BM89"/>
      <c r="BN89"/>
      <c r="BO89"/>
      <c r="BP89"/>
      <c r="BQ89"/>
      <c r="BR89"/>
    </row>
    <row r="90" spans="51:70" s="12" customFormat="1" ht="16.350000000000001" hidden="1" customHeight="1">
      <c r="AY90" s="51"/>
      <c r="AZ90" s="52"/>
      <c r="BC90" s="102"/>
      <c r="BD90" s="102"/>
      <c r="BE90" s="52"/>
      <c r="BG90" s="90"/>
      <c r="BK90"/>
      <c r="BL90"/>
      <c r="BM90"/>
      <c r="BN90"/>
      <c r="BO90"/>
      <c r="BP90"/>
      <c r="BQ90"/>
      <c r="BR90"/>
    </row>
    <row r="91" spans="51:70" s="12" customFormat="1" ht="16.350000000000001" hidden="1" customHeight="1">
      <c r="AY91" s="51"/>
      <c r="AZ91" s="52"/>
      <c r="BC91" s="102"/>
      <c r="BD91" s="102"/>
      <c r="BE91" s="52"/>
      <c r="BG91" s="90"/>
      <c r="BK91"/>
      <c r="BL91"/>
      <c r="BM91"/>
      <c r="BN91"/>
      <c r="BO91"/>
      <c r="BP91"/>
      <c r="BQ91"/>
      <c r="BR91"/>
    </row>
    <row r="92" spans="51:70" s="12" customFormat="1" ht="16.350000000000001" hidden="1" customHeight="1">
      <c r="AY92" s="51"/>
      <c r="AZ92" s="52"/>
      <c r="BC92" s="102"/>
      <c r="BD92" s="102"/>
      <c r="BE92" s="52"/>
      <c r="BG92" s="90"/>
      <c r="BK92"/>
      <c r="BL92"/>
      <c r="BM92"/>
      <c r="BN92"/>
      <c r="BO92"/>
      <c r="BP92"/>
      <c r="BQ92"/>
      <c r="BR92"/>
    </row>
    <row r="93" spans="51:70" s="12" customFormat="1" ht="16.350000000000001" hidden="1" customHeight="1">
      <c r="AY93" s="51"/>
      <c r="AZ93" s="52"/>
      <c r="BC93" s="102"/>
      <c r="BD93" s="102"/>
      <c r="BE93" s="52"/>
      <c r="BG93" s="90"/>
      <c r="BK93"/>
      <c r="BL93"/>
      <c r="BM93"/>
      <c r="BN93"/>
      <c r="BO93"/>
      <c r="BP93"/>
      <c r="BQ93"/>
      <c r="BR93"/>
    </row>
    <row r="94" spans="51:70" s="12" customFormat="1" ht="16.350000000000001" hidden="1" customHeight="1">
      <c r="AY94" s="51"/>
      <c r="AZ94" s="52"/>
      <c r="BC94" s="102"/>
      <c r="BD94" s="102"/>
      <c r="BE94" s="52"/>
      <c r="BG94" s="90"/>
      <c r="BK94"/>
      <c r="BL94"/>
      <c r="BM94"/>
      <c r="BN94"/>
      <c r="BO94"/>
      <c r="BP94"/>
      <c r="BQ94"/>
      <c r="BR94"/>
    </row>
    <row r="95" spans="51:70" s="12" customFormat="1" ht="16.350000000000001" hidden="1" customHeight="1">
      <c r="AY95" s="51"/>
      <c r="AZ95" s="52"/>
      <c r="BC95" s="102"/>
      <c r="BD95" s="102"/>
      <c r="BE95" s="52"/>
      <c r="BG95" s="90"/>
      <c r="BK95"/>
      <c r="BL95"/>
      <c r="BM95"/>
      <c r="BN95"/>
      <c r="BO95"/>
      <c r="BP95"/>
      <c r="BQ95"/>
      <c r="BR95"/>
    </row>
    <row r="96" spans="51:70" s="12" customFormat="1" ht="16.350000000000001" hidden="1" customHeight="1">
      <c r="AY96" s="51"/>
      <c r="AZ96" s="52"/>
      <c r="BC96" s="102"/>
      <c r="BD96" s="102"/>
      <c r="BE96" s="52"/>
      <c r="BG96" s="90"/>
      <c r="BK96"/>
      <c r="BL96"/>
      <c r="BM96"/>
      <c r="BN96"/>
      <c r="BO96"/>
      <c r="BP96"/>
      <c r="BQ96"/>
      <c r="BR96"/>
    </row>
    <row r="97" spans="51:70" s="12" customFormat="1" ht="16.350000000000001" hidden="1" customHeight="1">
      <c r="AY97" s="51"/>
      <c r="AZ97" s="52"/>
      <c r="BC97" s="102"/>
      <c r="BD97" s="102"/>
      <c r="BE97" s="52"/>
      <c r="BG97" s="90"/>
      <c r="BK97"/>
      <c r="BL97"/>
      <c r="BM97"/>
      <c r="BN97"/>
      <c r="BO97"/>
      <c r="BP97"/>
      <c r="BQ97"/>
      <c r="BR97"/>
    </row>
    <row r="98" spans="51:70" s="12" customFormat="1" ht="16.350000000000001" hidden="1" customHeight="1">
      <c r="AY98" s="51"/>
      <c r="AZ98" s="52"/>
      <c r="BC98" s="102"/>
      <c r="BD98" s="102"/>
      <c r="BE98" s="52"/>
      <c r="BG98" s="90"/>
      <c r="BK98"/>
      <c r="BL98"/>
      <c r="BM98"/>
      <c r="BN98"/>
      <c r="BO98"/>
      <c r="BP98"/>
      <c r="BQ98"/>
      <c r="BR98"/>
    </row>
    <row r="99" spans="51:70" s="12" customFormat="1" ht="16.350000000000001" hidden="1" customHeight="1">
      <c r="AY99" s="51"/>
      <c r="AZ99" s="52"/>
      <c r="BC99" s="102"/>
      <c r="BD99" s="102"/>
      <c r="BE99" s="52"/>
      <c r="BG99" s="90"/>
      <c r="BK99"/>
      <c r="BL99"/>
      <c r="BM99"/>
      <c r="BN99"/>
      <c r="BO99"/>
      <c r="BP99"/>
      <c r="BQ99"/>
      <c r="BR99"/>
    </row>
    <row r="100" spans="51:70" s="12" customFormat="1" ht="16.350000000000001" hidden="1" customHeight="1">
      <c r="AY100" s="51"/>
      <c r="AZ100" s="52"/>
      <c r="BC100" s="102"/>
      <c r="BD100" s="102"/>
      <c r="BE100" s="52"/>
      <c r="BG100" s="90"/>
      <c r="BK100"/>
      <c r="BL100"/>
      <c r="BM100"/>
      <c r="BN100"/>
      <c r="BO100"/>
      <c r="BP100"/>
      <c r="BQ100"/>
      <c r="BR100"/>
    </row>
    <row r="101" spans="51:70" s="12" customFormat="1" ht="16.350000000000001" hidden="1" customHeight="1">
      <c r="AY101" s="51"/>
      <c r="AZ101" s="52"/>
      <c r="BC101" s="102"/>
      <c r="BD101" s="102"/>
      <c r="BE101" s="52"/>
      <c r="BG101" s="90"/>
      <c r="BK101"/>
      <c r="BL101"/>
      <c r="BM101"/>
      <c r="BN101"/>
      <c r="BO101"/>
      <c r="BP101"/>
      <c r="BQ101"/>
      <c r="BR101"/>
    </row>
    <row r="102" spans="51:70" s="12" customFormat="1" ht="16.350000000000001" hidden="1" customHeight="1">
      <c r="AY102" s="51"/>
      <c r="AZ102" s="52"/>
      <c r="BC102" s="102"/>
      <c r="BD102" s="102"/>
      <c r="BE102" s="52"/>
      <c r="BG102" s="90"/>
      <c r="BK102"/>
      <c r="BL102"/>
      <c r="BM102"/>
      <c r="BN102"/>
      <c r="BO102"/>
      <c r="BP102"/>
      <c r="BQ102"/>
      <c r="BR102"/>
    </row>
    <row r="103" spans="51:70" s="12" customFormat="1" ht="16.350000000000001" hidden="1" customHeight="1">
      <c r="AY103" s="51"/>
      <c r="AZ103" s="52"/>
      <c r="BC103" s="102"/>
      <c r="BD103" s="102"/>
      <c r="BE103" s="52"/>
      <c r="BG103" s="90"/>
      <c r="BK103"/>
      <c r="BL103"/>
      <c r="BM103"/>
      <c r="BN103"/>
      <c r="BO103"/>
      <c r="BP103"/>
      <c r="BQ103"/>
      <c r="BR103"/>
    </row>
    <row r="104" spans="51:70" s="12" customFormat="1" ht="16.350000000000001" hidden="1" customHeight="1">
      <c r="AY104" s="51"/>
      <c r="AZ104" s="52"/>
      <c r="BC104" s="102"/>
      <c r="BD104" s="102"/>
      <c r="BE104" s="52"/>
      <c r="BG104" s="90"/>
      <c r="BK104"/>
      <c r="BL104"/>
      <c r="BM104"/>
      <c r="BN104"/>
      <c r="BO104"/>
      <c r="BP104"/>
      <c r="BQ104"/>
      <c r="BR104"/>
    </row>
    <row r="105" spans="51:70" s="12" customFormat="1" ht="16.350000000000001" hidden="1" customHeight="1">
      <c r="AY105" s="51"/>
      <c r="AZ105" s="52"/>
      <c r="BC105" s="102"/>
      <c r="BD105" s="102"/>
      <c r="BE105" s="52"/>
      <c r="BG105" s="90"/>
      <c r="BK105"/>
      <c r="BL105"/>
      <c r="BM105"/>
      <c r="BN105"/>
      <c r="BO105"/>
      <c r="BP105"/>
      <c r="BQ105"/>
      <c r="BR105"/>
    </row>
    <row r="106" spans="51:70" s="12" customFormat="1" ht="16.350000000000001" hidden="1" customHeight="1">
      <c r="AY106" s="51"/>
      <c r="AZ106" s="52"/>
      <c r="BC106" s="102"/>
      <c r="BD106" s="102"/>
      <c r="BE106" s="52"/>
      <c r="BG106" s="90"/>
      <c r="BK106"/>
      <c r="BL106"/>
      <c r="BM106"/>
      <c r="BN106"/>
      <c r="BO106"/>
      <c r="BP106"/>
      <c r="BQ106"/>
      <c r="BR106"/>
    </row>
    <row r="107" spans="51:70" s="12" customFormat="1" ht="16.350000000000001" hidden="1" customHeight="1">
      <c r="AY107" s="51"/>
      <c r="AZ107" s="52"/>
      <c r="BC107" s="102"/>
      <c r="BD107" s="102"/>
      <c r="BE107" s="52"/>
      <c r="BG107" s="90"/>
      <c r="BK107"/>
      <c r="BL107"/>
      <c r="BM107"/>
      <c r="BN107"/>
      <c r="BO107"/>
      <c r="BP107"/>
      <c r="BQ107"/>
      <c r="BR107"/>
    </row>
    <row r="108" spans="51:70" s="12" customFormat="1" ht="16.350000000000001" hidden="1" customHeight="1">
      <c r="AY108" s="51"/>
      <c r="AZ108" s="52"/>
      <c r="BC108" s="102"/>
      <c r="BD108" s="102"/>
      <c r="BE108" s="52"/>
      <c r="BG108" s="90"/>
      <c r="BK108"/>
      <c r="BL108"/>
      <c r="BM108"/>
      <c r="BN108"/>
      <c r="BO108"/>
      <c r="BP108"/>
      <c r="BQ108"/>
      <c r="BR108"/>
    </row>
    <row r="109" spans="51:70" s="12" customFormat="1" ht="16.350000000000001" hidden="1" customHeight="1">
      <c r="AY109" s="51"/>
      <c r="AZ109" s="52"/>
      <c r="BC109" s="102"/>
      <c r="BD109" s="102"/>
      <c r="BE109" s="52"/>
      <c r="BG109" s="90"/>
      <c r="BK109"/>
      <c r="BL109"/>
      <c r="BM109"/>
      <c r="BN109"/>
      <c r="BO109"/>
      <c r="BP109"/>
      <c r="BQ109"/>
      <c r="BR109"/>
    </row>
    <row r="110" spans="51:70" s="12" customFormat="1" ht="16.350000000000001" hidden="1" customHeight="1">
      <c r="AY110" s="51"/>
      <c r="AZ110" s="52"/>
      <c r="BC110" s="102"/>
      <c r="BD110" s="102"/>
      <c r="BE110" s="52"/>
      <c r="BG110" s="90"/>
      <c r="BK110"/>
      <c r="BL110"/>
      <c r="BM110"/>
      <c r="BN110"/>
      <c r="BO110"/>
      <c r="BP110"/>
      <c r="BQ110"/>
      <c r="BR110"/>
    </row>
    <row r="111" spans="51:70" s="12" customFormat="1" ht="16.350000000000001" hidden="1" customHeight="1">
      <c r="AY111" s="51"/>
      <c r="AZ111" s="52"/>
      <c r="BC111" s="102"/>
      <c r="BD111" s="102"/>
      <c r="BE111" s="52"/>
      <c r="BG111" s="90"/>
      <c r="BK111"/>
      <c r="BL111"/>
      <c r="BM111"/>
      <c r="BN111"/>
      <c r="BO111"/>
      <c r="BP111"/>
      <c r="BQ111"/>
      <c r="BR111"/>
    </row>
    <row r="112" spans="51:70" s="12" customFormat="1" ht="16.350000000000001" hidden="1" customHeight="1">
      <c r="AY112" s="51"/>
      <c r="AZ112" s="52"/>
      <c r="BC112" s="102"/>
      <c r="BD112" s="102"/>
      <c r="BE112" s="52"/>
      <c r="BG112" s="90"/>
      <c r="BK112"/>
      <c r="BL112"/>
      <c r="BM112"/>
      <c r="BN112"/>
      <c r="BO112"/>
      <c r="BP112"/>
      <c r="BQ112"/>
      <c r="BR112"/>
    </row>
    <row r="113" spans="51:70" s="12" customFormat="1" ht="16.350000000000001" hidden="1" customHeight="1">
      <c r="AY113" s="51"/>
      <c r="AZ113" s="52"/>
      <c r="BC113" s="102"/>
      <c r="BD113" s="102"/>
      <c r="BE113" s="52"/>
      <c r="BG113" s="90"/>
      <c r="BK113"/>
      <c r="BL113"/>
      <c r="BM113"/>
      <c r="BN113"/>
      <c r="BO113"/>
      <c r="BP113"/>
      <c r="BQ113"/>
      <c r="BR113"/>
    </row>
    <row r="114" spans="51:70" s="12" customFormat="1" ht="16.350000000000001" hidden="1" customHeight="1">
      <c r="AY114" s="51"/>
      <c r="AZ114" s="52"/>
      <c r="BC114" s="102"/>
      <c r="BD114" s="102"/>
      <c r="BE114" s="52"/>
      <c r="BG114" s="90"/>
      <c r="BK114"/>
      <c r="BL114"/>
      <c r="BM114"/>
      <c r="BN114"/>
      <c r="BO114"/>
      <c r="BP114"/>
      <c r="BQ114"/>
      <c r="BR114"/>
    </row>
    <row r="115" spans="51:70" s="12" customFormat="1" ht="16.350000000000001" hidden="1" customHeight="1">
      <c r="AY115" s="51"/>
      <c r="AZ115" s="52"/>
      <c r="BC115" s="102"/>
      <c r="BD115" s="102"/>
      <c r="BE115" s="52"/>
      <c r="BG115" s="90"/>
      <c r="BK115"/>
      <c r="BL115"/>
      <c r="BM115"/>
      <c r="BN115"/>
      <c r="BO115"/>
      <c r="BP115"/>
      <c r="BQ115"/>
      <c r="BR115"/>
    </row>
    <row r="116" spans="51:70" s="12" customFormat="1" ht="16.350000000000001" hidden="1" customHeight="1">
      <c r="AY116" s="51"/>
      <c r="AZ116" s="52"/>
      <c r="BC116" s="102"/>
      <c r="BD116" s="102"/>
      <c r="BE116" s="52"/>
      <c r="BG116" s="90"/>
      <c r="BK116"/>
      <c r="BL116"/>
      <c r="BM116"/>
      <c r="BN116"/>
      <c r="BO116"/>
      <c r="BP116"/>
      <c r="BQ116"/>
      <c r="BR116"/>
    </row>
    <row r="117" spans="51:70" s="12" customFormat="1" ht="16.350000000000001" hidden="1" customHeight="1">
      <c r="AY117" s="51"/>
      <c r="AZ117" s="52"/>
      <c r="BC117" s="102"/>
      <c r="BD117" s="102"/>
      <c r="BE117" s="52"/>
      <c r="BG117" s="90"/>
      <c r="BK117"/>
      <c r="BL117"/>
      <c r="BM117"/>
      <c r="BN117"/>
      <c r="BO117"/>
      <c r="BP117"/>
      <c r="BQ117"/>
      <c r="BR117"/>
    </row>
    <row r="118" spans="51:70" s="12" customFormat="1" ht="16.350000000000001" hidden="1" customHeight="1">
      <c r="AY118" s="51"/>
      <c r="AZ118" s="52"/>
      <c r="BC118" s="102"/>
      <c r="BD118" s="102"/>
      <c r="BE118" s="52"/>
      <c r="BG118" s="90"/>
      <c r="BK118"/>
      <c r="BL118"/>
      <c r="BM118"/>
      <c r="BN118"/>
      <c r="BO118"/>
      <c r="BP118"/>
      <c r="BQ118"/>
      <c r="BR118"/>
    </row>
    <row r="119" spans="51:70" s="12" customFormat="1" ht="16.350000000000001" hidden="1" customHeight="1">
      <c r="AY119" s="51"/>
      <c r="AZ119" s="52"/>
      <c r="BC119" s="102"/>
      <c r="BD119" s="102"/>
      <c r="BE119" s="52"/>
      <c r="BG119" s="90"/>
      <c r="BK119"/>
      <c r="BL119"/>
      <c r="BM119"/>
      <c r="BN119"/>
      <c r="BO119"/>
      <c r="BP119"/>
      <c r="BQ119"/>
      <c r="BR119"/>
    </row>
    <row r="120" spans="51:70" s="12" customFormat="1" ht="16.350000000000001" hidden="1" customHeight="1">
      <c r="AY120" s="51"/>
      <c r="AZ120" s="52"/>
      <c r="BC120" s="102"/>
      <c r="BD120" s="102"/>
      <c r="BE120" s="52"/>
      <c r="BG120" s="90"/>
      <c r="BK120"/>
      <c r="BL120"/>
      <c r="BM120"/>
      <c r="BN120"/>
      <c r="BO120"/>
      <c r="BP120"/>
      <c r="BQ120"/>
      <c r="BR120"/>
    </row>
    <row r="121" spans="51:70" s="12" customFormat="1" ht="16.350000000000001" hidden="1" customHeight="1">
      <c r="AY121" s="51"/>
      <c r="AZ121" s="52"/>
      <c r="BC121" s="102"/>
      <c r="BD121" s="102"/>
      <c r="BE121" s="52"/>
      <c r="BG121" s="90"/>
      <c r="BK121"/>
      <c r="BL121"/>
      <c r="BM121"/>
      <c r="BN121"/>
      <c r="BO121"/>
      <c r="BP121"/>
      <c r="BQ121"/>
      <c r="BR121"/>
    </row>
    <row r="122" spans="51:70" s="12" customFormat="1" ht="16.350000000000001" hidden="1" customHeight="1">
      <c r="AY122" s="51"/>
      <c r="AZ122" s="52"/>
      <c r="BC122" s="102"/>
      <c r="BD122" s="102"/>
      <c r="BE122" s="52"/>
      <c r="BG122" s="90"/>
      <c r="BK122"/>
      <c r="BL122"/>
      <c r="BM122"/>
      <c r="BN122"/>
      <c r="BO122"/>
      <c r="BP122"/>
      <c r="BQ122"/>
      <c r="BR122"/>
    </row>
    <row r="123" spans="51:70" s="12" customFormat="1" ht="16.350000000000001" hidden="1" customHeight="1">
      <c r="AY123" s="51"/>
      <c r="AZ123" s="52"/>
      <c r="BC123" s="102"/>
      <c r="BD123" s="102"/>
      <c r="BE123" s="52"/>
      <c r="BG123" s="90"/>
      <c r="BK123"/>
      <c r="BL123"/>
      <c r="BM123"/>
      <c r="BN123"/>
      <c r="BO123"/>
      <c r="BP123"/>
      <c r="BQ123"/>
      <c r="BR123"/>
    </row>
    <row r="124" spans="51:70" s="12" customFormat="1" ht="16.350000000000001" hidden="1" customHeight="1">
      <c r="AY124" s="51"/>
      <c r="AZ124" s="52"/>
      <c r="BC124" s="102"/>
      <c r="BD124" s="102"/>
      <c r="BE124" s="52"/>
      <c r="BG124" s="90"/>
      <c r="BK124"/>
      <c r="BL124"/>
      <c r="BM124"/>
      <c r="BN124"/>
      <c r="BO124"/>
      <c r="BP124"/>
      <c r="BQ124"/>
      <c r="BR124"/>
    </row>
    <row r="125" spans="51:70" s="12" customFormat="1" ht="16.350000000000001" hidden="1" customHeight="1">
      <c r="AY125" s="51"/>
      <c r="AZ125" s="52"/>
      <c r="BC125" s="102"/>
      <c r="BD125" s="102"/>
      <c r="BE125" s="52"/>
      <c r="BG125" s="90"/>
      <c r="BK125"/>
      <c r="BL125"/>
      <c r="BM125"/>
      <c r="BN125"/>
      <c r="BO125"/>
      <c r="BP125"/>
      <c r="BQ125"/>
      <c r="BR125"/>
    </row>
    <row r="126" spans="51:70" s="12" customFormat="1" ht="16.350000000000001" hidden="1" customHeight="1">
      <c r="AY126" s="51"/>
      <c r="AZ126" s="52"/>
      <c r="BC126" s="102"/>
      <c r="BD126" s="102"/>
      <c r="BE126" s="52"/>
      <c r="BG126" s="90"/>
      <c r="BK126"/>
      <c r="BL126"/>
      <c r="BM126"/>
      <c r="BN126"/>
      <c r="BO126"/>
      <c r="BP126"/>
      <c r="BQ126"/>
      <c r="BR126"/>
    </row>
    <row r="127" spans="51:70" s="12" customFormat="1" ht="16.350000000000001" hidden="1" customHeight="1">
      <c r="AY127" s="51"/>
      <c r="AZ127" s="52"/>
      <c r="BC127" s="102"/>
      <c r="BD127" s="102"/>
      <c r="BE127" s="52"/>
      <c r="BG127" s="90"/>
      <c r="BK127"/>
      <c r="BL127"/>
      <c r="BM127"/>
      <c r="BN127"/>
      <c r="BO127"/>
      <c r="BP127"/>
      <c r="BQ127"/>
      <c r="BR127"/>
    </row>
    <row r="128" spans="51:70" s="12" customFormat="1" ht="16.350000000000001" hidden="1" customHeight="1">
      <c r="AY128" s="51"/>
      <c r="AZ128" s="52"/>
      <c r="BC128" s="102"/>
      <c r="BD128" s="102"/>
      <c r="BE128" s="52"/>
      <c r="BG128" s="90"/>
      <c r="BK128"/>
      <c r="BL128"/>
      <c r="BM128"/>
      <c r="BN128"/>
      <c r="BO128"/>
      <c r="BP128"/>
      <c r="BQ128"/>
      <c r="BR128"/>
    </row>
    <row r="129" spans="51:70" s="12" customFormat="1" ht="16.350000000000001" hidden="1" customHeight="1">
      <c r="AY129" s="51"/>
      <c r="AZ129" s="52"/>
      <c r="BC129" s="102"/>
      <c r="BD129" s="102"/>
      <c r="BE129" s="52"/>
      <c r="BG129" s="90"/>
      <c r="BK129"/>
      <c r="BL129"/>
      <c r="BM129"/>
      <c r="BN129"/>
      <c r="BO129"/>
      <c r="BP129"/>
      <c r="BQ129"/>
      <c r="BR129"/>
    </row>
    <row r="130" spans="51:70" s="12" customFormat="1" ht="16.350000000000001" hidden="1" customHeight="1">
      <c r="AY130" s="51"/>
      <c r="AZ130" s="52"/>
      <c r="BC130" s="102"/>
      <c r="BD130" s="102"/>
      <c r="BE130" s="52"/>
      <c r="BG130" s="90"/>
      <c r="BK130"/>
      <c r="BL130"/>
      <c r="BM130"/>
      <c r="BN130"/>
      <c r="BO130"/>
      <c r="BP130"/>
      <c r="BQ130"/>
      <c r="BR130"/>
    </row>
    <row r="131" spans="51:70" s="12" customFormat="1" ht="16.350000000000001" hidden="1" customHeight="1">
      <c r="AY131" s="51"/>
      <c r="AZ131" s="52"/>
      <c r="BC131" s="102"/>
      <c r="BD131" s="102"/>
      <c r="BE131" s="52"/>
      <c r="BG131" s="90"/>
      <c r="BK131"/>
      <c r="BL131"/>
      <c r="BM131"/>
      <c r="BN131"/>
      <c r="BO131"/>
      <c r="BP131"/>
      <c r="BQ131"/>
      <c r="BR131"/>
    </row>
    <row r="132" spans="51:70" s="12" customFormat="1" ht="16.350000000000001" hidden="1" customHeight="1">
      <c r="AY132" s="51"/>
      <c r="AZ132" s="52"/>
      <c r="BC132" s="102"/>
      <c r="BD132" s="102"/>
      <c r="BE132" s="52"/>
      <c r="BG132" s="90"/>
      <c r="BK132"/>
      <c r="BL132"/>
      <c r="BM132"/>
      <c r="BN132"/>
      <c r="BO132"/>
      <c r="BP132"/>
      <c r="BQ132"/>
      <c r="BR132"/>
    </row>
    <row r="133" spans="51:70" s="12" customFormat="1" ht="16.350000000000001" hidden="1" customHeight="1">
      <c r="AY133" s="51"/>
      <c r="AZ133" s="52"/>
      <c r="BC133" s="102"/>
      <c r="BD133" s="102"/>
      <c r="BE133" s="52"/>
      <c r="BG133" s="90"/>
      <c r="BK133"/>
      <c r="BL133"/>
      <c r="BM133"/>
      <c r="BN133"/>
      <c r="BO133"/>
      <c r="BP133"/>
      <c r="BQ133"/>
      <c r="BR133"/>
    </row>
    <row r="134" spans="51:70" s="12" customFormat="1" ht="16.350000000000001" hidden="1" customHeight="1">
      <c r="AY134" s="51"/>
      <c r="AZ134" s="52"/>
      <c r="BC134" s="102"/>
      <c r="BD134" s="102"/>
      <c r="BE134" s="52"/>
      <c r="BG134" s="90"/>
      <c r="BK134"/>
      <c r="BL134"/>
      <c r="BM134"/>
      <c r="BN134"/>
      <c r="BO134"/>
      <c r="BP134"/>
      <c r="BQ134"/>
      <c r="BR134"/>
    </row>
    <row r="135" spans="51:70" s="12" customFormat="1" ht="16.350000000000001" hidden="1" customHeight="1">
      <c r="AY135" s="51"/>
      <c r="AZ135" s="52"/>
      <c r="BC135" s="102"/>
      <c r="BD135" s="102"/>
      <c r="BE135" s="52"/>
      <c r="BG135" s="90"/>
      <c r="BK135"/>
      <c r="BL135"/>
      <c r="BM135"/>
      <c r="BN135"/>
      <c r="BO135"/>
      <c r="BP135"/>
      <c r="BQ135"/>
      <c r="BR135"/>
    </row>
    <row r="136" spans="51:70" s="12" customFormat="1" ht="16.350000000000001" hidden="1" customHeight="1">
      <c r="AY136" s="51"/>
      <c r="AZ136" s="52"/>
      <c r="BC136" s="102"/>
      <c r="BD136" s="102"/>
      <c r="BE136" s="52"/>
      <c r="BG136" s="90"/>
      <c r="BK136"/>
      <c r="BL136"/>
      <c r="BM136"/>
      <c r="BN136"/>
      <c r="BO136"/>
      <c r="BP136"/>
      <c r="BQ136"/>
      <c r="BR136"/>
    </row>
    <row r="137" spans="51:70" s="12" customFormat="1" ht="16.350000000000001" hidden="1" customHeight="1">
      <c r="AY137" s="51"/>
      <c r="AZ137" s="52"/>
      <c r="BC137" s="102"/>
      <c r="BD137" s="102"/>
      <c r="BE137" s="52"/>
      <c r="BG137" s="90"/>
      <c r="BK137"/>
      <c r="BL137"/>
      <c r="BM137"/>
      <c r="BN137"/>
      <c r="BO137"/>
      <c r="BP137"/>
      <c r="BQ137"/>
      <c r="BR137"/>
    </row>
    <row r="138" spans="51:70" s="12" customFormat="1" ht="16.350000000000001" hidden="1" customHeight="1">
      <c r="AY138" s="51"/>
      <c r="AZ138" s="52"/>
      <c r="BC138" s="102"/>
      <c r="BD138" s="102"/>
      <c r="BE138" s="52"/>
      <c r="BG138" s="90"/>
      <c r="BK138"/>
      <c r="BL138"/>
      <c r="BM138"/>
      <c r="BN138"/>
      <c r="BO138"/>
      <c r="BP138"/>
      <c r="BQ138"/>
      <c r="BR138"/>
    </row>
    <row r="139" spans="51:70" s="12" customFormat="1" ht="16.350000000000001" hidden="1" customHeight="1">
      <c r="AY139" s="51"/>
      <c r="AZ139" s="52"/>
      <c r="BC139" s="102"/>
      <c r="BD139" s="102"/>
      <c r="BE139" s="52"/>
      <c r="BG139" s="90"/>
      <c r="BK139"/>
      <c r="BL139"/>
      <c r="BM139"/>
      <c r="BN139"/>
      <c r="BO139"/>
      <c r="BP139"/>
      <c r="BQ139"/>
      <c r="BR139"/>
    </row>
    <row r="140" spans="51:70" s="12" customFormat="1" ht="16.350000000000001" hidden="1" customHeight="1">
      <c r="AY140" s="51"/>
      <c r="AZ140" s="52"/>
      <c r="BC140" s="102"/>
      <c r="BD140" s="102"/>
      <c r="BE140" s="52"/>
      <c r="BG140" s="90"/>
      <c r="BK140"/>
      <c r="BL140"/>
      <c r="BM140"/>
      <c r="BN140"/>
      <c r="BO140"/>
      <c r="BP140"/>
      <c r="BQ140"/>
      <c r="BR140"/>
    </row>
    <row r="141" spans="51:70" s="12" customFormat="1" ht="16.350000000000001" hidden="1" customHeight="1">
      <c r="AY141" s="51"/>
      <c r="AZ141" s="52"/>
      <c r="BC141" s="102"/>
      <c r="BD141" s="102"/>
      <c r="BE141" s="52"/>
      <c r="BG141" s="90"/>
      <c r="BK141"/>
      <c r="BL141"/>
      <c r="BM141"/>
      <c r="BN141"/>
      <c r="BO141"/>
      <c r="BP141"/>
      <c r="BQ141"/>
      <c r="BR141"/>
    </row>
    <row r="142" spans="51:70" s="12" customFormat="1" ht="16.350000000000001" hidden="1" customHeight="1">
      <c r="AY142" s="51"/>
      <c r="AZ142" s="52"/>
      <c r="BC142" s="102"/>
      <c r="BD142" s="102"/>
      <c r="BE142" s="52"/>
      <c r="BG142" s="90"/>
      <c r="BK142"/>
      <c r="BL142"/>
      <c r="BM142"/>
      <c r="BN142"/>
      <c r="BO142"/>
      <c r="BP142"/>
      <c r="BQ142"/>
      <c r="BR142"/>
    </row>
    <row r="143" spans="51:70" s="12" customFormat="1" ht="16.350000000000001" hidden="1" customHeight="1">
      <c r="AY143" s="51"/>
      <c r="AZ143" s="52"/>
      <c r="BC143" s="102"/>
      <c r="BD143" s="102"/>
      <c r="BE143" s="52"/>
      <c r="BG143" s="90"/>
      <c r="BK143"/>
      <c r="BL143"/>
      <c r="BM143"/>
      <c r="BN143"/>
      <c r="BO143"/>
      <c r="BP143"/>
      <c r="BQ143"/>
      <c r="BR143"/>
    </row>
    <row r="144" spans="51:70" s="12" customFormat="1" ht="16.350000000000001" hidden="1" customHeight="1">
      <c r="AY144" s="51"/>
      <c r="AZ144" s="52"/>
      <c r="BC144" s="102"/>
      <c r="BD144" s="102"/>
      <c r="BE144" s="52"/>
      <c r="BG144" s="90"/>
      <c r="BK144"/>
      <c r="BL144"/>
      <c r="BM144"/>
      <c r="BN144"/>
      <c r="BO144"/>
      <c r="BP144"/>
      <c r="BQ144"/>
      <c r="BR144"/>
    </row>
    <row r="145" spans="51:70" s="12" customFormat="1" ht="16.350000000000001" hidden="1" customHeight="1">
      <c r="AY145" s="51"/>
      <c r="AZ145" s="52"/>
      <c r="BC145" s="102"/>
      <c r="BD145" s="102"/>
      <c r="BE145" s="52"/>
      <c r="BG145" s="90"/>
      <c r="BK145"/>
      <c r="BL145"/>
      <c r="BM145"/>
      <c r="BN145"/>
      <c r="BO145"/>
      <c r="BP145"/>
      <c r="BQ145"/>
      <c r="BR145"/>
    </row>
    <row r="146" spans="51:70" s="12" customFormat="1" ht="16.350000000000001" hidden="1" customHeight="1">
      <c r="AY146" s="51"/>
      <c r="AZ146" s="52"/>
      <c r="BC146" s="102"/>
      <c r="BD146" s="102"/>
      <c r="BE146" s="52"/>
      <c r="BG146" s="90"/>
      <c r="BK146"/>
      <c r="BL146"/>
      <c r="BM146"/>
      <c r="BN146"/>
      <c r="BO146"/>
      <c r="BP146"/>
      <c r="BQ146"/>
      <c r="BR146"/>
    </row>
    <row r="147" spans="51:70" s="12" customFormat="1" ht="16.350000000000001" hidden="1" customHeight="1">
      <c r="AY147" s="51"/>
      <c r="AZ147" s="52"/>
      <c r="BC147" s="102"/>
      <c r="BD147" s="102"/>
      <c r="BE147" s="52"/>
      <c r="BG147" s="90"/>
      <c r="BK147"/>
      <c r="BL147"/>
      <c r="BM147"/>
      <c r="BN147"/>
      <c r="BO147"/>
      <c r="BP147"/>
      <c r="BQ147"/>
      <c r="BR147"/>
    </row>
    <row r="148" spans="51:70" s="12" customFormat="1" ht="16.350000000000001" hidden="1" customHeight="1">
      <c r="AY148" s="51"/>
      <c r="AZ148" s="52"/>
      <c r="BC148" s="102"/>
      <c r="BD148" s="102"/>
      <c r="BE148" s="52"/>
      <c r="BG148" s="90"/>
      <c r="BK148"/>
      <c r="BL148"/>
      <c r="BM148"/>
      <c r="BN148"/>
      <c r="BO148"/>
      <c r="BP148"/>
      <c r="BQ148"/>
      <c r="BR148"/>
    </row>
    <row r="149" spans="51:70" s="12" customFormat="1" ht="16.350000000000001" hidden="1" customHeight="1">
      <c r="AY149" s="51"/>
      <c r="AZ149" s="52"/>
      <c r="BC149" s="102"/>
      <c r="BD149" s="102"/>
      <c r="BE149" s="52"/>
      <c r="BG149" s="90"/>
      <c r="BK149"/>
      <c r="BL149"/>
      <c r="BM149"/>
      <c r="BN149"/>
      <c r="BO149"/>
      <c r="BP149"/>
      <c r="BQ149"/>
      <c r="BR149"/>
    </row>
    <row r="150" spans="51:70" s="12" customFormat="1" ht="16.350000000000001" hidden="1" customHeight="1">
      <c r="AY150" s="51"/>
      <c r="AZ150" s="52"/>
      <c r="BC150" s="102"/>
      <c r="BD150" s="102"/>
      <c r="BE150" s="52"/>
      <c r="BG150" s="90"/>
      <c r="BK150"/>
      <c r="BL150"/>
      <c r="BM150"/>
      <c r="BN150"/>
      <c r="BO150"/>
      <c r="BP150"/>
      <c r="BQ150"/>
      <c r="BR150"/>
    </row>
    <row r="151" spans="51:70" s="12" customFormat="1" ht="16.350000000000001" hidden="1" customHeight="1">
      <c r="AY151" s="51"/>
      <c r="AZ151" s="52"/>
      <c r="BC151" s="102"/>
      <c r="BD151" s="102"/>
      <c r="BE151" s="52"/>
      <c r="BG151" s="90"/>
      <c r="BK151"/>
      <c r="BL151"/>
      <c r="BM151"/>
      <c r="BN151"/>
      <c r="BO151"/>
      <c r="BP151"/>
      <c r="BQ151"/>
      <c r="BR151"/>
    </row>
    <row r="152" spans="51:70" s="12" customFormat="1" ht="16.350000000000001" hidden="1" customHeight="1">
      <c r="AY152" s="51"/>
      <c r="AZ152" s="52"/>
      <c r="BC152" s="102"/>
      <c r="BD152" s="102"/>
      <c r="BE152" s="52"/>
      <c r="BG152" s="90"/>
      <c r="BK152"/>
      <c r="BL152"/>
      <c r="BM152"/>
      <c r="BN152"/>
      <c r="BO152"/>
      <c r="BP152"/>
      <c r="BQ152"/>
      <c r="BR152"/>
    </row>
    <row r="153" spans="51:70" s="12" customFormat="1" ht="16.350000000000001" hidden="1" customHeight="1">
      <c r="AY153" s="51"/>
      <c r="AZ153" s="52"/>
      <c r="BC153" s="102"/>
      <c r="BD153" s="102"/>
      <c r="BE153" s="52"/>
      <c r="BG153" s="90"/>
      <c r="BK153"/>
      <c r="BL153"/>
      <c r="BM153"/>
      <c r="BN153"/>
      <c r="BO153"/>
      <c r="BP153"/>
      <c r="BQ153"/>
      <c r="BR153"/>
    </row>
    <row r="154" spans="51:70" s="12" customFormat="1" ht="16.350000000000001" hidden="1" customHeight="1">
      <c r="AY154" s="51"/>
      <c r="AZ154" s="52"/>
      <c r="BC154" s="102"/>
      <c r="BD154" s="102"/>
      <c r="BE154" s="52"/>
      <c r="BG154" s="90"/>
      <c r="BK154"/>
      <c r="BL154"/>
      <c r="BM154"/>
      <c r="BN154"/>
      <c r="BO154"/>
      <c r="BP154"/>
      <c r="BQ154"/>
      <c r="BR154"/>
    </row>
    <row r="155" spans="51:70" s="12" customFormat="1" ht="16.350000000000001" hidden="1" customHeight="1">
      <c r="AY155" s="51"/>
      <c r="AZ155" s="52"/>
      <c r="BC155" s="102"/>
      <c r="BD155" s="102"/>
      <c r="BE155" s="52"/>
      <c r="BG155" s="90"/>
      <c r="BK155"/>
      <c r="BL155"/>
      <c r="BM155"/>
      <c r="BN155"/>
      <c r="BO155"/>
      <c r="BP155"/>
      <c r="BQ155"/>
      <c r="BR155"/>
    </row>
    <row r="156" spans="51:70" s="12" customFormat="1" ht="16.350000000000001" hidden="1" customHeight="1">
      <c r="AY156" s="51"/>
      <c r="AZ156" s="52"/>
      <c r="BC156" s="102"/>
      <c r="BD156" s="102"/>
      <c r="BE156" s="52"/>
      <c r="BG156" s="90"/>
      <c r="BK156"/>
      <c r="BL156"/>
      <c r="BM156"/>
      <c r="BN156"/>
      <c r="BO156"/>
      <c r="BP156"/>
      <c r="BQ156"/>
      <c r="BR156"/>
    </row>
    <row r="157" spans="51:70" s="12" customFormat="1" ht="16.350000000000001" hidden="1" customHeight="1">
      <c r="AY157" s="51"/>
      <c r="AZ157" s="52"/>
      <c r="BC157" s="102"/>
      <c r="BD157" s="102"/>
      <c r="BE157" s="52"/>
      <c r="BG157" s="90"/>
      <c r="BK157"/>
      <c r="BL157"/>
      <c r="BM157"/>
      <c r="BN157"/>
      <c r="BO157"/>
      <c r="BP157"/>
      <c r="BQ157"/>
      <c r="BR157"/>
    </row>
    <row r="158" spans="51:70" s="12" customFormat="1" ht="16.350000000000001" hidden="1" customHeight="1">
      <c r="AY158" s="51"/>
      <c r="AZ158" s="52"/>
      <c r="BC158" s="102"/>
      <c r="BD158" s="102"/>
      <c r="BE158" s="52"/>
      <c r="BG158" s="90"/>
      <c r="BK158"/>
      <c r="BL158"/>
      <c r="BM158"/>
      <c r="BN158"/>
      <c r="BO158"/>
      <c r="BP158"/>
      <c r="BQ158"/>
      <c r="BR158"/>
    </row>
    <row r="159" spans="51:70" s="12" customFormat="1" ht="16.350000000000001" hidden="1" customHeight="1">
      <c r="AY159" s="51"/>
      <c r="AZ159" s="52"/>
      <c r="BC159" s="102"/>
      <c r="BD159" s="102"/>
      <c r="BE159" s="52"/>
      <c r="BG159" s="90"/>
      <c r="BK159"/>
      <c r="BL159"/>
      <c r="BM159"/>
      <c r="BN159"/>
      <c r="BO159"/>
      <c r="BP159"/>
      <c r="BQ159"/>
      <c r="BR159"/>
    </row>
    <row r="160" spans="51:70" s="12" customFormat="1" ht="16.350000000000001" hidden="1" customHeight="1">
      <c r="AY160" s="51"/>
      <c r="AZ160" s="52"/>
      <c r="BC160" s="102"/>
      <c r="BD160" s="102"/>
      <c r="BE160" s="52"/>
      <c r="BG160" s="90"/>
      <c r="BK160"/>
      <c r="BL160"/>
      <c r="BM160"/>
      <c r="BN160"/>
      <c r="BO160"/>
      <c r="BP160"/>
      <c r="BQ160"/>
      <c r="BR160"/>
    </row>
    <row r="161" spans="51:70" s="12" customFormat="1" ht="16.350000000000001" hidden="1" customHeight="1">
      <c r="AY161" s="51"/>
      <c r="AZ161" s="52"/>
      <c r="BC161" s="102"/>
      <c r="BD161" s="102"/>
      <c r="BE161" s="52"/>
      <c r="BG161" s="90"/>
      <c r="BK161"/>
      <c r="BL161"/>
      <c r="BM161"/>
      <c r="BN161"/>
      <c r="BO161"/>
      <c r="BP161"/>
      <c r="BQ161"/>
      <c r="BR161"/>
    </row>
    <row r="162" spans="51:70" s="12" customFormat="1" ht="16.350000000000001" hidden="1" customHeight="1">
      <c r="AY162" s="51"/>
      <c r="AZ162" s="52"/>
      <c r="BC162" s="102"/>
      <c r="BD162" s="102"/>
      <c r="BE162" s="52"/>
      <c r="BG162" s="90"/>
      <c r="BK162"/>
      <c r="BL162"/>
      <c r="BM162"/>
      <c r="BN162"/>
      <c r="BO162"/>
      <c r="BP162"/>
      <c r="BQ162"/>
      <c r="BR162"/>
    </row>
    <row r="163" spans="51:70" s="12" customFormat="1" ht="16.350000000000001" hidden="1" customHeight="1">
      <c r="AY163" s="51"/>
      <c r="AZ163" s="52"/>
      <c r="BC163" s="102"/>
      <c r="BD163" s="102"/>
      <c r="BE163" s="52"/>
      <c r="BG163" s="90"/>
      <c r="BK163"/>
      <c r="BL163"/>
      <c r="BM163"/>
      <c r="BN163"/>
      <c r="BO163"/>
      <c r="BP163"/>
      <c r="BQ163"/>
      <c r="BR163"/>
    </row>
    <row r="164" spans="51:70" s="12" customFormat="1" ht="16.350000000000001" hidden="1" customHeight="1">
      <c r="AY164" s="51"/>
      <c r="AZ164" s="52"/>
      <c r="BC164" s="102"/>
      <c r="BD164" s="102"/>
      <c r="BE164" s="52"/>
      <c r="BG164" s="90"/>
      <c r="BK164"/>
      <c r="BL164"/>
      <c r="BM164"/>
      <c r="BN164"/>
      <c r="BO164"/>
      <c r="BP164"/>
      <c r="BQ164"/>
      <c r="BR164"/>
    </row>
    <row r="165" spans="51:70" s="12" customFormat="1" ht="16.350000000000001" hidden="1" customHeight="1">
      <c r="AY165" s="51"/>
      <c r="AZ165" s="52"/>
      <c r="BC165" s="102"/>
      <c r="BD165" s="102"/>
      <c r="BE165" s="52"/>
      <c r="BG165" s="90"/>
      <c r="BK165"/>
      <c r="BL165"/>
      <c r="BM165"/>
      <c r="BN165"/>
      <c r="BO165"/>
      <c r="BP165"/>
      <c r="BQ165"/>
      <c r="BR165"/>
    </row>
    <row r="166" spans="51:70" s="12" customFormat="1" ht="16.350000000000001" hidden="1" customHeight="1">
      <c r="AY166" s="51"/>
      <c r="AZ166" s="52"/>
      <c r="BC166" s="102"/>
      <c r="BD166" s="102"/>
      <c r="BE166" s="52"/>
      <c r="BG166" s="90"/>
      <c r="BK166"/>
      <c r="BL166"/>
      <c r="BM166"/>
      <c r="BN166"/>
      <c r="BO166"/>
      <c r="BP166"/>
      <c r="BQ166"/>
      <c r="BR166"/>
    </row>
    <row r="167" spans="51:70" s="12" customFormat="1" ht="16.350000000000001" hidden="1" customHeight="1">
      <c r="AY167" s="51"/>
      <c r="AZ167" s="52"/>
      <c r="BC167" s="102"/>
      <c r="BD167" s="102"/>
      <c r="BE167" s="52"/>
      <c r="BG167" s="90"/>
      <c r="BK167"/>
      <c r="BL167"/>
      <c r="BM167"/>
      <c r="BN167"/>
      <c r="BO167"/>
      <c r="BP167"/>
      <c r="BQ167"/>
      <c r="BR167"/>
    </row>
    <row r="168" spans="51:70" s="12" customFormat="1" ht="16.350000000000001" hidden="1" customHeight="1">
      <c r="AY168" s="51"/>
      <c r="AZ168" s="52"/>
      <c r="BC168" s="102"/>
      <c r="BD168" s="102"/>
      <c r="BE168" s="52"/>
      <c r="BG168" s="90"/>
      <c r="BK168"/>
      <c r="BL168"/>
      <c r="BM168"/>
      <c r="BN168"/>
      <c r="BO168"/>
      <c r="BP168"/>
      <c r="BQ168"/>
      <c r="BR168"/>
    </row>
    <row r="169" spans="51:70" s="12" customFormat="1" ht="16.350000000000001" hidden="1" customHeight="1">
      <c r="AY169" s="51"/>
      <c r="AZ169" s="52"/>
      <c r="BC169" s="102"/>
      <c r="BD169" s="102"/>
      <c r="BE169" s="52"/>
      <c r="BG169" s="90"/>
      <c r="BK169"/>
      <c r="BL169"/>
      <c r="BM169"/>
      <c r="BN169"/>
      <c r="BO169"/>
      <c r="BP169"/>
      <c r="BQ169"/>
      <c r="BR169"/>
    </row>
    <row r="170" spans="51:70" s="12" customFormat="1" ht="16.350000000000001" hidden="1" customHeight="1">
      <c r="AY170" s="51"/>
      <c r="AZ170" s="52"/>
      <c r="BC170" s="102"/>
      <c r="BD170" s="102"/>
      <c r="BE170" s="52"/>
      <c r="BG170" s="90"/>
      <c r="BK170"/>
      <c r="BL170"/>
      <c r="BM170"/>
      <c r="BN170"/>
      <c r="BO170"/>
      <c r="BP170"/>
      <c r="BQ170"/>
      <c r="BR170"/>
    </row>
    <row r="171" spans="51:70" s="12" customFormat="1" ht="16.350000000000001" hidden="1" customHeight="1">
      <c r="AY171" s="51"/>
      <c r="AZ171" s="52"/>
      <c r="BC171" s="102"/>
      <c r="BD171" s="102"/>
      <c r="BE171" s="52"/>
      <c r="BG171" s="90"/>
      <c r="BK171"/>
      <c r="BL171"/>
      <c r="BM171"/>
      <c r="BN171"/>
      <c r="BO171"/>
      <c r="BP171"/>
      <c r="BQ171"/>
      <c r="BR171"/>
    </row>
    <row r="172" spans="51:70" s="12" customFormat="1" ht="16.350000000000001" hidden="1" customHeight="1">
      <c r="AY172" s="51"/>
      <c r="AZ172" s="52"/>
      <c r="BC172" s="102"/>
      <c r="BD172" s="102"/>
      <c r="BE172" s="52"/>
      <c r="BG172" s="90"/>
      <c r="BK172"/>
      <c r="BL172"/>
      <c r="BM172"/>
      <c r="BN172"/>
      <c r="BO172"/>
      <c r="BP172"/>
      <c r="BQ172"/>
      <c r="BR172"/>
    </row>
    <row r="173" spans="51:70" s="12" customFormat="1" ht="16.350000000000001" hidden="1" customHeight="1">
      <c r="AY173" s="51"/>
      <c r="AZ173" s="52"/>
      <c r="BC173" s="102"/>
      <c r="BD173" s="102"/>
      <c r="BE173" s="52"/>
      <c r="BG173" s="90"/>
      <c r="BK173"/>
      <c r="BL173"/>
      <c r="BM173"/>
      <c r="BN173"/>
      <c r="BO173"/>
      <c r="BP173"/>
      <c r="BQ173"/>
      <c r="BR173"/>
    </row>
    <row r="174" spans="51:70" s="12" customFormat="1" ht="16.350000000000001" hidden="1" customHeight="1">
      <c r="AY174" s="51"/>
      <c r="AZ174" s="52"/>
      <c r="BC174" s="102"/>
      <c r="BD174" s="102"/>
      <c r="BE174" s="52"/>
      <c r="BG174" s="90"/>
      <c r="BK174"/>
      <c r="BL174"/>
      <c r="BM174"/>
      <c r="BN174"/>
      <c r="BO174"/>
      <c r="BP174"/>
      <c r="BQ174"/>
      <c r="BR174"/>
    </row>
    <row r="175" spans="51:70" s="12" customFormat="1" ht="16.350000000000001" hidden="1" customHeight="1">
      <c r="AY175" s="51"/>
      <c r="AZ175" s="52"/>
      <c r="BC175" s="102"/>
      <c r="BD175" s="102"/>
      <c r="BE175" s="52"/>
      <c r="BG175" s="90"/>
      <c r="BK175"/>
      <c r="BL175"/>
      <c r="BM175"/>
      <c r="BN175"/>
      <c r="BO175"/>
      <c r="BP175"/>
      <c r="BQ175"/>
      <c r="BR175"/>
    </row>
    <row r="176" spans="51:70" s="12" customFormat="1" ht="16.350000000000001" hidden="1" customHeight="1">
      <c r="AY176" s="51"/>
      <c r="AZ176" s="52"/>
      <c r="BC176" s="102"/>
      <c r="BD176" s="102"/>
      <c r="BE176" s="52"/>
      <c r="BG176" s="90"/>
      <c r="BK176"/>
      <c r="BL176"/>
      <c r="BM176"/>
      <c r="BN176"/>
      <c r="BO176"/>
      <c r="BP176"/>
      <c r="BQ176"/>
      <c r="BR176"/>
    </row>
    <row r="177" spans="51:70" s="12" customFormat="1" ht="16.350000000000001" hidden="1" customHeight="1">
      <c r="AY177" s="51"/>
      <c r="AZ177" s="52"/>
      <c r="BC177" s="102"/>
      <c r="BD177" s="102"/>
      <c r="BE177" s="52"/>
      <c r="BG177" s="90"/>
      <c r="BK177"/>
      <c r="BL177"/>
      <c r="BM177"/>
      <c r="BN177"/>
      <c r="BO177"/>
      <c r="BP177"/>
      <c r="BQ177"/>
      <c r="BR177"/>
    </row>
    <row r="178" spans="51:70" s="12" customFormat="1" ht="16.350000000000001" hidden="1" customHeight="1">
      <c r="AY178" s="51"/>
      <c r="AZ178" s="52"/>
      <c r="BC178" s="102"/>
      <c r="BD178" s="102"/>
      <c r="BE178" s="52"/>
      <c r="BG178" s="90"/>
      <c r="BK178"/>
      <c r="BL178"/>
      <c r="BM178"/>
      <c r="BN178"/>
      <c r="BO178"/>
      <c r="BP178"/>
      <c r="BQ178"/>
      <c r="BR178"/>
    </row>
    <row r="179" spans="51:70" s="12" customFormat="1" ht="16.350000000000001" hidden="1" customHeight="1">
      <c r="AY179" s="51"/>
      <c r="AZ179" s="52"/>
      <c r="BC179" s="102"/>
      <c r="BD179" s="102"/>
      <c r="BE179" s="52"/>
      <c r="BG179" s="90"/>
      <c r="BK179"/>
      <c r="BL179"/>
      <c r="BM179"/>
      <c r="BN179"/>
      <c r="BO179"/>
      <c r="BP179"/>
      <c r="BQ179"/>
      <c r="BR179"/>
    </row>
    <row r="180" spans="51:70" s="12" customFormat="1" ht="16.350000000000001" hidden="1" customHeight="1">
      <c r="AY180" s="51"/>
      <c r="AZ180" s="52"/>
      <c r="BC180" s="102"/>
      <c r="BD180" s="102"/>
      <c r="BE180" s="52"/>
      <c r="BG180" s="90"/>
      <c r="BK180"/>
      <c r="BL180"/>
      <c r="BM180"/>
      <c r="BN180"/>
      <c r="BO180"/>
      <c r="BP180"/>
      <c r="BQ180"/>
      <c r="BR180"/>
    </row>
    <row r="181" spans="51:70" s="12" customFormat="1" ht="16.350000000000001" hidden="1" customHeight="1">
      <c r="AY181" s="51"/>
      <c r="AZ181" s="52"/>
      <c r="BC181" s="102"/>
      <c r="BD181" s="102"/>
      <c r="BE181" s="52"/>
      <c r="BG181" s="90"/>
      <c r="BK181"/>
      <c r="BL181"/>
      <c r="BM181"/>
      <c r="BN181"/>
      <c r="BO181"/>
      <c r="BP181"/>
      <c r="BQ181"/>
      <c r="BR181"/>
    </row>
    <row r="182" spans="51:70" s="12" customFormat="1" ht="16.350000000000001" hidden="1" customHeight="1">
      <c r="AY182" s="51"/>
      <c r="AZ182" s="52"/>
      <c r="BC182" s="102"/>
      <c r="BD182" s="102"/>
      <c r="BE182" s="52"/>
      <c r="BG182" s="90"/>
      <c r="BK182"/>
      <c r="BL182"/>
      <c r="BM182"/>
      <c r="BN182"/>
      <c r="BO182"/>
      <c r="BP182"/>
      <c r="BQ182"/>
      <c r="BR182"/>
    </row>
    <row r="183" spans="51:70" s="12" customFormat="1" ht="16.350000000000001" hidden="1" customHeight="1">
      <c r="AY183" s="51"/>
      <c r="AZ183" s="52"/>
      <c r="BC183" s="102"/>
      <c r="BD183" s="102"/>
      <c r="BE183" s="52"/>
      <c r="BG183" s="90"/>
      <c r="BK183"/>
      <c r="BL183"/>
      <c r="BM183"/>
      <c r="BN183"/>
      <c r="BO183"/>
      <c r="BP183"/>
      <c r="BQ183"/>
      <c r="BR183"/>
    </row>
    <row r="184" spans="51:70" s="12" customFormat="1" ht="16.350000000000001" hidden="1" customHeight="1">
      <c r="AY184" s="51"/>
      <c r="AZ184" s="52"/>
      <c r="BC184" s="102"/>
      <c r="BD184" s="102"/>
      <c r="BE184" s="52"/>
      <c r="BG184" s="90"/>
      <c r="BK184"/>
      <c r="BL184"/>
      <c r="BM184"/>
      <c r="BN184"/>
      <c r="BO184"/>
      <c r="BP184"/>
      <c r="BQ184"/>
      <c r="BR184"/>
    </row>
    <row r="185" spans="51:70" s="12" customFormat="1" ht="16.350000000000001" hidden="1" customHeight="1">
      <c r="AY185" s="51"/>
      <c r="AZ185" s="52"/>
      <c r="BC185" s="102"/>
      <c r="BD185" s="102"/>
      <c r="BE185" s="52"/>
      <c r="BG185" s="90"/>
      <c r="BK185"/>
      <c r="BL185"/>
      <c r="BM185"/>
      <c r="BN185"/>
      <c r="BO185"/>
      <c r="BP185"/>
      <c r="BQ185"/>
      <c r="BR185"/>
    </row>
    <row r="186" spans="51:70" s="12" customFormat="1" ht="16.350000000000001" hidden="1" customHeight="1">
      <c r="AY186" s="51"/>
      <c r="AZ186" s="52"/>
      <c r="BC186" s="102"/>
      <c r="BD186" s="102"/>
      <c r="BE186" s="52"/>
      <c r="BG186" s="90"/>
      <c r="BK186"/>
      <c r="BL186"/>
      <c r="BM186"/>
      <c r="BN186"/>
      <c r="BO186"/>
      <c r="BP186"/>
      <c r="BQ186"/>
      <c r="BR186"/>
    </row>
    <row r="187" spans="51:70" s="12" customFormat="1" ht="16.350000000000001" hidden="1" customHeight="1">
      <c r="AY187" s="51"/>
      <c r="AZ187" s="52"/>
      <c r="BC187" s="102"/>
      <c r="BD187" s="102"/>
      <c r="BE187" s="52"/>
      <c r="BG187" s="90"/>
      <c r="BK187"/>
      <c r="BL187"/>
      <c r="BM187"/>
      <c r="BN187"/>
      <c r="BO187"/>
      <c r="BP187"/>
      <c r="BQ187"/>
      <c r="BR187"/>
    </row>
    <row r="188" spans="51:70" s="12" customFormat="1" ht="16.350000000000001" hidden="1" customHeight="1">
      <c r="AY188" s="51"/>
      <c r="AZ188" s="52"/>
      <c r="BC188" s="102"/>
      <c r="BD188" s="102"/>
      <c r="BE188" s="52"/>
      <c r="BG188" s="90"/>
      <c r="BK188"/>
      <c r="BL188"/>
      <c r="BM188"/>
      <c r="BN188"/>
      <c r="BO188"/>
      <c r="BP188"/>
      <c r="BQ188"/>
      <c r="BR188"/>
    </row>
    <row r="189" spans="51:70" s="12" customFormat="1" ht="16.350000000000001" hidden="1" customHeight="1">
      <c r="AY189" s="51"/>
      <c r="AZ189" s="52"/>
      <c r="BC189" s="102"/>
      <c r="BD189" s="102"/>
      <c r="BE189" s="52"/>
      <c r="BG189" s="90"/>
      <c r="BK189"/>
      <c r="BL189"/>
      <c r="BM189"/>
      <c r="BN189"/>
      <c r="BO189"/>
      <c r="BP189"/>
      <c r="BQ189"/>
      <c r="BR189"/>
    </row>
    <row r="190" spans="51:70" s="12" customFormat="1" ht="16.350000000000001" hidden="1" customHeight="1">
      <c r="AY190" s="51"/>
      <c r="AZ190" s="52"/>
      <c r="BC190" s="102"/>
      <c r="BD190" s="102"/>
      <c r="BE190" s="52"/>
      <c r="BG190" s="90"/>
      <c r="BK190"/>
      <c r="BL190"/>
      <c r="BM190"/>
      <c r="BN190"/>
      <c r="BO190"/>
      <c r="BP190"/>
      <c r="BQ190"/>
      <c r="BR190"/>
    </row>
    <row r="191" spans="51:70" s="12" customFormat="1" ht="16.350000000000001" hidden="1" customHeight="1">
      <c r="AY191" s="51"/>
      <c r="AZ191" s="52"/>
      <c r="BC191" s="102"/>
      <c r="BD191" s="102"/>
      <c r="BE191" s="52"/>
      <c r="BG191" s="90"/>
      <c r="BK191"/>
      <c r="BL191"/>
      <c r="BM191"/>
      <c r="BN191"/>
      <c r="BO191"/>
      <c r="BP191"/>
      <c r="BQ191"/>
      <c r="BR191"/>
    </row>
    <row r="192" spans="51:70" s="12" customFormat="1" ht="16.350000000000001" hidden="1" customHeight="1">
      <c r="AY192" s="51"/>
      <c r="AZ192" s="52"/>
      <c r="BC192" s="102"/>
      <c r="BD192" s="102"/>
      <c r="BE192" s="52"/>
      <c r="BG192" s="90"/>
      <c r="BK192"/>
      <c r="BL192"/>
      <c r="BM192"/>
      <c r="BN192"/>
      <c r="BO192"/>
      <c r="BP192"/>
      <c r="BQ192"/>
      <c r="BR192"/>
    </row>
    <row r="193" spans="1:70" ht="16.350000000000001"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51"/>
      <c r="AZ193" s="52"/>
      <c r="BA193" s="12"/>
      <c r="BB193" s="12"/>
      <c r="BC193" s="102"/>
      <c r="BD193" s="102"/>
      <c r="BE193" s="52"/>
      <c r="BF193" s="12"/>
      <c r="BG193" s="90"/>
      <c r="BH193" s="12"/>
      <c r="BI193" s="12"/>
      <c r="BJ193" s="12"/>
      <c r="BK193"/>
      <c r="BL193"/>
      <c r="BM193"/>
      <c r="BN193"/>
      <c r="BO193"/>
      <c r="BP193"/>
      <c r="BQ193"/>
      <c r="BR193"/>
    </row>
    <row r="194" spans="1:70" ht="16.350000000000001"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51"/>
      <c r="AZ194" s="52"/>
      <c r="BA194" s="12"/>
      <c r="BB194" s="12"/>
      <c r="BC194" s="102"/>
      <c r="BD194" s="102"/>
      <c r="BE194" s="52"/>
      <c r="BF194" s="12"/>
      <c r="BG194" s="90"/>
      <c r="BH194" s="12"/>
      <c r="BI194" s="12"/>
      <c r="BJ194" s="12"/>
      <c r="BK194"/>
      <c r="BL194"/>
      <c r="BM194"/>
      <c r="BN194"/>
      <c r="BO194"/>
      <c r="BP194"/>
      <c r="BQ194"/>
      <c r="BR194"/>
    </row>
    <row r="195" spans="1:70" ht="16.350000000000001"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51"/>
      <c r="AZ195" s="52"/>
      <c r="BA195" s="12"/>
      <c r="BB195" s="12"/>
      <c r="BC195" s="102"/>
      <c r="BD195" s="102"/>
      <c r="BE195" s="52"/>
      <c r="BF195" s="12"/>
      <c r="BG195" s="90"/>
      <c r="BH195" s="12"/>
      <c r="BI195" s="12"/>
      <c r="BJ195" s="12"/>
      <c r="BK195"/>
      <c r="BL195"/>
      <c r="BM195"/>
      <c r="BN195"/>
      <c r="BO195"/>
      <c r="BP195"/>
      <c r="BQ195"/>
      <c r="BR195"/>
    </row>
    <row r="196" spans="1:70" ht="16.350000000000001" hidden="1" customHeight="1">
      <c r="A196" s="12"/>
      <c r="B196" s="12"/>
      <c r="C196" s="12"/>
      <c r="D196" s="12"/>
      <c r="E196" s="12"/>
      <c r="F196" s="12"/>
      <c r="G196" s="12"/>
      <c r="H196" s="12"/>
      <c r="I196" s="12"/>
      <c r="J196" s="12"/>
      <c r="K196" s="12"/>
      <c r="L196" s="12"/>
      <c r="M196" s="12"/>
      <c r="N196" s="12"/>
      <c r="O196" s="1097"/>
      <c r="P196" s="1097"/>
      <c r="Q196" s="1097"/>
      <c r="R196" s="1097"/>
      <c r="S196" s="1097"/>
      <c r="T196" s="1097"/>
      <c r="U196" s="1097"/>
      <c r="V196" s="1097"/>
      <c r="W196" s="1097"/>
      <c r="X196" s="1097"/>
      <c r="Y196" s="1097"/>
      <c r="Z196" s="1097"/>
      <c r="AA196" s="1097"/>
      <c r="AB196" s="1097"/>
      <c r="AC196" s="1097"/>
      <c r="AD196" s="1097"/>
      <c r="AE196" s="109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2"/>
      <c r="BA196" s="12"/>
      <c r="BB196" s="12"/>
      <c r="BC196" s="12"/>
      <c r="BD196" s="12"/>
      <c r="BE196" s="12"/>
      <c r="BF196" s="12"/>
      <c r="BG196" s="12"/>
      <c r="BH196" s="12"/>
      <c r="BI196" s="12"/>
      <c r="BJ196" s="12"/>
      <c r="BK196"/>
      <c r="BL196"/>
      <c r="BM196"/>
      <c r="BN196"/>
      <c r="BO196"/>
      <c r="BP196"/>
      <c r="BQ196"/>
      <c r="BR196"/>
    </row>
    <row r="197" spans="1:70" ht="16.350000000000001" hidden="1" customHeight="1">
      <c r="A197" s="12"/>
      <c r="B197" s="12"/>
      <c r="C197" s="12"/>
      <c r="D197" s="12"/>
      <c r="E197" s="12"/>
      <c r="F197" s="12"/>
      <c r="G197" s="12"/>
      <c r="H197" s="12"/>
      <c r="I197" s="12"/>
      <c r="J197" s="12"/>
      <c r="K197" s="12"/>
      <c r="L197" s="12"/>
      <c r="M197" s="12"/>
      <c r="N197" s="12"/>
      <c r="O197" s="1097"/>
      <c r="P197" s="1097"/>
      <c r="Q197" s="1097"/>
      <c r="R197" s="1097"/>
      <c r="S197" s="1097"/>
      <c r="T197" s="1097"/>
      <c r="U197" s="1097"/>
      <c r="V197" s="1097"/>
      <c r="W197" s="1097"/>
      <c r="X197" s="1097"/>
      <c r="Y197" s="1097"/>
      <c r="Z197" s="1097"/>
      <c r="AA197" s="1097"/>
      <c r="AB197" s="1097"/>
      <c r="AC197" s="1097"/>
      <c r="AD197" s="1097"/>
      <c r="AE197" s="109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2"/>
      <c r="BA197" s="12"/>
      <c r="BB197" s="12"/>
      <c r="BC197" s="12"/>
      <c r="BD197" s="12"/>
      <c r="BE197" s="12"/>
      <c r="BF197" s="12"/>
      <c r="BG197" s="12"/>
      <c r="BH197" s="12"/>
      <c r="BI197" s="12"/>
      <c r="BJ197" s="12"/>
      <c r="BK197"/>
      <c r="BL197"/>
      <c r="BM197"/>
      <c r="BN197"/>
      <c r="BO197"/>
      <c r="BP197"/>
      <c r="BQ197"/>
      <c r="BR197"/>
    </row>
    <row r="198" spans="1:70" ht="16.350000000000001" hidden="1" customHeight="1">
      <c r="A198" s="12"/>
      <c r="B198" s="12"/>
      <c r="C198" s="12"/>
      <c r="D198" s="12"/>
      <c r="E198" s="12"/>
      <c r="F198" s="12"/>
      <c r="G198" s="12"/>
      <c r="H198" s="12"/>
      <c r="I198" s="12"/>
      <c r="J198" s="12"/>
      <c r="K198" s="12"/>
      <c r="L198" s="12"/>
      <c r="M198" s="12"/>
      <c r="N198" s="12"/>
      <c r="O198" s="1097"/>
      <c r="P198" s="1097"/>
      <c r="Q198" s="1097"/>
      <c r="R198" s="1097"/>
      <c r="S198" s="1097"/>
      <c r="T198" s="1097"/>
      <c r="U198" s="1097"/>
      <c r="V198" s="1097"/>
      <c r="W198" s="1097"/>
      <c r="X198" s="1097"/>
      <c r="Y198" s="1097"/>
      <c r="Z198" s="1097"/>
      <c r="AA198" s="1097"/>
      <c r="AB198" s="1097"/>
      <c r="AC198" s="1097"/>
      <c r="AD198" s="1097"/>
      <c r="AE198" s="1097"/>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2"/>
      <c r="BB198" s="12"/>
      <c r="BC198" s="12"/>
      <c r="BD198" s="12"/>
      <c r="BE198" s="12"/>
      <c r="BF198" s="12"/>
      <c r="BG198" s="12"/>
      <c r="BH198" s="12"/>
      <c r="BI198" s="12"/>
      <c r="BJ198" s="12"/>
      <c r="BK198"/>
      <c r="BL198"/>
      <c r="BM198"/>
      <c r="BN198"/>
      <c r="BO198"/>
      <c r="BP198"/>
      <c r="BQ198"/>
      <c r="BR198"/>
    </row>
    <row r="199" spans="1:70" ht="16.350000000000001"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51"/>
      <c r="AZ199" s="52"/>
      <c r="BA199" s="12"/>
      <c r="BB199" s="12"/>
      <c r="BC199" s="102"/>
      <c r="BD199" s="102"/>
      <c r="BE199" s="52"/>
      <c r="BF199" s="12"/>
      <c r="BG199" s="90"/>
      <c r="BH199" s="12"/>
      <c r="BI199" s="12"/>
      <c r="BJ199" s="12"/>
      <c r="BK199"/>
      <c r="BL199"/>
      <c r="BM199"/>
      <c r="BN199"/>
      <c r="BO199"/>
      <c r="BP199"/>
      <c r="BQ199"/>
      <c r="BR199"/>
    </row>
    <row r="200" spans="1:70" customFormat="1"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03"/>
      <c r="BH200" s="503"/>
      <c r="BI200" s="503"/>
      <c r="BJ200" s="515"/>
      <c r="BK200" s="502"/>
      <c r="BL200" s="502"/>
      <c r="BM200" s="502"/>
      <c r="BN200" s="502"/>
      <c r="BO200" s="502"/>
      <c r="BP200" s="502"/>
      <c r="BQ200" s="502"/>
      <c r="BR200" s="502"/>
    </row>
    <row r="201" spans="1:70" customFormat="1"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03"/>
      <c r="BH201" s="503"/>
      <c r="BI201" s="503"/>
      <c r="BJ201" s="515"/>
      <c r="BK201" s="502"/>
      <c r="BL201" s="502"/>
      <c r="BM201" s="502"/>
      <c r="BN201" s="502"/>
      <c r="BO201" s="502"/>
      <c r="BP201" s="502"/>
      <c r="BQ201" s="502"/>
      <c r="BR201" s="502"/>
    </row>
    <row r="202" spans="1:70" customFormat="1"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03"/>
      <c r="BH202" s="503"/>
      <c r="BI202" s="503"/>
      <c r="BJ202" s="515"/>
      <c r="BK202" s="502"/>
      <c r="BL202" s="502"/>
      <c r="BM202" s="502"/>
      <c r="BN202" s="502"/>
      <c r="BO202" s="502"/>
      <c r="BP202" s="502"/>
      <c r="BQ202" s="502"/>
      <c r="BR202" s="502"/>
    </row>
    <row r="203" spans="1:70" ht="16.350000000000001" hidden="1" customHeight="1"/>
    <row r="204" spans="1:70" ht="16.350000000000001" hidden="1" customHeight="1"/>
    <row r="205" spans="1:70" ht="15" hidden="1" customHeight="1"/>
    <row r="206" spans="1:70" ht="15" hidden="1" customHeight="1"/>
  </sheetData>
  <sheetProtection algorithmName="SHA-512" hashValue="ehMfs6xoc2udq1yapItboakjaiZy6fyPcnV1/NO697yBSjRwA8MPiU7+gVzfv3VUsy06yVbblu/0CrFp/xhexg==" saltValue="Jt1t8+miWevZKWuKz12vvQ==" spinCount="100000" sheet="1" objects="1" scenarios="1" selectLockedCells="1"/>
  <mergeCells count="1014">
    <mergeCell ref="CZ16:CZ17"/>
    <mergeCell ref="DA16:DA17"/>
    <mergeCell ref="CZ18:CZ19"/>
    <mergeCell ref="DA18:DA19"/>
    <mergeCell ref="CZ20:CZ21"/>
    <mergeCell ref="DA20:DA21"/>
    <mergeCell ref="CZ22:CZ23"/>
    <mergeCell ref="DA22:DA23"/>
    <mergeCell ref="CZ24:CZ25"/>
    <mergeCell ref="DA24:DA25"/>
    <mergeCell ref="CZ36:CZ37"/>
    <mergeCell ref="DA36:DA37"/>
    <mergeCell ref="CZ26:CZ27"/>
    <mergeCell ref="DA26:DA27"/>
    <mergeCell ref="CZ28:CZ29"/>
    <mergeCell ref="DA28:DA29"/>
    <mergeCell ref="CZ30:CZ31"/>
    <mergeCell ref="DA30:DA31"/>
    <mergeCell ref="CZ32:CZ33"/>
    <mergeCell ref="DA32:DA33"/>
    <mergeCell ref="CZ34:CZ35"/>
    <mergeCell ref="DA34:DA35"/>
    <mergeCell ref="BX30:BX31"/>
    <mergeCell ref="BY30:BY31"/>
    <mergeCell ref="BZ30:BZ31"/>
    <mergeCell ref="BV32:BV33"/>
    <mergeCell ref="BW32:BW33"/>
    <mergeCell ref="BX32:BX33"/>
    <mergeCell ref="BY32:BY33"/>
    <mergeCell ref="BZ32:BZ33"/>
    <mergeCell ref="BV34:BV35"/>
    <mergeCell ref="BW34:BW35"/>
    <mergeCell ref="BX34:BX35"/>
    <mergeCell ref="BY34:BY35"/>
    <mergeCell ref="BZ34:BZ35"/>
    <mergeCell ref="BV36:BV37"/>
    <mergeCell ref="BW36:BW37"/>
    <mergeCell ref="BX36:BX37"/>
    <mergeCell ref="BY36:BY37"/>
    <mergeCell ref="BZ36:BZ37"/>
    <mergeCell ref="DV36:DV37"/>
    <mergeCell ref="DW36:DW37"/>
    <mergeCell ref="DX36:DX37"/>
    <mergeCell ref="DN34:DN35"/>
    <mergeCell ref="DO34:DO35"/>
    <mergeCell ref="BV14:BZ15"/>
    <mergeCell ref="BV16:BV17"/>
    <mergeCell ref="BW16:BW17"/>
    <mergeCell ref="BX16:BX17"/>
    <mergeCell ref="BY16:BY17"/>
    <mergeCell ref="BZ16:BZ17"/>
    <mergeCell ref="BV18:BV19"/>
    <mergeCell ref="BW18:BW19"/>
    <mergeCell ref="BX18:BX19"/>
    <mergeCell ref="BY18:BY19"/>
    <mergeCell ref="BZ18:BZ19"/>
    <mergeCell ref="BV20:BV21"/>
    <mergeCell ref="BW20:BW21"/>
    <mergeCell ref="BX20:BX21"/>
    <mergeCell ref="BY20:BY21"/>
    <mergeCell ref="BZ20:BZ21"/>
    <mergeCell ref="BV22:BV23"/>
    <mergeCell ref="BW22:BW23"/>
    <mergeCell ref="BX22:BX23"/>
    <mergeCell ref="BY22:BY23"/>
    <mergeCell ref="BZ22:BZ23"/>
    <mergeCell ref="BV26:BV27"/>
    <mergeCell ref="BW26:BW27"/>
    <mergeCell ref="BX26:BX27"/>
    <mergeCell ref="BY26:BY27"/>
    <mergeCell ref="BZ26:BZ27"/>
    <mergeCell ref="BV28:BV29"/>
    <mergeCell ref="DE36:DE37"/>
    <mergeCell ref="DF36:DF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T34:DT35"/>
    <mergeCell ref="DU34:DU35"/>
    <mergeCell ref="DV34:DV35"/>
    <mergeCell ref="DE34:DE35"/>
    <mergeCell ref="DF34:DF35"/>
    <mergeCell ref="DG34:DG35"/>
    <mergeCell ref="DH34:DH35"/>
    <mergeCell ref="DI34:DI35"/>
    <mergeCell ref="DJ34:DJ35"/>
    <mergeCell ref="DK34:DK35"/>
    <mergeCell ref="DL34:DL35"/>
    <mergeCell ref="DM34:DM35"/>
    <mergeCell ref="DW34:DW35"/>
    <mergeCell ref="DX34:DX35"/>
    <mergeCell ref="DE32:DE33"/>
    <mergeCell ref="DF32:DF33"/>
    <mergeCell ref="DG32:DG33"/>
    <mergeCell ref="DH32:DH33"/>
    <mergeCell ref="DI32:DI33"/>
    <mergeCell ref="DJ32:DJ33"/>
    <mergeCell ref="DK32:DK33"/>
    <mergeCell ref="DL32:DL33"/>
    <mergeCell ref="DM32:DM33"/>
    <mergeCell ref="DN32:DN33"/>
    <mergeCell ref="DO32:DO33"/>
    <mergeCell ref="DP32:DP33"/>
    <mergeCell ref="DQ32:DQ33"/>
    <mergeCell ref="DR32:DR33"/>
    <mergeCell ref="DS32:DS33"/>
    <mergeCell ref="DT32:DT33"/>
    <mergeCell ref="DU32:DU33"/>
    <mergeCell ref="DV32:DV33"/>
    <mergeCell ref="DR30:DR31"/>
    <mergeCell ref="DS30:DS31"/>
    <mergeCell ref="DT30:DT31"/>
    <mergeCell ref="DU30:DU31"/>
    <mergeCell ref="DV30:DV31"/>
    <mergeCell ref="DE30:DE31"/>
    <mergeCell ref="DF30:DF31"/>
    <mergeCell ref="DG30:DG31"/>
    <mergeCell ref="DH30:DH31"/>
    <mergeCell ref="DI30:DI31"/>
    <mergeCell ref="DJ30:DJ31"/>
    <mergeCell ref="DK30:DK31"/>
    <mergeCell ref="DL30:DL31"/>
    <mergeCell ref="DM30:DM31"/>
    <mergeCell ref="DW30:DW31"/>
    <mergeCell ref="DX30:DX31"/>
    <mergeCell ref="DE28:DE29"/>
    <mergeCell ref="DF28:DF29"/>
    <mergeCell ref="DG28:DG29"/>
    <mergeCell ref="DH28:DH29"/>
    <mergeCell ref="DI28:DI29"/>
    <mergeCell ref="DJ28:DJ29"/>
    <mergeCell ref="DK28:DK29"/>
    <mergeCell ref="DW32:DW33"/>
    <mergeCell ref="DX32:DX33"/>
    <mergeCell ref="DN30:DN31"/>
    <mergeCell ref="DO30:DO31"/>
    <mergeCell ref="DL26:DL27"/>
    <mergeCell ref="DM26:DM27"/>
    <mergeCell ref="DN26:DN27"/>
    <mergeCell ref="DO26:DO27"/>
    <mergeCell ref="DP26:DP27"/>
    <mergeCell ref="DQ26:DQ27"/>
    <mergeCell ref="DR26:DR27"/>
    <mergeCell ref="DS26:DS27"/>
    <mergeCell ref="DT26:DT27"/>
    <mergeCell ref="DU26:DU27"/>
    <mergeCell ref="DV26:DV27"/>
    <mergeCell ref="DW26:DW27"/>
    <mergeCell ref="DX26:DX27"/>
    <mergeCell ref="DL28:DL29"/>
    <mergeCell ref="DM28:DM29"/>
    <mergeCell ref="DN28:DN29"/>
    <mergeCell ref="DO28:DO29"/>
    <mergeCell ref="DP28:DP29"/>
    <mergeCell ref="DQ28:DQ29"/>
    <mergeCell ref="DR28:DR29"/>
    <mergeCell ref="DS28:DS29"/>
    <mergeCell ref="DT28:DT29"/>
    <mergeCell ref="DU28:DU29"/>
    <mergeCell ref="DV28:DV29"/>
    <mergeCell ref="DW28:DW29"/>
    <mergeCell ref="DX28:DX29"/>
    <mergeCell ref="DP30:DP31"/>
    <mergeCell ref="DQ30:DQ31"/>
    <mergeCell ref="DX22:DX23"/>
    <mergeCell ref="DE24:DE25"/>
    <mergeCell ref="DF24:DF25"/>
    <mergeCell ref="DG24:DG25"/>
    <mergeCell ref="DH24:DH25"/>
    <mergeCell ref="DI24:DI25"/>
    <mergeCell ref="DJ24:DJ25"/>
    <mergeCell ref="DK24:DK25"/>
    <mergeCell ref="DL24:DL25"/>
    <mergeCell ref="DM24:DM25"/>
    <mergeCell ref="DN24:DN25"/>
    <mergeCell ref="DO24:DO25"/>
    <mergeCell ref="DP24:DP25"/>
    <mergeCell ref="DQ24:DQ25"/>
    <mergeCell ref="DR24:DR25"/>
    <mergeCell ref="DS24:DS25"/>
    <mergeCell ref="DT24:DT25"/>
    <mergeCell ref="DU24:DU25"/>
    <mergeCell ref="DV24:DV25"/>
    <mergeCell ref="DW24:DW25"/>
    <mergeCell ref="DX24:DX25"/>
    <mergeCell ref="DM22:DM23"/>
    <mergeCell ref="DN22:DN23"/>
    <mergeCell ref="DO22:DO23"/>
    <mergeCell ref="DP22:DP23"/>
    <mergeCell ref="DQ22:DQ23"/>
    <mergeCell ref="DR22:DR23"/>
    <mergeCell ref="DS22:DS23"/>
    <mergeCell ref="DT22:DT23"/>
    <mergeCell ref="DU22:DU23"/>
    <mergeCell ref="DV18:DV19"/>
    <mergeCell ref="DO18:DO19"/>
    <mergeCell ref="DP18:DP19"/>
    <mergeCell ref="DQ18:DQ19"/>
    <mergeCell ref="DR18:DR19"/>
    <mergeCell ref="DS18:DS19"/>
    <mergeCell ref="DT18:DT19"/>
    <mergeCell ref="DU18:DU19"/>
    <mergeCell ref="DV22:DV23"/>
    <mergeCell ref="DW22:DW23"/>
    <mergeCell ref="DW18:DW19"/>
    <mergeCell ref="DX18:DX19"/>
    <mergeCell ref="DE20:DE21"/>
    <mergeCell ref="DF20:DF21"/>
    <mergeCell ref="DG20:DG21"/>
    <mergeCell ref="DH20:DH21"/>
    <mergeCell ref="DI20:DI21"/>
    <mergeCell ref="DJ20:DJ21"/>
    <mergeCell ref="DK20:DK21"/>
    <mergeCell ref="DL20:DL21"/>
    <mergeCell ref="DM20:DM21"/>
    <mergeCell ref="DN20:DN21"/>
    <mergeCell ref="DO20:DO21"/>
    <mergeCell ref="DP20:DP21"/>
    <mergeCell ref="DQ20:DQ21"/>
    <mergeCell ref="DR20:DR21"/>
    <mergeCell ref="DS20:DS21"/>
    <mergeCell ref="DT20:DT21"/>
    <mergeCell ref="DU20:DU21"/>
    <mergeCell ref="DV20:DV21"/>
    <mergeCell ref="DW20:DW21"/>
    <mergeCell ref="DX20:DX21"/>
    <mergeCell ref="DM18:DM19"/>
    <mergeCell ref="DN18:DN19"/>
    <mergeCell ref="DD18:DD19"/>
    <mergeCell ref="DD20:DD21"/>
    <mergeCell ref="DD22:DD23"/>
    <mergeCell ref="DD24:DD25"/>
    <mergeCell ref="DD26:DD27"/>
    <mergeCell ref="DD28:DD29"/>
    <mergeCell ref="DD30:DD31"/>
    <mergeCell ref="DD32:DD33"/>
    <mergeCell ref="DD34:DD35"/>
    <mergeCell ref="DE18:DE19"/>
    <mergeCell ref="DF18:DF19"/>
    <mergeCell ref="DG18:DG19"/>
    <mergeCell ref="DH18:DH19"/>
    <mergeCell ref="DI18:DI19"/>
    <mergeCell ref="DJ18:DJ19"/>
    <mergeCell ref="DK18:DK19"/>
    <mergeCell ref="DL18:DL19"/>
    <mergeCell ref="DE22:DE23"/>
    <mergeCell ref="DF22:DF23"/>
    <mergeCell ref="DG22:DG23"/>
    <mergeCell ref="DH22:DH23"/>
    <mergeCell ref="DI22:DI23"/>
    <mergeCell ref="DJ22:DJ23"/>
    <mergeCell ref="DK22:DK23"/>
    <mergeCell ref="DL22:DL23"/>
    <mergeCell ref="DE26:DE27"/>
    <mergeCell ref="DF26:DF27"/>
    <mergeCell ref="DG26:DG27"/>
    <mergeCell ref="DH26:DH27"/>
    <mergeCell ref="DI26:DI27"/>
    <mergeCell ref="DJ26:DJ27"/>
    <mergeCell ref="DK26:DK27"/>
    <mergeCell ref="F34:K35"/>
    <mergeCell ref="L34:Q35"/>
    <mergeCell ref="AK9:AO11"/>
    <mergeCell ref="C16:E17"/>
    <mergeCell ref="F16:K17"/>
    <mergeCell ref="L16:Q17"/>
    <mergeCell ref="K9:N11"/>
    <mergeCell ref="O9:R11"/>
    <mergeCell ref="S9:V11"/>
    <mergeCell ref="AF9:AJ11"/>
    <mergeCell ref="W9:Z11"/>
    <mergeCell ref="AA9:AE11"/>
    <mergeCell ref="AA16:AC17"/>
    <mergeCell ref="AD16:AI17"/>
    <mergeCell ref="CY32:CY33"/>
    <mergeCell ref="CY34:CY35"/>
    <mergeCell ref="C18:E19"/>
    <mergeCell ref="F18:K19"/>
    <mergeCell ref="L18:Q19"/>
    <mergeCell ref="C20:E21"/>
    <mergeCell ref="F20:K21"/>
    <mergeCell ref="L20:Q21"/>
    <mergeCell ref="C22:E23"/>
    <mergeCell ref="F22:K23"/>
    <mergeCell ref="L22:Q23"/>
    <mergeCell ref="AA15:AU15"/>
    <mergeCell ref="AM16:AO17"/>
    <mergeCell ref="L24:Q25"/>
    <mergeCell ref="L26:Q27"/>
    <mergeCell ref="BS30:BS31"/>
    <mergeCell ref="CY36:CY37"/>
    <mergeCell ref="CW13:CY14"/>
    <mergeCell ref="CY16:CY17"/>
    <mergeCell ref="CY18:CY19"/>
    <mergeCell ref="CY20:CY21"/>
    <mergeCell ref="CY22:CY23"/>
    <mergeCell ref="CY24:CY25"/>
    <mergeCell ref="CY26:CY27"/>
    <mergeCell ref="CY28:CY29"/>
    <mergeCell ref="CY30:CY31"/>
    <mergeCell ref="BW28:BW29"/>
    <mergeCell ref="BX28:BX29"/>
    <mergeCell ref="BY28:BY29"/>
    <mergeCell ref="BZ28:BZ29"/>
    <mergeCell ref="BV30:BV31"/>
    <mergeCell ref="BW30:BW31"/>
    <mergeCell ref="F28:K29"/>
    <mergeCell ref="L28:Q29"/>
    <mergeCell ref="F24:K25"/>
    <mergeCell ref="BS22:BS23"/>
    <mergeCell ref="BT22:BT23"/>
    <mergeCell ref="BS24:BS25"/>
    <mergeCell ref="BT24:BT25"/>
    <mergeCell ref="BS26:BS27"/>
    <mergeCell ref="BT26:BT27"/>
    <mergeCell ref="BS28:BS29"/>
    <mergeCell ref="BT28:BT29"/>
    <mergeCell ref="AS26:AU27"/>
    <mergeCell ref="AP28:AR29"/>
    <mergeCell ref="AS28:AU29"/>
    <mergeCell ref="AY16:BA16"/>
    <mergeCell ref="BB16:BE16"/>
    <mergeCell ref="BT30:BT31"/>
    <mergeCell ref="F1:I3"/>
    <mergeCell ref="J1:M3"/>
    <mergeCell ref="AT1:AW3"/>
    <mergeCell ref="AX1:BA3"/>
    <mergeCell ref="BB1:BG3"/>
    <mergeCell ref="AX4:BA4"/>
    <mergeCell ref="BB4:BF4"/>
    <mergeCell ref="BG4:BJ4"/>
    <mergeCell ref="BH1:BK3"/>
    <mergeCell ref="AP1:AS3"/>
    <mergeCell ref="AA18:AC19"/>
    <mergeCell ref="AD18:AI19"/>
    <mergeCell ref="BF18:BG19"/>
    <mergeCell ref="BK18:BM19"/>
    <mergeCell ref="BN18:BP19"/>
    <mergeCell ref="AA26:AC27"/>
    <mergeCell ref="AA28:AC29"/>
    <mergeCell ref="AA30:AC31"/>
    <mergeCell ref="AS18:AU19"/>
    <mergeCell ref="AP22:AR23"/>
    <mergeCell ref="AS22:AU23"/>
    <mergeCell ref="AP26:AR27"/>
    <mergeCell ref="AQ12:BA13"/>
    <mergeCell ref="AQ14:BA14"/>
    <mergeCell ref="BS16:BS17"/>
    <mergeCell ref="BT16:BT17"/>
    <mergeCell ref="AV29:BA29"/>
    <mergeCell ref="AV30:AX30"/>
    <mergeCell ref="AY30:BA30"/>
    <mergeCell ref="AV31:BA31"/>
    <mergeCell ref="BK30:BM31"/>
    <mergeCell ref="CS16:CS17"/>
    <mergeCell ref="CT16:CT17"/>
    <mergeCell ref="CL16:CL17"/>
    <mergeCell ref="CM16:CM17"/>
    <mergeCell ref="CN16:CN17"/>
    <mergeCell ref="CO16:CO17"/>
    <mergeCell ref="CP16:CP17"/>
    <mergeCell ref="CG16:CG17"/>
    <mergeCell ref="CH16:CH17"/>
    <mergeCell ref="CI16:CI17"/>
    <mergeCell ref="CJ16:CJ17"/>
    <mergeCell ref="CK16:CK17"/>
    <mergeCell ref="O196:AY197"/>
    <mergeCell ref="O198:AZ198"/>
    <mergeCell ref="BG5:BI7"/>
    <mergeCell ref="BG8:BI8"/>
    <mergeCell ref="AP9:AS11"/>
    <mergeCell ref="AT9:AW11"/>
    <mergeCell ref="AX9:BA11"/>
    <mergeCell ref="Y12:AB13"/>
    <mergeCell ref="AC12:AG13"/>
    <mergeCell ref="AH12:AK13"/>
    <mergeCell ref="AL12:AO13"/>
    <mergeCell ref="Y14:AB14"/>
    <mergeCell ref="AC14:AG14"/>
    <mergeCell ref="AH14:AK14"/>
    <mergeCell ref="AL14:AO14"/>
    <mergeCell ref="R16:T17"/>
    <mergeCell ref="U16:W17"/>
    <mergeCell ref="X16:Z17"/>
    <mergeCell ref="AJ16:AL17"/>
    <mergeCell ref="L15:Z15"/>
    <mergeCell ref="CQ16:CQ17"/>
    <mergeCell ref="CR16:CR17"/>
    <mergeCell ref="CB16:CB17"/>
    <mergeCell ref="CC16:CC17"/>
    <mergeCell ref="AM18:AO19"/>
    <mergeCell ref="CD16:CD17"/>
    <mergeCell ref="CE16:CE17"/>
    <mergeCell ref="CF16:CF17"/>
    <mergeCell ref="CL18:CL19"/>
    <mergeCell ref="CC18:CC19"/>
    <mergeCell ref="CD18:CD19"/>
    <mergeCell ref="CE18:CE19"/>
    <mergeCell ref="CF18:CF19"/>
    <mergeCell ref="CG18:CG19"/>
    <mergeCell ref="BH18:BJ19"/>
    <mergeCell ref="CB18:CB19"/>
    <mergeCell ref="BS18:BS19"/>
    <mergeCell ref="BT18:BT19"/>
    <mergeCell ref="CR18:CR19"/>
    <mergeCell ref="AP16:AR17"/>
    <mergeCell ref="AS16:AU17"/>
    <mergeCell ref="AP18:AR19"/>
    <mergeCell ref="BH16:BJ17"/>
    <mergeCell ref="BF16:BG17"/>
    <mergeCell ref="BK16:BM17"/>
    <mergeCell ref="BN16:BP17"/>
    <mergeCell ref="AV16:AX16"/>
    <mergeCell ref="AV17:BA17"/>
    <mergeCell ref="CS18:CS19"/>
    <mergeCell ref="CT18:CT19"/>
    <mergeCell ref="B20:B21"/>
    <mergeCell ref="R20:T21"/>
    <mergeCell ref="U20:W21"/>
    <mergeCell ref="X20:Z21"/>
    <mergeCell ref="AJ20:AL21"/>
    <mergeCell ref="AM20:AO21"/>
    <mergeCell ref="CM18:CM19"/>
    <mergeCell ref="CN18:CN19"/>
    <mergeCell ref="CO18:CO19"/>
    <mergeCell ref="CP18:CP19"/>
    <mergeCell ref="CQ18:CQ19"/>
    <mergeCell ref="CH18:CH19"/>
    <mergeCell ref="CI18:CI19"/>
    <mergeCell ref="CJ18:CJ19"/>
    <mergeCell ref="CB20:CB21"/>
    <mergeCell ref="CC20:CC21"/>
    <mergeCell ref="CD20:CD21"/>
    <mergeCell ref="U18:W19"/>
    <mergeCell ref="X18:Z19"/>
    <mergeCell ref="AJ18:AL19"/>
    <mergeCell ref="CK18:CK19"/>
    <mergeCell ref="CT20:CT21"/>
    <mergeCell ref="B18:B19"/>
    <mergeCell ref="R18:T19"/>
    <mergeCell ref="CE20:CE21"/>
    <mergeCell ref="CF20:CF21"/>
    <mergeCell ref="CG20:CG21"/>
    <mergeCell ref="CH20:CH21"/>
    <mergeCell ref="CI20:CI21"/>
    <mergeCell ref="B22:B23"/>
    <mergeCell ref="R22:T23"/>
    <mergeCell ref="U22:W23"/>
    <mergeCell ref="X22:Z23"/>
    <mergeCell ref="AJ22:AL23"/>
    <mergeCell ref="AM22:AO23"/>
    <mergeCell ref="CO20:CO21"/>
    <mergeCell ref="CP20:CP21"/>
    <mergeCell ref="BS20:BS21"/>
    <mergeCell ref="BT20:BT21"/>
    <mergeCell ref="CG22:CG23"/>
    <mergeCell ref="CH22:CH23"/>
    <mergeCell ref="CI22:CI23"/>
    <mergeCell ref="CJ22:CJ23"/>
    <mergeCell ref="CK22:CK23"/>
    <mergeCell ref="CB22:CB23"/>
    <mergeCell ref="CC22:CC23"/>
    <mergeCell ref="CD22:CD23"/>
    <mergeCell ref="CE22:CE23"/>
    <mergeCell ref="CF22:CF23"/>
    <mergeCell ref="AA20:AC21"/>
    <mergeCell ref="AA22:AC23"/>
    <mergeCell ref="AP20:AR21"/>
    <mergeCell ref="AS20:AU21"/>
    <mergeCell ref="AV22:AX22"/>
    <mergeCell ref="AY22:BA22"/>
    <mergeCell ref="CQ22:CQ23"/>
    <mergeCell ref="CR22:CR23"/>
    <mergeCell ref="CS22:CS23"/>
    <mergeCell ref="CT22:CT23"/>
    <mergeCell ref="CL22:CL23"/>
    <mergeCell ref="CM22:CM23"/>
    <mergeCell ref="CN22:CN23"/>
    <mergeCell ref="CO22:CO23"/>
    <mergeCell ref="CP22:CP23"/>
    <mergeCell ref="CQ20:CQ21"/>
    <mergeCell ref="CR20:CR21"/>
    <mergeCell ref="CS20:CS21"/>
    <mergeCell ref="CJ20:CJ21"/>
    <mergeCell ref="CK20:CK21"/>
    <mergeCell ref="CL20:CL21"/>
    <mergeCell ref="CM20:CM21"/>
    <mergeCell ref="CN20:CN21"/>
    <mergeCell ref="CD24:CD25"/>
    <mergeCell ref="CE24:CE25"/>
    <mergeCell ref="CF24:CF25"/>
    <mergeCell ref="CG24:CG25"/>
    <mergeCell ref="BH24:BJ25"/>
    <mergeCell ref="CB24:CB25"/>
    <mergeCell ref="B24:B25"/>
    <mergeCell ref="R24:T25"/>
    <mergeCell ref="AM24:AO25"/>
    <mergeCell ref="C24:E25"/>
    <mergeCell ref="AA24:AC25"/>
    <mergeCell ref="AP24:AR25"/>
    <mergeCell ref="AS24:AU25"/>
    <mergeCell ref="BV24:BV25"/>
    <mergeCell ref="BW24:BW25"/>
    <mergeCell ref="BX24:BX25"/>
    <mergeCell ref="BY24:BY25"/>
    <mergeCell ref="BZ24:BZ25"/>
    <mergeCell ref="CF26:CF27"/>
    <mergeCell ref="CG26:CG27"/>
    <mergeCell ref="CH26:CH27"/>
    <mergeCell ref="CI26:CI27"/>
    <mergeCell ref="C26:E27"/>
    <mergeCell ref="F26:K27"/>
    <mergeCell ref="CR24:CR25"/>
    <mergeCell ref="CS24:CS25"/>
    <mergeCell ref="CT24:CT25"/>
    <mergeCell ref="B26:B27"/>
    <mergeCell ref="R26:T27"/>
    <mergeCell ref="U26:W27"/>
    <mergeCell ref="X26:Z27"/>
    <mergeCell ref="AJ26:AL27"/>
    <mergeCell ref="AM26:AO27"/>
    <mergeCell ref="CM24:CM25"/>
    <mergeCell ref="CN24:CN25"/>
    <mergeCell ref="CO24:CO25"/>
    <mergeCell ref="CP24:CP25"/>
    <mergeCell ref="CQ24:CQ25"/>
    <mergeCell ref="CH24:CH25"/>
    <mergeCell ref="CI24:CI25"/>
    <mergeCell ref="CJ24:CJ25"/>
    <mergeCell ref="CB26:CB27"/>
    <mergeCell ref="CC26:CC27"/>
    <mergeCell ref="CD26:CD27"/>
    <mergeCell ref="U24:W25"/>
    <mergeCell ref="X24:Z25"/>
    <mergeCell ref="AJ24:AL25"/>
    <mergeCell ref="CK24:CK25"/>
    <mergeCell ref="CL24:CL25"/>
    <mergeCell ref="CC24:CC25"/>
    <mergeCell ref="CP28:CP29"/>
    <mergeCell ref="CG28:CG29"/>
    <mergeCell ref="CH28:CH29"/>
    <mergeCell ref="CI28:CI29"/>
    <mergeCell ref="CJ28:CJ29"/>
    <mergeCell ref="CK28:CK29"/>
    <mergeCell ref="CB28:CB29"/>
    <mergeCell ref="CC28:CC29"/>
    <mergeCell ref="CD28:CD29"/>
    <mergeCell ref="CE28:CE29"/>
    <mergeCell ref="AM30:AO31"/>
    <mergeCell ref="CF28:CF29"/>
    <mergeCell ref="BH28:BJ29"/>
    <mergeCell ref="C28:E29"/>
    <mergeCell ref="CT26:CT27"/>
    <mergeCell ref="B28:B29"/>
    <mergeCell ref="R28:T29"/>
    <mergeCell ref="U28:W29"/>
    <mergeCell ref="X28:Z29"/>
    <mergeCell ref="AJ28:AL29"/>
    <mergeCell ref="AM28:AO29"/>
    <mergeCell ref="CO26:CO27"/>
    <mergeCell ref="CP26:CP27"/>
    <mergeCell ref="CQ26:CQ27"/>
    <mergeCell ref="CR26:CR27"/>
    <mergeCell ref="CS26:CS27"/>
    <mergeCell ref="CJ26:CJ27"/>
    <mergeCell ref="CK26:CK27"/>
    <mergeCell ref="CL26:CL27"/>
    <mergeCell ref="CM26:CM27"/>
    <mergeCell ref="CN26:CN27"/>
    <mergeCell ref="CE26:CE27"/>
    <mergeCell ref="B32:B33"/>
    <mergeCell ref="R32:T33"/>
    <mergeCell ref="U32:W33"/>
    <mergeCell ref="X32:Z33"/>
    <mergeCell ref="AJ32:AL33"/>
    <mergeCell ref="AM32:AO33"/>
    <mergeCell ref="CM30:CM31"/>
    <mergeCell ref="CN30:CN31"/>
    <mergeCell ref="CO30:CO31"/>
    <mergeCell ref="CH30:CH31"/>
    <mergeCell ref="CI30:CI31"/>
    <mergeCell ref="CJ30:CJ31"/>
    <mergeCell ref="CB32:CB33"/>
    <mergeCell ref="CC32:CC33"/>
    <mergeCell ref="CD32:CD33"/>
    <mergeCell ref="U30:W31"/>
    <mergeCell ref="X30:Z31"/>
    <mergeCell ref="AJ30:AL31"/>
    <mergeCell ref="CK30:CK31"/>
    <mergeCell ref="CL30:CL31"/>
    <mergeCell ref="CC30:CC31"/>
    <mergeCell ref="CD30:CD31"/>
    <mergeCell ref="CE30:CE31"/>
    <mergeCell ref="CF30:CF31"/>
    <mergeCell ref="B30:B31"/>
    <mergeCell ref="R30:T31"/>
    <mergeCell ref="C30:E31"/>
    <mergeCell ref="F30:K31"/>
    <mergeCell ref="L30:Q31"/>
    <mergeCell ref="C32:E33"/>
    <mergeCell ref="F32:K33"/>
    <mergeCell ref="L32:Q33"/>
    <mergeCell ref="BS32:BS33"/>
    <mergeCell ref="CL32:CL33"/>
    <mergeCell ref="CM32:CM33"/>
    <mergeCell ref="CN32:CN33"/>
    <mergeCell ref="CE32:CE33"/>
    <mergeCell ref="CF32:CF33"/>
    <mergeCell ref="CG32:CG33"/>
    <mergeCell ref="CH32:CH33"/>
    <mergeCell ref="CI32:CI33"/>
    <mergeCell ref="BS34:BS35"/>
    <mergeCell ref="BT34:BT35"/>
    <mergeCell ref="BT32:BT33"/>
    <mergeCell ref="BF32:BG33"/>
    <mergeCell ref="BK32:BM33"/>
    <mergeCell ref="BN32:BP33"/>
    <mergeCell ref="BB34:BC35"/>
    <mergeCell ref="BD34:BE35"/>
    <mergeCell ref="BF34:BG35"/>
    <mergeCell ref="B36:B37"/>
    <mergeCell ref="R36:T37"/>
    <mergeCell ref="CQ34:CQ35"/>
    <mergeCell ref="CR34:CR35"/>
    <mergeCell ref="CS34:CS35"/>
    <mergeCell ref="CT34:CT35"/>
    <mergeCell ref="CL34:CL35"/>
    <mergeCell ref="CM34:CM35"/>
    <mergeCell ref="CN34:CN35"/>
    <mergeCell ref="CO34:CO35"/>
    <mergeCell ref="CP34:CP35"/>
    <mergeCell ref="CG34:CG35"/>
    <mergeCell ref="CH34:CH35"/>
    <mergeCell ref="CI34:CI35"/>
    <mergeCell ref="CJ34:CJ35"/>
    <mergeCell ref="CK34:CK35"/>
    <mergeCell ref="CB34:CB35"/>
    <mergeCell ref="CC34:CC35"/>
    <mergeCell ref="CD34:CD35"/>
    <mergeCell ref="CE34:CE35"/>
    <mergeCell ref="AM36:AO37"/>
    <mergeCell ref="BH34:BJ35"/>
    <mergeCell ref="B34:B35"/>
    <mergeCell ref="R34:T35"/>
    <mergeCell ref="U34:W35"/>
    <mergeCell ref="X34:Z35"/>
    <mergeCell ref="AJ34:AL35"/>
    <mergeCell ref="AM34:AO35"/>
    <mergeCell ref="C36:E37"/>
    <mergeCell ref="F36:K37"/>
    <mergeCell ref="L36:Q37"/>
    <mergeCell ref="C34:E35"/>
    <mergeCell ref="U36:W37"/>
    <mergeCell ref="X36:Z37"/>
    <mergeCell ref="AJ36:AL37"/>
    <mergeCell ref="CR36:CR37"/>
    <mergeCell ref="CS36:CS37"/>
    <mergeCell ref="CM36:CM37"/>
    <mergeCell ref="CN36:CN37"/>
    <mergeCell ref="CO36:CO37"/>
    <mergeCell ref="CP36:CP37"/>
    <mergeCell ref="CQ36:CQ37"/>
    <mergeCell ref="CH36:CH37"/>
    <mergeCell ref="CI36:CI37"/>
    <mergeCell ref="CJ36:CJ37"/>
    <mergeCell ref="CK36:CK37"/>
    <mergeCell ref="CL36:CL37"/>
    <mergeCell ref="CC36:CC37"/>
    <mergeCell ref="CD36:CD37"/>
    <mergeCell ref="CE36:CE37"/>
    <mergeCell ref="CG36:CG37"/>
    <mergeCell ref="BS36:BS37"/>
    <mergeCell ref="BT36:BT37"/>
    <mergeCell ref="AP36:AR37"/>
    <mergeCell ref="AS36:AU37"/>
    <mergeCell ref="CU16:CU17"/>
    <mergeCell ref="CU18:CU19"/>
    <mergeCell ref="CU20:CU21"/>
    <mergeCell ref="CU22:CU23"/>
    <mergeCell ref="CU24:CU25"/>
    <mergeCell ref="CU26:CU27"/>
    <mergeCell ref="CU28:CU29"/>
    <mergeCell ref="CU30:CU31"/>
    <mergeCell ref="CU32:CU33"/>
    <mergeCell ref="CT32:CT33"/>
    <mergeCell ref="CR30:CR31"/>
    <mergeCell ref="CS30:CS31"/>
    <mergeCell ref="CT30:CT31"/>
    <mergeCell ref="CP30:CP31"/>
    <mergeCell ref="CQ30:CQ31"/>
    <mergeCell ref="CG30:CG31"/>
    <mergeCell ref="CB30:CB31"/>
    <mergeCell ref="CQ32:CQ33"/>
    <mergeCell ref="CR32:CR33"/>
    <mergeCell ref="CS32:CS33"/>
    <mergeCell ref="CJ32:CJ33"/>
    <mergeCell ref="CK32:CK33"/>
    <mergeCell ref="CO32:CO33"/>
    <mergeCell ref="CP32:CP33"/>
    <mergeCell ref="CQ28:CQ29"/>
    <mergeCell ref="CR28:CR29"/>
    <mergeCell ref="CS28:CS29"/>
    <mergeCell ref="CT28:CT29"/>
    <mergeCell ref="CL28:CL29"/>
    <mergeCell ref="CM28:CM29"/>
    <mergeCell ref="CN28:CN29"/>
    <mergeCell ref="CO28:CO29"/>
    <mergeCell ref="CV24:CV25"/>
    <mergeCell ref="CW24:CW25"/>
    <mergeCell ref="CX24:CX25"/>
    <mergeCell ref="CV26:CV27"/>
    <mergeCell ref="CW26:CW27"/>
    <mergeCell ref="CX26:CX27"/>
    <mergeCell ref="CV28:CV29"/>
    <mergeCell ref="CW28:CW29"/>
    <mergeCell ref="CX28:CX29"/>
    <mergeCell ref="CV16:CV17"/>
    <mergeCell ref="CW16:CW17"/>
    <mergeCell ref="CX16:CX17"/>
    <mergeCell ref="CW18:CW19"/>
    <mergeCell ref="CX18:CX19"/>
    <mergeCell ref="CV20:CV21"/>
    <mergeCell ref="CW20:CW21"/>
    <mergeCell ref="CX20:CX21"/>
    <mergeCell ref="CV22:CV23"/>
    <mergeCell ref="CW22:CW23"/>
    <mergeCell ref="CX22:CX23"/>
    <mergeCell ref="CV18:CV19"/>
    <mergeCell ref="AA32:AC33"/>
    <mergeCell ref="AA34:AC35"/>
    <mergeCell ref="AA36:AC37"/>
    <mergeCell ref="AD20:AI21"/>
    <mergeCell ref="AD22:AI23"/>
    <mergeCell ref="AD24:AI25"/>
    <mergeCell ref="AD26:AI27"/>
    <mergeCell ref="AD28:AI29"/>
    <mergeCell ref="AD30:AI31"/>
    <mergeCell ref="AD32:AI33"/>
    <mergeCell ref="AD34:AI35"/>
    <mergeCell ref="AD36:AI37"/>
    <mergeCell ref="BB17:BC17"/>
    <mergeCell ref="BD17:BE17"/>
    <mergeCell ref="AV18:AX18"/>
    <mergeCell ref="AY18:BA18"/>
    <mergeCell ref="AV19:BA19"/>
    <mergeCell ref="BB18:BC19"/>
    <mergeCell ref="BD18:BE19"/>
    <mergeCell ref="BB20:BC21"/>
    <mergeCell ref="BD20:BE21"/>
    <mergeCell ref="AV20:AX20"/>
    <mergeCell ref="AY20:BA20"/>
    <mergeCell ref="AV21:BA21"/>
    <mergeCell ref="AP30:AR31"/>
    <mergeCell ref="AS30:AU31"/>
    <mergeCell ref="AP32:AR33"/>
    <mergeCell ref="AS32:AU33"/>
    <mergeCell ref="AP34:AR35"/>
    <mergeCell ref="AS34:AU35"/>
    <mergeCell ref="BN30:BP31"/>
    <mergeCell ref="BH30:BJ31"/>
    <mergeCell ref="BH26:BJ27"/>
    <mergeCell ref="BF26:BG27"/>
    <mergeCell ref="BK26:BM27"/>
    <mergeCell ref="BB26:BC27"/>
    <mergeCell ref="BD26:BE27"/>
    <mergeCell ref="BF20:BG21"/>
    <mergeCell ref="BK20:BM21"/>
    <mergeCell ref="BN20:BP21"/>
    <mergeCell ref="BB22:BC23"/>
    <mergeCell ref="BD22:BE23"/>
    <mergeCell ref="BF22:BG23"/>
    <mergeCell ref="BK22:BM23"/>
    <mergeCell ref="BN22:BP23"/>
    <mergeCell ref="BB24:BC25"/>
    <mergeCell ref="BD24:BE25"/>
    <mergeCell ref="BF24:BG25"/>
    <mergeCell ref="BK24:BM25"/>
    <mergeCell ref="BN24:BP25"/>
    <mergeCell ref="BH22:BJ23"/>
    <mergeCell ref="BH20:BJ21"/>
    <mergeCell ref="CV30:CV31"/>
    <mergeCell ref="CW30:CW31"/>
    <mergeCell ref="CX30:CX31"/>
    <mergeCell ref="CV32:CV33"/>
    <mergeCell ref="CW32:CW33"/>
    <mergeCell ref="CX32:CX33"/>
    <mergeCell ref="CV34:CV35"/>
    <mergeCell ref="CW34:CW35"/>
    <mergeCell ref="BH32:BJ33"/>
    <mergeCell ref="AV23:BA23"/>
    <mergeCell ref="AV24:AX24"/>
    <mergeCell ref="AY24:BA24"/>
    <mergeCell ref="AV25:BA25"/>
    <mergeCell ref="AV26:AX26"/>
    <mergeCell ref="AY26:BA26"/>
    <mergeCell ref="AV27:BA27"/>
    <mergeCell ref="AV28:AX28"/>
    <mergeCell ref="AY28:BA28"/>
    <mergeCell ref="BB32:BC33"/>
    <mergeCell ref="BD32:BE33"/>
    <mergeCell ref="AV32:AX32"/>
    <mergeCell ref="AY32:BA32"/>
    <mergeCell ref="AV33:BA33"/>
    <mergeCell ref="BN26:BP27"/>
    <mergeCell ref="BB28:BC29"/>
    <mergeCell ref="BD28:BE29"/>
    <mergeCell ref="BF28:BG29"/>
    <mergeCell ref="BK28:BM29"/>
    <mergeCell ref="BN28:BP29"/>
    <mergeCell ref="BB30:BC31"/>
    <mergeCell ref="BD30:BE31"/>
    <mergeCell ref="BF30:BG31"/>
    <mergeCell ref="DY18:DY19"/>
    <mergeCell ref="DZ18:DZ19"/>
    <mergeCell ref="DY20:DY21"/>
    <mergeCell ref="DZ20:DZ21"/>
    <mergeCell ref="DY22:DY23"/>
    <mergeCell ref="DZ22:DZ23"/>
    <mergeCell ref="DY24:DY25"/>
    <mergeCell ref="DZ24:DZ25"/>
    <mergeCell ref="DY26:DY27"/>
    <mergeCell ref="DZ26:DZ27"/>
    <mergeCell ref="DY28:DY29"/>
    <mergeCell ref="DZ28:DZ29"/>
    <mergeCell ref="DY30:DY31"/>
    <mergeCell ref="DZ30:DZ31"/>
    <mergeCell ref="DY32:DY33"/>
    <mergeCell ref="DZ32:DZ33"/>
    <mergeCell ref="DY34:DY35"/>
    <mergeCell ref="DZ34:DZ35"/>
    <mergeCell ref="R200:AR201"/>
    <mergeCell ref="DY36:DY37"/>
    <mergeCell ref="DZ36:DZ37"/>
    <mergeCell ref="AV34:AX34"/>
    <mergeCell ref="AY34:BA34"/>
    <mergeCell ref="AV35:BA35"/>
    <mergeCell ref="AV36:AX36"/>
    <mergeCell ref="AY36:BA36"/>
    <mergeCell ref="AV37:BA37"/>
    <mergeCell ref="BB36:BC37"/>
    <mergeCell ref="BD36:BE37"/>
    <mergeCell ref="BF36:BG37"/>
    <mergeCell ref="BH36:BJ37"/>
    <mergeCell ref="BK36:BM37"/>
    <mergeCell ref="BN36:BP37"/>
    <mergeCell ref="CV36:CV37"/>
    <mergeCell ref="CW36:CW37"/>
    <mergeCell ref="CX36:CX37"/>
    <mergeCell ref="CB36:CB37"/>
    <mergeCell ref="CU36:CU37"/>
    <mergeCell ref="CT36:CT37"/>
    <mergeCell ref="CF36:CF37"/>
    <mergeCell ref="DD36:DD37"/>
    <mergeCell ref="CX34:CX35"/>
    <mergeCell ref="BK34:BM35"/>
    <mergeCell ref="BN34:BP35"/>
    <mergeCell ref="CU34:CU35"/>
    <mergeCell ref="CF34:CF35"/>
    <mergeCell ref="DP34:DP35"/>
    <mergeCell ref="DQ34:DQ35"/>
    <mergeCell ref="DR34:DR35"/>
    <mergeCell ref="DS34:DS35"/>
    <mergeCell ref="EJ18:EJ19"/>
    <mergeCell ref="EK18:EK19"/>
    <mergeCell ref="EL18:EL19"/>
    <mergeCell ref="EM18:EM19"/>
    <mergeCell ref="EN18:EN19"/>
    <mergeCell ref="EA20:EA21"/>
    <mergeCell ref="EB20:EB21"/>
    <mergeCell ref="EC20:EC21"/>
    <mergeCell ref="ED20:ED21"/>
    <mergeCell ref="EE20:EE21"/>
    <mergeCell ref="EF20:EF21"/>
    <mergeCell ref="EG20:EG21"/>
    <mergeCell ref="EH20:EH21"/>
    <mergeCell ref="EI20:EI21"/>
    <mergeCell ref="EJ20:EJ21"/>
    <mergeCell ref="EK20:EK21"/>
    <mergeCell ref="EL20:EL21"/>
    <mergeCell ref="EM20:EM21"/>
    <mergeCell ref="EN20:EN21"/>
    <mergeCell ref="EA18:EA19"/>
    <mergeCell ref="EB18:EB19"/>
    <mergeCell ref="EC18:EC19"/>
    <mergeCell ref="ED18:ED19"/>
    <mergeCell ref="EE18:EE19"/>
    <mergeCell ref="EF18:EF19"/>
    <mergeCell ref="EG18:EG19"/>
    <mergeCell ref="EH18:EH19"/>
    <mergeCell ref="EI18:EI19"/>
    <mergeCell ref="EJ22:EJ23"/>
    <mergeCell ref="EK22:EK23"/>
    <mergeCell ref="EL22:EL23"/>
    <mergeCell ref="EM22:EM23"/>
    <mergeCell ref="EN22:EN23"/>
    <mergeCell ref="EA24:EA25"/>
    <mergeCell ref="EB24:EB25"/>
    <mergeCell ref="EC24:EC25"/>
    <mergeCell ref="ED24:ED25"/>
    <mergeCell ref="EE24:EE25"/>
    <mergeCell ref="EF24:EF25"/>
    <mergeCell ref="EG24:EG25"/>
    <mergeCell ref="EH24:EH25"/>
    <mergeCell ref="EI24:EI25"/>
    <mergeCell ref="EJ24:EJ25"/>
    <mergeCell ref="EK24:EK25"/>
    <mergeCell ref="EL24:EL25"/>
    <mergeCell ref="EM24:EM25"/>
    <mergeCell ref="EN24:EN25"/>
    <mergeCell ref="EA22:EA23"/>
    <mergeCell ref="EB22:EB23"/>
    <mergeCell ref="EC22:EC23"/>
    <mergeCell ref="ED22:ED23"/>
    <mergeCell ref="EE22:EE23"/>
    <mergeCell ref="EF22:EF23"/>
    <mergeCell ref="EG22:EG23"/>
    <mergeCell ref="EH22:EH23"/>
    <mergeCell ref="EI22:EI23"/>
    <mergeCell ref="EJ26:EJ27"/>
    <mergeCell ref="EK26:EK27"/>
    <mergeCell ref="EL26:EL27"/>
    <mergeCell ref="EM26:EM27"/>
    <mergeCell ref="EN26:EN27"/>
    <mergeCell ref="EA28:EA29"/>
    <mergeCell ref="EB28:EB29"/>
    <mergeCell ref="EC28:EC29"/>
    <mergeCell ref="ED28:ED29"/>
    <mergeCell ref="EE28:EE29"/>
    <mergeCell ref="EF28:EF29"/>
    <mergeCell ref="EG28:EG29"/>
    <mergeCell ref="EH28:EH29"/>
    <mergeCell ref="EI28:EI29"/>
    <mergeCell ref="EJ28:EJ29"/>
    <mergeCell ref="EK28:EK29"/>
    <mergeCell ref="EL28:EL29"/>
    <mergeCell ref="EM28:EM29"/>
    <mergeCell ref="EN28:EN29"/>
    <mergeCell ref="EA26:EA27"/>
    <mergeCell ref="EB26:EB27"/>
    <mergeCell ref="EC26:EC27"/>
    <mergeCell ref="ED26:ED27"/>
    <mergeCell ref="EE26:EE27"/>
    <mergeCell ref="EF26:EF27"/>
    <mergeCell ref="EG26:EG27"/>
    <mergeCell ref="EH26:EH27"/>
    <mergeCell ref="EI26:EI27"/>
    <mergeCell ref="EJ30:EJ31"/>
    <mergeCell ref="EK30:EK31"/>
    <mergeCell ref="EL30:EL31"/>
    <mergeCell ref="EM30:EM31"/>
    <mergeCell ref="EN30:EN31"/>
    <mergeCell ref="EA32:EA33"/>
    <mergeCell ref="EB32:EB33"/>
    <mergeCell ref="EC32:EC33"/>
    <mergeCell ref="ED32:ED33"/>
    <mergeCell ref="EE32:EE33"/>
    <mergeCell ref="EF32:EF33"/>
    <mergeCell ref="EG32:EG33"/>
    <mergeCell ref="EH32:EH33"/>
    <mergeCell ref="EI32:EI33"/>
    <mergeCell ref="EJ32:EJ33"/>
    <mergeCell ref="EK32:EK33"/>
    <mergeCell ref="EL32:EL33"/>
    <mergeCell ref="EM32:EM33"/>
    <mergeCell ref="EN32:EN33"/>
    <mergeCell ref="EA30:EA31"/>
    <mergeCell ref="EB30:EB31"/>
    <mergeCell ref="EC30:EC31"/>
    <mergeCell ref="ED30:ED31"/>
    <mergeCell ref="EE30:EE31"/>
    <mergeCell ref="EF30:EF31"/>
    <mergeCell ref="EG30:EG31"/>
    <mergeCell ref="EH30:EH31"/>
    <mergeCell ref="EI30:EI31"/>
    <mergeCell ref="EJ34:EJ35"/>
    <mergeCell ref="EK34:EK35"/>
    <mergeCell ref="EL34:EL35"/>
    <mergeCell ref="EM34:EM35"/>
    <mergeCell ref="EN34:EN35"/>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A34:EA35"/>
    <mergeCell ref="EB34:EB35"/>
    <mergeCell ref="EC34:EC35"/>
    <mergeCell ref="ED34:ED35"/>
    <mergeCell ref="EE34:EE35"/>
    <mergeCell ref="EF34:EF35"/>
    <mergeCell ref="EG34:EG35"/>
    <mergeCell ref="EH34:EH35"/>
    <mergeCell ref="EI34:EI35"/>
  </mergeCells>
  <phoneticPr fontId="78" type="noConversion"/>
  <conditionalFormatting sqref="C18 L18 AD18 AJ18 AM18 AP18 AY18 BB18 BD18 AV18:AV37 C20 L20 AD20 AJ20 AM20 AP20 AY20 BB20 BD20 C22 L22 AD22 AJ22 AM22 AP22 AY22 BB22 BD22 C24 L24 AD24 AJ24 AM24 AP24 AY24 BB24 BD24 C26 L26 AD26 AJ26 AM26 AP26 AY26 BB26 BD26 C28 L28 AD28 AJ28 AM28 AP28 AY28 BB28 BD28 C30 L30 AD30 AJ30 AM30 AP30 AY30 BB30 BD30 C32 L32 AD32 AJ32 AM32 AP32 AY32 BB32 BD32 C34 L34 AD34 AJ34 AM34 AP34 AY34 BB34 BD34 C36 L36 AD36 AJ36 AM36 AP36 AY36 BB36 BD36">
    <cfRule type="expression" dxfId="278" priority="11">
      <formula>AND(ISBLANK($F18)=FALSE,OR(ISBLANK(C18)=TRUE,C18=""))</formula>
    </cfRule>
  </conditionalFormatting>
  <conditionalFormatting sqref="R18:AC37">
    <cfRule type="expression" dxfId="277" priority="3">
      <formula>AND(ISBLANK($F18)=FALSE,OR(ISBLANK(R18)=TRUE,R18=""))</formula>
    </cfRule>
  </conditionalFormatting>
  <conditionalFormatting sqref="AS18 AS20 AS22 AS24 AS26 AS28 AS30 AS32 AS34 AS36">
    <cfRule type="expression" dxfId="276" priority="2">
      <formula>AND(ISBLANK($F18)=FALSE,OR(ISBLANK(AS18)=TRUE,AS18=""))</formula>
    </cfRule>
  </conditionalFormatting>
  <conditionalFormatting sqref="AV18 AY18 AV20 AY20 AV22 AY22 AV24 AY24 AV26 AY26 AV28 AY28 AV30 AY30 AV32 AY32 AV34 AY34 AV36 AY36">
    <cfRule type="expression" dxfId="275" priority="2112">
      <formula>AND($F18&lt;&gt;"",$P18&lt;&gt;"",AV18="")</formula>
    </cfRule>
  </conditionalFormatting>
  <conditionalFormatting sqref="AV19 AV21 AV23 AV25 AV27 AV29 AV31 AV33 AV35 AV37">
    <cfRule type="expression" dxfId="274" priority="7">
      <formula>AND($F18&lt;&gt;"",AV19="")</formula>
    </cfRule>
  </conditionalFormatting>
  <conditionalFormatting sqref="BA8:BF8">
    <cfRule type="expression" dxfId="273" priority="4">
      <formula>IF($AO$8=PROJSTATMEASURE,FALSE,TRUE)</formula>
    </cfRule>
  </conditionalFormatting>
  <conditionalFormatting sqref="BH18 BH20 BH22 BH24 BH26 BH28 BH30 BH32 BH34 BH36">
    <cfRule type="expression" dxfId="272" priority="2261" stopIfTrue="1">
      <formula>ISNUMBER($BH18)=FALSE</formula>
    </cfRule>
    <cfRule type="expression" dxfId="271" priority="2262">
      <formula>$BH18 &lt;&gt; #REF!</formula>
    </cfRule>
  </conditionalFormatting>
  <conditionalFormatting sqref="BY18:BZ37">
    <cfRule type="expression" dxfId="270" priority="1">
      <formula>$BX18&lt;&gt;"Dual"</formula>
    </cfRule>
  </conditionalFormatting>
  <dataValidations count="20">
    <dataValidation type="list" allowBlank="1" showInputMessage="1" showErrorMessage="1" prompt="Select Custom Measure Category." sqref="F18 F20 F22 F24 F26 F28 F30 F32 F34 F36" xr:uid="{0872BBE9-3389-42F7-9E9C-9E7E39BE157C}">
      <formula1>List_Cust_Misc</formula1>
    </dataValidation>
    <dataValidation type="decimal" allowBlank="1" showInputMessage="1" showErrorMessage="1" prompt="This is the TOTAL Labor Cost of the measure, NOT a per unit basis." sqref="BD18 BD20 BD22 BD24 BD26 BD28 BD30 BD32 BD34 BD36" xr:uid="{ACAFA7DB-FAFB-47C4-B21D-EC7A522DAA72}">
      <formula1>0</formula1>
      <formula2>999999999</formula2>
    </dataValidation>
    <dataValidation type="decimal" allowBlank="1" showInputMessage="1" showErrorMessage="1" prompt="This is the TOTAL Material Cost of the measure, NOT a per unit basis." sqref="BB18 BB20 BB22 BB24 BB26 BB28 BB30 BB32 BB34 BB36" xr:uid="{3A69FF17-C044-496F-A47E-30B77880CCFB}">
      <formula1>0</formula1>
      <formula2>999999999</formula2>
    </dataValidation>
    <dataValidation allowBlank="1" showInputMessage="1" showErrorMessage="1" prompt="Install Location should describe the area where the equipment is installed. (e.g. Room 201, Garage, Mechanical Room)." sqref="C18 C20 C22 C24 C26 C28 C30 C32 C34 C36" xr:uid="{FF3A6B48-5991-4109-90C1-2C22778BF4E0}"/>
    <dataValidation allowBlank="1" showInputMessage="1" showErrorMessage="1" prompt="Enter the Manufacturer name as it appears in technical documents and invoices." sqref="AV18 AV20 AV22 AV24 AV26 AV28 AV30 AV32 AV34 AV36" xr:uid="{F9C4C716-0F46-4000-8C2B-566566A9756E}"/>
    <dataValidation allowBlank="1" showInputMessage="1" showErrorMessage="1" prompt="Enter the Model number as it appears in technical documents and invoices." sqref="AY18 AY20 AY22 AY24 AY26 AY28 AY30 AY32 AY34 AY36" xr:uid="{49CACAD6-09F0-4C05-99D0-BA03DFE77EBD}"/>
    <dataValidation allowBlank="1" showInputMessage="1" showErrorMessage="1" prompt="Provide a brief description of the Existing Equipment." sqref="L18 L20 L22 L24 L26 L28 L30 L32 L34 L36" xr:uid="{1C2FD7ED-8A93-439F-9924-1A360F35E1F7}"/>
    <dataValidation type="custom" operator="greaterThanOrEqual" allowBlank="1" showInputMessage="1" showErrorMessage="1" errorTitle="Invalid Entry" error="Please enter no more than 6 decimals." prompt="Enter the Total Annual kW Demand for the Existing measure, NOT per unit." sqref="U18:W37" xr:uid="{FDFF1A4E-9947-4DD6-82BA-BE193AB959B6}">
      <formula1>AND(U18&gt;=0,U18=ROUND(U18,6))</formula1>
    </dataValidation>
    <dataValidation allowBlank="1" showInputMessage="1" showErrorMessage="1" prompt="Enter the Serial number as it appears in technical documents and invoices." sqref="AV19 AV21 AV23 AV25 AV27 AV29 AV31 AV33 AV35 AV37" xr:uid="{D9A26503-D90D-4A5A-9157-93A92DAF964D}"/>
    <dataValidation type="custom" operator="greaterThanOrEqual" allowBlank="1" showInputMessage="1" showErrorMessage="1" errorTitle="Invalid Entry" error="Please enter no more than 4 decimals." prompt="Enter the Total Annual kWh Usage for the Existing measure, NOT per unit." sqref="R18:T37" xr:uid="{FC44E704-7882-47FA-A07E-7E755FD6B445}">
      <formula1>AND(R18&gt;=0,R18=ROUND(R18,4))</formula1>
    </dataValidation>
    <dataValidation type="custom" operator="greaterThanOrEqual" allowBlank="1" showInputMessage="1" showErrorMessage="1" errorTitle="Invalid Entry" error="Please enter no more than 4 decimals." prompt="Enter the Total Annual kWh Usage for the Proposed measure, NOT per unit." sqref="AJ18 AJ20 AJ22 AJ24 AJ26 AJ28 AJ30 AJ32 AJ34 AJ36" xr:uid="{A3F5001E-9088-45F9-9EC6-D5AD89724FEF}">
      <formula1>AND(AJ18&gt;=0,AJ18=ROUND(AJ18,4))</formula1>
    </dataValidation>
    <dataValidation type="custom" operator="greaterThanOrEqual" allowBlank="1" showInputMessage="1" showErrorMessage="1" errorTitle="Invalid Entry" error="Please enter no more than 6 decimals." prompt="Enter the Total Annual kW Demand for the Proposed measure, NOT per unit." sqref="AM18 AM20 AM22 AM24 AM26 AM28 AM30 AM32 AM34 AM36" xr:uid="{90C46ED4-FF83-4078-B4C8-AFA4717B4CEA}">
      <formula1>AND(AM18&gt;=0,AM18=ROUND(AM18,6))</formula1>
    </dataValidation>
    <dataValidation type="textLength" errorStyle="warning" operator="lessThan" allowBlank="1" showInputMessage="1" showErrorMessage="1" errorTitle="*Important*" error="Text length must be less than 255 characters." prompt="Provide a brief description of the Proposed Equipment." sqref="AD18 AD20 AD22 AD24 AD26 AD28 AD30 AD32 AD34 AD36" xr:uid="{1E4C0852-054A-41F3-B7E1-518169FBA5DC}">
      <formula1>255</formula1>
    </dataValidation>
    <dataValidation type="custom" operator="greaterThanOrEqual" allowBlank="1" showInputMessage="1" showErrorMessage="1" errorTitle="Invalid Entry" error="Please enter no more than 6 decimals." prompt="Enter the Total Annual therm Usage for the Existing measure, NOT per unit." sqref="X18:Z37" xr:uid="{0814328B-C058-4BB5-BD5A-0CE9C501F50B}">
      <formula1>AND(X18&gt;=0,X18=ROUND(X18,6))</formula1>
    </dataValidation>
    <dataValidation type="custom" operator="greaterThanOrEqual" allowBlank="1" showInputMessage="1" showErrorMessage="1" errorTitle="Invalid Entry" error="Please enter no more than 6 decimals." prompt="Enter the Peak Demand therm Usage for the Existing measure, NOT per unit." sqref="AA18:AC37" xr:uid="{D47B44D5-1A5E-4571-8BE7-91E014962202}">
      <formula1>AND(AA18&gt;=0,AA18=ROUND(AA18,6))</formula1>
    </dataValidation>
    <dataValidation type="custom" operator="greaterThanOrEqual" allowBlank="1" showInputMessage="1" showErrorMessage="1" errorTitle="Invalid Entry" error="Please enter no more than 6 decimals." prompt="Enter the Total Annual therm Usage for the Proposed measure, NOT per unit." sqref="AP18:AR37" xr:uid="{3A78AF35-1556-4362-90D9-100FA8353953}">
      <formula1>AND(AP18&gt;=0,AP18=ROUND(AP18,6))</formula1>
    </dataValidation>
    <dataValidation type="custom" operator="greaterThanOrEqual" allowBlank="1" showInputMessage="1" showErrorMessage="1" errorTitle="Invalid Entry" error="Please enter no more than 6 decimals." prompt="Enter the Peak Day therm Usage for the Proposed measure, NOT per unit." sqref="AS18:AU37" xr:uid="{D8996108-031B-4150-AF7A-B9E2D717C1AC}">
      <formula1>AND(AS18&gt;=0,AS18=ROUND(AS18,6))</formula1>
    </dataValidation>
    <dataValidation type="custom" allowBlank="1" showInputMessage="1" showErrorMessage="1" sqref="BZ18:BZ37" xr:uid="{A0BCB772-2F71-40C7-9558-C1EFEA4F2C59}">
      <formula1>AND(BZ18&gt;=0,BZ18=ROUND(BZ18,6))</formula1>
    </dataValidation>
    <dataValidation type="custom" allowBlank="1" showInputMessage="1" showErrorMessage="1" sqref="BY18:BY37" xr:uid="{FE9936BF-BEF4-4C7D-B37C-4F4D931CC83E}">
      <formula1>AND(BY18&gt;=0,BY18=ROUND(BY18,4))</formula1>
    </dataValidation>
    <dataValidation type="whole" operator="greaterThan" allowBlank="1" showInputMessage="1" showErrorMessage="1" sqref="BV18:BW37" xr:uid="{DE7A79C2-B5B0-4576-8FDA-3A6E4614F813}">
      <formula1>0</formula1>
    </dataValidation>
  </dataValidations>
  <hyperlinks>
    <hyperlink ref="J1:M3" location="'M01-S02'!J1" tooltip="Instructions" display="'M01-S02'!J1" xr:uid="{1EC9441C-AD6B-4B61-8805-D7F8AF634752}"/>
    <hyperlink ref="AX1:BA3" location="'M05-S05'!AL1" tooltip=" " display="'M05-S05'!AL1" xr:uid="{B0DCB953-845F-4B95-A6B1-85D1E70FF5B3}"/>
    <hyperlink ref="BH1:BK3" location="'M01-S03'!AP1" tooltip="Contact" display="'M01-S03'!AP1" xr:uid="{9BDD27FD-6FA6-48B7-9D0F-28FD23BB7956}"/>
    <hyperlink ref="AT1:AW3" location="'M05-S04'!AH1" tooltip=" " display="'M05-S04'!AH1" xr:uid="{C0BD36F8-2DB2-468F-85AE-147F09C671C6}"/>
    <hyperlink ref="AP1:AS3" location="'M05-S05'!AL1" tooltip=" " display="'M05-S05'!AL1" xr:uid="{F64EED49-EF09-421D-ABFC-5E151A774F4F}"/>
    <hyperlink ref="W9:Z11" location="Custom_WH_Tax" tooltip="Refrigeration" display="Custom_WH_Tax" xr:uid="{9197B76F-A3CC-42B3-AC67-10E2B6527998}"/>
    <hyperlink ref="AP9:AS11" location="Custom_PL_Tax" tooltip="Motors and Drives" display="Custom_PL_Tax" xr:uid="{33E37824-C6FC-49F1-AFFF-684A553B79C4}"/>
    <hyperlink ref="K9:N11" location="Custom_Lighting_Tax" display="Custom_Lighting_Tax" xr:uid="{D64D356E-A8E8-48F9-8181-B420F3FE7EEC}"/>
    <hyperlink ref="O9:R11" location="Custom_HVAC_Tax" display="Custom_HVAC_Tax" xr:uid="{60AD883E-7AE1-4C8A-BEAE-382476AC6565}"/>
    <hyperlink ref="S9:V11" location="Custom_Heating_Tax" display="Custom_Heating_Tax" xr:uid="{158136B8-AE21-4717-899D-86E07BE19B6D}"/>
    <hyperlink ref="AF9:AJ11" location="Custom_FS_Tax" display="Custom_FS_Tax" xr:uid="{9E69C239-2786-402C-A3D2-91634B128A1B}"/>
    <hyperlink ref="AK9:AO11" location="Custom_AG_Tax" display="Custom_AG_Tax" xr:uid="{A0BD0BD0-4B69-4975-9AA4-DE41901D3FDF}"/>
    <hyperlink ref="AT9:AW11" location="Custom_RA_Tax" display="Custom_RA_Tax" xr:uid="{5117CB6B-E8CF-4FF7-A4DB-7F399FB5EC65}"/>
    <hyperlink ref="AX9:BA11" location="Custom_Misc_Tax" display="Custom_Misc_Tax" xr:uid="{C48A72EE-830C-4AA2-84F3-A3B934069E82}"/>
    <hyperlink ref="AA9:AE11" location="Custom_Refrig_Tax" display="Custom_Refrig_Tax" xr:uid="{26FC7FD9-ADA8-4D5F-AA9A-154CA145BE3B}"/>
  </hyperlinks>
  <printOptions horizontalCentered="1"/>
  <pageMargins left="0" right="0" top="0.25" bottom="0.25" header="0.25" footer="0.25"/>
  <pageSetup scale="4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7C00024-968A-4E6F-8B6F-3FC28C449203}">
          <x14:formula1>
            <xm:f>'DATA TABLES_Project'!$A$112:$A$113</xm:f>
          </x14:formula1>
          <xm:sqref>BX18:BX37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DF8A-3DA1-4C1C-9596-A96E2B588D84}">
  <sheetPr codeName="Sheet13">
    <pageSetUpPr fitToPage="1"/>
  </sheetPr>
  <dimension ref="A1:EE204"/>
  <sheetViews>
    <sheetView showGridLines="0" showRowColHeaders="0" zoomScale="90" zoomScaleNormal="90" workbookViewId="0">
      <selection activeCell="AE44" sqref="AE44:AJ44"/>
    </sheetView>
  </sheetViews>
  <sheetFormatPr defaultColWidth="0" defaultRowHeight="16.350000000000001" customHeight="1" zeroHeight="1"/>
  <cols>
    <col min="1" max="61" width="4.5703125" style="177" customWidth="1"/>
    <col min="62" max="16384" width="4.5703125" style="177" hidden="1"/>
  </cols>
  <sheetData>
    <row r="1" spans="1:121" ht="16.350000000000001" customHeight="1">
      <c r="A1" s="60"/>
      <c r="B1" s="239"/>
      <c r="C1" s="239"/>
      <c r="D1" s="239"/>
      <c r="E1" s="239"/>
      <c r="F1" s="750" t="str">
        <f>M1S1</f>
        <v>WELCOME</v>
      </c>
      <c r="G1" s="750"/>
      <c r="H1" s="750"/>
      <c r="I1" s="750"/>
      <c r="J1" s="1127" t="str">
        <f>M1S2</f>
        <v>INSTRUCTIONS</v>
      </c>
      <c r="K1" s="1127"/>
      <c r="L1" s="1127"/>
      <c r="M1" s="1127"/>
      <c r="N1" s="240"/>
      <c r="O1" s="240"/>
      <c r="P1" s="240"/>
      <c r="Q1" s="240"/>
      <c r="R1" s="240"/>
      <c r="S1" s="240"/>
      <c r="T1" s="241"/>
      <c r="U1" s="242" t="s">
        <v>118</v>
      </c>
      <c r="V1" s="242"/>
      <c r="W1" s="242"/>
      <c r="X1" s="242"/>
      <c r="Y1" s="240"/>
      <c r="Z1" s="240"/>
      <c r="AA1" s="240"/>
      <c r="AB1" s="240"/>
      <c r="AC1" s="240"/>
      <c r="AD1" s="240"/>
      <c r="AE1" s="240"/>
      <c r="AF1" s="240"/>
      <c r="AH1"/>
      <c r="AI1"/>
      <c r="AJ1"/>
      <c r="AK1"/>
      <c r="AL1"/>
      <c r="AM1"/>
      <c r="AN1" s="734" t="str">
        <f>IF(ACTIVEINSPECT="Yes","Complete "&amp;M5S4,"")</f>
        <v/>
      </c>
      <c r="AO1" s="734"/>
      <c r="AP1" s="734"/>
      <c r="AQ1" s="734"/>
      <c r="AR1" s="730" t="str">
        <f>IF(ACTIVEOFFER="Yes","Sign "&amp;M5S6,"")</f>
        <v>Sign OBR: Repayment Agreement</v>
      </c>
      <c r="AS1" s="730"/>
      <c r="AT1" s="730"/>
      <c r="AU1" s="730"/>
      <c r="AV1" s="730" t="str">
        <f>IF(ACTIVECOMPL="Yes","Sign "&amp;M5S5,"")</f>
        <v xml:space="preserve">Sign Project Completion Certification </v>
      </c>
      <c r="AW1" s="730"/>
      <c r="AX1" s="730"/>
      <c r="AY1" s="730"/>
      <c r="AZ1" s="732" t="str">
        <f>M1S4</f>
        <v>INCENTIVE RATES &amp; REQUIREMENTS</v>
      </c>
      <c r="BA1" s="732"/>
      <c r="BB1" s="732"/>
      <c r="BC1" s="732"/>
      <c r="BD1" s="732"/>
      <c r="BE1" s="732"/>
      <c r="BF1" s="722" t="s">
        <v>119</v>
      </c>
      <c r="BG1" s="723"/>
      <c r="BH1" s="723"/>
      <c r="BI1" s="723"/>
    </row>
    <row r="2" spans="1:121" ht="16.350000000000001" customHeight="1">
      <c r="B2" s="239"/>
      <c r="C2" s="239"/>
      <c r="D2" s="239"/>
      <c r="E2" s="239"/>
      <c r="F2" s="750"/>
      <c r="G2" s="750"/>
      <c r="H2" s="750"/>
      <c r="I2" s="750"/>
      <c r="J2" s="1128"/>
      <c r="K2" s="1128"/>
      <c r="L2" s="1128"/>
      <c r="M2" s="1128"/>
      <c r="N2" s="240"/>
      <c r="O2" s="240"/>
      <c r="P2" s="240"/>
      <c r="Q2" s="240"/>
      <c r="R2" s="240"/>
      <c r="S2" s="240"/>
      <c r="T2" s="241"/>
      <c r="U2" s="242"/>
      <c r="V2" s="242"/>
      <c r="W2" s="242"/>
      <c r="X2" s="242"/>
      <c r="Y2" s="240"/>
      <c r="Z2" s="240"/>
      <c r="AA2" s="240"/>
      <c r="AB2" s="240"/>
      <c r="AC2" s="240"/>
      <c r="AD2" s="240"/>
      <c r="AE2" s="240"/>
      <c r="AF2" s="240"/>
      <c r="AH2"/>
      <c r="AI2"/>
      <c r="AJ2"/>
      <c r="AK2"/>
      <c r="AL2"/>
      <c r="AM2"/>
      <c r="AN2" s="734"/>
      <c r="AO2" s="734"/>
      <c r="AP2" s="734"/>
      <c r="AQ2" s="734"/>
      <c r="AR2" s="730"/>
      <c r="AS2" s="730"/>
      <c r="AT2" s="730"/>
      <c r="AU2" s="730"/>
      <c r="AV2" s="730"/>
      <c r="AW2" s="730"/>
      <c r="AX2" s="730"/>
      <c r="AY2" s="730"/>
      <c r="AZ2" s="732"/>
      <c r="BA2" s="732"/>
      <c r="BB2" s="732"/>
      <c r="BC2" s="732"/>
      <c r="BD2" s="732"/>
      <c r="BE2" s="732"/>
      <c r="BF2" s="723"/>
      <c r="BG2" s="723"/>
      <c r="BH2" s="723"/>
      <c r="BI2" s="723"/>
    </row>
    <row r="3" spans="1:121" ht="16.350000000000001" customHeight="1" thickBot="1">
      <c r="A3" s="626"/>
      <c r="B3" s="648"/>
      <c r="C3" s="648"/>
      <c r="D3" s="648"/>
      <c r="E3" s="648"/>
      <c r="F3" s="875"/>
      <c r="G3" s="875"/>
      <c r="H3" s="875"/>
      <c r="I3" s="875"/>
      <c r="J3" s="1129"/>
      <c r="K3" s="1129"/>
      <c r="L3" s="1129"/>
      <c r="M3" s="1129"/>
      <c r="N3" s="642"/>
      <c r="O3" s="642"/>
      <c r="P3" s="642"/>
      <c r="Q3" s="642"/>
      <c r="R3" s="642"/>
      <c r="S3" s="642"/>
      <c r="T3" s="642"/>
      <c r="U3" s="643"/>
      <c r="V3" s="643"/>
      <c r="W3" s="643"/>
      <c r="X3" s="643"/>
      <c r="Y3" s="626"/>
      <c r="Z3" s="626"/>
      <c r="AA3" s="626"/>
      <c r="AB3" s="626"/>
      <c r="AC3" s="626"/>
      <c r="AD3" s="626"/>
      <c r="AE3" s="626"/>
      <c r="AF3" s="626"/>
      <c r="AG3" s="626"/>
      <c r="AH3" s="614"/>
      <c r="AI3" s="614"/>
      <c r="AJ3" s="614"/>
      <c r="AK3" s="614"/>
      <c r="AL3" s="614"/>
      <c r="AM3" s="614"/>
      <c r="AN3" s="868"/>
      <c r="AO3" s="868"/>
      <c r="AP3" s="868"/>
      <c r="AQ3" s="868"/>
      <c r="AR3" s="869"/>
      <c r="AS3" s="869"/>
      <c r="AT3" s="869"/>
      <c r="AU3" s="869"/>
      <c r="AV3" s="869"/>
      <c r="AW3" s="869"/>
      <c r="AX3" s="869"/>
      <c r="AY3" s="869"/>
      <c r="AZ3" s="1009"/>
      <c r="BA3" s="1009"/>
      <c r="BB3" s="1009"/>
      <c r="BC3" s="1009"/>
      <c r="BD3" s="1009"/>
      <c r="BE3" s="1009"/>
      <c r="BF3" s="871"/>
      <c r="BG3" s="871"/>
      <c r="BH3" s="871"/>
      <c r="BI3" s="871"/>
    </row>
    <row r="4" spans="1:121" ht="16.350000000000001" customHeight="1">
      <c r="A4" s="632"/>
      <c r="B4" s="632"/>
      <c r="C4" s="632"/>
      <c r="D4" s="632"/>
      <c r="E4" s="632"/>
      <c r="F4" s="632"/>
      <c r="G4" s="632"/>
      <c r="H4" s="632"/>
      <c r="I4" s="632"/>
      <c r="J4" s="632"/>
      <c r="K4" s="632"/>
      <c r="L4" s="633"/>
      <c r="M4" s="498"/>
      <c r="N4" s="632"/>
      <c r="O4" s="632"/>
      <c r="P4" s="632"/>
      <c r="Q4" s="632"/>
      <c r="R4" s="632"/>
      <c r="S4" s="634" t="s">
        <v>707</v>
      </c>
      <c r="T4" s="635" t="str">
        <f>M05S07F07</f>
        <v>Custom</v>
      </c>
      <c r="U4" s="636"/>
      <c r="V4" s="636"/>
      <c r="W4" s="636"/>
      <c r="X4" s="632"/>
      <c r="Y4" s="632"/>
      <c r="Z4" s="632"/>
      <c r="AA4" s="634" t="s">
        <v>708</v>
      </c>
      <c r="AB4" s="874" t="str">
        <f>IF(M02S02F02="","[Project Name]",LEFT(M02S02F02,25))</f>
        <v>[Project Name]</v>
      </c>
      <c r="AC4" s="874"/>
      <c r="AD4" s="874"/>
      <c r="AE4" s="874"/>
      <c r="AF4" s="874"/>
      <c r="AG4" s="874"/>
      <c r="AH4" s="632"/>
      <c r="AI4" s="634" t="s">
        <v>709</v>
      </c>
      <c r="AJ4" s="637" t="str">
        <f>IF(M02S02F27="Yes",Status_Final,Status_Pre)</f>
        <v>Draft Pre-Application</v>
      </c>
      <c r="AK4" s="498"/>
      <c r="AL4" s="632"/>
      <c r="AM4" s="632"/>
      <c r="AN4" s="498"/>
      <c r="AO4" s="498"/>
      <c r="AP4" s="632"/>
      <c r="AQ4" s="632"/>
      <c r="AR4" s="632"/>
      <c r="AS4" s="634" t="s">
        <v>710</v>
      </c>
      <c r="AT4" s="872">
        <f>Incent_Total_Cap_All</f>
        <v>0</v>
      </c>
      <c r="AU4" s="872"/>
      <c r="AV4" s="872"/>
      <c r="AW4" s="872"/>
      <c r="AX4" s="873" t="s">
        <v>711</v>
      </c>
      <c r="AY4" s="873"/>
      <c r="AZ4" s="873"/>
      <c r="BA4" s="873"/>
      <c r="BB4" s="873"/>
      <c r="BC4" s="872" t="str">
        <f>OBR_Amount_Requested</f>
        <v/>
      </c>
      <c r="BD4" s="872"/>
      <c r="BE4" s="872"/>
      <c r="BF4" s="872"/>
      <c r="BG4" s="498"/>
      <c r="BH4" s="644"/>
      <c r="BI4" s="644"/>
    </row>
    <row r="5" spans="1:121" ht="16.350000000000001" customHeight="1">
      <c r="B5" s="622"/>
      <c r="C5" s="622"/>
      <c r="D5" s="622"/>
      <c r="E5" s="622"/>
      <c r="F5" s="622"/>
      <c r="G5" s="622"/>
      <c r="H5" s="622"/>
      <c r="I5" s="622"/>
      <c r="J5" s="622"/>
      <c r="K5" s="622"/>
      <c r="BE5" s="623"/>
      <c r="BG5" s="866">
        <f ca="1">PROGRESSSTATUS</f>
        <v>0</v>
      </c>
      <c r="BH5" s="866"/>
      <c r="BI5" s="866"/>
    </row>
    <row r="6" spans="1:121" ht="16.350000000000001" customHeight="1">
      <c r="B6" s="622"/>
      <c r="C6" s="622"/>
      <c r="D6" s="622"/>
      <c r="E6" s="622"/>
      <c r="F6" s="622"/>
      <c r="G6" s="622"/>
      <c r="H6" s="622"/>
      <c r="I6" s="622"/>
      <c r="J6" s="622"/>
      <c r="K6" s="622"/>
      <c r="BD6" s="623"/>
      <c r="BG6" s="866"/>
      <c r="BH6" s="866"/>
      <c r="BI6" s="866"/>
    </row>
    <row r="7" spans="1:121" ht="16.350000000000001" customHeight="1">
      <c r="B7" s="624"/>
      <c r="C7" s="624"/>
      <c r="D7" s="624"/>
      <c r="E7" s="624"/>
      <c r="F7" s="624"/>
      <c r="G7" s="624"/>
      <c r="H7" s="624"/>
      <c r="I7" s="624"/>
      <c r="J7" s="624"/>
      <c r="K7" s="624"/>
      <c r="BG7" s="866"/>
      <c r="BH7" s="866"/>
      <c r="BI7" s="866"/>
    </row>
    <row r="8" spans="1:121" s="626"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BA8" s="625"/>
      <c r="BB8" s="625"/>
      <c r="BC8" s="625"/>
      <c r="BD8" s="625"/>
      <c r="BE8" s="625"/>
      <c r="BF8" s="625"/>
      <c r="BG8" s="867" t="s">
        <v>712</v>
      </c>
      <c r="BH8" s="867"/>
      <c r="BI8" s="867"/>
    </row>
    <row r="9" spans="1:121" ht="16.350000000000001" customHeight="1">
      <c r="G9" s="877" t="str">
        <f>M5S1a</f>
        <v>Payment</v>
      </c>
      <c r="H9" s="877"/>
      <c r="I9" s="877"/>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row>
    <row r="10" spans="1:121" ht="16.350000000000001" customHeight="1">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878"/>
      <c r="AS10" s="878"/>
      <c r="AT10" s="878"/>
      <c r="AU10" s="878"/>
      <c r="AV10" s="878"/>
      <c r="AW10" s="878"/>
      <c r="AX10" s="878"/>
      <c r="AY10" s="878"/>
    </row>
    <row r="11" spans="1:121" ht="16.350000000000001" customHeight="1">
      <c r="L11" s="1133" t="s">
        <v>1492</v>
      </c>
      <c r="M11" s="1133"/>
      <c r="N11" s="1133"/>
      <c r="O11" s="1133"/>
      <c r="P11" s="1133"/>
      <c r="Q11" s="1133"/>
      <c r="R11" s="1133"/>
      <c r="S11" s="1133"/>
      <c r="T11" s="1133"/>
      <c r="U11" s="1133"/>
      <c r="V11" s="1133"/>
      <c r="W11" s="1133"/>
      <c r="X11" s="1133"/>
      <c r="Y11" s="1133"/>
      <c r="Z11" s="1133"/>
      <c r="AA11" s="1133"/>
      <c r="AB11" s="1133"/>
      <c r="AC11" s="1133"/>
      <c r="AD11" s="1133"/>
      <c r="AE11" s="1133"/>
      <c r="AF11" s="1133"/>
      <c r="AG11" s="1133"/>
      <c r="AH11" s="1133"/>
      <c r="AI11" s="1133"/>
      <c r="AJ11" s="1133"/>
      <c r="AK11" s="1133"/>
      <c r="AL11" s="1133"/>
      <c r="AM11" s="1133"/>
      <c r="AN11" s="1133"/>
      <c r="AO11" s="1133"/>
      <c r="AP11" s="1133"/>
      <c r="AQ11" s="1133"/>
      <c r="AR11" s="1133"/>
      <c r="AS11" s="1133"/>
      <c r="AT11" s="1133"/>
      <c r="AU11" s="1133"/>
    </row>
    <row r="12" spans="1:121" ht="16.350000000000001" hidden="1" customHeight="1">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c r="AT12" s="343"/>
      <c r="CP12"/>
      <c r="CQ12"/>
    </row>
    <row r="13" spans="1:121" ht="16.350000000000001" customHeight="1">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c r="AM13" s="359"/>
      <c r="CP13"/>
      <c r="CQ13"/>
      <c r="CR13" s="343"/>
      <c r="CT13" s="343"/>
      <c r="CU13" s="343"/>
      <c r="CV13" s="343"/>
      <c r="CW13" s="343"/>
      <c r="CX13" s="343"/>
      <c r="CY13" s="343"/>
      <c r="CZ13" s="343"/>
      <c r="DA13" s="343"/>
      <c r="DB13" s="343"/>
      <c r="DC13" s="343"/>
      <c r="DD13" s="343"/>
      <c r="DE13" s="343"/>
      <c r="DF13" s="343"/>
      <c r="DG13" s="343"/>
      <c r="DH13" s="343"/>
      <c r="DI13" s="343"/>
      <c r="DJ13" s="343"/>
      <c r="DK13" s="343"/>
      <c r="DL13" s="343"/>
      <c r="DM13" s="343"/>
      <c r="DN13" s="343"/>
      <c r="DO13" s="343"/>
      <c r="DP13" s="343"/>
      <c r="DQ13" s="343"/>
    </row>
    <row r="14" spans="1:121" ht="16.350000000000001" customHeight="1">
      <c r="P14" s="1105" t="s">
        <v>1493</v>
      </c>
      <c r="Q14" s="1105"/>
      <c r="R14" s="1105"/>
      <c r="S14" s="1105"/>
      <c r="T14" s="1105"/>
      <c r="U14" s="1105"/>
      <c r="V14" s="1105"/>
      <c r="W14" s="1106" t="s">
        <v>1494</v>
      </c>
      <c r="X14" s="1106"/>
      <c r="Y14" s="1106"/>
      <c r="Z14" s="1106"/>
      <c r="AA14" s="1106"/>
      <c r="AB14" s="1106"/>
      <c r="AC14" s="1106"/>
      <c r="AD14" s="1106"/>
      <c r="AE14" s="1106"/>
      <c r="AF14" s="1106"/>
      <c r="AG14" s="1106"/>
      <c r="AH14" s="1106"/>
      <c r="AI14" s="1106"/>
      <c r="AJ14" s="1106"/>
      <c r="AK14" s="1106"/>
      <c r="AL14" s="1106"/>
      <c r="AM14" s="1106"/>
      <c r="AN14" s="1106"/>
      <c r="AO14" s="1106"/>
      <c r="AP14" s="1106"/>
      <c r="AQ14" s="363"/>
      <c r="CP14"/>
      <c r="CQ14"/>
      <c r="CR14" s="344"/>
    </row>
    <row r="15" spans="1:121" ht="15.75" customHeight="1">
      <c r="P15" s="1105"/>
      <c r="Q15" s="1105"/>
      <c r="R15" s="1105"/>
      <c r="S15" s="1105"/>
      <c r="T15" s="1105"/>
      <c r="U15" s="1105"/>
      <c r="V15" s="1105"/>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363"/>
      <c r="CP15"/>
      <c r="CQ15"/>
    </row>
    <row r="16" spans="1:121" ht="15.75" customHeight="1">
      <c r="P16" s="1105"/>
      <c r="Q16" s="1105"/>
      <c r="R16" s="1105"/>
      <c r="S16" s="1105"/>
      <c r="T16" s="1105"/>
      <c r="U16" s="1105"/>
      <c r="V16" s="1105"/>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363"/>
      <c r="CP16"/>
      <c r="CQ16"/>
    </row>
    <row r="17" spans="15:135" ht="15.75" customHeight="1">
      <c r="AD17" s="364"/>
      <c r="AE17" s="364"/>
      <c r="AF17" s="364"/>
      <c r="AG17" s="364"/>
      <c r="AH17" s="364"/>
      <c r="AI17" s="364"/>
      <c r="AJ17" s="364"/>
      <c r="AK17" s="364"/>
      <c r="AL17" s="364"/>
      <c r="AM17" s="364"/>
      <c r="AN17" s="364"/>
      <c r="AO17" s="364"/>
      <c r="AP17" s="364"/>
      <c r="AQ17" s="364"/>
      <c r="BK17" s="344"/>
      <c r="BL17" s="344"/>
      <c r="BM17" s="344"/>
      <c r="BN17" s="344"/>
      <c r="BO17" s="344"/>
      <c r="BP17" s="344"/>
      <c r="BQ17" s="344"/>
      <c r="BR17" s="344"/>
      <c r="BS17" s="344"/>
      <c r="BT17" s="344"/>
      <c r="BU17" s="344"/>
      <c r="BV17" s="344"/>
      <c r="BW17" s="344"/>
      <c r="BX17" s="344"/>
      <c r="CP17"/>
      <c r="CQ17"/>
    </row>
    <row r="18" spans="15:135" ht="15.75" customHeight="1">
      <c r="O18" s="365"/>
      <c r="P18" s="366"/>
      <c r="Q18" s="366"/>
      <c r="R18" s="366"/>
      <c r="S18" s="366"/>
      <c r="T18" s="366"/>
      <c r="U18" s="366"/>
      <c r="V18" s="366"/>
      <c r="W18" s="366"/>
      <c r="X18" s="366"/>
      <c r="Y18" s="366"/>
      <c r="Z18" s="366"/>
      <c r="AA18" s="366"/>
      <c r="AB18" s="367"/>
      <c r="AC18" s="367"/>
      <c r="AD18" s="367"/>
      <c r="AE18" s="367"/>
      <c r="AF18" s="367"/>
      <c r="AG18" s="367"/>
      <c r="AH18" s="366"/>
      <c r="AI18" s="366"/>
      <c r="AJ18" s="366"/>
      <c r="AK18" s="366"/>
      <c r="AL18" s="366"/>
      <c r="AM18" s="366"/>
      <c r="AN18" s="366"/>
      <c r="AO18" s="366"/>
      <c r="AP18" s="366"/>
      <c r="AQ18" s="368"/>
      <c r="CP18"/>
      <c r="CQ18"/>
      <c r="CR18" s="312"/>
    </row>
    <row r="19" spans="15:135" ht="15.75" customHeight="1">
      <c r="O19" s="369"/>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c r="AM19" s="523"/>
      <c r="AN19" s="523"/>
      <c r="AO19" s="523"/>
      <c r="AP19" s="523"/>
      <c r="AQ19" s="260"/>
      <c r="CP19"/>
      <c r="CQ19"/>
    </row>
    <row r="20" spans="15:135" ht="15.75" customHeight="1">
      <c r="O20" s="369"/>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c r="AM20" s="523"/>
      <c r="AN20" s="523"/>
      <c r="AO20" s="523"/>
      <c r="AP20" s="523"/>
      <c r="AQ20" s="260"/>
      <c r="CP20"/>
      <c r="CQ20"/>
    </row>
    <row r="21" spans="15:135" ht="15.75" customHeight="1">
      <c r="O21" s="369"/>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260"/>
      <c r="CP21"/>
      <c r="CQ21"/>
    </row>
    <row r="22" spans="15:135" ht="15.75" customHeight="1">
      <c r="O22" s="369"/>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260"/>
      <c r="CP22"/>
      <c r="CQ22"/>
    </row>
    <row r="23" spans="15:135" s="272" customFormat="1" ht="15.75" customHeight="1">
      <c r="O23" s="369"/>
      <c r="P23" s="1130" t="s">
        <v>306</v>
      </c>
      <c r="Q23" s="1130"/>
      <c r="R23" s="1130"/>
      <c r="S23" s="1130"/>
      <c r="T23" s="1130"/>
      <c r="U23" s="1130"/>
      <c r="V23" s="1130"/>
      <c r="W23" s="1130"/>
      <c r="X23" s="1130"/>
      <c r="Y23" s="1130"/>
      <c r="Z23" s="1130"/>
      <c r="AA23" s="1130"/>
      <c r="AB23" s="1130"/>
      <c r="AC23" s="1130"/>
      <c r="AD23" s="524"/>
      <c r="AE23" s="524"/>
      <c r="AF23" s="524"/>
      <c r="AG23" s="524"/>
      <c r="AH23" s="524"/>
      <c r="AI23" s="1135" t="str">
        <f>CONCATENATE("Project # ",PROJID)</f>
        <v xml:space="preserve">Project # </v>
      </c>
      <c r="AJ23" s="1135"/>
      <c r="AK23" s="1135"/>
      <c r="AL23" s="1135"/>
      <c r="AM23" s="1135"/>
      <c r="AN23" s="1135"/>
      <c r="AO23" s="1135"/>
      <c r="AP23" s="1135"/>
      <c r="AQ23" s="260"/>
      <c r="BJ23" s="177"/>
      <c r="BK23" s="177"/>
      <c r="BL23" s="177"/>
      <c r="BM23" s="177"/>
      <c r="BN23" s="177"/>
      <c r="BO23" s="177"/>
      <c r="BP23" s="177"/>
      <c r="BQ23" s="177"/>
      <c r="BR23" s="177"/>
      <c r="BS23" s="177"/>
      <c r="BT23" s="177"/>
      <c r="BU23" s="177"/>
      <c r="BV23" s="177"/>
      <c r="BW23" s="177"/>
      <c r="BX23" s="177"/>
      <c r="BY23" s="177"/>
      <c r="BZ23" s="177"/>
      <c r="CA23" s="177"/>
      <c r="CP23"/>
      <c r="CQ23"/>
      <c r="ED23" s="177"/>
      <c r="EE23" s="177"/>
    </row>
    <row r="24" spans="15:135" ht="15.75" customHeight="1">
      <c r="O24" s="369"/>
      <c r="P24" s="1130"/>
      <c r="Q24" s="1130"/>
      <c r="R24" s="1130"/>
      <c r="S24" s="1130"/>
      <c r="T24" s="1130"/>
      <c r="U24" s="1130"/>
      <c r="V24" s="1130"/>
      <c r="W24" s="1130"/>
      <c r="X24" s="1130"/>
      <c r="Y24" s="1130"/>
      <c r="Z24" s="1130"/>
      <c r="AA24" s="1130"/>
      <c r="AB24" s="1130"/>
      <c r="AC24" s="1130"/>
      <c r="AD24" s="524"/>
      <c r="AE24" s="524"/>
      <c r="AF24" s="524"/>
      <c r="AG24" s="524"/>
      <c r="AH24" s="524"/>
      <c r="AI24" s="1135"/>
      <c r="AJ24" s="1135"/>
      <c r="AK24" s="1135"/>
      <c r="AL24" s="1135"/>
      <c r="AM24" s="1135"/>
      <c r="AN24" s="1135"/>
      <c r="AO24" s="1135"/>
      <c r="AP24" s="1135"/>
      <c r="AQ24" s="260"/>
      <c r="CP24"/>
      <c r="CQ24"/>
    </row>
    <row r="25" spans="15:135" ht="15.75" customHeight="1">
      <c r="O25" s="369"/>
      <c r="P25" s="1130"/>
      <c r="Q25" s="1130"/>
      <c r="R25" s="1130"/>
      <c r="S25" s="1130"/>
      <c r="T25" s="1130"/>
      <c r="U25" s="1130"/>
      <c r="V25" s="1130"/>
      <c r="W25" s="1130"/>
      <c r="X25" s="1130"/>
      <c r="Y25" s="1130"/>
      <c r="Z25" s="1130"/>
      <c r="AA25" s="1130"/>
      <c r="AB25" s="1130"/>
      <c r="AC25" s="1130"/>
      <c r="AD25" s="524"/>
      <c r="AE25" s="524"/>
      <c r="AF25" s="524"/>
      <c r="AG25" s="524"/>
      <c r="AH25" s="524"/>
      <c r="AI25" s="1135"/>
      <c r="AJ25" s="1135"/>
      <c r="AK25" s="1135"/>
      <c r="AL25" s="1135"/>
      <c r="AM25" s="1135"/>
      <c r="AN25" s="1135"/>
      <c r="AO25" s="1135"/>
      <c r="AP25" s="1135"/>
      <c r="AQ25" s="260"/>
      <c r="BL25" s="177" t="s">
        <v>1495</v>
      </c>
      <c r="CP25"/>
      <c r="CQ25"/>
    </row>
    <row r="26" spans="15:135" ht="15.75" customHeight="1">
      <c r="O26" s="369"/>
      <c r="P26" s="1116" t="str">
        <f>IF(M02S03F01="","",M02S03F01)</f>
        <v/>
      </c>
      <c r="Q26" s="1116"/>
      <c r="R26" s="1116"/>
      <c r="S26" s="1116"/>
      <c r="T26" s="1116"/>
      <c r="U26" s="1116"/>
      <c r="V26" s="1116"/>
      <c r="W26" s="1116"/>
      <c r="X26" s="1116"/>
      <c r="Y26" s="1116"/>
      <c r="Z26" s="1116"/>
      <c r="AA26" s="1116"/>
      <c r="AB26" s="1116"/>
      <c r="AC26" s="1116"/>
      <c r="AD26" s="1117" t="str">
        <f>IF(M02S02F25="","",M02S02F25)</f>
        <v/>
      </c>
      <c r="AE26" s="1117"/>
      <c r="AF26" s="1117"/>
      <c r="AG26" s="1117"/>
      <c r="AH26" s="1117"/>
      <c r="AI26" s="1117"/>
      <c r="AJ26" s="1117"/>
      <c r="AK26" s="1117"/>
      <c r="AL26" s="1117"/>
      <c r="AM26" s="1117"/>
      <c r="AN26" s="1117"/>
      <c r="AO26" s="1117"/>
      <c r="AP26" s="1117"/>
      <c r="AQ26" s="260"/>
      <c r="BL26" s="270" t="s">
        <v>1496</v>
      </c>
      <c r="BN26"/>
      <c r="BO26"/>
      <c r="BP26"/>
      <c r="BQ26"/>
      <c r="BR26"/>
      <c r="BS26"/>
      <c r="BT26"/>
      <c r="BU26"/>
      <c r="BV26"/>
      <c r="BW26"/>
      <c r="BX26"/>
      <c r="BY26"/>
      <c r="BZ26"/>
      <c r="CP26"/>
      <c r="CQ26"/>
    </row>
    <row r="27" spans="15:135" s="272" customFormat="1" ht="15.75" customHeight="1" thickBot="1">
      <c r="O27" s="369"/>
      <c r="P27" s="1116"/>
      <c r="Q27" s="1116"/>
      <c r="R27" s="1116"/>
      <c r="S27" s="1116"/>
      <c r="T27" s="1116"/>
      <c r="U27" s="1116"/>
      <c r="V27" s="1116"/>
      <c r="W27" s="1116"/>
      <c r="X27" s="1116"/>
      <c r="Y27" s="1116"/>
      <c r="Z27" s="1116"/>
      <c r="AA27" s="1116"/>
      <c r="AB27" s="1116"/>
      <c r="AC27" s="1116"/>
      <c r="AD27" s="1117"/>
      <c r="AE27" s="1117"/>
      <c r="AF27" s="1117"/>
      <c r="AG27" s="1117"/>
      <c r="AH27" s="1117"/>
      <c r="AI27" s="1117"/>
      <c r="AJ27" s="1117"/>
      <c r="AK27" s="1117"/>
      <c r="AL27" s="1117"/>
      <c r="AM27" s="1117"/>
      <c r="AN27" s="1117"/>
      <c r="AO27" s="1117"/>
      <c r="AP27" s="1117"/>
      <c r="AQ27" s="260"/>
      <c r="BJ27" s="177"/>
      <c r="BK27" s="177"/>
      <c r="BL27" s="471" t="str">
        <f>IFERROR(IF(M05S01AF01="Customer (Company)",  M02S03F01, IF(M05S01AF01="Customer (Site)", M02S03F01, IF(M05S01AF01="Trade Ally",M02S04F08,""))),"")</f>
        <v/>
      </c>
      <c r="BM27" s="177"/>
      <c r="BN27"/>
      <c r="BO27"/>
      <c r="BP27"/>
      <c r="BQ27"/>
      <c r="BR27"/>
      <c r="BS27"/>
      <c r="BT27"/>
      <c r="BU27"/>
      <c r="BV27"/>
      <c r="BW27"/>
      <c r="BX27"/>
      <c r="BY27"/>
      <c r="BZ27"/>
      <c r="CA27" s="177"/>
      <c r="CP27"/>
      <c r="CQ27"/>
      <c r="CR27" s="177"/>
      <c r="DU27" s="239"/>
      <c r="DV27" s="239"/>
      <c r="DW27" s="239"/>
      <c r="DX27" s="239"/>
      <c r="DY27" s="239"/>
      <c r="DZ27" s="239"/>
      <c r="ED27" s="177"/>
    </row>
    <row r="28" spans="15:135" ht="15.75" customHeight="1">
      <c r="O28" s="36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260"/>
      <c r="BL28" s="346"/>
      <c r="BN28"/>
      <c r="BO28"/>
      <c r="BP28" s="346"/>
      <c r="BQ28"/>
      <c r="BR28"/>
      <c r="BS28"/>
      <c r="BT28"/>
      <c r="BU28"/>
      <c r="BV28"/>
      <c r="BW28"/>
      <c r="BX28"/>
      <c r="BY28"/>
      <c r="BZ28"/>
      <c r="CP28"/>
      <c r="CQ28"/>
      <c r="DU28" s="351"/>
      <c r="DV28" s="351"/>
      <c r="DW28" s="351"/>
      <c r="DX28" s="351"/>
      <c r="DY28" s="351"/>
      <c r="DZ28" s="351"/>
    </row>
    <row r="29" spans="15:135" ht="15.75" customHeight="1">
      <c r="O29" s="369"/>
      <c r="P29" s="1118" t="s">
        <v>1497</v>
      </c>
      <c r="Q29" s="1118"/>
      <c r="R29" s="1118"/>
      <c r="S29" s="1118"/>
      <c r="T29" s="1118"/>
      <c r="U29" s="526"/>
      <c r="V29" s="1119" t="s">
        <v>1498</v>
      </c>
      <c r="W29" s="1119"/>
      <c r="X29" s="1119"/>
      <c r="Y29" s="1119"/>
      <c r="Z29" s="1119"/>
      <c r="AA29" s="1119"/>
      <c r="AB29" s="507"/>
      <c r="AC29" s="1119" t="s">
        <v>1499</v>
      </c>
      <c r="AD29" s="1119"/>
      <c r="AE29" s="1119"/>
      <c r="AF29" s="1119"/>
      <c r="AG29" s="1119"/>
      <c r="AH29" s="1119"/>
      <c r="AI29" s="1119"/>
      <c r="AJ29" s="1107" t="s">
        <v>1500</v>
      </c>
      <c r="AK29" s="1107"/>
      <c r="AL29" s="1107"/>
      <c r="AM29" s="1107"/>
      <c r="AN29" s="1107"/>
      <c r="AO29" s="1107"/>
      <c r="AP29" s="1107"/>
      <c r="AQ29" s="260"/>
      <c r="BL29" s="312"/>
      <c r="BN29"/>
      <c r="BO29"/>
      <c r="BQ29"/>
      <c r="BR29"/>
      <c r="BU29"/>
      <c r="BV29"/>
      <c r="BW29"/>
      <c r="BX29"/>
      <c r="BY29"/>
      <c r="BZ29"/>
      <c r="CP29"/>
      <c r="CQ29"/>
      <c r="DU29" s="351"/>
      <c r="DV29" s="351"/>
      <c r="DW29" s="351"/>
      <c r="DX29" s="351"/>
      <c r="DY29" s="351"/>
      <c r="DZ29" s="351"/>
    </row>
    <row r="30" spans="15:135" ht="15.75" customHeight="1">
      <c r="O30" s="369"/>
      <c r="P30" s="1118"/>
      <c r="Q30" s="1118"/>
      <c r="R30" s="1118"/>
      <c r="S30" s="1118"/>
      <c r="T30" s="1118"/>
      <c r="U30" s="526"/>
      <c r="V30" s="1115" t="str">
        <f>IF(M02S02F02="","",M02S02F02)</f>
        <v/>
      </c>
      <c r="W30" s="1115"/>
      <c r="X30" s="1115"/>
      <c r="Y30" s="1115"/>
      <c r="Z30" s="1115"/>
      <c r="AA30" s="1115"/>
      <c r="AB30" s="508"/>
      <c r="AC30" s="1115" t="str">
        <f>M02S02F13</f>
        <v/>
      </c>
      <c r="AD30" s="1115"/>
      <c r="AE30" s="1115"/>
      <c r="AF30" s="1115"/>
      <c r="AG30" s="1115"/>
      <c r="AH30" s="1115"/>
      <c r="AI30" s="1115"/>
      <c r="AJ30" s="1115" t="str">
        <f>M02S02F15</f>
        <v/>
      </c>
      <c r="AK30" s="1115"/>
      <c r="AL30" s="1115"/>
      <c r="AM30" s="1115"/>
      <c r="AN30" s="1115"/>
      <c r="AO30" s="1115"/>
      <c r="AP30" s="1115"/>
      <c r="AQ30" s="260"/>
      <c r="BL30" s="270" t="s">
        <v>1501</v>
      </c>
      <c r="BN30"/>
      <c r="BO30"/>
      <c r="BP30" s="270" t="s">
        <v>1502</v>
      </c>
      <c r="BQ30"/>
      <c r="BR30"/>
      <c r="BS30" s="283"/>
      <c r="BT30" s="317" t="s">
        <v>1503</v>
      </c>
      <c r="BU30"/>
      <c r="BV30"/>
      <c r="BW30"/>
      <c r="BX30"/>
      <c r="BY30"/>
      <c r="BZ30"/>
      <c r="CP30"/>
      <c r="CQ30"/>
      <c r="DU30" s="351"/>
      <c r="DV30" s="351"/>
      <c r="DW30" s="351"/>
      <c r="DX30" s="351"/>
      <c r="DY30" s="351"/>
      <c r="DZ30" s="351"/>
    </row>
    <row r="31" spans="15:135" s="272" customFormat="1" ht="15.75" customHeight="1" thickBot="1">
      <c r="O31" s="369"/>
      <c r="P31" s="1118"/>
      <c r="Q31" s="1118"/>
      <c r="R31" s="1118"/>
      <c r="S31" s="1118"/>
      <c r="T31" s="1118"/>
      <c r="U31" s="526"/>
      <c r="V31" s="1115" t="str">
        <f>IF(M02S02F03="","",M02S02F03)</f>
        <v/>
      </c>
      <c r="W31" s="1115"/>
      <c r="X31" s="1115"/>
      <c r="Y31" s="1115"/>
      <c r="Z31" s="1115"/>
      <c r="AA31" s="1115"/>
      <c r="AB31" s="508"/>
      <c r="AC31" s="1119" t="s">
        <v>1504</v>
      </c>
      <c r="AD31" s="1119"/>
      <c r="AE31" s="1119"/>
      <c r="AF31" s="1119"/>
      <c r="AG31" s="1119"/>
      <c r="AH31" s="1119"/>
      <c r="AI31" s="1119"/>
      <c r="AJ31" s="1107" t="s">
        <v>1505</v>
      </c>
      <c r="AK31" s="1107"/>
      <c r="AL31" s="1107"/>
      <c r="AM31" s="1107"/>
      <c r="AN31" s="1107"/>
      <c r="AO31" s="1107"/>
      <c r="AP31" s="1107"/>
      <c r="AQ31" s="260"/>
      <c r="BJ31" s="177"/>
      <c r="BK31" s="177"/>
      <c r="BL31" s="471" t="str">
        <f>IFERROR(IF(M05S01AF01="Customer (Company)",  M02S03F03, IF(M05S01AF01="Customer (Site)",M02S03F13, IF(M05S01AF01="Trade Ally",M02S04F08,""))),"")</f>
        <v/>
      </c>
      <c r="BM31" s="177"/>
      <c r="BN31"/>
      <c r="BO31"/>
      <c r="BP31" s="471" t="str">
        <f>IFERROR(IF(M05S01AF01="Customer (Company)",  M02S03F04, IF(M05S01AF01="Customer (Site)",M02S03F14, IF(M05S01AF01="Trade Ally",M02S04F09,""))),"")</f>
        <v/>
      </c>
      <c r="BQ31"/>
      <c r="BR31"/>
      <c r="BS31" s="266"/>
      <c r="BT31" s="471" t="str">
        <f>IFERROR(IF(M05S01AF01="Customer (Company)",  M02S03F05, IF(M05S01AF01="Customer (Site)",M02S03F05, IF(M05S01AF01="Trade Ally",M02S04F03,""))),"")</f>
        <v/>
      </c>
      <c r="BU31"/>
      <c r="BV31"/>
      <c r="BW31"/>
      <c r="BX31"/>
      <c r="BY31"/>
      <c r="BZ31"/>
      <c r="CA31" s="177"/>
      <c r="CP31"/>
      <c r="CQ31"/>
      <c r="DU31" s="351"/>
      <c r="DV31" s="351"/>
      <c r="DW31" s="351"/>
      <c r="DX31" s="351"/>
      <c r="DY31" s="351"/>
      <c r="DZ31" s="351"/>
      <c r="ED31" s="177"/>
    </row>
    <row r="32" spans="15:135" ht="15.75" customHeight="1">
      <c r="O32" s="369"/>
      <c r="P32" s="1118"/>
      <c r="Q32" s="1118"/>
      <c r="R32" s="1118"/>
      <c r="S32" s="1118"/>
      <c r="T32" s="1118"/>
      <c r="U32" s="526"/>
      <c r="V32" s="1115" t="str">
        <f>IF(M02S02F06="","",CONCATENATE(M02S02F06,", ",M02S02F07," ",TEXT(M02S02F08,"00000")))</f>
        <v/>
      </c>
      <c r="W32" s="1115"/>
      <c r="X32" s="1115"/>
      <c r="Y32" s="1115"/>
      <c r="Z32" s="1115"/>
      <c r="AA32" s="1115"/>
      <c r="AB32" s="508"/>
      <c r="AC32" s="1120" t="str">
        <f>IF(M02S02F14="","",M02S02F14)</f>
        <v/>
      </c>
      <c r="AD32" s="1120"/>
      <c r="AE32" s="1120"/>
      <c r="AF32" s="1120"/>
      <c r="AG32" s="1120"/>
      <c r="AH32" s="1120"/>
      <c r="AI32" s="1120"/>
      <c r="AJ32" s="1120" t="str">
        <f>IF(M02S02F16="","",M02S02F16)</f>
        <v/>
      </c>
      <c r="AK32" s="1120"/>
      <c r="AL32" s="1120"/>
      <c r="AM32" s="1120"/>
      <c r="AN32" s="1120"/>
      <c r="AO32" s="1120"/>
      <c r="AP32" s="1120"/>
      <c r="AQ32" s="260"/>
      <c r="BL32" s="346"/>
      <c r="BN32"/>
      <c r="BO32"/>
      <c r="BP32" s="346"/>
      <c r="BQ32"/>
      <c r="BR32"/>
      <c r="BS32" s="348"/>
      <c r="BT32" s="263"/>
      <c r="BU32"/>
      <c r="BV32"/>
      <c r="BW32"/>
      <c r="BX32"/>
      <c r="BY32"/>
      <c r="BZ32"/>
      <c r="CP32"/>
      <c r="CQ32"/>
      <c r="DU32" s="351"/>
      <c r="DV32" s="351"/>
      <c r="DW32" s="351"/>
      <c r="DX32" s="351"/>
      <c r="DY32" s="351"/>
      <c r="DZ32" s="351"/>
    </row>
    <row r="33" spans="15:130" ht="15.75" customHeight="1">
      <c r="O33" s="369"/>
      <c r="P33" s="199"/>
      <c r="Q33" s="199"/>
      <c r="R33" s="199"/>
      <c r="S33" s="199"/>
      <c r="T33" s="199"/>
      <c r="U33" s="199"/>
      <c r="V33" s="371"/>
      <c r="W33" s="371"/>
      <c r="X33" s="371"/>
      <c r="Y33" s="371"/>
      <c r="Z33" s="371"/>
      <c r="AA33" s="371"/>
      <c r="AB33" s="371"/>
      <c r="AC33" s="371"/>
      <c r="AD33" s="371"/>
      <c r="AE33" s="371"/>
      <c r="AF33" s="371"/>
      <c r="AG33" s="371"/>
      <c r="AH33" s="371"/>
      <c r="AI33" s="371"/>
      <c r="AJ33" s="371"/>
      <c r="AK33" s="371"/>
      <c r="AL33" s="371"/>
      <c r="AM33" s="371"/>
      <c r="AN33" s="371"/>
      <c r="AO33" s="371"/>
      <c r="AP33" s="371"/>
      <c r="AQ33" s="260"/>
      <c r="BN33"/>
      <c r="BO33"/>
      <c r="BQ33"/>
      <c r="BR33"/>
      <c r="BT33" s="264"/>
      <c r="BU33"/>
      <c r="BV33"/>
      <c r="BW33"/>
      <c r="BX33"/>
      <c r="BY33"/>
      <c r="BZ33"/>
      <c r="CP33"/>
      <c r="CQ33"/>
      <c r="DU33" s="351"/>
      <c r="DV33" s="351"/>
      <c r="DW33" s="351"/>
      <c r="DX33" s="351"/>
      <c r="DY33" s="351"/>
      <c r="DZ33" s="351"/>
    </row>
    <row r="34" spans="15:130" ht="15.75" customHeight="1">
      <c r="O34" s="369"/>
      <c r="P34" s="1118" t="s">
        <v>1506</v>
      </c>
      <c r="Q34" s="1118"/>
      <c r="R34" s="1118"/>
      <c r="S34" s="1118"/>
      <c r="T34" s="1118"/>
      <c r="U34" s="526"/>
      <c r="V34" s="1131" t="s">
        <v>758</v>
      </c>
      <c r="W34" s="1131"/>
      <c r="X34" s="1131"/>
      <c r="Y34" s="1131"/>
      <c r="Z34" s="1131"/>
      <c r="AA34" s="1131"/>
      <c r="AB34" s="528"/>
      <c r="AC34" s="1132" t="s">
        <v>1507</v>
      </c>
      <c r="AD34" s="1132"/>
      <c r="AE34" s="1132"/>
      <c r="AF34" s="1132"/>
      <c r="AG34" s="1132"/>
      <c r="AH34" s="1132"/>
      <c r="AI34" s="528"/>
      <c r="AJ34" s="528"/>
      <c r="AK34" s="528"/>
      <c r="AL34" s="528"/>
      <c r="AM34" s="528"/>
      <c r="AN34" s="528"/>
      <c r="AO34" s="528"/>
      <c r="AP34" s="528"/>
      <c r="AQ34" s="260"/>
      <c r="BJ34" s="272"/>
      <c r="BK34" s="272"/>
      <c r="BL34" s="270" t="s">
        <v>1508</v>
      </c>
      <c r="BM34" s="272"/>
      <c r="BN34"/>
      <c r="BO34"/>
      <c r="BP34" s="270" t="s">
        <v>762</v>
      </c>
      <c r="BQ34"/>
      <c r="BR34"/>
      <c r="BT34" s="317" t="s">
        <v>720</v>
      </c>
      <c r="BU34"/>
      <c r="BV34" s="317" t="s">
        <v>721</v>
      </c>
      <c r="BW34"/>
      <c r="BX34" s="317" t="s">
        <v>722</v>
      </c>
      <c r="BY34"/>
      <c r="BZ34"/>
      <c r="CA34" s="272"/>
      <c r="CP34"/>
      <c r="CQ34"/>
      <c r="DU34" s="239"/>
      <c r="DV34" s="239"/>
      <c r="DW34" s="239"/>
      <c r="DX34" s="239"/>
      <c r="DY34" s="239"/>
      <c r="DZ34" s="239"/>
    </row>
    <row r="35" spans="15:130" ht="15.75" customHeight="1" thickBot="1">
      <c r="O35" s="369"/>
      <c r="P35" s="1118"/>
      <c r="Q35" s="1118"/>
      <c r="R35" s="1118"/>
      <c r="S35" s="1118"/>
      <c r="T35" s="1118"/>
      <c r="U35" s="526"/>
      <c r="V35" s="1126" t="str">
        <f>IF(M02S04F02="","",M02S04F02)</f>
        <v/>
      </c>
      <c r="W35" s="1126"/>
      <c r="X35" s="1126"/>
      <c r="Y35" s="1126"/>
      <c r="Z35" s="1126"/>
      <c r="AA35" s="1126"/>
      <c r="AB35" s="516"/>
      <c r="AC35" s="1126" t="str">
        <f>CONCATENATE(M02S04F08," ",M02S04F09)</f>
        <v xml:space="preserve"> </v>
      </c>
      <c r="AD35" s="1126"/>
      <c r="AE35" s="1126"/>
      <c r="AF35" s="1126"/>
      <c r="AG35" s="1126"/>
      <c r="AH35" s="1126"/>
      <c r="AI35" s="529"/>
      <c r="AJ35" s="529"/>
      <c r="AK35" s="516"/>
      <c r="AL35" s="516"/>
      <c r="AM35" s="516"/>
      <c r="AN35" s="516"/>
      <c r="AO35" s="516"/>
      <c r="AP35" s="530"/>
      <c r="AQ35" s="260"/>
      <c r="BL35" s="473" t="str">
        <f>IFERROR(IF(M05S01AF01="Customer (Company)",  M02S03F07, IF(M05S01AF01="Customer (Site)",M02S03F16, IF(M05S01AF01="Trade Ally",M02S04F11,""))),"")</f>
        <v/>
      </c>
      <c r="BN35"/>
      <c r="BO35"/>
      <c r="BP35" s="474" t="str">
        <f>IFERROR(IF(M05S01AF01="Customer (Company)",  M02S03F08, IF(M05S01AF01="Customer (Site)",M02S03F17, IF(M05S01AF01="Trade Ally",M02S04F12,""))),"")</f>
        <v/>
      </c>
      <c r="BQ35"/>
      <c r="BR35"/>
      <c r="BS35" s="310"/>
      <c r="BT35" s="471" t="str">
        <f>IFERROR(IF(M05S01AF01="Customer (Company)",  M02S03F09, IF(M05S01AF01="Customer (Site)",M02S03F09, IF(M05S01AF01="Trade Ally",M02S04F05,""))),"")</f>
        <v/>
      </c>
      <c r="BU35"/>
      <c r="BV35" s="471" t="str">
        <f>IFERROR(IF(M05S01AF01="Customer (Company)",  M02S03F10, IF(M05S01AF01="Customer (Site)",M02S03F10, IF(M05S01AF01="Trade Ally",M02S04F06,""))),"")</f>
        <v/>
      </c>
      <c r="BW35"/>
      <c r="BX35" s="472" t="str">
        <f>IFERROR(IF(M05S01AF01="Customer (Company)",  M02S03F11, IF(M05S01AF01="Customer (Site)",M02S03F11, IF(M05S01AF01="Trade Ally",M02S04F07,""))),"")</f>
        <v/>
      </c>
      <c r="BY35"/>
      <c r="BZ35"/>
      <c r="CP35"/>
      <c r="CQ35"/>
      <c r="DU35" s="239"/>
      <c r="DV35" s="239"/>
      <c r="DW35" s="239"/>
      <c r="DX35" s="239"/>
      <c r="DY35" s="239"/>
      <c r="DZ35" s="239"/>
    </row>
    <row r="36" spans="15:130" ht="15.75" customHeight="1">
      <c r="O36" s="369"/>
      <c r="P36" s="1118"/>
      <c r="Q36" s="1118"/>
      <c r="R36" s="1118"/>
      <c r="S36" s="1118"/>
      <c r="T36" s="1118"/>
      <c r="U36" s="526"/>
      <c r="V36" s="1126" t="str">
        <f>IF(M02S04F03="","",M02S04F03)</f>
        <v/>
      </c>
      <c r="W36" s="1126"/>
      <c r="X36" s="1126"/>
      <c r="Y36" s="1126"/>
      <c r="Z36" s="1126"/>
      <c r="AA36" s="1126"/>
      <c r="AB36" s="516"/>
      <c r="AC36" s="1134" t="str">
        <f>IF(M02S04F10="","",M02S04F10)</f>
        <v/>
      </c>
      <c r="AD36" s="1134"/>
      <c r="AE36" s="1134"/>
      <c r="AF36" s="1134"/>
      <c r="AG36" s="1134"/>
      <c r="AH36" s="1134"/>
      <c r="AI36" s="529"/>
      <c r="AJ36" s="529"/>
      <c r="AK36" s="517"/>
      <c r="AL36" s="517"/>
      <c r="AM36" s="517"/>
      <c r="AN36" s="517"/>
      <c r="AO36" s="517"/>
      <c r="AP36" s="531"/>
      <c r="AQ36" s="260"/>
      <c r="CP36"/>
      <c r="CQ36"/>
      <c r="DU36" s="239"/>
      <c r="DV36" s="239"/>
      <c r="DW36" s="239"/>
      <c r="DX36" s="239"/>
      <c r="DY36" s="239"/>
      <c r="DZ36" s="239"/>
    </row>
    <row r="37" spans="15:130" ht="15.75" customHeight="1">
      <c r="O37" s="369"/>
      <c r="P37" s="1118"/>
      <c r="Q37" s="1118"/>
      <c r="R37" s="1118"/>
      <c r="S37" s="1118"/>
      <c r="T37" s="1118"/>
      <c r="U37" s="526"/>
      <c r="V37" s="1126" t="str">
        <f>IF(M02S04F05="","",CONCATENATE(M02S04F05,", ",M02S04F06," ",TEXT(M02S04F07,"00000")))</f>
        <v/>
      </c>
      <c r="W37" s="1126"/>
      <c r="X37" s="1126"/>
      <c r="Y37" s="1126"/>
      <c r="Z37" s="1126"/>
      <c r="AA37" s="1126"/>
      <c r="AB37" s="516"/>
      <c r="AC37" s="1126" t="str">
        <f>TEXT(M02S04F11,"(###) ###-####")</f>
        <v>() -</v>
      </c>
      <c r="AD37" s="1126"/>
      <c r="AE37" s="1126"/>
      <c r="AF37" s="1126"/>
      <c r="AG37" s="1126"/>
      <c r="AH37" s="1126"/>
      <c r="AI37" s="529"/>
      <c r="AJ37" s="529"/>
      <c r="AK37" s="516"/>
      <c r="AL37" s="516"/>
      <c r="AM37" s="516"/>
      <c r="AN37" s="516"/>
      <c r="AO37" s="516"/>
      <c r="AP37" s="530"/>
      <c r="AQ37" s="260"/>
      <c r="CP37"/>
      <c r="CQ37"/>
    </row>
    <row r="38" spans="15:130" ht="15.75" customHeight="1">
      <c r="O38" s="369"/>
      <c r="AQ38" s="260"/>
      <c r="CP38"/>
      <c r="CQ38"/>
    </row>
    <row r="39" spans="15:130" ht="15.75" hidden="1" customHeight="1">
      <c r="O39" s="369"/>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260"/>
      <c r="CP39"/>
      <c r="CQ39"/>
    </row>
    <row r="40" spans="15:130" ht="15.75" hidden="1" customHeight="1">
      <c r="O40" s="369"/>
      <c r="P40" s="378"/>
      <c r="Q40" s="378"/>
      <c r="R40" s="378"/>
      <c r="S40" s="378"/>
      <c r="T40" s="378"/>
      <c r="U40" s="378"/>
      <c r="V40" s="378"/>
      <c r="W40" s="378"/>
      <c r="X40" s="378"/>
      <c r="Y40" s="378"/>
      <c r="Z40" s="378"/>
      <c r="AA40" s="378"/>
      <c r="AB40" s="378"/>
      <c r="AC40" s="378"/>
      <c r="AD40" s="378"/>
      <c r="AE40" s="378"/>
      <c r="AF40" s="378"/>
      <c r="AG40" s="378"/>
      <c r="AH40" s="378"/>
      <c r="AI40" s="378"/>
      <c r="AJ40" s="378"/>
      <c r="AK40" s="378"/>
      <c r="AL40" s="378"/>
      <c r="AM40" s="378"/>
      <c r="AN40" s="378"/>
      <c r="AO40" s="378"/>
      <c r="AP40" s="378"/>
      <c r="AQ40" s="260"/>
      <c r="CP40"/>
      <c r="CQ40"/>
    </row>
    <row r="41" spans="15:130" ht="15.75" hidden="1" customHeight="1">
      <c r="O41" s="369"/>
      <c r="P41" s="356"/>
      <c r="Q41" s="356"/>
      <c r="R41" s="356"/>
      <c r="S41" s="356"/>
      <c r="AQ41" s="260"/>
      <c r="CP41"/>
      <c r="CQ41"/>
    </row>
    <row r="42" spans="15:130" ht="15.75" hidden="1" customHeight="1">
      <c r="O42" s="376"/>
      <c r="AQ42" s="260"/>
      <c r="CP42"/>
      <c r="CQ42"/>
    </row>
    <row r="43" spans="15:130" ht="15.75" customHeight="1">
      <c r="O43" s="376"/>
      <c r="P43" s="356"/>
      <c r="Q43" s="356"/>
      <c r="R43" s="356"/>
      <c r="S43" s="356"/>
      <c r="AE43" s="1114" t="s">
        <v>1313</v>
      </c>
      <c r="AF43" s="1114"/>
      <c r="AG43" s="1114"/>
      <c r="AH43" s="1114"/>
      <c r="AI43" s="1114"/>
      <c r="AJ43" s="1114"/>
      <c r="AQ43" s="260"/>
      <c r="CP43"/>
      <c r="CQ43"/>
      <c r="CX43" s="490"/>
      <c r="CY43" s="490"/>
      <c r="CZ43" s="490"/>
      <c r="DA43" s="490"/>
      <c r="DB43" s="490"/>
      <c r="DC43" s="490"/>
      <c r="DD43" s="490"/>
      <c r="DE43" s="490"/>
      <c r="DF43" s="490"/>
      <c r="DG43" s="490"/>
      <c r="DH43" s="490"/>
      <c r="DI43" s="490"/>
      <c r="DJ43" s="490"/>
      <c r="DK43" s="490"/>
      <c r="DL43" s="490"/>
      <c r="DM43" s="490"/>
      <c r="DN43" s="490"/>
      <c r="DO43" s="490"/>
    </row>
    <row r="44" spans="15:130" ht="15.75" customHeight="1" thickBot="1">
      <c r="O44" s="376"/>
      <c r="P44" s="356"/>
      <c r="Q44" s="356"/>
      <c r="R44" s="356"/>
      <c r="S44" s="356"/>
      <c r="AB44" s="345" t="s">
        <v>1509</v>
      </c>
      <c r="AE44" s="885"/>
      <c r="AF44" s="886"/>
      <c r="AG44" s="886"/>
      <c r="AH44" s="886"/>
      <c r="AI44" s="886"/>
      <c r="AJ44" s="887"/>
      <c r="AQ44" s="260"/>
      <c r="CP44"/>
      <c r="CQ44"/>
      <c r="CX44" s="490"/>
      <c r="CY44" s="490"/>
      <c r="CZ44" s="490"/>
      <c r="DA44" s="490"/>
      <c r="DB44" s="490"/>
      <c r="DC44" s="490"/>
      <c r="DD44" s="490"/>
      <c r="DE44" s="490"/>
      <c r="DF44" s="490"/>
      <c r="DG44" s="490"/>
      <c r="DH44" s="490"/>
      <c r="DI44" s="490"/>
      <c r="DJ44" s="490"/>
      <c r="DK44" s="490"/>
      <c r="DL44" s="490"/>
      <c r="DM44" s="490"/>
      <c r="DN44" s="490"/>
      <c r="DO44" s="490"/>
    </row>
    <row r="45" spans="15:130" ht="15.75" customHeight="1">
      <c r="O45" s="369"/>
      <c r="AB45" s="345"/>
      <c r="AE45" s="312"/>
      <c r="AF45" s="312"/>
      <c r="AG45" s="312"/>
      <c r="AH45" s="312"/>
      <c r="AI45" s="312"/>
      <c r="AJ45" s="261" t="str">
        <f ca="1">M05S01AF01disp</f>
        <v>Required</v>
      </c>
      <c r="AQ45" s="260"/>
      <c r="BQ45"/>
      <c r="BR45"/>
      <c r="BS45"/>
      <c r="BT45"/>
      <c r="BU45"/>
      <c r="BV45"/>
      <c r="BW45"/>
      <c r="BX45"/>
      <c r="BY45"/>
      <c r="BZ45"/>
      <c r="CA45"/>
      <c r="CP45"/>
      <c r="CQ45"/>
    </row>
    <row r="46" spans="15:130" ht="15.75" customHeight="1" thickBot="1">
      <c r="O46" s="369"/>
      <c r="AB46" s="345" t="s">
        <v>1510</v>
      </c>
      <c r="AE46" s="885"/>
      <c r="AF46" s="886"/>
      <c r="AG46" s="886"/>
      <c r="AH46" s="886"/>
      <c r="AI46" s="886"/>
      <c r="AJ46" s="887"/>
      <c r="AQ46" s="260"/>
      <c r="BQ46"/>
      <c r="BR46"/>
      <c r="BS46"/>
      <c r="BT46"/>
      <c r="BU46"/>
      <c r="BV46"/>
      <c r="BW46"/>
      <c r="BX46"/>
      <c r="BY46"/>
      <c r="BZ46"/>
      <c r="CA46"/>
      <c r="CP46"/>
      <c r="CQ46"/>
    </row>
    <row r="47" spans="15:130" ht="15.75" customHeight="1">
      <c r="O47" s="369"/>
      <c r="AE47" s="312"/>
      <c r="AF47" s="312"/>
      <c r="AG47" s="312"/>
      <c r="AH47" s="312"/>
      <c r="AI47" s="312"/>
      <c r="AJ47" s="318"/>
      <c r="AQ47" s="260"/>
      <c r="BQ47"/>
      <c r="BR47"/>
      <c r="BS47"/>
      <c r="BT47"/>
      <c r="BU47"/>
      <c r="BV47"/>
      <c r="BW47"/>
      <c r="BX47"/>
      <c r="BY47"/>
      <c r="BZ47"/>
      <c r="CA47"/>
      <c r="CP47"/>
      <c r="CQ47"/>
    </row>
    <row r="48" spans="15:130" ht="15.75" customHeight="1">
      <c r="O48" s="369"/>
      <c r="P48" s="240"/>
      <c r="Q48" s="240"/>
      <c r="R48" s="240"/>
      <c r="S48" s="240"/>
      <c r="T48" s="240"/>
      <c r="U48" s="240"/>
      <c r="V48" s="240"/>
      <c r="W48" s="240"/>
      <c r="X48" s="240"/>
      <c r="Y48" s="240"/>
      <c r="AQ48" s="260"/>
      <c r="BQ48"/>
      <c r="BR48"/>
      <c r="BS48"/>
      <c r="BT48"/>
      <c r="BU48"/>
      <c r="BV48"/>
      <c r="BW48"/>
      <c r="BX48"/>
      <c r="BY48"/>
      <c r="BZ48"/>
      <c r="CA48"/>
      <c r="CP48"/>
      <c r="CQ48"/>
    </row>
    <row r="49" spans="15:95" ht="15.75" customHeight="1">
      <c r="O49" s="369"/>
      <c r="P49" s="892" t="s">
        <v>1496</v>
      </c>
      <c r="Q49" s="892"/>
      <c r="R49" s="892"/>
      <c r="S49" s="892"/>
      <c r="T49" s="892"/>
      <c r="U49" s="892"/>
      <c r="AE49" s="1114" t="s">
        <v>873</v>
      </c>
      <c r="AF49" s="1114"/>
      <c r="AG49" s="1114"/>
      <c r="AH49" s="1114"/>
      <c r="AI49" s="1114"/>
      <c r="AJ49" s="1114"/>
      <c r="AQ49" s="260"/>
      <c r="BQ49"/>
      <c r="BR49"/>
      <c r="BS49"/>
      <c r="BT49"/>
      <c r="BU49"/>
      <c r="BV49"/>
      <c r="BW49"/>
      <c r="BX49"/>
      <c r="BY49"/>
      <c r="BZ49"/>
      <c r="CA49"/>
      <c r="CP49"/>
      <c r="CQ49"/>
    </row>
    <row r="50" spans="15:95" ht="16.350000000000001" customHeight="1" thickBot="1">
      <c r="O50" s="369"/>
      <c r="P50" s="1108" t="str">
        <f>IFERROR(IF(M05S01AF01="Customer (Company)",  M02S03F01, IF(M05S01AF01="Customer (Site)", M02S03F01, IF(M05S01AF01="Trade Ally",M02S04F02,""))),"")</f>
        <v/>
      </c>
      <c r="Q50" s="1109"/>
      <c r="R50" s="1109"/>
      <c r="S50" s="1109"/>
      <c r="T50" s="1109"/>
      <c r="U50" s="1109"/>
      <c r="V50" s="1109"/>
      <c r="W50" s="1109"/>
      <c r="X50" s="1109"/>
      <c r="Y50" s="1109"/>
      <c r="Z50" s="1109"/>
      <c r="AA50" s="1109"/>
      <c r="AB50" s="1110"/>
      <c r="AE50" s="885"/>
      <c r="AF50" s="886"/>
      <c r="AG50" s="886"/>
      <c r="AH50" s="886"/>
      <c r="AI50" s="886"/>
      <c r="AJ50" s="886"/>
      <c r="AK50" s="886"/>
      <c r="AL50" s="887"/>
      <c r="AQ50" s="260"/>
      <c r="BQ50"/>
      <c r="BR50"/>
      <c r="BS50"/>
      <c r="BT50"/>
      <c r="BU50"/>
      <c r="BV50"/>
      <c r="BW50"/>
      <c r="BX50"/>
      <c r="BY50"/>
      <c r="BZ50"/>
      <c r="CA50"/>
    </row>
    <row r="51" spans="15:95" ht="16.350000000000001" customHeight="1">
      <c r="O51" s="369"/>
      <c r="P51" s="261"/>
      <c r="Q51" s="261"/>
      <c r="R51" s="261"/>
      <c r="S51" s="261"/>
      <c r="T51" s="261"/>
      <c r="U51" s="261"/>
      <c r="V51" s="261"/>
      <c r="W51" s="261"/>
      <c r="X51" s="261"/>
      <c r="Y51" s="261"/>
      <c r="Z51" s="261"/>
      <c r="AA51" s="261"/>
      <c r="AB51" s="261" t="str">
        <f ca="1">M05S01AF02disp</f>
        <v>Required</v>
      </c>
      <c r="AE51" s="346"/>
      <c r="AF51" s="346"/>
      <c r="AG51" s="346"/>
      <c r="AH51" s="346"/>
      <c r="AI51" s="346"/>
      <c r="AJ51" s="346"/>
      <c r="AK51" s="346"/>
      <c r="AL51" s="261" t="str">
        <f ca="1">M05S01AF03disp</f>
        <v>Required</v>
      </c>
      <c r="AQ51" s="260"/>
      <c r="BQ51"/>
      <c r="BR51"/>
      <c r="BS51"/>
      <c r="BT51"/>
      <c r="BU51"/>
      <c r="BV51"/>
      <c r="BW51"/>
      <c r="BX51"/>
      <c r="BY51"/>
      <c r="BZ51"/>
      <c r="CA51"/>
    </row>
    <row r="52" spans="15:95" ht="16.350000000000001" customHeight="1">
      <c r="O52" s="369"/>
      <c r="P52" s="312"/>
      <c r="Q52" s="312"/>
      <c r="R52" s="312"/>
      <c r="S52" s="312"/>
      <c r="T52" s="312"/>
      <c r="U52" s="312"/>
      <c r="AQ52" s="260"/>
      <c r="BQ52"/>
      <c r="BR52"/>
      <c r="BS52"/>
      <c r="BT52"/>
      <c r="BU52"/>
      <c r="BV52"/>
      <c r="BW52"/>
      <c r="BX52"/>
      <c r="BY52"/>
      <c r="BZ52"/>
      <c r="CA52"/>
    </row>
    <row r="53" spans="15:95" ht="16.350000000000001" customHeight="1">
      <c r="O53" s="369"/>
      <c r="AE53" s="892" t="s">
        <v>1511</v>
      </c>
      <c r="AF53" s="892"/>
      <c r="AG53" s="892"/>
      <c r="AH53" s="892"/>
      <c r="AI53" s="892"/>
      <c r="AJ53" s="892"/>
      <c r="AQ53" s="260"/>
      <c r="BQ53"/>
      <c r="BR53"/>
      <c r="BS53"/>
      <c r="BT53"/>
      <c r="BU53"/>
      <c r="BV53"/>
      <c r="BW53"/>
      <c r="BX53"/>
      <c r="BY53"/>
      <c r="BZ53"/>
      <c r="CA53"/>
    </row>
    <row r="54" spans="15:95" ht="16.350000000000001" customHeight="1" thickBot="1">
      <c r="O54" s="369"/>
      <c r="P54" s="272"/>
      <c r="Q54" s="272"/>
      <c r="R54" s="272"/>
      <c r="S54" s="272"/>
      <c r="T54" s="272"/>
      <c r="U54" s="272"/>
      <c r="V54" s="272"/>
      <c r="AC54" s="272"/>
      <c r="AE54" s="354"/>
      <c r="AF54" s="271" t="s">
        <v>1512</v>
      </c>
      <c r="AG54" s="1111"/>
      <c r="AH54" s="1112"/>
      <c r="AI54" s="1112"/>
      <c r="AJ54" s="1113"/>
      <c r="AQ54" s="260"/>
      <c r="BQ54"/>
      <c r="BR54"/>
      <c r="BS54"/>
      <c r="BT54"/>
      <c r="BU54"/>
      <c r="BV54"/>
      <c r="BW54"/>
      <c r="BX54"/>
      <c r="BY54"/>
      <c r="BZ54"/>
      <c r="CA54"/>
    </row>
    <row r="55" spans="15:95" ht="16.350000000000001" customHeight="1">
      <c r="O55" s="369"/>
      <c r="AE55" s="261" t="str">
        <f ca="1">M05S01AF04disp</f>
        <v>Required</v>
      </c>
      <c r="AF55" s="273"/>
      <c r="AG55" s="347"/>
      <c r="AH55" s="347"/>
      <c r="AI55" s="347"/>
      <c r="AJ55" s="261" t="str">
        <f ca="1">M05S01AF05disp</f>
        <v>Required</v>
      </c>
      <c r="AQ55" s="260"/>
      <c r="BQ55"/>
      <c r="BR55"/>
      <c r="BS55"/>
      <c r="BT55"/>
      <c r="BU55"/>
      <c r="BV55"/>
      <c r="BW55"/>
      <c r="BX55"/>
      <c r="BY55"/>
      <c r="BZ55"/>
      <c r="CA55"/>
    </row>
    <row r="56" spans="15:95" ht="16.350000000000001" customHeight="1">
      <c r="O56" s="369"/>
      <c r="AQ56" s="260"/>
      <c r="BA56"/>
      <c r="BB56"/>
      <c r="BC56"/>
      <c r="BD56"/>
      <c r="BE56"/>
      <c r="BF56"/>
      <c r="BG56"/>
      <c r="BH56"/>
      <c r="BI56"/>
      <c r="BJ56"/>
      <c r="BK56"/>
      <c r="BL56"/>
      <c r="BM56"/>
      <c r="BN56"/>
      <c r="BO56"/>
      <c r="BP56"/>
      <c r="BQ56"/>
      <c r="BR56"/>
      <c r="BS56"/>
      <c r="BT56"/>
      <c r="BU56"/>
      <c r="BV56"/>
      <c r="BW56"/>
      <c r="BX56"/>
      <c r="BY56"/>
      <c r="BZ56"/>
      <c r="CA56"/>
    </row>
    <row r="57" spans="15:95" ht="16.350000000000001" customHeight="1">
      <c r="O57" s="369"/>
      <c r="P57" s="1114" t="s">
        <v>1501</v>
      </c>
      <c r="Q57" s="1114"/>
      <c r="R57" s="1114"/>
      <c r="S57" s="1114"/>
      <c r="T57" s="1114"/>
      <c r="U57" s="1114"/>
      <c r="V57" s="283"/>
      <c r="W57" s="1114" t="s">
        <v>1502</v>
      </c>
      <c r="X57" s="1114"/>
      <c r="Y57" s="1114"/>
      <c r="Z57" s="1114"/>
      <c r="AA57" s="1114"/>
      <c r="AB57" s="1114"/>
      <c r="AE57" s="317" t="s">
        <v>1503</v>
      </c>
      <c r="AF57" s="317"/>
      <c r="AG57" s="317"/>
      <c r="AH57" s="317"/>
      <c r="AI57" s="317"/>
      <c r="AJ57" s="317"/>
      <c r="AK57" s="263"/>
      <c r="AL57" s="264"/>
      <c r="AM57" s="264"/>
      <c r="AN57" s="264"/>
      <c r="AO57" s="264"/>
      <c r="AP57" s="264"/>
      <c r="AQ57" s="260"/>
      <c r="BA57"/>
      <c r="BB57"/>
      <c r="BC57"/>
      <c r="BD57"/>
      <c r="BE57"/>
      <c r="BF57"/>
      <c r="BG57"/>
      <c r="BH57"/>
      <c r="BI57"/>
      <c r="BJ57"/>
      <c r="BK57"/>
      <c r="BL57"/>
      <c r="BM57"/>
      <c r="BN57"/>
      <c r="BO57"/>
      <c r="BP57"/>
      <c r="BQ57"/>
      <c r="BR57"/>
      <c r="BS57"/>
      <c r="BT57"/>
      <c r="BU57"/>
      <c r="BV57"/>
      <c r="BW57"/>
      <c r="BX57"/>
      <c r="BY57"/>
      <c r="BZ57"/>
      <c r="CA57"/>
    </row>
    <row r="58" spans="15:95" ht="16.350000000000001" customHeight="1" thickBot="1">
      <c r="O58" s="369"/>
      <c r="P58" s="885" t="str">
        <f>IFERROR(IF(M05S01AF01="Customer (Company)",  M02S03F03, IF(M05S01AF01="Customer (Site)",M02S03F13, IF(M05S01AF01="Trade Ally",M02S04F08,""))),"")</f>
        <v/>
      </c>
      <c r="Q58" s="886"/>
      <c r="R58" s="886"/>
      <c r="S58" s="886"/>
      <c r="T58" s="886"/>
      <c r="U58" s="887"/>
      <c r="V58" s="266"/>
      <c r="W58" s="885" t="str">
        <f>IFERROR(IF(M05S01AF01="Customer (Company)",  M02S03F04, IF(M05S01AF01="Customer (Site)",M02S03F14, IF(M05S01AF01="Trade Ally",M02S04F09,""))),"")</f>
        <v/>
      </c>
      <c r="X58" s="886"/>
      <c r="Y58" s="886"/>
      <c r="Z58" s="886"/>
      <c r="AA58" s="886"/>
      <c r="AB58" s="887"/>
      <c r="AE58" s="804" t="str">
        <f>IFERROR(IF(M05S01AF01="Customer (Company)",  M02S03F05, IF(M05S01AF01="Customer (Site)",M02S03F05, IF(M05S01AF01="Trade Ally",M02S04F03,""))),"")</f>
        <v/>
      </c>
      <c r="AF58" s="805"/>
      <c r="AG58" s="805"/>
      <c r="AH58" s="805"/>
      <c r="AI58" s="805"/>
      <c r="AJ58" s="805"/>
      <c r="AK58" s="805"/>
      <c r="AL58" s="805"/>
      <c r="AM58" s="805"/>
      <c r="AN58" s="805"/>
      <c r="AO58" s="805"/>
      <c r="AP58" s="806"/>
      <c r="AQ58" s="260"/>
      <c r="BA58"/>
      <c r="BB58"/>
      <c r="BC58"/>
      <c r="BD58"/>
      <c r="BE58"/>
      <c r="BF58"/>
      <c r="BG58"/>
      <c r="BH58"/>
      <c r="BI58"/>
      <c r="BJ58"/>
      <c r="BK58"/>
      <c r="BL58"/>
      <c r="BM58"/>
      <c r="BN58"/>
      <c r="BO58"/>
      <c r="BP58"/>
      <c r="BQ58"/>
      <c r="BR58"/>
      <c r="BS58"/>
      <c r="BT58"/>
      <c r="BU58"/>
      <c r="BV58"/>
      <c r="BW58"/>
      <c r="BX58"/>
      <c r="BY58"/>
      <c r="BZ58"/>
      <c r="CA58"/>
    </row>
    <row r="59" spans="15:95" ht="16.350000000000001" customHeight="1">
      <c r="O59" s="369"/>
      <c r="P59" s="346"/>
      <c r="Q59" s="346"/>
      <c r="R59" s="346"/>
      <c r="S59" s="346"/>
      <c r="T59" s="346"/>
      <c r="U59" s="261" t="str">
        <f ca="1">M05S01AF06disp</f>
        <v>Required</v>
      </c>
      <c r="V59" s="348"/>
      <c r="W59" s="346"/>
      <c r="X59" s="346"/>
      <c r="Y59" s="346"/>
      <c r="Z59" s="346"/>
      <c r="AA59" s="346"/>
      <c r="AB59" s="261" t="str">
        <f ca="1">M05S01AF07disp</f>
        <v>Required</v>
      </c>
      <c r="AE59" s="263"/>
      <c r="AF59" s="263"/>
      <c r="AG59" s="263"/>
      <c r="AH59" s="263"/>
      <c r="AI59" s="263"/>
      <c r="AJ59" s="263"/>
      <c r="AK59" s="265"/>
      <c r="AL59" s="263"/>
      <c r="AM59" s="263"/>
      <c r="AN59" s="263"/>
      <c r="AO59" s="263"/>
      <c r="AP59" s="261" t="str">
        <f ca="1">M05S01AF08disp</f>
        <v>Required</v>
      </c>
      <c r="AQ59" s="260"/>
      <c r="BA59"/>
      <c r="BB59"/>
      <c r="BC59"/>
      <c r="BD59"/>
      <c r="BE59"/>
      <c r="BF59"/>
      <c r="BG59"/>
      <c r="BH59"/>
      <c r="BI59"/>
      <c r="BJ59"/>
      <c r="BK59"/>
      <c r="BL59"/>
      <c r="BM59"/>
      <c r="BN59"/>
      <c r="BO59"/>
      <c r="BP59"/>
      <c r="BQ59"/>
      <c r="BR59"/>
      <c r="BS59"/>
      <c r="BT59"/>
      <c r="BU59"/>
      <c r="BV59"/>
      <c r="BW59"/>
      <c r="BX59"/>
      <c r="BY59"/>
      <c r="BZ59"/>
      <c r="CA59"/>
    </row>
    <row r="60" spans="15:95" ht="16.350000000000001" customHeight="1">
      <c r="O60" s="369"/>
      <c r="U60" s="266"/>
      <c r="AB60" s="266"/>
      <c r="AE60" s="264"/>
      <c r="AF60" s="264"/>
      <c r="AG60" s="264"/>
      <c r="AH60" s="264"/>
      <c r="AI60" s="264"/>
      <c r="AJ60" s="264"/>
      <c r="AK60" s="264"/>
      <c r="AL60" s="264"/>
      <c r="AM60" s="264"/>
      <c r="AN60" s="264"/>
      <c r="AO60" s="264"/>
      <c r="AP60" s="264"/>
      <c r="AQ60" s="260"/>
      <c r="BA60"/>
      <c r="BB60"/>
      <c r="BC60"/>
      <c r="BD60"/>
      <c r="BE60"/>
      <c r="BF60"/>
      <c r="BG60"/>
      <c r="BH60"/>
      <c r="BI60"/>
      <c r="BJ60"/>
      <c r="BK60"/>
      <c r="BL60"/>
      <c r="BM60"/>
      <c r="BN60"/>
      <c r="BO60"/>
      <c r="BP60"/>
      <c r="BQ60"/>
      <c r="BR60"/>
      <c r="BS60"/>
      <c r="BT60"/>
      <c r="BU60"/>
      <c r="BV60"/>
      <c r="BW60"/>
      <c r="BX60"/>
      <c r="BY60"/>
      <c r="BZ60"/>
      <c r="CA60"/>
    </row>
    <row r="61" spans="15:95" ht="16.350000000000001" customHeight="1">
      <c r="O61" s="369"/>
      <c r="P61" s="1114" t="s">
        <v>1508</v>
      </c>
      <c r="Q61" s="1114"/>
      <c r="R61" s="1114"/>
      <c r="S61" s="1114"/>
      <c r="T61" s="1114"/>
      <c r="U61" s="1114"/>
      <c r="W61" s="1114" t="s">
        <v>762</v>
      </c>
      <c r="X61" s="1114"/>
      <c r="Y61" s="1114"/>
      <c r="Z61" s="1114"/>
      <c r="AA61" s="1114"/>
      <c r="AB61" s="1114"/>
      <c r="AC61" s="272"/>
      <c r="AD61" s="272"/>
      <c r="AE61" s="317" t="s">
        <v>720</v>
      </c>
      <c r="AF61" s="317"/>
      <c r="AG61" s="317"/>
      <c r="AH61" s="317"/>
      <c r="AI61" s="317"/>
      <c r="AJ61" s="317"/>
      <c r="AK61" s="265"/>
      <c r="AL61" s="317" t="s">
        <v>721</v>
      </c>
      <c r="AM61" s="317"/>
      <c r="AN61" s="317"/>
      <c r="AO61" s="317" t="s">
        <v>722</v>
      </c>
      <c r="AQ61" s="260"/>
      <c r="BA61"/>
      <c r="BB61"/>
      <c r="BC61"/>
      <c r="BD61"/>
      <c r="BE61"/>
      <c r="BF61"/>
      <c r="BG61"/>
      <c r="BH61"/>
      <c r="BI61"/>
      <c r="BJ61"/>
      <c r="BK61"/>
      <c r="BL61"/>
      <c r="BM61"/>
      <c r="BN61"/>
      <c r="BO61"/>
      <c r="BP61"/>
      <c r="BQ61"/>
      <c r="BR61"/>
      <c r="BS61"/>
      <c r="BT61"/>
      <c r="BU61"/>
      <c r="BV61"/>
      <c r="BW61"/>
      <c r="BX61"/>
      <c r="BY61"/>
      <c r="BZ61"/>
      <c r="CA61"/>
    </row>
    <row r="62" spans="15:95" ht="16.350000000000001" customHeight="1" thickBot="1">
      <c r="O62" s="369"/>
      <c r="P62" s="888" t="str">
        <f>IFERROR(IF(M05S01AF01="Customer (Company)",  M02S03F07, IF(M05S01AF01="Customer (Site)",M02S03F16, IF(M05S01AF01="Trade Ally",M02S04F11,""))),"")</f>
        <v/>
      </c>
      <c r="Q62" s="889"/>
      <c r="R62" s="889"/>
      <c r="S62" s="889"/>
      <c r="T62" s="889"/>
      <c r="U62" s="890"/>
      <c r="V62" s="310"/>
      <c r="W62" s="891" t="str">
        <f>IFERROR(IF(M05S01AF01="Customer (Company)",  M02S03F08, IF(M05S01AF01="Customer (Site)",M02S03F17, IF(M05S01AF01="Trade Ally",M02S04F12,""))),"")</f>
        <v/>
      </c>
      <c r="X62" s="886"/>
      <c r="Y62" s="886"/>
      <c r="Z62" s="886"/>
      <c r="AA62" s="886"/>
      <c r="AB62" s="887"/>
      <c r="AE62" s="804" t="str">
        <f>IFERROR(IF(M05S01AF01="Customer (Company)",  M02S03F09, IF(M05S01AF01="Customer (Site)",M02S03F09, IF(M05S01AF01="Trade Ally",M02S04F05,""))),"")</f>
        <v/>
      </c>
      <c r="AF62" s="805"/>
      <c r="AG62" s="805"/>
      <c r="AH62" s="805"/>
      <c r="AI62" s="805"/>
      <c r="AJ62" s="806"/>
      <c r="AK62" s="263"/>
      <c r="AL62" s="804" t="str">
        <f>IFERROR(IF(M05S01AF01="Customer (Company)",  M02S03F10, IF(M05S01AF01="Customer (Site)",M02S03F10, IF(M05S01AF01="Trade Ally",M02S04F06,""))),"")</f>
        <v/>
      </c>
      <c r="AM62" s="806"/>
      <c r="AN62" s="319"/>
      <c r="AO62" s="862" t="str">
        <f>IFERROR(IF(M05S01AF01="Customer (Company)",  M02S03F11, IF(M05S01AF01="Customer (Site)",M02S03F11, IF(M05S01AF01="Trade Ally",M02S04F07,""))),"")</f>
        <v/>
      </c>
      <c r="AP62" s="863"/>
      <c r="AQ62" s="260"/>
      <c r="BA62"/>
      <c r="BB62"/>
      <c r="BC62"/>
      <c r="BD62"/>
      <c r="BE62"/>
      <c r="BF62"/>
      <c r="BG62"/>
      <c r="BH62"/>
      <c r="BI62"/>
      <c r="BJ62"/>
      <c r="BK62"/>
      <c r="BL62"/>
      <c r="BM62"/>
      <c r="BN62"/>
      <c r="BO62"/>
      <c r="BP62"/>
      <c r="BQ62"/>
      <c r="BR62"/>
      <c r="BS62"/>
      <c r="BT62"/>
      <c r="BU62"/>
      <c r="BV62"/>
      <c r="BW62"/>
      <c r="BX62"/>
      <c r="BY62"/>
      <c r="BZ62"/>
      <c r="CA62"/>
    </row>
    <row r="63" spans="15:95" ht="16.350000000000001" customHeight="1">
      <c r="O63" s="369"/>
      <c r="P63" s="349"/>
      <c r="Q63" s="349"/>
      <c r="R63" s="349"/>
      <c r="S63" s="349"/>
      <c r="T63" s="349"/>
      <c r="U63" s="261" t="str">
        <f ca="1">M05S01AF09disp</f>
        <v>Required</v>
      </c>
      <c r="V63" s="350"/>
      <c r="W63" s="346"/>
      <c r="X63" s="346"/>
      <c r="Y63" s="346"/>
      <c r="Z63" s="346"/>
      <c r="AA63" s="346"/>
      <c r="AB63" s="261" t="str">
        <f ca="1">M05S01AF10disp</f>
        <v>Required</v>
      </c>
      <c r="AE63" s="264"/>
      <c r="AF63" s="264"/>
      <c r="AG63" s="264"/>
      <c r="AH63" s="264"/>
      <c r="AI63" s="264"/>
      <c r="AJ63" s="261" t="str">
        <f ca="1">M05S01AF11disp</f>
        <v>Required</v>
      </c>
      <c r="AK63" s="269"/>
      <c r="AL63" s="269"/>
      <c r="AM63" s="261" t="str">
        <f ca="1">M05S01AF12disp</f>
        <v>Required</v>
      </c>
      <c r="AN63" s="269"/>
      <c r="AO63" s="269"/>
      <c r="AP63" s="261" t="str">
        <f ca="1">M05S01AF13disp</f>
        <v>Required</v>
      </c>
      <c r="AQ63" s="260"/>
      <c r="BA63"/>
      <c r="BB63"/>
      <c r="BC63"/>
      <c r="BD63"/>
      <c r="BE63"/>
      <c r="BF63"/>
      <c r="BG63"/>
      <c r="BH63"/>
      <c r="BI63"/>
      <c r="BJ63"/>
      <c r="BK63"/>
      <c r="BL63"/>
      <c r="BM63"/>
      <c r="BN63"/>
      <c r="BO63"/>
      <c r="BP63"/>
      <c r="BQ63"/>
      <c r="BR63"/>
      <c r="BS63"/>
      <c r="BT63"/>
      <c r="BU63"/>
      <c r="BV63"/>
      <c r="BW63"/>
      <c r="BX63"/>
      <c r="BY63"/>
      <c r="BZ63"/>
      <c r="CA63"/>
    </row>
    <row r="64" spans="15:95" ht="16.350000000000001" customHeight="1">
      <c r="O64" s="369"/>
      <c r="AQ64" s="260"/>
      <c r="BA64"/>
      <c r="BB64"/>
      <c r="BC64"/>
      <c r="BD64"/>
      <c r="BE64"/>
      <c r="BF64"/>
      <c r="BG64"/>
      <c r="BH64"/>
      <c r="BI64"/>
      <c r="BJ64"/>
      <c r="BK64"/>
      <c r="BL64"/>
      <c r="BM64"/>
      <c r="BN64"/>
      <c r="BO64"/>
      <c r="BP64"/>
      <c r="BQ64"/>
      <c r="BR64"/>
      <c r="BS64"/>
      <c r="BT64"/>
      <c r="BU64"/>
      <c r="BV64"/>
      <c r="BW64"/>
      <c r="BX64"/>
      <c r="BY64"/>
      <c r="BZ64"/>
      <c r="CA64"/>
    </row>
    <row r="65" spans="15:118" ht="16.350000000000001" customHeight="1">
      <c r="O65" s="369"/>
      <c r="P65" s="1145" t="s">
        <v>1513</v>
      </c>
      <c r="Q65" s="1145"/>
      <c r="R65" s="1145"/>
      <c r="S65" s="1145"/>
      <c r="T65" s="1145"/>
      <c r="U65" s="1145"/>
      <c r="V65" s="1145"/>
      <c r="W65" s="1145"/>
      <c r="X65" s="1145"/>
      <c r="Y65" s="1145"/>
      <c r="Z65" s="1145"/>
      <c r="AA65" s="1145"/>
      <c r="AB65" s="1145"/>
      <c r="AC65" s="1145"/>
      <c r="AD65" s="1145"/>
      <c r="AE65" s="1145"/>
      <c r="AF65" s="1145"/>
      <c r="AG65" s="1145"/>
      <c r="AH65" s="1145"/>
      <c r="AI65" s="1145"/>
      <c r="AJ65" s="1145"/>
      <c r="AK65" s="1145"/>
      <c r="AL65" s="1145"/>
      <c r="AM65" s="1145"/>
      <c r="AN65" s="1145"/>
      <c r="AO65" s="1145"/>
      <c r="AP65" s="1145"/>
      <c r="AQ65" s="260"/>
      <c r="BA65"/>
      <c r="BB65"/>
      <c r="BC65"/>
      <c r="BD65"/>
      <c r="BE65"/>
      <c r="BF65"/>
      <c r="BG65"/>
      <c r="BH65"/>
      <c r="BI65"/>
      <c r="BJ65"/>
      <c r="BK65"/>
      <c r="BL65"/>
      <c r="BM65"/>
      <c r="BN65"/>
      <c r="BO65"/>
      <c r="BP65"/>
      <c r="BQ65"/>
      <c r="BR65"/>
      <c r="BS65"/>
      <c r="BT65"/>
      <c r="BU65"/>
      <c r="BV65"/>
      <c r="BW65"/>
      <c r="BX65"/>
      <c r="BY65"/>
      <c r="BZ65"/>
      <c r="CA65"/>
    </row>
    <row r="66" spans="15:118" ht="16.350000000000001" customHeight="1">
      <c r="O66" s="369"/>
      <c r="P66" s="1136" t="s">
        <v>1514</v>
      </c>
      <c r="Q66" s="1137"/>
      <c r="R66" s="1137"/>
      <c r="S66" s="1137"/>
      <c r="T66" s="1137"/>
      <c r="U66" s="1137"/>
      <c r="V66" s="1137"/>
      <c r="W66" s="1137"/>
      <c r="X66" s="1137"/>
      <c r="Y66" s="1137"/>
      <c r="Z66" s="1137"/>
      <c r="AA66" s="1137"/>
      <c r="AB66" s="1137"/>
      <c r="AC66" s="1137"/>
      <c r="AD66" s="1137"/>
      <c r="AE66" s="1137"/>
      <c r="AF66" s="1137"/>
      <c r="AG66" s="1137"/>
      <c r="AH66" s="1137"/>
      <c r="AI66" s="1137"/>
      <c r="AJ66" s="1137"/>
      <c r="AK66" s="1137"/>
      <c r="AL66" s="1137"/>
      <c r="AM66" s="1137"/>
      <c r="AN66" s="1137"/>
      <c r="AO66" s="1137"/>
      <c r="AP66" s="1138"/>
      <c r="AQ66" s="274"/>
      <c r="BA66"/>
      <c r="BB66"/>
      <c r="BC66"/>
      <c r="BD66"/>
      <c r="BE66"/>
      <c r="BF66"/>
      <c r="BG66"/>
      <c r="BH66"/>
      <c r="BI66"/>
      <c r="BJ66"/>
      <c r="BK66"/>
      <c r="BL66"/>
      <c r="BM66"/>
      <c r="BN66"/>
      <c r="BO66"/>
      <c r="BP66"/>
      <c r="BQ66"/>
      <c r="BR66"/>
      <c r="BS66"/>
      <c r="BT66"/>
      <c r="BU66"/>
      <c r="BV66"/>
      <c r="BW66"/>
      <c r="BX66"/>
      <c r="BY66"/>
      <c r="BZ66"/>
      <c r="CA66"/>
    </row>
    <row r="67" spans="15:118" ht="16.350000000000001" customHeight="1">
      <c r="O67" s="369"/>
      <c r="P67" s="1139"/>
      <c r="Q67" s="1140"/>
      <c r="R67" s="1140"/>
      <c r="S67" s="1140"/>
      <c r="T67" s="1140"/>
      <c r="U67" s="1140"/>
      <c r="V67" s="1140"/>
      <c r="W67" s="1140"/>
      <c r="X67" s="1140"/>
      <c r="Y67" s="1140"/>
      <c r="Z67" s="1140"/>
      <c r="AA67" s="1140"/>
      <c r="AB67" s="1140"/>
      <c r="AC67" s="1140"/>
      <c r="AD67" s="1140"/>
      <c r="AE67" s="1140"/>
      <c r="AF67" s="1140"/>
      <c r="AG67" s="1140"/>
      <c r="AH67" s="1140"/>
      <c r="AI67" s="1140"/>
      <c r="AJ67" s="1140"/>
      <c r="AK67" s="1140"/>
      <c r="AL67" s="1140"/>
      <c r="AM67" s="1140"/>
      <c r="AN67" s="1140"/>
      <c r="AO67" s="1140"/>
      <c r="AP67" s="1141"/>
      <c r="AQ67" s="260"/>
      <c r="BA67"/>
      <c r="BB67"/>
      <c r="BC67"/>
      <c r="BD67"/>
      <c r="BE67"/>
      <c r="BF67"/>
      <c r="BG67"/>
      <c r="BH67"/>
      <c r="BI67"/>
      <c r="BJ67"/>
      <c r="BK67"/>
      <c r="BL67"/>
      <c r="BM67"/>
      <c r="BN67"/>
      <c r="BO67"/>
      <c r="BP67"/>
      <c r="BQ67"/>
      <c r="BR67"/>
      <c r="BS67"/>
      <c r="BT67"/>
      <c r="BU67"/>
      <c r="BV67"/>
      <c r="BW67"/>
      <c r="BX67"/>
      <c r="BY67"/>
      <c r="BZ67"/>
      <c r="CA67"/>
    </row>
    <row r="68" spans="15:118" ht="16.350000000000001" customHeight="1">
      <c r="O68" s="369"/>
      <c r="P68" s="1139"/>
      <c r="Q68" s="1140"/>
      <c r="R68" s="1140"/>
      <c r="S68" s="1140"/>
      <c r="T68" s="1140"/>
      <c r="U68" s="1140"/>
      <c r="V68" s="1140"/>
      <c r="W68" s="1140"/>
      <c r="X68" s="1140"/>
      <c r="Y68" s="1140"/>
      <c r="Z68" s="1140"/>
      <c r="AA68" s="1140"/>
      <c r="AB68" s="1140"/>
      <c r="AC68" s="1140"/>
      <c r="AD68" s="1140"/>
      <c r="AE68" s="1140"/>
      <c r="AF68" s="1140"/>
      <c r="AG68" s="1140"/>
      <c r="AH68" s="1140"/>
      <c r="AI68" s="1140"/>
      <c r="AJ68" s="1140"/>
      <c r="AK68" s="1140"/>
      <c r="AL68" s="1140"/>
      <c r="AM68" s="1140"/>
      <c r="AN68" s="1140"/>
      <c r="AO68" s="1140"/>
      <c r="AP68" s="1141"/>
      <c r="AQ68" s="260"/>
      <c r="BA68"/>
      <c r="BB68"/>
      <c r="BC68"/>
      <c r="BD68"/>
      <c r="BE68"/>
      <c r="BF68"/>
      <c r="BG68"/>
      <c r="BH68"/>
      <c r="BI68"/>
      <c r="BJ68"/>
      <c r="BK68"/>
      <c r="BL68"/>
      <c r="BM68"/>
      <c r="BN68"/>
      <c r="BO68"/>
      <c r="BP68"/>
      <c r="BQ68"/>
      <c r="BR68"/>
      <c r="BS68"/>
      <c r="BT68"/>
      <c r="BU68"/>
      <c r="BV68"/>
      <c r="BW68"/>
      <c r="BX68"/>
      <c r="BY68"/>
      <c r="BZ68"/>
      <c r="CA68"/>
    </row>
    <row r="69" spans="15:118" ht="16.350000000000001" customHeight="1">
      <c r="O69" s="369"/>
      <c r="P69" s="1142"/>
      <c r="Q69" s="1143"/>
      <c r="R69" s="1143"/>
      <c r="S69" s="1143"/>
      <c r="T69" s="1143"/>
      <c r="U69" s="1143"/>
      <c r="V69" s="1143"/>
      <c r="W69" s="1143"/>
      <c r="X69" s="1143"/>
      <c r="Y69" s="1143"/>
      <c r="Z69" s="1143"/>
      <c r="AA69" s="1143"/>
      <c r="AB69" s="1143"/>
      <c r="AC69" s="1143"/>
      <c r="AD69" s="1143"/>
      <c r="AE69" s="1143"/>
      <c r="AF69" s="1143"/>
      <c r="AG69" s="1143"/>
      <c r="AH69" s="1143"/>
      <c r="AI69" s="1143"/>
      <c r="AJ69" s="1143"/>
      <c r="AK69" s="1143"/>
      <c r="AL69" s="1143"/>
      <c r="AM69" s="1143"/>
      <c r="AN69" s="1143"/>
      <c r="AO69" s="1143"/>
      <c r="AP69" s="1144"/>
      <c r="AQ69" s="260"/>
      <c r="BA69"/>
      <c r="BB69"/>
      <c r="BC69"/>
      <c r="BD69"/>
      <c r="BE69"/>
      <c r="BF69"/>
      <c r="BG69"/>
      <c r="BH69"/>
      <c r="BI69"/>
      <c r="BJ69"/>
      <c r="BK69"/>
      <c r="BL69"/>
      <c r="BM69"/>
      <c r="BN69"/>
      <c r="BO69"/>
      <c r="BP69"/>
      <c r="BQ69"/>
      <c r="BR69"/>
      <c r="BS69"/>
      <c r="BT69"/>
      <c r="BU69"/>
      <c r="BV69"/>
      <c r="BW69"/>
      <c r="BX69"/>
      <c r="BY69"/>
      <c r="BZ69"/>
      <c r="CA69"/>
      <c r="DK69" s="272"/>
      <c r="DL69" s="272"/>
      <c r="DM69" s="272"/>
      <c r="DN69" s="272"/>
    </row>
    <row r="70" spans="15:118" ht="16.350000000000001" customHeight="1">
      <c r="O70" s="369"/>
      <c r="P70" s="352"/>
      <c r="Q70" s="352"/>
      <c r="R70" s="352"/>
      <c r="S70" s="352"/>
      <c r="T70" s="352"/>
      <c r="U70" s="352"/>
      <c r="V70" s="352"/>
      <c r="W70" s="352"/>
      <c r="X70" s="352"/>
      <c r="Y70" s="352"/>
      <c r="Z70" s="352"/>
      <c r="AA70" s="352"/>
      <c r="AB70" s="352"/>
      <c r="AC70" s="352"/>
      <c r="AD70" s="352"/>
      <c r="AE70" s="352"/>
      <c r="AF70" s="352"/>
      <c r="AG70" s="352"/>
      <c r="AH70" s="352"/>
      <c r="AI70" s="352"/>
      <c r="AJ70" s="352"/>
      <c r="AK70" s="352"/>
      <c r="AL70" s="352"/>
      <c r="AM70" s="352"/>
      <c r="AN70" s="352"/>
      <c r="AO70" s="352"/>
      <c r="AP70" s="352"/>
      <c r="AQ70" s="260"/>
      <c r="BA70"/>
      <c r="BB70"/>
      <c r="BC70"/>
      <c r="BD70"/>
      <c r="BE70"/>
      <c r="BF70"/>
      <c r="BG70"/>
      <c r="BH70"/>
      <c r="BI70"/>
      <c r="BJ70"/>
      <c r="BK70"/>
      <c r="BL70"/>
      <c r="BM70"/>
      <c r="BN70"/>
      <c r="BO70"/>
      <c r="BP70"/>
      <c r="BQ70"/>
      <c r="BR70"/>
      <c r="BS70"/>
      <c r="BT70"/>
      <c r="BU70"/>
      <c r="BV70"/>
      <c r="BW70"/>
      <c r="BX70"/>
      <c r="BY70"/>
      <c r="BZ70"/>
      <c r="CA70"/>
    </row>
    <row r="71" spans="15:118" ht="16.350000000000001" customHeight="1">
      <c r="O71" s="369"/>
      <c r="AQ71" s="260"/>
      <c r="BA71"/>
      <c r="BB71"/>
      <c r="BC71"/>
      <c r="BD71"/>
      <c r="BE71"/>
      <c r="BF71"/>
      <c r="BG71"/>
      <c r="BH71"/>
      <c r="BI71"/>
      <c r="BJ71"/>
      <c r="BK71"/>
      <c r="BL71"/>
      <c r="BM71"/>
      <c r="BN71"/>
      <c r="BO71"/>
      <c r="BP71"/>
      <c r="BQ71"/>
      <c r="BR71"/>
      <c r="BS71"/>
      <c r="BT71"/>
      <c r="BU71"/>
      <c r="BV71"/>
      <c r="BW71"/>
      <c r="BX71"/>
      <c r="BY71"/>
      <c r="BZ71"/>
      <c r="CA71"/>
    </row>
    <row r="72" spans="15:118" ht="16.350000000000001" customHeight="1">
      <c r="O72" s="369"/>
      <c r="U72" s="892" t="s">
        <v>768</v>
      </c>
      <c r="V72" s="892"/>
      <c r="W72" s="892"/>
      <c r="X72" s="892"/>
      <c r="Y72" s="892"/>
      <c r="Z72" s="892"/>
      <c r="AA72" s="892"/>
      <c r="AB72" s="892"/>
      <c r="AC72" s="892"/>
      <c r="AD72" s="892"/>
      <c r="AE72" s="892"/>
      <c r="AF72" s="892"/>
      <c r="AG72" s="892"/>
      <c r="AH72" s="892"/>
      <c r="AI72" s="892"/>
      <c r="AJ72" s="892"/>
      <c r="AK72" s="892"/>
      <c r="AL72" s="248"/>
      <c r="AQ72" s="260"/>
      <c r="BA72"/>
      <c r="BB72"/>
      <c r="BC72"/>
      <c r="BD72"/>
      <c r="BE72"/>
      <c r="BF72"/>
      <c r="BG72"/>
      <c r="BH72"/>
      <c r="BI72"/>
      <c r="BJ72"/>
      <c r="BK72"/>
      <c r="BL72"/>
      <c r="BM72"/>
      <c r="BN72"/>
      <c r="BO72"/>
      <c r="BP72"/>
      <c r="BQ72"/>
      <c r="BR72"/>
      <c r="BS72"/>
      <c r="BT72"/>
      <c r="BU72"/>
      <c r="BV72"/>
      <c r="BW72"/>
      <c r="BX72"/>
      <c r="BY72"/>
      <c r="BZ72"/>
      <c r="CA72"/>
    </row>
    <row r="73" spans="15:118" ht="16.350000000000001" customHeight="1" thickBot="1">
      <c r="O73" s="369"/>
      <c r="U73" s="913"/>
      <c r="V73" s="1124"/>
      <c r="W73" s="1124"/>
      <c r="X73" s="1124"/>
      <c r="Y73" s="1124"/>
      <c r="Z73" s="1124"/>
      <c r="AA73" s="1124"/>
      <c r="AB73" s="1124"/>
      <c r="AC73" s="1124"/>
      <c r="AD73" s="1124"/>
      <c r="AE73" s="1124"/>
      <c r="AF73" s="1124"/>
      <c r="AG73" s="1124"/>
      <c r="AH73" s="1124"/>
      <c r="AI73" s="1124"/>
      <c r="AJ73" s="1124"/>
      <c r="AK73" s="1124"/>
      <c r="AL73" s="914"/>
      <c r="AQ73" s="260"/>
      <c r="BA73"/>
      <c r="BB73"/>
      <c r="BC73"/>
      <c r="BD73"/>
      <c r="BE73"/>
      <c r="BF73"/>
      <c r="BG73"/>
      <c r="BH73"/>
      <c r="BI73"/>
      <c r="BJ73"/>
      <c r="BK73"/>
      <c r="BL73"/>
      <c r="BM73"/>
      <c r="BN73"/>
      <c r="BO73"/>
      <c r="BP73"/>
      <c r="BQ73"/>
      <c r="BR73"/>
      <c r="BS73"/>
      <c r="BT73"/>
      <c r="BU73"/>
      <c r="BV73"/>
      <c r="BW73"/>
      <c r="BX73"/>
      <c r="BY73"/>
      <c r="BZ73"/>
      <c r="CA73"/>
      <c r="CS73" s="272"/>
      <c r="CT73" s="272"/>
      <c r="CU73" s="272"/>
      <c r="CV73" s="272"/>
      <c r="CW73" s="272"/>
      <c r="CX73" s="272"/>
      <c r="CY73" s="272"/>
      <c r="CZ73" s="272"/>
      <c r="DA73" s="272"/>
      <c r="DB73" s="272"/>
      <c r="DC73" s="272"/>
      <c r="DD73" s="272"/>
      <c r="DE73" s="272"/>
      <c r="DF73" s="272"/>
      <c r="DG73" s="272"/>
      <c r="DH73" s="272"/>
      <c r="DI73" s="272"/>
      <c r="DJ73" s="272"/>
      <c r="DK73" s="272"/>
      <c r="DL73" s="272"/>
      <c r="DM73" s="272"/>
      <c r="DN73" s="272"/>
    </row>
    <row r="74" spans="15:118" ht="16.350000000000001" customHeight="1">
      <c r="O74" s="369"/>
      <c r="U74" s="261"/>
      <c r="V74" s="261"/>
      <c r="W74" s="261"/>
      <c r="X74" s="261"/>
      <c r="Y74" s="261"/>
      <c r="Z74" s="261"/>
      <c r="AA74" s="261"/>
      <c r="AB74" s="261"/>
      <c r="AC74" s="261"/>
      <c r="AD74" s="261"/>
      <c r="AE74" s="261"/>
      <c r="AF74" s="261"/>
      <c r="AG74" s="261"/>
      <c r="AH74" s="261"/>
      <c r="AI74" s="261"/>
      <c r="AJ74" s="261"/>
      <c r="AK74" s="261"/>
      <c r="AL74" s="261" t="str">
        <f ca="1">M05S01AF14disp</f>
        <v/>
      </c>
      <c r="AQ74" s="260"/>
      <c r="BA74"/>
      <c r="BB74"/>
      <c r="BC74"/>
      <c r="BD74"/>
      <c r="BE74"/>
      <c r="BF74"/>
      <c r="BG74"/>
      <c r="BH74"/>
      <c r="BI74"/>
      <c r="BJ74"/>
      <c r="BK74"/>
      <c r="BL74"/>
      <c r="BM74"/>
      <c r="BN74"/>
      <c r="BO74"/>
      <c r="BP74"/>
      <c r="BQ74"/>
      <c r="BR74"/>
      <c r="BS74"/>
      <c r="BT74"/>
      <c r="BU74"/>
      <c r="BV74"/>
      <c r="BW74"/>
      <c r="BX74"/>
      <c r="BY74"/>
      <c r="BZ74"/>
      <c r="CA74"/>
    </row>
    <row r="75" spans="15:118" ht="16.350000000000001" customHeight="1">
      <c r="O75" s="369"/>
      <c r="AF75" s="248"/>
      <c r="AG75" s="248"/>
      <c r="AH75" s="248"/>
      <c r="AI75" s="248"/>
      <c r="AJ75" s="248"/>
      <c r="AK75" s="248"/>
      <c r="AL75" s="248"/>
      <c r="AQ75" s="260"/>
      <c r="BA75"/>
      <c r="BB75"/>
      <c r="BC75"/>
      <c r="BD75"/>
      <c r="BE75"/>
      <c r="BF75"/>
      <c r="BG75"/>
      <c r="BH75"/>
      <c r="BI75"/>
      <c r="BJ75"/>
      <c r="BK75"/>
      <c r="BL75"/>
      <c r="BM75"/>
      <c r="BN75"/>
      <c r="BO75"/>
      <c r="BP75"/>
      <c r="BQ75"/>
      <c r="BR75"/>
      <c r="BS75"/>
      <c r="BT75"/>
      <c r="BU75"/>
      <c r="BV75"/>
      <c r="BW75"/>
      <c r="BX75"/>
      <c r="BY75"/>
      <c r="BZ75"/>
      <c r="CA75"/>
    </row>
    <row r="76" spans="15:118" ht="16.350000000000001" customHeight="1">
      <c r="O76" s="369"/>
      <c r="U76" s="892" t="s">
        <v>1515</v>
      </c>
      <c r="V76" s="892"/>
      <c r="W76" s="892"/>
      <c r="X76" s="892"/>
      <c r="Y76" s="892"/>
      <c r="Z76" s="892"/>
      <c r="AA76" s="892"/>
      <c r="AB76" s="892"/>
      <c r="AC76" s="892"/>
      <c r="AD76" s="892"/>
      <c r="AE76" s="892"/>
      <c r="AF76" s="892"/>
      <c r="AG76" s="892"/>
      <c r="AI76" s="892" t="s">
        <v>770</v>
      </c>
      <c r="AJ76" s="892"/>
      <c r="AK76" s="892"/>
      <c r="AL76" s="892"/>
      <c r="AQ76" s="260"/>
      <c r="BA76"/>
      <c r="BB76"/>
      <c r="BC76"/>
      <c r="BD76"/>
      <c r="BE76"/>
      <c r="BF76"/>
      <c r="BG76"/>
      <c r="BH76"/>
      <c r="BI76"/>
      <c r="BJ76"/>
      <c r="BK76"/>
      <c r="BL76"/>
      <c r="BM76"/>
      <c r="BN76"/>
      <c r="BO76"/>
      <c r="BP76"/>
      <c r="BQ76"/>
      <c r="BR76"/>
      <c r="BS76"/>
      <c r="BT76"/>
      <c r="BU76"/>
      <c r="BV76"/>
      <c r="BW76"/>
      <c r="BX76"/>
      <c r="BY76"/>
      <c r="BZ76"/>
      <c r="CA76"/>
    </row>
    <row r="77" spans="15:118" ht="16.350000000000001" customHeight="1" thickBot="1">
      <c r="O77" s="369"/>
      <c r="U77" s="885"/>
      <c r="V77" s="886"/>
      <c r="W77" s="886"/>
      <c r="X77" s="886"/>
      <c r="Y77" s="886"/>
      <c r="Z77" s="886"/>
      <c r="AA77" s="886"/>
      <c r="AB77" s="886"/>
      <c r="AC77" s="886"/>
      <c r="AD77" s="886"/>
      <c r="AE77" s="886"/>
      <c r="AF77" s="886"/>
      <c r="AG77" s="887"/>
      <c r="AI77" s="1121"/>
      <c r="AJ77" s="1122"/>
      <c r="AK77" s="1122"/>
      <c r="AL77" s="1123"/>
      <c r="AQ77" s="260"/>
      <c r="BA77"/>
      <c r="BB77"/>
      <c r="BC77"/>
      <c r="BD77"/>
      <c r="BE77"/>
      <c r="BF77"/>
      <c r="BG77"/>
      <c r="BH77"/>
      <c r="BI77"/>
      <c r="BJ77"/>
      <c r="BK77"/>
      <c r="BL77"/>
      <c r="BM77"/>
      <c r="BN77"/>
      <c r="BO77"/>
      <c r="BP77"/>
      <c r="BQ77"/>
      <c r="BR77"/>
      <c r="BS77"/>
      <c r="BT77"/>
      <c r="BU77"/>
      <c r="BV77"/>
      <c r="BW77"/>
      <c r="BX77"/>
      <c r="BY77"/>
      <c r="BZ77"/>
      <c r="CA77"/>
    </row>
    <row r="78" spans="15:118" ht="16.350000000000001" customHeight="1">
      <c r="O78" s="369"/>
      <c r="U78" s="283"/>
      <c r="V78" s="283"/>
      <c r="W78" s="283"/>
      <c r="X78" s="283"/>
      <c r="Y78" s="283"/>
      <c r="Z78" s="283"/>
      <c r="AA78" s="283"/>
      <c r="AB78" s="283"/>
      <c r="AC78" s="283"/>
      <c r="AD78" s="283"/>
      <c r="AE78" s="283"/>
      <c r="AF78" s="283"/>
      <c r="AG78" s="261" t="str">
        <f ca="1">M05S01AF15disp</f>
        <v/>
      </c>
      <c r="AI78" s="353"/>
      <c r="AJ78" s="353"/>
      <c r="AK78" s="353"/>
      <c r="AL78" s="261" t="str">
        <f ca="1">M05S01AF16disp</f>
        <v/>
      </c>
      <c r="AQ78" s="260"/>
      <c r="BA78"/>
      <c r="BB78"/>
      <c r="BC78"/>
      <c r="BD78"/>
      <c r="BE78"/>
      <c r="BF78"/>
      <c r="BG78"/>
      <c r="BH78"/>
      <c r="BI78"/>
      <c r="BJ78"/>
      <c r="BK78"/>
      <c r="BL78"/>
      <c r="BM78"/>
      <c r="BN78"/>
      <c r="BO78"/>
      <c r="BP78"/>
      <c r="BQ78"/>
      <c r="BR78"/>
      <c r="BS78"/>
      <c r="BT78"/>
      <c r="BU78"/>
      <c r="BV78"/>
      <c r="BW78"/>
      <c r="BX78"/>
      <c r="BY78"/>
      <c r="BZ78"/>
      <c r="CA78"/>
    </row>
    <row r="79" spans="15:118" ht="16.350000000000001" hidden="1" customHeight="1">
      <c r="O79" s="369"/>
      <c r="AQ79" s="260"/>
      <c r="BA79"/>
      <c r="BB79"/>
      <c r="BC79"/>
      <c r="BD79"/>
      <c r="BE79"/>
      <c r="BF79"/>
      <c r="BG79"/>
      <c r="BH79"/>
      <c r="BI79"/>
      <c r="BJ79"/>
      <c r="BK79"/>
      <c r="BL79"/>
      <c r="BM79"/>
      <c r="BN79"/>
      <c r="BO79"/>
      <c r="BP79"/>
      <c r="BQ79"/>
      <c r="BR79"/>
      <c r="BS79"/>
      <c r="BT79"/>
      <c r="BU79"/>
      <c r="BV79"/>
      <c r="BW79"/>
      <c r="BX79"/>
      <c r="BY79"/>
      <c r="BZ79"/>
      <c r="CA79"/>
    </row>
    <row r="80" spans="15:118" ht="16.350000000000001" hidden="1" customHeight="1">
      <c r="O80" s="369"/>
      <c r="AQ80" s="260"/>
      <c r="BA80"/>
      <c r="BB80"/>
      <c r="BC80"/>
      <c r="BD80"/>
      <c r="BE80"/>
      <c r="BF80"/>
      <c r="BG80"/>
      <c r="BH80"/>
      <c r="BI80"/>
      <c r="BJ80"/>
      <c r="BK80"/>
      <c r="BL80"/>
      <c r="BM80"/>
      <c r="BN80"/>
      <c r="BO80"/>
      <c r="BP80"/>
      <c r="BQ80"/>
      <c r="BR80"/>
      <c r="BS80"/>
      <c r="BT80"/>
      <c r="BU80"/>
      <c r="BV80"/>
      <c r="BW80"/>
      <c r="BX80"/>
      <c r="BY80"/>
      <c r="BZ80"/>
      <c r="CA80"/>
    </row>
    <row r="81" spans="15:79" ht="16.350000000000001" hidden="1" customHeight="1">
      <c r="O81" s="369"/>
      <c r="AQ81" s="260"/>
      <c r="BA81"/>
      <c r="BB81"/>
      <c r="BC81"/>
      <c r="BD81"/>
      <c r="BE81"/>
      <c r="BF81"/>
      <c r="BG81"/>
      <c r="BH81"/>
      <c r="BI81"/>
      <c r="BJ81"/>
      <c r="BK81"/>
      <c r="BL81"/>
      <c r="BM81"/>
      <c r="BN81"/>
      <c r="BO81"/>
      <c r="BP81"/>
      <c r="BQ81"/>
      <c r="BR81"/>
      <c r="BS81"/>
      <c r="BT81"/>
      <c r="BU81"/>
      <c r="BV81"/>
      <c r="BW81"/>
      <c r="BX81"/>
      <c r="BY81"/>
      <c r="BZ81"/>
      <c r="CA81"/>
    </row>
    <row r="82" spans="15:79" ht="16.350000000000001" hidden="1" customHeight="1">
      <c r="O82" s="369"/>
      <c r="AQ82" s="260"/>
      <c r="BA82"/>
      <c r="BB82"/>
      <c r="BC82"/>
      <c r="BD82"/>
      <c r="BE82"/>
      <c r="BF82"/>
      <c r="BG82"/>
      <c r="BH82"/>
      <c r="BI82"/>
      <c r="BJ82"/>
      <c r="BK82"/>
      <c r="BL82"/>
      <c r="BM82"/>
      <c r="BN82"/>
      <c r="BO82"/>
      <c r="BP82"/>
      <c r="BQ82"/>
      <c r="BR82"/>
      <c r="BS82"/>
      <c r="BT82"/>
      <c r="BU82"/>
      <c r="BV82"/>
      <c r="BW82"/>
      <c r="BX82"/>
      <c r="BY82"/>
      <c r="BZ82"/>
      <c r="CA82"/>
    </row>
    <row r="83" spans="15:79" ht="16.350000000000001" hidden="1" customHeight="1">
      <c r="O83" s="369"/>
      <c r="AQ83" s="260"/>
      <c r="BA83"/>
      <c r="BB83"/>
      <c r="BC83"/>
      <c r="BD83"/>
      <c r="BE83"/>
      <c r="BF83"/>
      <c r="BG83"/>
      <c r="BH83"/>
      <c r="BI83"/>
      <c r="BJ83"/>
      <c r="BK83"/>
      <c r="BL83"/>
      <c r="BM83"/>
      <c r="BN83"/>
      <c r="BO83"/>
      <c r="BP83"/>
      <c r="BQ83"/>
      <c r="BR83"/>
      <c r="BS83"/>
      <c r="BT83"/>
      <c r="BU83"/>
      <c r="BV83"/>
      <c r="BW83"/>
      <c r="BX83"/>
      <c r="BY83"/>
      <c r="BZ83"/>
      <c r="CA83"/>
    </row>
    <row r="84" spans="15:79" ht="16.350000000000001" hidden="1" customHeight="1">
      <c r="O84" s="369"/>
      <c r="AQ84" s="260"/>
      <c r="BA84"/>
      <c r="BB84"/>
      <c r="BC84"/>
      <c r="BD84"/>
      <c r="BE84"/>
      <c r="BF84"/>
      <c r="BG84"/>
      <c r="BH84"/>
      <c r="BI84"/>
      <c r="BJ84"/>
      <c r="BK84"/>
      <c r="BL84"/>
      <c r="BM84"/>
      <c r="BN84"/>
      <c r="BO84"/>
      <c r="BP84"/>
      <c r="BQ84"/>
      <c r="BR84"/>
      <c r="BS84"/>
      <c r="BT84"/>
      <c r="BU84"/>
      <c r="BV84"/>
      <c r="BW84"/>
      <c r="BX84"/>
      <c r="BY84"/>
      <c r="BZ84"/>
      <c r="CA84"/>
    </row>
    <row r="85" spans="15:79" ht="16.350000000000001" hidden="1" customHeight="1">
      <c r="O85" s="369"/>
      <c r="AQ85" s="260"/>
      <c r="BA85"/>
      <c r="BB85"/>
      <c r="BC85"/>
      <c r="BD85"/>
      <c r="BE85"/>
      <c r="BF85"/>
      <c r="BG85"/>
      <c r="BH85"/>
      <c r="BI85"/>
      <c r="BJ85"/>
      <c r="BK85"/>
      <c r="BL85"/>
      <c r="BM85"/>
      <c r="BN85"/>
      <c r="BO85"/>
      <c r="BP85"/>
      <c r="BQ85"/>
      <c r="BR85"/>
      <c r="BS85"/>
      <c r="BT85"/>
      <c r="BU85"/>
      <c r="BV85"/>
      <c r="BW85"/>
      <c r="BX85"/>
      <c r="BY85"/>
      <c r="BZ85"/>
      <c r="CA85"/>
    </row>
    <row r="86" spans="15:79" ht="16.350000000000001" hidden="1" customHeight="1">
      <c r="O86" s="369"/>
      <c r="AQ86" s="260"/>
      <c r="BA86"/>
      <c r="BB86"/>
      <c r="BC86"/>
      <c r="BD86"/>
      <c r="BE86"/>
      <c r="BF86"/>
      <c r="BG86"/>
      <c r="BH86"/>
      <c r="BI86"/>
      <c r="BJ86"/>
      <c r="BK86"/>
      <c r="BL86"/>
      <c r="BM86"/>
      <c r="BN86"/>
      <c r="BO86"/>
      <c r="BP86"/>
      <c r="BQ86"/>
      <c r="BR86"/>
      <c r="BS86"/>
      <c r="BT86"/>
      <c r="BU86"/>
      <c r="BV86"/>
      <c r="BW86"/>
      <c r="BX86"/>
      <c r="BY86"/>
      <c r="BZ86"/>
      <c r="CA86"/>
    </row>
    <row r="87" spans="15:79" ht="16.350000000000001" hidden="1" customHeight="1">
      <c r="O87" s="369"/>
      <c r="AQ87" s="260"/>
      <c r="BA87"/>
      <c r="BB87"/>
      <c r="BC87"/>
      <c r="BD87"/>
      <c r="BE87"/>
      <c r="BF87"/>
      <c r="BG87"/>
      <c r="BH87"/>
      <c r="BI87"/>
      <c r="BJ87"/>
      <c r="BK87"/>
      <c r="BL87"/>
      <c r="BM87"/>
      <c r="BN87"/>
      <c r="BO87"/>
      <c r="BP87"/>
      <c r="BQ87"/>
      <c r="BR87"/>
      <c r="BS87"/>
      <c r="BT87"/>
      <c r="BU87"/>
      <c r="BV87"/>
      <c r="BW87"/>
      <c r="BX87"/>
      <c r="BY87"/>
      <c r="BZ87"/>
      <c r="CA87"/>
    </row>
    <row r="88" spans="15:79" ht="16.350000000000001" hidden="1" customHeight="1">
      <c r="O88" s="369"/>
      <c r="AQ88" s="260"/>
      <c r="BA88"/>
      <c r="BB88"/>
      <c r="BC88"/>
      <c r="BD88"/>
      <c r="BE88"/>
      <c r="BF88"/>
      <c r="BG88"/>
      <c r="BH88"/>
      <c r="BI88"/>
      <c r="BJ88"/>
      <c r="BK88"/>
      <c r="BL88"/>
      <c r="BM88"/>
      <c r="BN88"/>
      <c r="BO88"/>
      <c r="BP88"/>
      <c r="BQ88"/>
      <c r="BR88"/>
      <c r="BS88"/>
      <c r="BT88"/>
      <c r="BU88"/>
      <c r="BV88"/>
      <c r="BW88"/>
      <c r="BX88"/>
      <c r="BY88"/>
      <c r="BZ88"/>
      <c r="CA88"/>
    </row>
    <row r="89" spans="15:79" ht="16.350000000000001" hidden="1" customHeight="1">
      <c r="O89" s="369"/>
      <c r="AQ89" s="260"/>
      <c r="BA89"/>
      <c r="BB89"/>
      <c r="BC89"/>
      <c r="BD89"/>
      <c r="BE89"/>
      <c r="BF89"/>
      <c r="BG89"/>
      <c r="BH89"/>
      <c r="BI89"/>
      <c r="BJ89"/>
      <c r="BK89"/>
      <c r="BL89"/>
      <c r="BM89"/>
      <c r="BN89"/>
      <c r="BO89"/>
      <c r="BP89"/>
      <c r="BQ89"/>
      <c r="BR89"/>
      <c r="BS89"/>
      <c r="BT89"/>
      <c r="BU89"/>
      <c r="BV89"/>
      <c r="BW89"/>
      <c r="BX89"/>
      <c r="BY89"/>
      <c r="BZ89"/>
      <c r="CA89"/>
    </row>
    <row r="90" spans="15:79" ht="16.350000000000001" hidden="1" customHeight="1">
      <c r="O90" s="369"/>
      <c r="AQ90" s="260"/>
      <c r="BA90"/>
      <c r="BB90"/>
      <c r="BC90"/>
      <c r="BD90"/>
      <c r="BE90"/>
      <c r="BF90"/>
      <c r="BG90"/>
      <c r="BH90"/>
      <c r="BI90"/>
      <c r="BJ90"/>
      <c r="BK90"/>
      <c r="BL90"/>
      <c r="BM90"/>
      <c r="BN90"/>
      <c r="BO90"/>
      <c r="BP90"/>
      <c r="BQ90"/>
      <c r="BR90"/>
      <c r="BS90"/>
      <c r="BT90"/>
      <c r="BU90"/>
      <c r="BV90"/>
      <c r="BW90"/>
      <c r="BX90"/>
      <c r="BY90"/>
      <c r="BZ90"/>
      <c r="CA90"/>
    </row>
    <row r="91" spans="15:79" ht="16.350000000000001" hidden="1" customHeight="1">
      <c r="O91" s="369"/>
      <c r="AQ91" s="260"/>
      <c r="BA91"/>
      <c r="BB91"/>
      <c r="BC91"/>
      <c r="BD91"/>
      <c r="BE91"/>
      <c r="BF91"/>
      <c r="BG91"/>
      <c r="BH91"/>
      <c r="BI91"/>
      <c r="BJ91"/>
      <c r="BK91"/>
      <c r="BL91"/>
      <c r="BM91"/>
      <c r="BN91"/>
      <c r="BO91"/>
      <c r="BP91"/>
      <c r="BQ91"/>
      <c r="BR91"/>
      <c r="BS91"/>
      <c r="BT91"/>
      <c r="BU91"/>
      <c r="BV91"/>
      <c r="BW91"/>
      <c r="BX91"/>
      <c r="BY91"/>
      <c r="BZ91"/>
      <c r="CA91"/>
    </row>
    <row r="92" spans="15:79" ht="16.350000000000001" hidden="1" customHeight="1">
      <c r="O92" s="369"/>
      <c r="AQ92" s="260"/>
      <c r="BA92"/>
      <c r="BB92"/>
      <c r="BC92"/>
      <c r="BD92"/>
      <c r="BE92"/>
      <c r="BF92"/>
      <c r="BG92"/>
      <c r="BH92"/>
      <c r="BI92"/>
      <c r="BJ92"/>
      <c r="BK92"/>
      <c r="BL92"/>
      <c r="BM92"/>
      <c r="BN92"/>
      <c r="BO92"/>
      <c r="BP92"/>
      <c r="BQ92"/>
      <c r="BR92"/>
      <c r="BS92"/>
      <c r="BT92"/>
      <c r="BU92"/>
      <c r="BV92"/>
      <c r="BW92"/>
      <c r="BX92"/>
      <c r="BY92"/>
      <c r="BZ92"/>
      <c r="CA92"/>
    </row>
    <row r="93" spans="15:79" ht="16.350000000000001" hidden="1" customHeight="1">
      <c r="O93" s="369"/>
      <c r="AQ93" s="260"/>
      <c r="BA93"/>
      <c r="BB93"/>
      <c r="BC93"/>
      <c r="BD93"/>
      <c r="BE93"/>
      <c r="BF93"/>
      <c r="BG93"/>
      <c r="BH93"/>
      <c r="BI93"/>
      <c r="BJ93"/>
      <c r="BK93"/>
      <c r="BL93"/>
      <c r="BM93"/>
      <c r="BN93"/>
      <c r="BO93"/>
      <c r="BP93"/>
      <c r="BQ93"/>
      <c r="BR93"/>
      <c r="BS93"/>
      <c r="BT93"/>
      <c r="BU93"/>
      <c r="BV93"/>
      <c r="BW93"/>
      <c r="BX93"/>
      <c r="BY93"/>
      <c r="BZ93"/>
      <c r="CA93"/>
    </row>
    <row r="94" spans="15:79" ht="16.350000000000001" hidden="1" customHeight="1">
      <c r="O94" s="369"/>
      <c r="AQ94" s="260"/>
      <c r="BA94"/>
      <c r="BB94"/>
      <c r="BC94"/>
      <c r="BD94"/>
      <c r="BE94"/>
      <c r="BF94"/>
      <c r="BG94"/>
      <c r="BH94"/>
      <c r="BI94"/>
      <c r="BJ94"/>
      <c r="BK94"/>
      <c r="BL94"/>
      <c r="BM94"/>
      <c r="BN94"/>
      <c r="BO94"/>
      <c r="BP94"/>
      <c r="BQ94"/>
      <c r="BR94"/>
      <c r="BS94"/>
      <c r="BT94"/>
      <c r="BU94"/>
      <c r="BV94"/>
      <c r="BW94"/>
      <c r="BX94"/>
      <c r="BY94"/>
      <c r="BZ94"/>
      <c r="CA94"/>
    </row>
    <row r="95" spans="15:79" ht="16.350000000000001" hidden="1" customHeight="1">
      <c r="O95" s="369"/>
      <c r="AQ95" s="260"/>
      <c r="BA95"/>
      <c r="BB95"/>
      <c r="BC95"/>
      <c r="BD95"/>
      <c r="BE95"/>
      <c r="BF95"/>
      <c r="BG95"/>
      <c r="BH95"/>
      <c r="BI95"/>
      <c r="BJ95"/>
      <c r="BK95"/>
      <c r="BL95"/>
      <c r="BM95"/>
      <c r="BN95"/>
      <c r="BO95"/>
      <c r="BP95"/>
      <c r="BQ95"/>
      <c r="BR95"/>
      <c r="BS95"/>
      <c r="BT95"/>
      <c r="BU95"/>
      <c r="BV95"/>
      <c r="BW95"/>
      <c r="BX95"/>
      <c r="BY95"/>
      <c r="BZ95"/>
      <c r="CA95"/>
    </row>
    <row r="96" spans="15:79" ht="16.350000000000001" hidden="1" customHeight="1">
      <c r="O96" s="369"/>
      <c r="AQ96" s="260"/>
      <c r="BA96"/>
      <c r="BB96"/>
      <c r="BC96"/>
      <c r="BD96"/>
      <c r="BE96"/>
      <c r="BF96"/>
      <c r="BG96"/>
      <c r="BH96"/>
      <c r="BI96"/>
      <c r="BJ96"/>
      <c r="BK96"/>
      <c r="BL96"/>
      <c r="BM96"/>
      <c r="BN96"/>
      <c r="BO96"/>
      <c r="BP96"/>
      <c r="BQ96"/>
      <c r="BR96"/>
      <c r="BS96"/>
      <c r="BT96"/>
      <c r="BU96"/>
      <c r="BV96"/>
      <c r="BW96"/>
      <c r="BX96"/>
      <c r="BY96"/>
      <c r="BZ96"/>
      <c r="CA96"/>
    </row>
    <row r="97" spans="15:79" ht="16.350000000000001" hidden="1" customHeight="1">
      <c r="O97" s="369"/>
      <c r="AQ97" s="260"/>
      <c r="BA97"/>
      <c r="BB97"/>
      <c r="BC97"/>
      <c r="BD97"/>
      <c r="BE97"/>
      <c r="BF97"/>
      <c r="BG97"/>
      <c r="BH97"/>
      <c r="BI97"/>
      <c r="BJ97"/>
      <c r="BK97"/>
      <c r="BL97"/>
      <c r="BM97"/>
      <c r="BN97"/>
      <c r="BO97"/>
      <c r="BP97"/>
      <c r="BQ97"/>
      <c r="BR97"/>
      <c r="BS97"/>
      <c r="BT97"/>
      <c r="BU97"/>
      <c r="BV97"/>
      <c r="BW97"/>
      <c r="BX97"/>
      <c r="BY97"/>
      <c r="BZ97"/>
      <c r="CA97"/>
    </row>
    <row r="98" spans="15:79" ht="16.350000000000001" hidden="1" customHeight="1">
      <c r="O98" s="369"/>
      <c r="AQ98" s="260"/>
      <c r="BA98"/>
      <c r="BB98"/>
      <c r="BC98"/>
      <c r="BD98"/>
      <c r="BE98"/>
      <c r="BF98"/>
      <c r="BG98"/>
      <c r="BH98"/>
      <c r="BI98"/>
      <c r="BJ98"/>
      <c r="BK98"/>
      <c r="BL98"/>
      <c r="BM98"/>
      <c r="BN98"/>
      <c r="BO98"/>
      <c r="BP98"/>
      <c r="BQ98"/>
      <c r="BR98"/>
      <c r="BS98"/>
      <c r="BT98"/>
      <c r="BU98"/>
      <c r="BV98"/>
      <c r="BW98"/>
      <c r="BX98"/>
      <c r="BY98"/>
      <c r="BZ98"/>
      <c r="CA98"/>
    </row>
    <row r="99" spans="15:79" ht="16.350000000000001" hidden="1" customHeight="1">
      <c r="O99" s="369"/>
      <c r="AQ99" s="260"/>
      <c r="BA99"/>
      <c r="BB99"/>
      <c r="BC99"/>
      <c r="BD99"/>
      <c r="BE99"/>
      <c r="BF99"/>
      <c r="BG99"/>
      <c r="BH99"/>
      <c r="BI99"/>
      <c r="BJ99"/>
      <c r="BK99"/>
      <c r="BL99"/>
      <c r="BM99"/>
      <c r="BN99"/>
      <c r="BO99"/>
      <c r="BP99"/>
      <c r="BQ99"/>
      <c r="BR99"/>
      <c r="BS99"/>
      <c r="BT99"/>
      <c r="BU99"/>
      <c r="BV99"/>
      <c r="BW99"/>
      <c r="BX99"/>
      <c r="BY99"/>
      <c r="BZ99"/>
      <c r="CA99"/>
    </row>
    <row r="100" spans="15:79" ht="16.350000000000001" hidden="1" customHeight="1" thickBot="1">
      <c r="O100" s="369"/>
      <c r="AQ100" s="260"/>
      <c r="BA100"/>
      <c r="BB100"/>
      <c r="BC100"/>
      <c r="BD100"/>
      <c r="BE100"/>
      <c r="BF100"/>
      <c r="BG100"/>
      <c r="BH100"/>
      <c r="BI100"/>
      <c r="BJ100"/>
      <c r="BK100"/>
      <c r="BL100"/>
      <c r="BM100"/>
      <c r="BN100"/>
      <c r="BO100"/>
      <c r="BP100"/>
      <c r="BQ100"/>
      <c r="BR100"/>
      <c r="BS100"/>
      <c r="BT100"/>
      <c r="BU100"/>
      <c r="BV100"/>
      <c r="BW100"/>
      <c r="BX100"/>
      <c r="BY100"/>
      <c r="BZ100"/>
      <c r="CA100"/>
    </row>
    <row r="101" spans="15:79" ht="16.350000000000001" hidden="1" customHeight="1">
      <c r="O101" s="369"/>
      <c r="P101" s="283"/>
      <c r="Q101" s="283"/>
      <c r="R101" s="283"/>
      <c r="S101" s="283"/>
      <c r="T101" s="283"/>
      <c r="U101" s="283"/>
      <c r="V101" s="283"/>
      <c r="W101" s="283"/>
      <c r="X101" s="283"/>
      <c r="Y101" s="283"/>
      <c r="Z101" s="283"/>
      <c r="AA101" s="261" t="str">
        <f ca="1">M05S01BF30disp</f>
        <v/>
      </c>
      <c r="AC101" s="283"/>
      <c r="AD101" s="283"/>
      <c r="AE101" s="283"/>
      <c r="AF101" s="283"/>
      <c r="AG101" s="283"/>
      <c r="AH101" s="283"/>
      <c r="AI101" s="283"/>
      <c r="AK101" s="261" t="str">
        <f ca="1">M05S01BF31disp</f>
        <v/>
      </c>
      <c r="AM101" s="353"/>
      <c r="AN101" s="353"/>
      <c r="AO101" s="353"/>
      <c r="AP101" s="261" t="str">
        <f ca="1">M05S01BF32disp</f>
        <v/>
      </c>
      <c r="AQ101" s="260"/>
      <c r="BA101"/>
      <c r="BB101"/>
      <c r="BC101"/>
      <c r="BD101"/>
      <c r="BE101"/>
      <c r="BF101"/>
      <c r="BG101"/>
      <c r="BH101"/>
      <c r="BI101"/>
      <c r="BJ101"/>
      <c r="BK101"/>
      <c r="BL101"/>
      <c r="BM101"/>
      <c r="BN101"/>
      <c r="BO101"/>
      <c r="BP101"/>
      <c r="BQ101"/>
      <c r="BR101"/>
      <c r="BS101"/>
      <c r="BT101"/>
      <c r="BU101"/>
      <c r="BV101"/>
      <c r="BW101"/>
      <c r="BX101"/>
      <c r="BY101"/>
      <c r="BZ101"/>
      <c r="CA101"/>
    </row>
    <row r="102" spans="15:79" ht="16.350000000000001" customHeight="1">
      <c r="O102" s="369"/>
      <c r="P102" s="283"/>
      <c r="Q102" s="283"/>
      <c r="R102" s="283"/>
      <c r="S102" s="283"/>
      <c r="T102" s="283"/>
      <c r="U102" s="283"/>
      <c r="V102" s="283"/>
      <c r="W102" s="283"/>
      <c r="X102" s="283"/>
      <c r="Y102" s="283"/>
      <c r="Z102" s="283"/>
      <c r="AA102" s="318"/>
      <c r="AC102" s="283"/>
      <c r="AD102" s="283"/>
      <c r="AE102" s="283"/>
      <c r="AF102" s="283"/>
      <c r="AG102" s="283"/>
      <c r="AH102" s="283"/>
      <c r="AI102" s="283"/>
      <c r="AK102" s="318"/>
      <c r="AM102" s="353"/>
      <c r="AN102" s="353"/>
      <c r="AO102" s="353"/>
      <c r="AP102" s="318"/>
      <c r="AQ102" s="260"/>
      <c r="BA102"/>
      <c r="BB102"/>
      <c r="BC102"/>
      <c r="BD102"/>
      <c r="BE102"/>
      <c r="BF102"/>
      <c r="BG102"/>
      <c r="BH102"/>
      <c r="BI102"/>
      <c r="BJ102"/>
      <c r="BK102"/>
      <c r="BL102"/>
      <c r="BM102"/>
      <c r="BN102"/>
      <c r="BO102"/>
      <c r="BP102"/>
      <c r="BQ102"/>
      <c r="BR102"/>
      <c r="BS102"/>
      <c r="BT102"/>
      <c r="BU102"/>
      <c r="BV102"/>
      <c r="BW102"/>
      <c r="BX102"/>
      <c r="BY102"/>
      <c r="BZ102"/>
      <c r="CA102"/>
    </row>
    <row r="103" spans="15:79" ht="16.350000000000001" customHeight="1">
      <c r="O103" s="369"/>
      <c r="P103" s="1125" t="str">
        <f>FOOT1&amp;"  • "&amp; FOOT2 &amp;" • "&amp;FOOT3</f>
        <v>PSE&amp;G C&amp;I Energy Efficiency Program  • 1-844-300-PSEG (7734) • PSEGenergysaver@TRCcompanies.com</v>
      </c>
      <c r="Q103" s="1125"/>
      <c r="R103" s="1125"/>
      <c r="S103" s="1125"/>
      <c r="T103" s="1125"/>
      <c r="U103" s="1125"/>
      <c r="V103" s="1125"/>
      <c r="W103" s="1125"/>
      <c r="X103" s="1125"/>
      <c r="Y103" s="1125"/>
      <c r="Z103" s="1125"/>
      <c r="AA103" s="1125"/>
      <c r="AB103" s="1125"/>
      <c r="AC103" s="1125"/>
      <c r="AD103" s="1125"/>
      <c r="AE103" s="1125"/>
      <c r="AF103" s="1125"/>
      <c r="AG103" s="1125"/>
      <c r="AH103" s="1125"/>
      <c r="AI103" s="1125"/>
      <c r="AJ103" s="1125"/>
      <c r="AK103" s="1125"/>
      <c r="AL103" s="1125"/>
      <c r="AM103" s="1125"/>
      <c r="AN103" s="1125"/>
      <c r="AO103" s="1125"/>
      <c r="AP103" s="1125"/>
      <c r="AQ103" s="260"/>
      <c r="BA103"/>
      <c r="BB103"/>
      <c r="BC103"/>
      <c r="BD103"/>
      <c r="BE103"/>
      <c r="BF103"/>
      <c r="BG103"/>
      <c r="BH103"/>
      <c r="BI103"/>
      <c r="BJ103"/>
      <c r="BK103"/>
      <c r="BL103"/>
      <c r="BM103"/>
      <c r="BN103"/>
      <c r="BO103"/>
      <c r="BP103"/>
      <c r="BQ103"/>
      <c r="BR103"/>
      <c r="BS103"/>
      <c r="BT103"/>
      <c r="BU103"/>
      <c r="BV103"/>
      <c r="BW103"/>
      <c r="BX103"/>
      <c r="BY103"/>
      <c r="BZ103"/>
      <c r="CA103"/>
    </row>
    <row r="104" spans="15:79" ht="16.350000000000001" customHeight="1">
      <c r="O104" s="369"/>
      <c r="P104" s="1125"/>
      <c r="Q104" s="1125"/>
      <c r="R104" s="1125"/>
      <c r="S104" s="1125"/>
      <c r="T104" s="1125"/>
      <c r="U104" s="1125"/>
      <c r="V104" s="1125"/>
      <c r="W104" s="1125"/>
      <c r="X104" s="1125"/>
      <c r="Y104" s="1125"/>
      <c r="Z104" s="1125"/>
      <c r="AA104" s="1125"/>
      <c r="AB104" s="1125"/>
      <c r="AC104" s="1125"/>
      <c r="AD104" s="1125"/>
      <c r="AE104" s="1125"/>
      <c r="AF104" s="1125"/>
      <c r="AG104" s="1125"/>
      <c r="AH104" s="1125"/>
      <c r="AI104" s="1125"/>
      <c r="AJ104" s="1125"/>
      <c r="AK104" s="1125"/>
      <c r="AL104" s="1125"/>
      <c r="AM104" s="1125"/>
      <c r="AN104" s="1125"/>
      <c r="AO104" s="1125"/>
      <c r="AP104" s="1125"/>
      <c r="AQ104" s="260"/>
      <c r="BA104"/>
      <c r="BB104"/>
      <c r="BC104"/>
      <c r="BD104"/>
      <c r="BE104"/>
      <c r="BF104"/>
      <c r="BG104"/>
      <c r="BH104"/>
      <c r="BI104"/>
      <c r="BJ104"/>
      <c r="BK104"/>
      <c r="BL104"/>
      <c r="BM104"/>
      <c r="BN104"/>
      <c r="BO104"/>
      <c r="BP104"/>
      <c r="BQ104"/>
      <c r="BR104"/>
      <c r="BS104"/>
      <c r="BT104"/>
      <c r="BU104"/>
      <c r="BV104"/>
      <c r="BW104"/>
      <c r="BX104"/>
      <c r="BY104"/>
      <c r="BZ104"/>
      <c r="CA104"/>
    </row>
    <row r="105" spans="15:79" ht="16.350000000000001" customHeight="1">
      <c r="O105" s="379"/>
      <c r="P105" s="380"/>
      <c r="Q105" s="380"/>
      <c r="R105" s="380"/>
      <c r="S105" s="380"/>
      <c r="T105" s="380"/>
      <c r="U105" s="380"/>
      <c r="V105" s="380"/>
      <c r="W105" s="380"/>
      <c r="X105" s="380"/>
      <c r="Y105" s="380"/>
      <c r="Z105" s="380"/>
      <c r="AA105" s="380"/>
      <c r="AB105" s="380"/>
      <c r="AC105" s="380"/>
      <c r="AD105" s="380"/>
      <c r="AE105" s="380"/>
      <c r="AF105" s="380"/>
      <c r="AG105" s="380"/>
      <c r="AH105" s="380"/>
      <c r="AI105" s="380"/>
      <c r="AJ105" s="380"/>
      <c r="AK105" s="380"/>
      <c r="AL105" s="380"/>
      <c r="AM105" s="380"/>
      <c r="AN105" s="380"/>
      <c r="AO105" s="380"/>
      <c r="AP105" s="380"/>
      <c r="AQ105" s="381"/>
      <c r="BA105"/>
      <c r="BB105"/>
      <c r="BC105"/>
      <c r="BD105"/>
      <c r="BE105"/>
      <c r="BF105"/>
      <c r="BG105"/>
      <c r="BH105"/>
      <c r="BI105"/>
      <c r="BJ105"/>
      <c r="BK105"/>
      <c r="BL105"/>
      <c r="BM105"/>
      <c r="BN105"/>
      <c r="BO105"/>
      <c r="BP105"/>
      <c r="BQ105"/>
      <c r="BR105"/>
      <c r="BS105"/>
      <c r="BT105"/>
      <c r="BU105"/>
      <c r="BV105"/>
      <c r="BW105"/>
      <c r="BX105"/>
      <c r="BY105"/>
      <c r="BZ105"/>
      <c r="CA105"/>
    </row>
    <row r="106" spans="15:79" ht="16.350000000000001" hidden="1" customHeight="1">
      <c r="BA106"/>
      <c r="BB106"/>
      <c r="BC106"/>
      <c r="BD106"/>
      <c r="BE106"/>
      <c r="BF106"/>
      <c r="BG106"/>
      <c r="BH106"/>
      <c r="BI106"/>
      <c r="BJ106"/>
      <c r="BK106"/>
      <c r="BL106"/>
      <c r="BM106"/>
      <c r="BN106"/>
      <c r="BO106"/>
      <c r="BP106"/>
      <c r="BQ106"/>
      <c r="BR106"/>
      <c r="BS106"/>
      <c r="BT106"/>
      <c r="BU106"/>
      <c r="BV106"/>
      <c r="BW106"/>
      <c r="BX106"/>
      <c r="BY106"/>
      <c r="BZ106"/>
      <c r="CA106"/>
    </row>
    <row r="107" spans="15:79" ht="16.350000000000001" hidden="1" customHeight="1">
      <c r="BA107"/>
      <c r="BB107"/>
      <c r="BC107"/>
      <c r="BD107"/>
      <c r="BE107"/>
      <c r="BF107"/>
      <c r="BG107"/>
      <c r="BH107"/>
      <c r="BI107"/>
      <c r="BJ107"/>
      <c r="BK107"/>
      <c r="BL107"/>
      <c r="BM107"/>
      <c r="BN107"/>
      <c r="BO107"/>
      <c r="BP107"/>
      <c r="BQ107"/>
      <c r="BR107"/>
      <c r="BS107"/>
      <c r="BT107"/>
      <c r="BU107"/>
      <c r="BV107"/>
      <c r="BW107"/>
      <c r="BX107"/>
      <c r="BY107"/>
      <c r="BZ107"/>
      <c r="CA107"/>
    </row>
    <row r="108" spans="15:79" ht="16.350000000000001" hidden="1" customHeight="1">
      <c r="BA108"/>
      <c r="BB108"/>
      <c r="BC108"/>
      <c r="BD108"/>
      <c r="BE108"/>
      <c r="BF108"/>
      <c r="BG108"/>
      <c r="BH108"/>
      <c r="BI108"/>
      <c r="BJ108"/>
      <c r="BK108"/>
      <c r="BL108"/>
      <c r="BM108"/>
      <c r="BN108"/>
      <c r="BO108"/>
      <c r="BP108"/>
      <c r="BQ108"/>
      <c r="BR108"/>
      <c r="BS108"/>
      <c r="BT108"/>
      <c r="BU108"/>
      <c r="BV108"/>
      <c r="BW108"/>
      <c r="BX108"/>
      <c r="BY108"/>
      <c r="BZ108"/>
      <c r="CA108"/>
    </row>
    <row r="109" spans="15:79" ht="16.350000000000001" hidden="1" customHeight="1">
      <c r="BA109"/>
      <c r="BB109"/>
      <c r="BC109"/>
      <c r="BD109"/>
      <c r="BE109"/>
      <c r="BF109"/>
      <c r="BG109"/>
      <c r="BH109"/>
      <c r="BI109"/>
      <c r="BJ109"/>
      <c r="BK109"/>
      <c r="BL109"/>
      <c r="BM109"/>
      <c r="BN109"/>
      <c r="BO109"/>
      <c r="BP109"/>
      <c r="BQ109"/>
      <c r="BR109"/>
      <c r="BS109"/>
      <c r="BT109"/>
      <c r="BU109"/>
      <c r="BV109"/>
      <c r="BW109"/>
      <c r="BX109"/>
      <c r="BY109"/>
      <c r="BZ109"/>
      <c r="CA109"/>
    </row>
    <row r="110" spans="15:79" ht="16.350000000000001" hidden="1" customHeight="1">
      <c r="BA110"/>
      <c r="BB110"/>
      <c r="BC110"/>
      <c r="BD110"/>
      <c r="BE110"/>
      <c r="BF110"/>
      <c r="BG110"/>
      <c r="BH110"/>
      <c r="BI110"/>
      <c r="BJ110"/>
      <c r="BK110"/>
      <c r="BL110"/>
      <c r="BM110"/>
      <c r="BN110"/>
      <c r="BO110"/>
      <c r="BP110"/>
      <c r="BQ110"/>
      <c r="BR110"/>
      <c r="BS110"/>
      <c r="BT110"/>
      <c r="BU110"/>
      <c r="BV110"/>
      <c r="BW110"/>
      <c r="BX110"/>
      <c r="BY110"/>
      <c r="BZ110"/>
      <c r="CA110"/>
    </row>
    <row r="111" spans="15:79" ht="16.350000000000001" hidden="1" customHeight="1">
      <c r="BA111"/>
      <c r="BB111"/>
      <c r="BC111"/>
      <c r="BD111"/>
      <c r="BE111"/>
      <c r="BF111"/>
      <c r="BG111"/>
      <c r="BH111"/>
      <c r="BI111"/>
      <c r="BJ111"/>
      <c r="BK111"/>
      <c r="BL111"/>
      <c r="BM111"/>
      <c r="BN111"/>
      <c r="BO111"/>
      <c r="BP111"/>
      <c r="BQ111"/>
      <c r="BR111"/>
      <c r="BS111"/>
      <c r="BT111"/>
      <c r="BU111"/>
      <c r="BV111"/>
      <c r="BW111"/>
      <c r="BX111"/>
      <c r="BY111"/>
      <c r="BZ111"/>
      <c r="CA111"/>
    </row>
    <row r="193" spans="1:59" ht="16.350000000000001" customHeight="1"/>
    <row r="194" spans="1:59" ht="16.350000000000001" customHeight="1"/>
    <row r="196" spans="1:59" ht="16.350000000000001" hidden="1" customHeight="1">
      <c r="M196" s="879"/>
      <c r="N196" s="879"/>
      <c r="O196" s="879"/>
      <c r="P196" s="879"/>
      <c r="Q196" s="879"/>
      <c r="R196" s="879"/>
      <c r="S196" s="879"/>
      <c r="T196" s="879"/>
      <c r="U196" s="879"/>
      <c r="V196" s="879"/>
      <c r="W196" s="879"/>
      <c r="X196" s="879"/>
      <c r="Y196" s="879"/>
      <c r="Z196" s="879"/>
      <c r="AA196" s="879"/>
      <c r="AB196" s="879"/>
      <c r="AC196" s="879"/>
      <c r="AD196" s="879"/>
      <c r="AE196" s="879"/>
      <c r="AF196" s="879"/>
      <c r="AG196" s="879"/>
      <c r="AH196" s="879"/>
      <c r="AI196" s="879"/>
      <c r="AJ196" s="879"/>
      <c r="AK196" s="879"/>
      <c r="AL196" s="879"/>
      <c r="AM196" s="879"/>
      <c r="AN196" s="879"/>
      <c r="AO196" s="879"/>
      <c r="AP196" s="879"/>
      <c r="AQ196" s="879"/>
      <c r="AR196" s="879"/>
      <c r="AS196" s="879"/>
      <c r="AT196" s="879"/>
      <c r="AU196" s="879"/>
    </row>
    <row r="197" spans="1:59" ht="16.350000000000001" hidden="1" customHeight="1">
      <c r="M197" s="879"/>
      <c r="N197" s="879"/>
      <c r="O197" s="879"/>
      <c r="P197" s="879"/>
      <c r="Q197" s="879"/>
      <c r="R197" s="879"/>
      <c r="S197" s="879"/>
      <c r="T197" s="879"/>
      <c r="U197" s="879"/>
      <c r="V197" s="879"/>
      <c r="W197" s="879"/>
      <c r="X197" s="879"/>
      <c r="Y197" s="879"/>
      <c r="Z197" s="879"/>
      <c r="AA197" s="879"/>
      <c r="AB197" s="879"/>
      <c r="AC197" s="879"/>
      <c r="AD197" s="879"/>
      <c r="AE197" s="879"/>
      <c r="AF197" s="879"/>
      <c r="AG197" s="879"/>
      <c r="AH197" s="879"/>
      <c r="AI197" s="879"/>
      <c r="AJ197" s="879"/>
      <c r="AK197" s="879"/>
      <c r="AL197" s="879"/>
      <c r="AM197" s="879"/>
      <c r="AN197" s="879"/>
      <c r="AO197" s="879"/>
      <c r="AP197" s="879"/>
      <c r="AQ197" s="879"/>
      <c r="AR197" s="879"/>
      <c r="AS197" s="879"/>
      <c r="AT197" s="879"/>
      <c r="AU197" s="879"/>
    </row>
    <row r="198" spans="1:59" ht="16.350000000000001" hidden="1" customHeight="1">
      <c r="M198" s="238"/>
      <c r="N198" s="238"/>
      <c r="O198" s="238"/>
      <c r="P198" s="238"/>
      <c r="Q198" s="238"/>
      <c r="R198" s="238"/>
      <c r="S198" s="238"/>
      <c r="T198" s="238"/>
      <c r="U198" s="238"/>
      <c r="V198" s="238"/>
      <c r="W198" s="238"/>
      <c r="X198" s="238"/>
      <c r="Y198" s="238"/>
      <c r="Z198" s="238"/>
      <c r="AA198" s="238"/>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row>
    <row r="199" spans="1:59" ht="16.350000000000001" hidden="1" customHeight="1">
      <c r="M199" s="238"/>
      <c r="N199" s="238"/>
      <c r="O199" s="238"/>
      <c r="P199" s="238"/>
      <c r="Q199" s="238"/>
      <c r="R199" s="238"/>
      <c r="S199" s="238"/>
      <c r="T199" s="238"/>
      <c r="U199" s="238"/>
      <c r="V199" s="238"/>
      <c r="W199" s="238"/>
      <c r="X199" s="238"/>
      <c r="Y199" s="238"/>
      <c r="Z199" s="238"/>
      <c r="AA199" s="238"/>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row>
    <row r="200" spans="1:59" ht="16.350000000000001" hidden="1" customHeight="1">
      <c r="M200" s="879"/>
      <c r="N200" s="879"/>
      <c r="O200" s="879"/>
      <c r="P200" s="879"/>
      <c r="Q200" s="879"/>
      <c r="R200" s="879"/>
      <c r="S200" s="879"/>
      <c r="T200" s="879"/>
      <c r="U200" s="879"/>
      <c r="V200" s="879"/>
      <c r="W200" s="879"/>
      <c r="X200" s="879"/>
      <c r="Y200" s="879"/>
      <c r="Z200" s="879"/>
      <c r="AA200" s="879"/>
      <c r="AB200" s="879"/>
      <c r="AC200" s="879"/>
      <c r="AD200" s="879"/>
      <c r="AE200" s="879"/>
      <c r="AF200" s="879"/>
      <c r="AG200" s="879"/>
      <c r="AH200" s="879"/>
      <c r="AI200" s="879"/>
      <c r="AJ200" s="879"/>
      <c r="AK200" s="879"/>
      <c r="AL200" s="879"/>
      <c r="AM200" s="879"/>
      <c r="AN200" s="879"/>
      <c r="AO200" s="879"/>
      <c r="AP200" s="879"/>
      <c r="AQ200" s="879"/>
      <c r="AR200" s="879"/>
      <c r="AS200" s="879"/>
      <c r="AT200" s="879"/>
      <c r="AU200" s="879"/>
      <c r="AV200" s="879"/>
    </row>
    <row r="201" spans="1:59" ht="16.350000000000001" customHeight="1"/>
    <row r="202" spans="1:59" ht="16.350000000000001" customHeight="1">
      <c r="A202" s="504"/>
      <c r="B202" s="504" t="str">
        <f>FOOT1</f>
        <v>PSE&amp;G C&amp;I Energy Efficiency Program</v>
      </c>
      <c r="C202" s="504"/>
      <c r="D202" s="504"/>
      <c r="E202" s="504"/>
      <c r="F202" s="504"/>
      <c r="G202" s="504"/>
      <c r="H202" s="504"/>
      <c r="I202" s="504"/>
      <c r="J202" s="504"/>
      <c r="K202" s="504"/>
      <c r="L202" s="504"/>
      <c r="M202" s="504"/>
      <c r="N202" s="504"/>
      <c r="O202" s="504"/>
      <c r="P202" s="504"/>
      <c r="Q202" s="504"/>
      <c r="R202" s="721" t="s">
        <v>137</v>
      </c>
      <c r="S202" s="721"/>
      <c r="T202" s="721"/>
      <c r="U202" s="721"/>
      <c r="V202" s="721"/>
      <c r="W202" s="721"/>
      <c r="X202" s="721"/>
      <c r="Y202" s="721"/>
      <c r="Z202" s="721"/>
      <c r="AA202" s="721"/>
      <c r="AB202" s="721"/>
      <c r="AC202" s="721"/>
      <c r="AD202" s="721"/>
      <c r="AE202" s="721"/>
      <c r="AF202" s="721"/>
      <c r="AG202" s="721"/>
      <c r="AH202" s="721"/>
      <c r="AI202" s="721"/>
      <c r="AJ202" s="721"/>
      <c r="AK202" s="721"/>
      <c r="AL202" s="721"/>
      <c r="AM202" s="721"/>
      <c r="AN202" s="721"/>
      <c r="AO202" s="721"/>
      <c r="AP202" s="721"/>
      <c r="AQ202" s="721"/>
      <c r="AR202" s="721"/>
      <c r="AS202" s="504"/>
      <c r="AT202" s="504"/>
      <c r="AU202" s="504"/>
      <c r="AV202" s="504"/>
      <c r="AW202" s="504"/>
      <c r="AX202" s="504"/>
      <c r="AY202" s="504"/>
      <c r="AZ202" s="504"/>
      <c r="BA202" s="504"/>
      <c r="BB202" s="504"/>
      <c r="BC202" s="504"/>
      <c r="BD202" s="504"/>
      <c r="BE202" s="701"/>
      <c r="BF202" s="701" t="str">
        <f>FOOT4</f>
        <v>Engineered Solutions Tier 2 Advance Custom Incentive Application</v>
      </c>
      <c r="BG202" s="521"/>
    </row>
    <row r="203" spans="1:59" ht="16.350000000000001" customHeight="1">
      <c r="A203" s="504"/>
      <c r="B203" s="504" t="str">
        <f>FOOT2</f>
        <v>1-844-300-PSEG (7734)</v>
      </c>
      <c r="C203" s="504"/>
      <c r="D203" s="504"/>
      <c r="E203" s="504"/>
      <c r="F203" s="504"/>
      <c r="G203" s="504"/>
      <c r="H203" s="504"/>
      <c r="I203" s="504"/>
      <c r="J203" s="504"/>
      <c r="K203" s="504"/>
      <c r="L203" s="504"/>
      <c r="M203" s="504"/>
      <c r="N203" s="504"/>
      <c r="O203" s="504"/>
      <c r="P203" s="504"/>
      <c r="Q203" s="504"/>
      <c r="R203" s="721"/>
      <c r="S203" s="721"/>
      <c r="T203" s="721"/>
      <c r="U203" s="721"/>
      <c r="V203" s="721"/>
      <c r="W203" s="721"/>
      <c r="X203" s="721"/>
      <c r="Y203" s="721"/>
      <c r="Z203" s="721"/>
      <c r="AA203" s="721"/>
      <c r="AB203" s="721"/>
      <c r="AC203" s="721"/>
      <c r="AD203" s="721"/>
      <c r="AE203" s="721"/>
      <c r="AF203" s="721"/>
      <c r="AG203" s="721"/>
      <c r="AH203" s="721"/>
      <c r="AI203" s="721"/>
      <c r="AJ203" s="721"/>
      <c r="AK203" s="721"/>
      <c r="AL203" s="721"/>
      <c r="AM203" s="721"/>
      <c r="AN203" s="721"/>
      <c r="AO203" s="721"/>
      <c r="AP203" s="721"/>
      <c r="AQ203" s="721"/>
      <c r="AR203" s="721"/>
      <c r="AS203" s="504"/>
      <c r="AT203" s="504"/>
      <c r="AU203" s="504"/>
      <c r="AV203" s="504"/>
      <c r="AW203" s="504"/>
      <c r="AX203" s="504"/>
      <c r="AY203" s="504"/>
      <c r="AZ203" s="504"/>
      <c r="BA203" s="504"/>
      <c r="BB203" s="504"/>
      <c r="BC203" s="504"/>
      <c r="BD203" s="504"/>
      <c r="BE203" s="701"/>
      <c r="BF203" s="701"/>
      <c r="BG203" s="521"/>
    </row>
    <row r="204" spans="1:59" ht="16.350000000000001" customHeight="1">
      <c r="A204" s="504"/>
      <c r="B204" s="504" t="str">
        <f>FOOT3</f>
        <v>PSEGenergysaver@TRCcompanies.com</v>
      </c>
      <c r="C204" s="504"/>
      <c r="D204" s="504"/>
      <c r="E204" s="504"/>
      <c r="F204" s="504"/>
      <c r="G204" s="504"/>
      <c r="H204" s="504"/>
      <c r="I204" s="504"/>
      <c r="J204" s="504"/>
      <c r="K204" s="504"/>
      <c r="L204" s="504"/>
      <c r="M204" s="504"/>
      <c r="N204" s="504"/>
      <c r="O204" s="504"/>
      <c r="P204" s="504"/>
      <c r="Q204" s="504"/>
      <c r="R204" s="504"/>
      <c r="S204" s="504"/>
      <c r="T204" s="504"/>
      <c r="U204" s="504"/>
      <c r="V204" s="504"/>
      <c r="W204" s="504"/>
      <c r="X204" s="504"/>
      <c r="Y204" s="504"/>
      <c r="Z204" s="504"/>
      <c r="AA204" s="504"/>
      <c r="AB204" s="504"/>
      <c r="AC204" s="504"/>
      <c r="AD204" s="702" t="str">
        <f>VERSION</f>
        <v>V1.0          Effective Date 1/1/25</v>
      </c>
      <c r="AE204" s="504"/>
      <c r="AF204" s="504"/>
      <c r="AG204" s="504"/>
      <c r="AH204" s="504"/>
      <c r="AI204" s="504"/>
      <c r="AJ204" s="504"/>
      <c r="AK204" s="504"/>
      <c r="AL204" s="504"/>
      <c r="AM204" s="504"/>
      <c r="AN204" s="504"/>
      <c r="AO204" s="504"/>
      <c r="AP204" s="504"/>
      <c r="AQ204" s="504"/>
      <c r="AR204" s="504"/>
      <c r="AS204" s="504"/>
      <c r="AT204" s="504"/>
      <c r="AU204" s="504"/>
      <c r="AV204" s="504"/>
      <c r="AW204" s="504"/>
      <c r="AX204" s="504"/>
      <c r="AY204" s="504"/>
      <c r="AZ204" s="504"/>
      <c r="BA204" s="504"/>
      <c r="BB204" s="504"/>
      <c r="BC204" s="504"/>
      <c r="BD204" s="504"/>
      <c r="BE204" s="701"/>
      <c r="BF204" s="701" t="str">
        <f>FOOT6</f>
        <v>This is a TRC tool</v>
      </c>
      <c r="BG204" s="521"/>
    </row>
  </sheetData>
  <sheetProtection algorithmName="SHA-512" hashValue="7jDdauOZTsvFajlkgglhrH7yvy8yj6KHdeyGSetiPMY9NM3r9q0Exc2HRjF3M1oVhD5ehi02j6BFBUPMmnEKIg==" saltValue="/cl1HwgzM1iJSsHkPWxo6Q==" spinCount="100000" sheet="1" objects="1" scenarios="1" selectLockedCells="1"/>
  <mergeCells count="76">
    <mergeCell ref="BG5:BI7"/>
    <mergeCell ref="BG8:BI8"/>
    <mergeCell ref="AN1:AQ3"/>
    <mergeCell ref="AR1:AU3"/>
    <mergeCell ref="AV1:AY3"/>
    <mergeCell ref="AZ1:BE3"/>
    <mergeCell ref="BF1:BI3"/>
    <mergeCell ref="BC4:BF4"/>
    <mergeCell ref="AT4:AW4"/>
    <mergeCell ref="AX4:BB4"/>
    <mergeCell ref="P66:AP69"/>
    <mergeCell ref="P65:AP65"/>
    <mergeCell ref="AE43:AJ43"/>
    <mergeCell ref="AE44:AJ44"/>
    <mergeCell ref="AE53:AJ53"/>
    <mergeCell ref="AE49:AJ49"/>
    <mergeCell ref="AE50:AL50"/>
    <mergeCell ref="AE62:AJ62"/>
    <mergeCell ref="W62:AB62"/>
    <mergeCell ref="P62:U62"/>
    <mergeCell ref="AO62:AP62"/>
    <mergeCell ref="AL62:AM62"/>
    <mergeCell ref="P58:U58"/>
    <mergeCell ref="W61:AB61"/>
    <mergeCell ref="P61:U61"/>
    <mergeCell ref="V35:AA35"/>
    <mergeCell ref="AC35:AH35"/>
    <mergeCell ref="V36:AA36"/>
    <mergeCell ref="F1:I3"/>
    <mergeCell ref="J1:M3"/>
    <mergeCell ref="AB4:AG4"/>
    <mergeCell ref="P23:AC25"/>
    <mergeCell ref="P34:T37"/>
    <mergeCell ref="V34:AA34"/>
    <mergeCell ref="V37:AA37"/>
    <mergeCell ref="AC37:AH37"/>
    <mergeCell ref="AC34:AH34"/>
    <mergeCell ref="G9:AY10"/>
    <mergeCell ref="L11:AU11"/>
    <mergeCell ref="AC36:AH36"/>
    <mergeCell ref="AI23:AP25"/>
    <mergeCell ref="M200:AV200"/>
    <mergeCell ref="U77:AG77"/>
    <mergeCell ref="AI77:AL77"/>
    <mergeCell ref="U72:AK72"/>
    <mergeCell ref="U76:AG76"/>
    <mergeCell ref="AI76:AL76"/>
    <mergeCell ref="M196:AU197"/>
    <mergeCell ref="U73:AL73"/>
    <mergeCell ref="P103:AP104"/>
    <mergeCell ref="P26:AC27"/>
    <mergeCell ref="AD26:AP27"/>
    <mergeCell ref="P29:T32"/>
    <mergeCell ref="V29:AA29"/>
    <mergeCell ref="AC29:AI29"/>
    <mergeCell ref="AC32:AI32"/>
    <mergeCell ref="AJ32:AP32"/>
    <mergeCell ref="AC31:AI31"/>
    <mergeCell ref="AJ31:AP31"/>
    <mergeCell ref="V32:AA32"/>
    <mergeCell ref="R202:AR203"/>
    <mergeCell ref="P14:V16"/>
    <mergeCell ref="W14:AP16"/>
    <mergeCell ref="AJ29:AP29"/>
    <mergeCell ref="W58:AB58"/>
    <mergeCell ref="AE58:AP58"/>
    <mergeCell ref="P50:AB50"/>
    <mergeCell ref="AE46:AJ46"/>
    <mergeCell ref="AG54:AJ54"/>
    <mergeCell ref="W57:AB57"/>
    <mergeCell ref="P57:U57"/>
    <mergeCell ref="P49:U49"/>
    <mergeCell ref="V30:AA30"/>
    <mergeCell ref="AC30:AI30"/>
    <mergeCell ref="AJ30:AP30"/>
    <mergeCell ref="V31:AA31"/>
  </mergeCells>
  <conditionalFormatting sqref="P59:U59">
    <cfRule type="expression" dxfId="269" priority="68">
      <formula>$U$59&lt;&gt;Txt_Rqd</formula>
    </cfRule>
  </conditionalFormatting>
  <conditionalFormatting sqref="P63:U63">
    <cfRule type="expression" dxfId="268" priority="66">
      <formula>$U$63&lt;&gt;Txt_Rqd</formula>
    </cfRule>
  </conditionalFormatting>
  <conditionalFormatting sqref="P101:AA101">
    <cfRule type="expression" dxfId="267" priority="45">
      <formula>$AA$112&lt;&gt;Txt_Rqd</formula>
    </cfRule>
  </conditionalFormatting>
  <conditionalFormatting sqref="P51:AB51">
    <cfRule type="expression" dxfId="266" priority="11">
      <formula>$AB$51&lt;&gt;Txt_Rqd</formula>
    </cfRule>
  </conditionalFormatting>
  <conditionalFormatting sqref="P66:AP72">
    <cfRule type="expression" dxfId="265" priority="10" stopIfTrue="1">
      <formula>$AE$44&lt;&gt;"Trade Ally"</formula>
    </cfRule>
  </conditionalFormatting>
  <conditionalFormatting sqref="P74:AP78">
    <cfRule type="expression" dxfId="264" priority="2" stopIfTrue="1">
      <formula>$AE$44&lt;&gt;"Trade Ally"</formula>
    </cfRule>
  </conditionalFormatting>
  <conditionalFormatting sqref="U78:AG78">
    <cfRule type="expression" dxfId="263" priority="5">
      <formula>$AG$78&lt;&gt;Txt_Rqd</formula>
    </cfRule>
  </conditionalFormatting>
  <conditionalFormatting sqref="U74:AL74">
    <cfRule type="expression" dxfId="262" priority="9">
      <formula>$AL$74&lt;&gt;Txt_Rqd</formula>
    </cfRule>
  </conditionalFormatting>
  <conditionalFormatting sqref="W59:AB59">
    <cfRule type="expression" dxfId="258" priority="67">
      <formula>$AB$59&lt;&gt;Txt_Rqd</formula>
    </cfRule>
  </conditionalFormatting>
  <conditionalFormatting sqref="W63:AB63">
    <cfRule type="expression" dxfId="257" priority="65">
      <formula>$AB$63&lt;&gt;Txt_Rqd</formula>
    </cfRule>
  </conditionalFormatting>
  <conditionalFormatting sqref="AC101:AK101">
    <cfRule type="expression" dxfId="256" priority="44">
      <formula>$AK$112&lt;&gt;Txt_Rqd</formula>
    </cfRule>
  </conditionalFormatting>
  <conditionalFormatting sqref="AE55">
    <cfRule type="expression" dxfId="255" priority="70">
      <formula>AE55&lt;&gt;Txt_Rqd</formula>
    </cfRule>
  </conditionalFormatting>
  <conditionalFormatting sqref="AE45:AJ45 AE47:AJ47">
    <cfRule type="expression" dxfId="254" priority="57">
      <formula>$AJ$45&lt;&gt;Txt_Rqd</formula>
    </cfRule>
  </conditionalFormatting>
  <conditionalFormatting sqref="AE63:AJ63">
    <cfRule type="expression" dxfId="253" priority="64">
      <formula>$AJ$63&lt;&gt;Txt_Rqd</formula>
    </cfRule>
  </conditionalFormatting>
  <conditionalFormatting sqref="AE51:AL51">
    <cfRule type="expression" dxfId="252" priority="69">
      <formula>$AL$51&lt;&gt;Txt_Rqd</formula>
    </cfRule>
  </conditionalFormatting>
  <conditionalFormatting sqref="AE59:AP59">
    <cfRule type="expression" dxfId="251" priority="56">
      <formula>$AP$59&lt;&gt;Txt_Rqd</formula>
    </cfRule>
  </conditionalFormatting>
  <conditionalFormatting sqref="AG55:AJ55">
    <cfRule type="expression" dxfId="250" priority="71">
      <formula>$AJ$55&lt;&gt;Txt_Rqd</formula>
    </cfRule>
  </conditionalFormatting>
  <conditionalFormatting sqref="AI78:AL78">
    <cfRule type="expression" dxfId="249" priority="3">
      <formula>$AL$78&lt;&gt;Txt_Rqd</formula>
    </cfRule>
  </conditionalFormatting>
  <conditionalFormatting sqref="AL63:AM63">
    <cfRule type="expression" dxfId="248" priority="63">
      <formula>$AM$63&lt;&gt;Txt_Rqd</formula>
    </cfRule>
  </conditionalFormatting>
  <conditionalFormatting sqref="AM101:AP101">
    <cfRule type="expression" dxfId="247" priority="20">
      <formula>$AP$112&lt;&gt;Txt_Rqd</formula>
    </cfRule>
  </conditionalFormatting>
  <conditionalFormatting sqref="AO63:AP63">
    <cfRule type="expression" dxfId="246" priority="62">
      <formula>$AP$63&lt;&gt;Txt_Rqd</formula>
    </cfRule>
  </conditionalFormatting>
  <conditionalFormatting sqref="BA8:BF8">
    <cfRule type="expression" dxfId="245" priority="1">
      <formula>IF($AO$8=PROJSTATMEASURE,FALSE,TRUE)</formula>
    </cfRule>
  </conditionalFormatting>
  <conditionalFormatting sqref="CL37:CL44 CS42:DT44 P65 P73:U73 AM73:AP73">
    <cfRule type="expression" dxfId="244" priority="1389" stopIfTrue="1">
      <formula>$AE$44&lt;&gt;"Trade Ally"</formula>
    </cfRule>
  </conditionalFormatting>
  <dataValidations count="12">
    <dataValidation type="list" allowBlank="1" showInputMessage="1" showErrorMessage="1" sqref="AE50:AE51 BP28" xr:uid="{51C10E3E-E283-49C3-9A3A-729A26948584}">
      <formula1>TAXLIST</formula1>
    </dataValidation>
    <dataValidation type="textLength" operator="equal" allowBlank="1" showInputMessage="1" showErrorMessage="1" prompt="Please enter only the first 2 digits of the Tax ID" sqref="AE54" xr:uid="{243F926A-BF30-4D7C-A9BB-9882D0B1A7F7}">
      <formula1>2</formula1>
    </dataValidation>
    <dataValidation type="textLength" operator="equal" allowBlank="1" showInputMessage="1" showErrorMessage="1" error="Please enter only the last 7 digits of the Tax ID" prompt="Please enter only the last 7 digits of the Tax ID" sqref="AG54:AI55 AJ54" xr:uid="{DAB8AB06-4D54-4128-BF3E-B23139384DD9}">
      <formula1>7</formula1>
    </dataValidation>
    <dataValidation type="list" allowBlank="1" showInputMessage="1" showErrorMessage="1" sqref="BV35 AL62:AM62" xr:uid="{A341AEFA-272D-4300-B9F7-93BEAA9ADBC5}">
      <formula1>STATESABBREV</formula1>
    </dataValidation>
    <dataValidation type="custom" allowBlank="1" showInputMessage="1" showErrorMessage="1" error="Please enter a valid email address." sqref="W63:AA63 BP35 W62:AB62" xr:uid="{D8106073-DA01-4D94-8B21-E9A252A0FFEB}">
      <formula1>AND(FIND(".",W35),FIND("@",W35))</formula1>
    </dataValidation>
    <dataValidation type="textLength" allowBlank="1" showInputMessage="1" showErrorMessage="1" sqref="P63:T63 P62:U62" xr:uid="{D2DFA2C1-87FB-410B-BF49-E9FD3593FE58}">
      <formula1>7</formula1>
      <formula2>15</formula2>
    </dataValidation>
    <dataValidation allowBlank="1" showErrorMessage="1" sqref="AL59:AO59 AL61:AM61 AN61:AN62 AO61:AP61 AE62:AJ62 BT35 BX34 BV34" xr:uid="{4DE71DDE-74E9-46EA-B434-1155B86A33E9}"/>
    <dataValidation type="list" allowBlank="1" showInputMessage="1" showErrorMessage="1" sqref="AE44:AJ44" xr:uid="{DE28359B-ACBD-460B-9D51-5B9877DF4EAA}">
      <formula1>IF(M02S04F01="Trade Ally", LIST_Payee_Type_TA, LIST_Payee_Type)</formula1>
    </dataValidation>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U73:U74 P101:Z104 AL74 V74:AJ74" xr:uid="{33215F8E-5A98-41D1-BCAE-3EBEE27D98E5}"/>
    <dataValidation type="date" operator="greaterThanOrEqual" allowBlank="1" showInputMessage="1" showErrorMessage="1" error="Please enter date. Format: xx/xx/xxx" sqref="AL77 AI77:AK78 AM101:AO104" xr:uid="{33C2DB7E-0D8A-48CD-82F5-3C9CD6A23DA3}">
      <formula1>32874</formula1>
    </dataValidation>
    <dataValidation type="textLength" allowBlank="1" showInputMessage="1" sqref="BL35" xr:uid="{0C1F8A92-EBD0-4084-8E2A-432B2B9D86B2}">
      <formula1>7</formula1>
      <formula2>15</formula2>
    </dataValidation>
    <dataValidation type="list" allowBlank="1" showInputMessage="1" showErrorMessage="1" sqref="AE46" xr:uid="{1D396C79-1739-491F-83C0-CBE26344F237}">
      <formula1>"Yes, No"</formula1>
    </dataValidation>
  </dataValidations>
  <hyperlinks>
    <hyperlink ref="J1:M3" location="'M01-S02'!J1" tooltip="Instructions" display="'M01-S02'!J1" xr:uid="{D5325CF9-4977-46D2-B21B-A3208204143D}"/>
    <hyperlink ref="AV1:AY3" location="'M05-S05'!AL1" tooltip=" " display="'M05-S05'!AL1" xr:uid="{7ADFD5D8-1C53-402C-A54D-70FDD043B6D9}"/>
    <hyperlink ref="BF1:BI3" location="'M01-S03'!AP1" tooltip="Contact" display="'M01-S03'!AP1" xr:uid="{B5190D96-A811-4692-96AA-B6EADD9A4329}"/>
    <hyperlink ref="AR1:AU3" location="'M05-S04'!AH1" tooltip=" " display="'M05-S04'!AH1" xr:uid="{C820B1AC-26D8-4F16-831A-ECB0900952F9}"/>
    <hyperlink ref="AN1:AQ3" location="'M05-S05'!AL1" tooltip=" " display="'M05-S05'!AL1" xr:uid="{4097951F-073E-4DA3-9BB6-F37D2DDF9067}"/>
  </hyperlinks>
  <printOptions horizontalCentered="1"/>
  <pageMargins left="0" right="0" top="0.25" bottom="0.25" header="0.25" footer="0.25"/>
  <pageSetup scale="82"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4" id="{947D115A-DB89-44AC-8719-37B25764A6CC}">
            <xm:f>'M01-S01'!L60-TODAY()&gt;=7</xm:f>
            <x14:dxf>
              <font>
                <b val="0"/>
                <i val="0"/>
                <color theme="1"/>
              </font>
            </x14:dxf>
          </x14:cfRule>
          <x14:cfRule type="expression" priority="15" id="{07325CDE-F31A-4C35-9EE4-D65B572EEAE3}">
            <xm:f>AND('M01-S01'!L60-TODAY()&lt;7,'M01-S01'!L60-TODAY()&gt;2)</xm:f>
            <x14:dxf>
              <font>
                <b/>
                <i val="0"/>
                <color rgb="FFFF0000"/>
              </font>
            </x14:dxf>
          </x14:cfRule>
          <x14:cfRule type="expression" priority="16" id="{4CDC8271-1786-4AF1-829A-3A38033A8A05}">
            <xm:f>AND('M01-S01'!L60-TODAY()&lt;=2,'M01-S01'!L60-TODAY()&gt;=0)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W14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7B554-22C9-41ED-82DE-BEDDF49B5332}">
  <sheetPr codeName="Sheet50">
    <pageSetUpPr fitToPage="1"/>
  </sheetPr>
  <dimension ref="A1:CR277"/>
  <sheetViews>
    <sheetView showGridLines="0" showRowColHeaders="0" zoomScale="90" zoomScaleNormal="90" workbookViewId="0">
      <selection activeCell="Z53" sqref="Z53:AA53"/>
    </sheetView>
  </sheetViews>
  <sheetFormatPr defaultColWidth="0" defaultRowHeight="16.350000000000001" customHeight="1" zeroHeight="1"/>
  <cols>
    <col min="1" max="61" width="4.5703125" style="521" customWidth="1"/>
    <col min="62" max="16384" width="4.5703125" style="521" hidden="1"/>
  </cols>
  <sheetData>
    <row r="1" spans="1:96" s="177" customFormat="1" ht="16.350000000000001" customHeight="1">
      <c r="A1" s="60"/>
      <c r="B1" s="239"/>
      <c r="C1" s="239"/>
      <c r="D1" s="239"/>
      <c r="E1" s="239"/>
      <c r="F1" s="750" t="str">
        <f>M1S1</f>
        <v>WELCOME</v>
      </c>
      <c r="G1" s="750"/>
      <c r="H1" s="750"/>
      <c r="I1" s="750"/>
      <c r="J1" s="727" t="str">
        <f>M1S2</f>
        <v>INSTRUCTIONS</v>
      </c>
      <c r="K1" s="727"/>
      <c r="L1" s="727"/>
      <c r="M1" s="727"/>
      <c r="N1" s="240"/>
      <c r="O1" s="240"/>
      <c r="P1" s="240"/>
      <c r="Q1" s="240"/>
      <c r="R1" s="240"/>
      <c r="S1" s="240"/>
      <c r="T1" s="241"/>
      <c r="U1" s="242" t="s">
        <v>118</v>
      </c>
      <c r="V1" s="242"/>
      <c r="W1" s="242"/>
      <c r="X1" s="242"/>
      <c r="Y1" s="240"/>
      <c r="Z1" s="240"/>
      <c r="AA1" s="240"/>
      <c r="AB1" s="240"/>
      <c r="AC1" s="240"/>
      <c r="AD1" s="240"/>
      <c r="AE1" s="240"/>
      <c r="AF1" s="240"/>
      <c r="AH1"/>
      <c r="AI1"/>
      <c r="AJ1"/>
      <c r="AK1"/>
      <c r="AL1"/>
      <c r="AM1"/>
      <c r="AN1" s="734" t="str">
        <f>IF(ACTIVEINSPECT="Yes","Complete "&amp;M5S4,"")</f>
        <v/>
      </c>
      <c r="AO1" s="734"/>
      <c r="AP1" s="734"/>
      <c r="AQ1" s="734"/>
      <c r="AR1" s="730" t="str">
        <f>IF(ACTIVEOFFER="Yes","Sign "&amp;M5S6,"")</f>
        <v>Sign OBR: Repayment Agreement</v>
      </c>
      <c r="AS1" s="730"/>
      <c r="AT1" s="730"/>
      <c r="AU1" s="730"/>
      <c r="AV1" s="730" t="str">
        <f>IF(ACTIVECOMPL="Yes","Sign "&amp;M5S5,"")</f>
        <v xml:space="preserve">Sign Project Completion Certification </v>
      </c>
      <c r="AW1" s="730"/>
      <c r="AX1" s="730"/>
      <c r="AY1" s="730"/>
      <c r="AZ1" s="732" t="str">
        <f>M1S4</f>
        <v>INCENTIVE RATES &amp; REQUIREMENTS</v>
      </c>
      <c r="BA1" s="732"/>
      <c r="BB1" s="732"/>
      <c r="BC1" s="732"/>
      <c r="BD1" s="732"/>
      <c r="BE1" s="732"/>
      <c r="BF1" s="722" t="s">
        <v>119</v>
      </c>
      <c r="BG1" s="723"/>
      <c r="BH1" s="723"/>
      <c r="BI1" s="723"/>
    </row>
    <row r="2" spans="1:96" s="177" customFormat="1" ht="16.350000000000001" customHeight="1">
      <c r="B2" s="239"/>
      <c r="C2" s="239"/>
      <c r="D2" s="239"/>
      <c r="E2" s="239"/>
      <c r="F2" s="750"/>
      <c r="G2" s="750"/>
      <c r="H2" s="750"/>
      <c r="I2" s="750"/>
      <c r="J2" s="728"/>
      <c r="K2" s="728"/>
      <c r="L2" s="728"/>
      <c r="M2" s="728"/>
      <c r="N2" s="240"/>
      <c r="O2" s="240"/>
      <c r="P2" s="240"/>
      <c r="Q2" s="240"/>
      <c r="R2" s="240"/>
      <c r="S2" s="240"/>
      <c r="T2" s="241"/>
      <c r="U2" s="242"/>
      <c r="V2" s="242"/>
      <c r="W2" s="242"/>
      <c r="X2" s="242"/>
      <c r="Y2" s="240"/>
      <c r="Z2" s="240"/>
      <c r="AA2" s="240"/>
      <c r="AB2" s="240"/>
      <c r="AC2" s="240"/>
      <c r="AD2" s="240"/>
      <c r="AE2" s="240"/>
      <c r="AF2" s="240"/>
      <c r="AH2"/>
      <c r="AI2"/>
      <c r="AJ2"/>
      <c r="AK2"/>
      <c r="AL2"/>
      <c r="AM2"/>
      <c r="AN2" s="734"/>
      <c r="AO2" s="734"/>
      <c r="AP2" s="734"/>
      <c r="AQ2" s="734"/>
      <c r="AR2" s="730"/>
      <c r="AS2" s="730"/>
      <c r="AT2" s="730"/>
      <c r="AU2" s="730"/>
      <c r="AV2" s="730"/>
      <c r="AW2" s="730"/>
      <c r="AX2" s="730"/>
      <c r="AY2" s="730"/>
      <c r="AZ2" s="732"/>
      <c r="BA2" s="732"/>
      <c r="BB2" s="732"/>
      <c r="BC2" s="732"/>
      <c r="BD2" s="732"/>
      <c r="BE2" s="732"/>
      <c r="BF2" s="723"/>
      <c r="BG2" s="723"/>
      <c r="BH2" s="723"/>
      <c r="BI2" s="723"/>
    </row>
    <row r="3" spans="1:96" s="177" customFormat="1" ht="16.350000000000001" customHeight="1" thickBot="1">
      <c r="A3" s="626"/>
      <c r="B3" s="648"/>
      <c r="C3" s="648"/>
      <c r="D3" s="648"/>
      <c r="E3" s="648"/>
      <c r="F3" s="875"/>
      <c r="G3" s="875"/>
      <c r="H3" s="875"/>
      <c r="I3" s="875"/>
      <c r="J3" s="876"/>
      <c r="K3" s="876"/>
      <c r="L3" s="876"/>
      <c r="M3" s="876"/>
      <c r="N3" s="642"/>
      <c r="O3" s="642"/>
      <c r="P3" s="642"/>
      <c r="Q3" s="642"/>
      <c r="R3" s="642"/>
      <c r="S3" s="642"/>
      <c r="T3" s="642"/>
      <c r="U3" s="643"/>
      <c r="V3" s="643"/>
      <c r="W3" s="643"/>
      <c r="X3" s="643"/>
      <c r="Y3" s="626"/>
      <c r="Z3" s="626"/>
      <c r="AA3" s="626"/>
      <c r="AB3" s="626"/>
      <c r="AC3" s="626"/>
      <c r="AD3" s="626"/>
      <c r="AE3" s="626"/>
      <c r="AF3" s="626"/>
      <c r="AG3" s="626"/>
      <c r="AH3" s="614"/>
      <c r="AI3" s="614"/>
      <c r="AJ3" s="614"/>
      <c r="AK3" s="614"/>
      <c r="AL3" s="614"/>
      <c r="AM3" s="614"/>
      <c r="AN3" s="868"/>
      <c r="AO3" s="868"/>
      <c r="AP3" s="868"/>
      <c r="AQ3" s="868"/>
      <c r="AR3" s="869"/>
      <c r="AS3" s="869"/>
      <c r="AT3" s="869"/>
      <c r="AU3" s="869"/>
      <c r="AV3" s="869"/>
      <c r="AW3" s="869"/>
      <c r="AX3" s="869"/>
      <c r="AY3" s="869"/>
      <c r="AZ3" s="1009"/>
      <c r="BA3" s="1009"/>
      <c r="BB3" s="1009"/>
      <c r="BC3" s="1009"/>
      <c r="BD3" s="1009"/>
      <c r="BE3" s="1009"/>
      <c r="BF3" s="871"/>
      <c r="BG3" s="871"/>
      <c r="BH3" s="871"/>
      <c r="BI3" s="871"/>
    </row>
    <row r="4" spans="1:96" s="284" customFormat="1" ht="16.350000000000001" customHeight="1">
      <c r="A4" s="615"/>
      <c r="B4" s="615"/>
      <c r="C4" s="615"/>
      <c r="D4" s="615"/>
      <c r="E4" s="615"/>
      <c r="F4" s="615"/>
      <c r="G4" s="615"/>
      <c r="H4" s="615"/>
      <c r="I4" s="615"/>
      <c r="J4" s="615"/>
      <c r="K4" s="615"/>
      <c r="L4" s="616"/>
      <c r="M4" s="617"/>
      <c r="N4" s="615"/>
      <c r="O4" s="615"/>
      <c r="P4" s="615"/>
      <c r="Q4" s="615"/>
      <c r="R4" s="615"/>
      <c r="S4" s="613" t="s">
        <v>707</v>
      </c>
      <c r="T4" s="618" t="str">
        <f>M05S07F07</f>
        <v>Custom</v>
      </c>
      <c r="U4" s="619"/>
      <c r="V4" s="619"/>
      <c r="W4" s="619"/>
      <c r="X4" s="615"/>
      <c r="Y4" s="615"/>
      <c r="Z4" s="615"/>
      <c r="AA4" s="613" t="s">
        <v>708</v>
      </c>
      <c r="AB4" s="1215" t="str">
        <f>IF(M02S02F02="","[Project Name]",LEFT(M02S02F02,25))</f>
        <v>[Project Name]</v>
      </c>
      <c r="AC4" s="1215"/>
      <c r="AD4" s="1215"/>
      <c r="AE4" s="1215"/>
      <c r="AF4" s="1215"/>
      <c r="AG4" s="1215"/>
      <c r="AH4" s="494"/>
      <c r="AI4" s="566" t="s">
        <v>709</v>
      </c>
      <c r="AJ4" s="567" t="str">
        <f>IF(M02S02F27="Yes",Status_Final,Status_Pre)</f>
        <v>Draft Pre-Application</v>
      </c>
      <c r="AK4" s="495"/>
      <c r="AL4" s="494"/>
      <c r="AM4" s="494"/>
      <c r="AN4" s="495"/>
      <c r="AO4" s="495"/>
      <c r="AP4" s="494"/>
      <c r="AQ4" s="494"/>
      <c r="AR4" s="494"/>
      <c r="AS4" s="566" t="s">
        <v>710</v>
      </c>
      <c r="AT4" s="1216">
        <f>Incent_Total_Cap_All</f>
        <v>0</v>
      </c>
      <c r="AU4" s="1216"/>
      <c r="AV4" s="1216"/>
      <c r="AW4" s="1216"/>
      <c r="AX4" s="1217" t="s">
        <v>711</v>
      </c>
      <c r="AY4" s="1217"/>
      <c r="AZ4" s="1217"/>
      <c r="BA4" s="1217"/>
      <c r="BB4" s="1217"/>
      <c r="BC4" s="1216" t="str">
        <f>OBR_Amount_Requested</f>
        <v/>
      </c>
      <c r="BD4" s="1216"/>
      <c r="BE4" s="1216"/>
      <c r="BF4" s="1216"/>
      <c r="BG4" s="495"/>
    </row>
    <row r="5" spans="1:96" s="177" customFormat="1" ht="16.350000000000001" customHeight="1">
      <c r="B5" s="622"/>
      <c r="C5" s="622"/>
      <c r="D5" s="622"/>
      <c r="E5" s="622"/>
      <c r="F5" s="622"/>
      <c r="G5" s="622"/>
      <c r="H5" s="622"/>
      <c r="I5" s="622"/>
      <c r="J5" s="622"/>
      <c r="K5" s="622"/>
      <c r="BE5" s="623"/>
      <c r="BG5" s="866">
        <f ca="1">PROGRESSSTATUS</f>
        <v>0</v>
      </c>
      <c r="BH5" s="866"/>
      <c r="BI5" s="866"/>
    </row>
    <row r="6" spans="1:96" s="177" customFormat="1" ht="16.350000000000001" customHeight="1">
      <c r="B6" s="622"/>
      <c r="C6" s="622"/>
      <c r="D6" s="622"/>
      <c r="E6" s="622"/>
      <c r="F6" s="622"/>
      <c r="G6" s="622"/>
      <c r="H6" s="622"/>
      <c r="I6" s="622"/>
      <c r="J6" s="622"/>
      <c r="K6" s="622"/>
      <c r="BD6" s="623"/>
      <c r="BG6" s="866"/>
      <c r="BH6" s="866"/>
      <c r="BI6" s="866"/>
    </row>
    <row r="7" spans="1:96" s="177" customFormat="1" ht="16.350000000000001" customHeight="1">
      <c r="B7" s="624"/>
      <c r="C7" s="624"/>
      <c r="D7" s="624"/>
      <c r="E7" s="624"/>
      <c r="F7" s="624"/>
      <c r="G7" s="624"/>
      <c r="H7" s="624"/>
      <c r="I7" s="624"/>
      <c r="J7" s="624"/>
      <c r="K7" s="624"/>
      <c r="BG7" s="866"/>
      <c r="BH7" s="866"/>
      <c r="BI7" s="866"/>
    </row>
    <row r="8" spans="1:96" s="626"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BA8" s="625"/>
      <c r="BB8" s="625"/>
      <c r="BC8" s="625"/>
      <c r="BD8" s="625"/>
      <c r="BE8" s="625"/>
      <c r="BF8" s="625"/>
      <c r="BG8" s="867" t="s">
        <v>712</v>
      </c>
      <c r="BH8" s="867"/>
      <c r="BI8" s="867"/>
    </row>
    <row r="9" spans="1:96" s="177" customFormat="1" ht="16.350000000000001" customHeight="1">
      <c r="G9" s="877" t="str">
        <f>M5S1b&amp;" Application"</f>
        <v>On-Bill Repayment Application</v>
      </c>
      <c r="H9" s="877"/>
      <c r="I9" s="877"/>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row>
    <row r="10" spans="1:96" s="177" customFormat="1" ht="16.350000000000001" customHeight="1">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878"/>
      <c r="AS10" s="878"/>
      <c r="AT10" s="878"/>
      <c r="AU10" s="878"/>
      <c r="AV10" s="878"/>
      <c r="AW10" s="878"/>
      <c r="AX10" s="878"/>
      <c r="AY10" s="878"/>
    </row>
    <row r="11" spans="1:96" s="177" customFormat="1" ht="16.350000000000001" customHeight="1">
      <c r="O11" s="565" t="s">
        <v>1516</v>
      </c>
      <c r="P11" s="1218" t="s">
        <v>1517</v>
      </c>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1218"/>
      <c r="AM11" s="1218"/>
      <c r="AN11" s="1218"/>
      <c r="AO11" s="1218"/>
      <c r="AP11" s="1218"/>
      <c r="AQ11" s="1218"/>
      <c r="AR11" s="1218"/>
      <c r="AS11" s="1218"/>
      <c r="AT11" s="1218"/>
      <c r="AU11" s="355"/>
      <c r="AV11" s="355"/>
      <c r="AW11" s="355"/>
    </row>
    <row r="12" spans="1:96" s="177" customFormat="1" ht="16.350000000000001" customHeight="1">
      <c r="N12" s="355"/>
      <c r="O12" s="355"/>
      <c r="P12" s="1218"/>
      <c r="Q12" s="1218"/>
      <c r="R12" s="1218"/>
      <c r="S12" s="1218"/>
      <c r="T12" s="1218"/>
      <c r="U12" s="1218"/>
      <c r="V12" s="1218"/>
      <c r="W12" s="1218"/>
      <c r="X12" s="1218"/>
      <c r="Y12" s="1218"/>
      <c r="Z12" s="1218"/>
      <c r="AA12" s="1218"/>
      <c r="AB12" s="1218"/>
      <c r="AC12" s="1218"/>
      <c r="AD12" s="1218"/>
      <c r="AE12" s="1218"/>
      <c r="AF12" s="1218"/>
      <c r="AG12" s="1218"/>
      <c r="AH12" s="1218"/>
      <c r="AI12" s="1218"/>
      <c r="AJ12" s="1218"/>
      <c r="AK12" s="1218"/>
      <c r="AL12" s="1218"/>
      <c r="AM12" s="1218"/>
      <c r="AN12" s="1218"/>
      <c r="AO12" s="1218"/>
      <c r="AP12" s="1218"/>
      <c r="AQ12" s="1218"/>
      <c r="AR12" s="1218"/>
      <c r="AS12" s="1218"/>
      <c r="AT12" s="1218"/>
      <c r="AU12" s="355"/>
      <c r="AV12" s="355"/>
      <c r="AW12" s="355"/>
      <c r="AX12" s="262"/>
      <c r="AY12" s="262"/>
      <c r="AZ12" s="262"/>
      <c r="BA12" s="262"/>
      <c r="BB12" s="262"/>
      <c r="BC12" s="262"/>
      <c r="CN12" s="283"/>
    </row>
    <row r="13" spans="1:96" s="177" customFormat="1" ht="16.350000000000001" customHeight="1">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6"/>
      <c r="AY13" s="356"/>
      <c r="AZ13" s="356"/>
      <c r="BA13" s="356"/>
      <c r="CN13" s="267"/>
    </row>
    <row r="14" spans="1:96" s="177" customFormat="1" ht="15">
      <c r="N14" s="355"/>
      <c r="O14" s="565" t="s">
        <v>1518</v>
      </c>
      <c r="P14" s="1220" t="s">
        <v>1519</v>
      </c>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355"/>
      <c r="AV14" s="355"/>
      <c r="AW14" s="355"/>
      <c r="CN14" s="267"/>
    </row>
    <row r="15" spans="1:96" s="177" customFormat="1" ht="15">
      <c r="N15" s="355"/>
      <c r="O15" s="355"/>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1220"/>
      <c r="AM15" s="1220"/>
      <c r="AN15" s="1220"/>
      <c r="AO15" s="1220"/>
      <c r="AP15" s="1220"/>
      <c r="AQ15" s="1220"/>
      <c r="AR15" s="1220"/>
      <c r="AS15" s="1220"/>
      <c r="AT15" s="1220"/>
      <c r="AU15" s="355"/>
      <c r="AV15" s="355"/>
      <c r="AW15" s="355"/>
      <c r="BI15" s="283"/>
      <c r="BJ15" s="283"/>
      <c r="CI15" s="283"/>
      <c r="CJ15" s="283"/>
      <c r="CK15" s="283"/>
      <c r="CL15" s="283"/>
      <c r="CM15" s="283"/>
      <c r="CN15" s="267"/>
      <c r="CO15" s="353"/>
      <c r="CP15" s="353"/>
      <c r="CQ15" s="353"/>
      <c r="CR15" s="353"/>
    </row>
    <row r="16" spans="1:96" s="177" customFormat="1" ht="16.350000000000001" customHeight="1"/>
    <row r="17" spans="1:64" s="177" customFormat="1" ht="16.350000000000001" customHeight="1">
      <c r="E17" s="1219" t="s">
        <v>1520</v>
      </c>
      <c r="F17" s="1219"/>
      <c r="G17" s="1219"/>
      <c r="H17" s="1219"/>
      <c r="I17" s="1219"/>
      <c r="J17" s="1219"/>
      <c r="K17" s="1219"/>
      <c r="L17" s="1219"/>
      <c r="M17" s="1219"/>
      <c r="N17" s="1219"/>
      <c r="O17" s="1219"/>
      <c r="P17" s="1219"/>
      <c r="Q17" s="1219"/>
      <c r="R17" s="1219"/>
      <c r="S17" s="1219"/>
      <c r="T17" s="1219"/>
      <c r="U17" s="1219"/>
      <c r="V17" s="1219"/>
      <c r="W17" s="1219"/>
      <c r="X17" s="1219"/>
      <c r="Y17" s="1219"/>
      <c r="Z17" s="1219"/>
      <c r="AA17" s="1219"/>
      <c r="AB17" s="1219"/>
      <c r="AC17" s="1219"/>
      <c r="AD17" s="1219"/>
      <c r="AE17" s="1219"/>
      <c r="AF17" s="1219"/>
      <c r="AG17" s="1219"/>
      <c r="AH17" s="1219"/>
      <c r="AI17" s="1219"/>
      <c r="AJ17" s="1219"/>
      <c r="AK17" s="1219"/>
      <c r="AL17" s="1219"/>
      <c r="AM17" s="1219"/>
      <c r="AN17" s="1219"/>
      <c r="AO17" s="1219"/>
      <c r="AP17" s="1219"/>
      <c r="AQ17" s="1219"/>
      <c r="AR17" s="1219"/>
      <c r="AS17" s="1219"/>
      <c r="AT17" s="1219"/>
      <c r="AU17" s="1219"/>
      <c r="AV17" s="1219"/>
      <c r="AW17" s="1219"/>
      <c r="AX17" s="1219"/>
      <c r="AY17" s="1219"/>
      <c r="AZ17" s="1219"/>
      <c r="BA17" s="1219"/>
      <c r="BB17" s="1219"/>
      <c r="BC17" s="1219"/>
    </row>
    <row r="18" spans="1:64" s="177" customFormat="1" ht="22.5" customHeight="1">
      <c r="G18" s="262" t="s">
        <v>1521</v>
      </c>
      <c r="H18" s="357"/>
      <c r="S18" s="356"/>
      <c r="T18" s="356"/>
      <c r="U18" s="356"/>
      <c r="V18" s="356"/>
      <c r="W18" s="356"/>
      <c r="X18" s="356"/>
      <c r="Y18" s="356"/>
      <c r="Z18" s="356"/>
      <c r="AA18" s="356"/>
      <c r="AB18" s="356"/>
      <c r="BH18" s="358"/>
    </row>
    <row r="19" spans="1:64" s="177" customFormat="1" ht="22.5" customHeight="1">
      <c r="G19" s="262" t="s">
        <v>1522</v>
      </c>
      <c r="H19" s="357"/>
      <c r="R19" s="60"/>
      <c r="S19" s="359"/>
      <c r="T19" s="359"/>
      <c r="U19" s="359"/>
      <c r="V19" s="359"/>
      <c r="W19" s="359"/>
      <c r="X19" s="359"/>
      <c r="Y19" s="359"/>
      <c r="Z19" s="359"/>
      <c r="AA19" s="359"/>
      <c r="AB19" s="359"/>
      <c r="AC19" s="359"/>
      <c r="AQ19" s="357"/>
      <c r="AR19" s="357"/>
      <c r="AY19" s="355"/>
      <c r="AZ19" s="355"/>
      <c r="BA19" s="355"/>
      <c r="BH19" s="358"/>
    </row>
    <row r="20" spans="1:64" s="177" customFormat="1" ht="30.75" customHeight="1">
      <c r="G20" s="1221" t="s">
        <v>1523</v>
      </c>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356"/>
      <c r="AJ20" s="356"/>
      <c r="AK20" s="356"/>
      <c r="AL20" s="356"/>
      <c r="AM20" s="355"/>
      <c r="AN20" s="355"/>
      <c r="AO20" s="355"/>
      <c r="AP20" s="355"/>
      <c r="AQ20" s="355"/>
      <c r="AR20" s="355"/>
      <c r="AS20" s="355"/>
      <c r="AT20" s="355"/>
      <c r="AU20" s="355"/>
      <c r="AV20" s="355"/>
      <c r="AW20" s="355"/>
      <c r="AX20" s="355"/>
      <c r="AY20" s="355"/>
      <c r="AZ20" s="355"/>
      <c r="BA20" s="355"/>
      <c r="BB20" s="355"/>
      <c r="BC20" s="355"/>
      <c r="BH20" s="358"/>
    </row>
    <row r="21" spans="1:64" s="177" customFormat="1" ht="25.5" customHeight="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356"/>
      <c r="AJ21" s="356"/>
      <c r="AK21" s="356"/>
      <c r="AL21" s="356"/>
      <c r="AM21" s="355"/>
      <c r="AN21" s="355"/>
      <c r="AO21" s="355"/>
      <c r="BB21" s="355"/>
      <c r="BC21" s="355"/>
      <c r="BH21" s="358"/>
    </row>
    <row r="22" spans="1:64" s="177" customFormat="1" ht="22.5" customHeight="1">
      <c r="G22" s="262" t="s">
        <v>1524</v>
      </c>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c r="AE22" s="355"/>
      <c r="AP22" s="360" t="s">
        <v>1525</v>
      </c>
      <c r="AQ22" s="355"/>
      <c r="AR22" s="355"/>
      <c r="AS22" s="355"/>
      <c r="AT22" s="355"/>
      <c r="AU22" s="361" t="s">
        <v>1526</v>
      </c>
      <c r="AV22" s="355"/>
      <c r="AW22" s="355"/>
      <c r="AX22" s="355"/>
      <c r="AY22" s="355"/>
      <c r="AZ22" s="355"/>
      <c r="BA22" s="355"/>
    </row>
    <row r="23" spans="1:64" s="177" customFormat="1" ht="17.25" customHeight="1">
      <c r="A23" s="359"/>
      <c r="B23" s="359"/>
      <c r="C23" s="359"/>
      <c r="D23" s="359"/>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284"/>
      <c r="AO23" s="284"/>
      <c r="AP23" s="284"/>
      <c r="AQ23" s="284"/>
      <c r="AR23" s="284"/>
      <c r="AS23" s="284"/>
      <c r="AT23" s="284"/>
      <c r="AU23" s="284"/>
      <c r="AV23" s="284"/>
      <c r="AW23" s="284"/>
      <c r="AX23" s="284"/>
      <c r="AY23" s="284"/>
      <c r="AZ23" s="284"/>
      <c r="BA23" s="284"/>
      <c r="BB23" s="284"/>
      <c r="BC23" s="284"/>
    </row>
    <row r="24" spans="1:64" s="177" customFormat="1" ht="17.25" customHeight="1">
      <c r="A24" s="359"/>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c r="AM24" s="359"/>
    </row>
    <row r="25" spans="1:64" s="177" customFormat="1" ht="17.25" customHeight="1">
      <c r="A25" s="359"/>
      <c r="B25" s="359"/>
      <c r="C25" s="359"/>
      <c r="D25" s="359"/>
      <c r="E25" s="359"/>
      <c r="F25" s="359"/>
      <c r="G25" s="359"/>
      <c r="H25" s="359"/>
      <c r="I25" s="359"/>
      <c r="J25" s="359"/>
      <c r="K25" s="359"/>
      <c r="L25" s="359"/>
      <c r="M25" s="359"/>
      <c r="N25" s="359"/>
      <c r="P25" s="1105" t="s">
        <v>1493</v>
      </c>
      <c r="Q25" s="1105"/>
      <c r="R25" s="1105"/>
      <c r="S25" s="1105"/>
      <c r="T25" s="1105"/>
      <c r="U25" s="1105"/>
      <c r="V25" s="1105"/>
      <c r="W25" s="1106" t="s">
        <v>1494</v>
      </c>
      <c r="X25" s="1106"/>
      <c r="Y25" s="1106"/>
      <c r="Z25" s="1106"/>
      <c r="AA25" s="1106"/>
      <c r="AB25" s="1106"/>
      <c r="AC25" s="1106"/>
      <c r="AD25" s="1106"/>
      <c r="AE25" s="1106"/>
      <c r="AF25" s="1106"/>
      <c r="AG25" s="1106"/>
      <c r="AH25" s="1106"/>
      <c r="AI25" s="1106"/>
      <c r="AJ25" s="1106"/>
      <c r="AK25" s="1106"/>
      <c r="AL25" s="1106"/>
      <c r="AM25" s="1106"/>
      <c r="AN25" s="1106"/>
      <c r="AO25" s="1106"/>
      <c r="AP25" s="1106"/>
      <c r="AQ25" s="363"/>
    </row>
    <row r="26" spans="1:64" s="177" customFormat="1" ht="17.25" customHeight="1">
      <c r="A26" s="359"/>
      <c r="B26" s="359"/>
      <c r="C26" s="359"/>
      <c r="D26" s="359"/>
      <c r="E26" s="359"/>
      <c r="F26" s="359"/>
      <c r="G26" s="359"/>
      <c r="H26" s="359"/>
      <c r="I26" s="359"/>
      <c r="J26" s="359"/>
      <c r="K26" s="359"/>
      <c r="L26" s="359"/>
      <c r="M26" s="359"/>
      <c r="N26" s="359"/>
      <c r="P26" s="1105"/>
      <c r="Q26" s="1105"/>
      <c r="R26" s="1105"/>
      <c r="S26" s="1105"/>
      <c r="T26" s="1105"/>
      <c r="U26" s="1105"/>
      <c r="V26" s="1105"/>
      <c r="W26" s="1106"/>
      <c r="X26" s="1106"/>
      <c r="Y26" s="1106"/>
      <c r="Z26" s="1106"/>
      <c r="AA26" s="1106"/>
      <c r="AB26" s="1106"/>
      <c r="AC26" s="1106"/>
      <c r="AD26" s="1106"/>
      <c r="AE26" s="1106"/>
      <c r="AF26" s="1106"/>
      <c r="AG26" s="1106"/>
      <c r="AH26" s="1106"/>
      <c r="AI26" s="1106"/>
      <c r="AJ26" s="1106"/>
      <c r="AK26" s="1106"/>
      <c r="AL26" s="1106"/>
      <c r="AM26" s="1106"/>
      <c r="AN26" s="1106"/>
      <c r="AO26" s="1106"/>
      <c r="AP26" s="1106"/>
      <c r="AQ26" s="363"/>
    </row>
    <row r="27" spans="1:64" s="177" customFormat="1" ht="17.25" customHeight="1">
      <c r="A27" s="359"/>
      <c r="B27" s="359"/>
      <c r="C27" s="359"/>
      <c r="D27" s="359"/>
      <c r="E27" s="359"/>
      <c r="F27" s="359"/>
      <c r="G27" s="359"/>
      <c r="H27" s="359"/>
      <c r="I27" s="359"/>
      <c r="J27" s="359"/>
      <c r="K27" s="359"/>
      <c r="L27" s="359"/>
      <c r="M27" s="359"/>
      <c r="N27" s="359"/>
      <c r="P27" s="1105"/>
      <c r="Q27" s="1105"/>
      <c r="R27" s="1105"/>
      <c r="S27" s="1105"/>
      <c r="T27" s="1105"/>
      <c r="U27" s="1105"/>
      <c r="V27" s="1105"/>
      <c r="W27" s="1106"/>
      <c r="X27" s="1106"/>
      <c r="Y27" s="1106"/>
      <c r="Z27" s="1106"/>
      <c r="AA27" s="1106"/>
      <c r="AB27" s="1106"/>
      <c r="AC27" s="1106"/>
      <c r="AD27" s="1106"/>
      <c r="AE27" s="1106"/>
      <c r="AF27" s="1106"/>
      <c r="AG27" s="1106"/>
      <c r="AH27" s="1106"/>
      <c r="AI27" s="1106"/>
      <c r="AJ27" s="1106"/>
      <c r="AK27" s="1106"/>
      <c r="AL27" s="1106"/>
      <c r="AM27" s="1106"/>
      <c r="AN27" s="1106"/>
      <c r="AO27" s="1106"/>
      <c r="AP27" s="1106"/>
      <c r="AQ27" s="363"/>
    </row>
    <row r="28" spans="1:64" s="177" customFormat="1" ht="15.75" customHeight="1">
      <c r="AD28" s="364"/>
      <c r="AE28" s="364"/>
      <c r="AF28" s="364"/>
      <c r="AG28" s="364"/>
      <c r="AH28" s="364"/>
      <c r="AI28" s="364"/>
      <c r="AJ28" s="364"/>
      <c r="AK28" s="364"/>
      <c r="AL28" s="364"/>
      <c r="AM28" s="364"/>
      <c r="AN28" s="364"/>
      <c r="AO28" s="364"/>
      <c r="AP28" s="364"/>
      <c r="AQ28" s="364"/>
    </row>
    <row r="29" spans="1:64" s="177" customFormat="1" ht="15.75" customHeight="1">
      <c r="O29" s="365"/>
      <c r="P29" s="366"/>
      <c r="Q29" s="366"/>
      <c r="R29" s="366"/>
      <c r="S29" s="366"/>
      <c r="T29" s="366"/>
      <c r="U29" s="366"/>
      <c r="V29" s="366"/>
      <c r="W29" s="366"/>
      <c r="X29" s="366"/>
      <c r="Y29" s="366"/>
      <c r="Z29" s="366"/>
      <c r="AA29" s="366"/>
      <c r="AB29" s="367"/>
      <c r="AC29" s="367"/>
      <c r="AD29" s="367"/>
      <c r="AE29" s="367"/>
      <c r="AF29" s="367"/>
      <c r="AG29" s="367"/>
      <c r="AH29" s="366"/>
      <c r="AI29" s="366"/>
      <c r="AJ29" s="366"/>
      <c r="AK29" s="366"/>
      <c r="AL29" s="366"/>
      <c r="AM29" s="366"/>
      <c r="AN29" s="366"/>
      <c r="AO29" s="366"/>
      <c r="AP29" s="366"/>
      <c r="AQ29" s="368"/>
    </row>
    <row r="30" spans="1:64" s="272" customFormat="1" ht="12" customHeight="1">
      <c r="E30" s="356"/>
      <c r="F30" s="356"/>
      <c r="G30" s="356"/>
      <c r="H30" s="356"/>
      <c r="I30" s="356"/>
      <c r="J30" s="356"/>
      <c r="K30" s="356"/>
      <c r="O30" s="369"/>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523"/>
      <c r="AQ30" s="260"/>
      <c r="BD30" s="177"/>
      <c r="BE30" s="177"/>
      <c r="BF30" s="177"/>
      <c r="BG30" s="177"/>
      <c r="BH30" s="177"/>
      <c r="BI30" s="177"/>
      <c r="BJ30" s="177"/>
      <c r="BK30" s="177"/>
      <c r="BL30" s="177"/>
    </row>
    <row r="31" spans="1:64" s="177" customFormat="1" ht="12" customHeight="1">
      <c r="O31" s="369"/>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260"/>
    </row>
    <row r="32" spans="1:64" s="177" customFormat="1" ht="12" customHeight="1">
      <c r="O32" s="369"/>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260"/>
    </row>
    <row r="33" spans="15:43" s="177" customFormat="1" ht="12" customHeight="1">
      <c r="O33" s="369"/>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523"/>
      <c r="AN33" s="523"/>
      <c r="AO33" s="523"/>
      <c r="AP33" s="523"/>
      <c r="AQ33" s="260"/>
    </row>
    <row r="34" spans="15:43" s="177" customFormat="1" ht="12" customHeight="1">
      <c r="O34" s="369"/>
      <c r="P34" s="1130" t="str">
        <f>M5S1b&amp;" Application"</f>
        <v>On-Bill Repayment Application</v>
      </c>
      <c r="Q34" s="1130"/>
      <c r="R34" s="1130"/>
      <c r="S34" s="1130"/>
      <c r="T34" s="1130"/>
      <c r="U34" s="1130"/>
      <c r="V34" s="1130"/>
      <c r="W34" s="1130"/>
      <c r="X34" s="1130"/>
      <c r="Y34" s="1130"/>
      <c r="Z34" s="1130"/>
      <c r="AA34" s="1130"/>
      <c r="AB34" s="1130"/>
      <c r="AC34" s="1130"/>
      <c r="AD34" s="524"/>
      <c r="AE34" s="524"/>
      <c r="AF34" s="524"/>
      <c r="AG34" s="524"/>
      <c r="AH34" s="524"/>
      <c r="AI34" s="1135" t="str">
        <f>CONCATENATE("Project # ",PROJID)</f>
        <v xml:space="preserve">Project # </v>
      </c>
      <c r="AJ34" s="1135"/>
      <c r="AK34" s="1135"/>
      <c r="AL34" s="1135"/>
      <c r="AM34" s="1135"/>
      <c r="AN34" s="1135"/>
      <c r="AO34" s="1135"/>
      <c r="AP34" s="1135"/>
      <c r="AQ34" s="260"/>
    </row>
    <row r="35" spans="15:43" s="177" customFormat="1" ht="12" customHeight="1">
      <c r="O35" s="369"/>
      <c r="P35" s="1130"/>
      <c r="Q35" s="1130"/>
      <c r="R35" s="1130"/>
      <c r="S35" s="1130"/>
      <c r="T35" s="1130"/>
      <c r="U35" s="1130"/>
      <c r="V35" s="1130"/>
      <c r="W35" s="1130"/>
      <c r="X35" s="1130"/>
      <c r="Y35" s="1130"/>
      <c r="Z35" s="1130"/>
      <c r="AA35" s="1130"/>
      <c r="AB35" s="1130"/>
      <c r="AC35" s="1130"/>
      <c r="AD35" s="524"/>
      <c r="AE35" s="524"/>
      <c r="AF35" s="524"/>
      <c r="AG35" s="524"/>
      <c r="AH35" s="524"/>
      <c r="AI35" s="1135"/>
      <c r="AJ35" s="1135"/>
      <c r="AK35" s="1135"/>
      <c r="AL35" s="1135"/>
      <c r="AM35" s="1135"/>
      <c r="AN35" s="1135"/>
      <c r="AO35" s="1135"/>
      <c r="AP35" s="1135"/>
      <c r="AQ35" s="260"/>
    </row>
    <row r="36" spans="15:43" s="177" customFormat="1" ht="12" customHeight="1">
      <c r="O36" s="369"/>
      <c r="P36" s="1130"/>
      <c r="Q36" s="1130"/>
      <c r="R36" s="1130"/>
      <c r="S36" s="1130"/>
      <c r="T36" s="1130"/>
      <c r="U36" s="1130"/>
      <c r="V36" s="1130"/>
      <c r="W36" s="1130"/>
      <c r="X36" s="1130"/>
      <c r="Y36" s="1130"/>
      <c r="Z36" s="1130"/>
      <c r="AA36" s="1130"/>
      <c r="AB36" s="1130"/>
      <c r="AC36" s="1130"/>
      <c r="AD36" s="524"/>
      <c r="AE36" s="524"/>
      <c r="AF36" s="524"/>
      <c r="AG36" s="524"/>
      <c r="AH36" s="524"/>
      <c r="AI36" s="1135"/>
      <c r="AJ36" s="1135"/>
      <c r="AK36" s="1135"/>
      <c r="AL36" s="1135"/>
      <c r="AM36" s="1135"/>
      <c r="AN36" s="1135"/>
      <c r="AO36" s="1135"/>
      <c r="AP36" s="1135"/>
      <c r="AQ36" s="260"/>
    </row>
    <row r="37" spans="15:43" s="177" customFormat="1" ht="12" customHeight="1">
      <c r="O37" s="369"/>
      <c r="P37" s="1116" t="str">
        <f>IF(M02S03F01="","",M02S03F01)</f>
        <v/>
      </c>
      <c r="Q37" s="1116"/>
      <c r="R37" s="1116"/>
      <c r="S37" s="1116"/>
      <c r="T37" s="1116"/>
      <c r="U37" s="1116"/>
      <c r="V37" s="1116"/>
      <c r="W37" s="1116"/>
      <c r="X37" s="1116"/>
      <c r="Y37" s="1116"/>
      <c r="Z37" s="1116"/>
      <c r="AA37" s="1116"/>
      <c r="AB37" s="1116"/>
      <c r="AC37" s="1116"/>
      <c r="AD37" s="1117" t="str">
        <f>IF(M02S02F25="","",M02S02F25)</f>
        <v/>
      </c>
      <c r="AE37" s="1117"/>
      <c r="AF37" s="1117"/>
      <c r="AG37" s="1117"/>
      <c r="AH37" s="1117"/>
      <c r="AI37" s="1117"/>
      <c r="AJ37" s="1117"/>
      <c r="AK37" s="1117"/>
      <c r="AL37" s="1117"/>
      <c r="AM37" s="1117"/>
      <c r="AN37" s="1117"/>
      <c r="AO37" s="1117"/>
      <c r="AP37" s="1117"/>
      <c r="AQ37" s="260"/>
    </row>
    <row r="38" spans="15:43" s="177" customFormat="1" ht="12" customHeight="1">
      <c r="O38" s="369"/>
      <c r="P38" s="1116"/>
      <c r="Q38" s="1116"/>
      <c r="R38" s="1116"/>
      <c r="S38" s="1116"/>
      <c r="T38" s="1116"/>
      <c r="U38" s="1116"/>
      <c r="V38" s="1116"/>
      <c r="W38" s="1116"/>
      <c r="X38" s="1116"/>
      <c r="Y38" s="1116"/>
      <c r="Z38" s="1116"/>
      <c r="AA38" s="1116"/>
      <c r="AB38" s="1116"/>
      <c r="AC38" s="1116"/>
      <c r="AD38" s="1117"/>
      <c r="AE38" s="1117"/>
      <c r="AF38" s="1117"/>
      <c r="AG38" s="1117"/>
      <c r="AH38" s="1117"/>
      <c r="AI38" s="1117"/>
      <c r="AJ38" s="1117"/>
      <c r="AK38" s="1117"/>
      <c r="AL38" s="1117"/>
      <c r="AM38" s="1117"/>
      <c r="AN38" s="1117"/>
      <c r="AO38" s="1117"/>
      <c r="AP38" s="1117"/>
      <c r="AQ38" s="260"/>
    </row>
    <row r="39" spans="15:43" s="177" customFormat="1" ht="12" customHeight="1">
      <c r="O39" s="36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260"/>
    </row>
    <row r="40" spans="15:43" s="177" customFormat="1" ht="14.25" customHeight="1">
      <c r="O40" s="369"/>
      <c r="P40" s="1118" t="s">
        <v>1497</v>
      </c>
      <c r="Q40" s="1118"/>
      <c r="R40" s="1118"/>
      <c r="S40" s="1118"/>
      <c r="T40" s="1118"/>
      <c r="U40" s="526"/>
      <c r="V40" s="1119" t="s">
        <v>1498</v>
      </c>
      <c r="W40" s="1119"/>
      <c r="X40" s="1119"/>
      <c r="Y40" s="1119"/>
      <c r="Z40" s="1119"/>
      <c r="AA40" s="1119"/>
      <c r="AB40" s="507"/>
      <c r="AC40" s="1119" t="s">
        <v>1499</v>
      </c>
      <c r="AD40" s="1119"/>
      <c r="AE40" s="1119"/>
      <c r="AF40" s="1119"/>
      <c r="AG40" s="1119"/>
      <c r="AH40" s="1119"/>
      <c r="AI40" s="1119"/>
      <c r="AJ40" s="1107" t="s">
        <v>1500</v>
      </c>
      <c r="AK40" s="1107"/>
      <c r="AL40" s="1107"/>
      <c r="AM40" s="1107"/>
      <c r="AN40" s="1107"/>
      <c r="AO40" s="1107"/>
      <c r="AP40" s="1107"/>
      <c r="AQ40" s="260"/>
    </row>
    <row r="41" spans="15:43" s="177" customFormat="1" ht="14.25" customHeight="1">
      <c r="O41" s="369"/>
      <c r="P41" s="1118"/>
      <c r="Q41" s="1118"/>
      <c r="R41" s="1118"/>
      <c r="S41" s="1118"/>
      <c r="T41" s="1118"/>
      <c r="U41" s="526"/>
      <c r="V41" s="1115" t="str">
        <f>IF(M02S02F02="","",M02S02F02)</f>
        <v/>
      </c>
      <c r="W41" s="1115"/>
      <c r="X41" s="1115"/>
      <c r="Y41" s="1115"/>
      <c r="Z41" s="1115"/>
      <c r="AA41" s="1115"/>
      <c r="AB41" s="508"/>
      <c r="AC41" s="1115" t="str">
        <f>M02S02F13</f>
        <v/>
      </c>
      <c r="AD41" s="1115"/>
      <c r="AE41" s="1115"/>
      <c r="AF41" s="1115"/>
      <c r="AG41" s="1115"/>
      <c r="AH41" s="1115"/>
      <c r="AI41" s="1115"/>
      <c r="AJ41" s="1115" t="str">
        <f>M02S02F15</f>
        <v/>
      </c>
      <c r="AK41" s="1115"/>
      <c r="AL41" s="1115"/>
      <c r="AM41" s="1115"/>
      <c r="AN41" s="1115"/>
      <c r="AO41" s="1115"/>
      <c r="AP41" s="1115"/>
      <c r="AQ41" s="260"/>
    </row>
    <row r="42" spans="15:43" s="177" customFormat="1" ht="14.25" customHeight="1">
      <c r="O42" s="369"/>
      <c r="P42" s="1118"/>
      <c r="Q42" s="1118"/>
      <c r="R42" s="1118"/>
      <c r="S42" s="1118"/>
      <c r="T42" s="1118"/>
      <c r="U42" s="526"/>
      <c r="V42" s="1115" t="str">
        <f>IF(M02S02F03="","",M02S02F03)</f>
        <v/>
      </c>
      <c r="W42" s="1115"/>
      <c r="X42" s="1115"/>
      <c r="Y42" s="1115"/>
      <c r="Z42" s="1115"/>
      <c r="AA42" s="1115"/>
      <c r="AB42" s="508"/>
      <c r="AC42" s="1119" t="s">
        <v>1504</v>
      </c>
      <c r="AD42" s="1119"/>
      <c r="AE42" s="1119"/>
      <c r="AF42" s="1119"/>
      <c r="AG42" s="1119"/>
      <c r="AH42" s="1119"/>
      <c r="AI42" s="1119"/>
      <c r="AJ42" s="1107" t="s">
        <v>1505</v>
      </c>
      <c r="AK42" s="1107"/>
      <c r="AL42" s="1107"/>
      <c r="AM42" s="1107"/>
      <c r="AN42" s="1107"/>
      <c r="AO42" s="1107"/>
      <c r="AP42" s="1107"/>
      <c r="AQ42" s="260"/>
    </row>
    <row r="43" spans="15:43" s="177" customFormat="1" ht="14.25" customHeight="1">
      <c r="O43" s="369"/>
      <c r="P43" s="1118"/>
      <c r="Q43" s="1118"/>
      <c r="R43" s="1118"/>
      <c r="S43" s="1118"/>
      <c r="T43" s="1118"/>
      <c r="U43" s="526"/>
      <c r="V43" s="1115" t="str">
        <f>IF(M02S02F06="","",CONCATENATE(M02S02F06,", ",M02S02F07," ",TEXT(M02S02F08,"00000")))</f>
        <v/>
      </c>
      <c r="W43" s="1115"/>
      <c r="X43" s="1115"/>
      <c r="Y43" s="1115"/>
      <c r="Z43" s="1115"/>
      <c r="AA43" s="1115"/>
      <c r="AB43" s="508"/>
      <c r="AC43" s="1120" t="str">
        <f>IF(M02S02F14="","",M02S02F14)</f>
        <v/>
      </c>
      <c r="AD43" s="1120"/>
      <c r="AE43" s="1120"/>
      <c r="AF43" s="1120"/>
      <c r="AG43" s="1120"/>
      <c r="AH43" s="1120"/>
      <c r="AI43" s="1120"/>
      <c r="AJ43" s="1120" t="str">
        <f>IF(M02S02F16="","",M02S02F16)</f>
        <v/>
      </c>
      <c r="AK43" s="1120"/>
      <c r="AL43" s="1120"/>
      <c r="AM43" s="1120"/>
      <c r="AN43" s="1120"/>
      <c r="AO43" s="1120"/>
      <c r="AP43" s="1120"/>
      <c r="AQ43" s="260"/>
    </row>
    <row r="44" spans="15:43" s="177" customFormat="1" ht="12" customHeight="1">
      <c r="O44" s="369"/>
      <c r="P44" s="199"/>
      <c r="Q44" s="199"/>
      <c r="R44" s="199"/>
      <c r="S44" s="199"/>
      <c r="T44" s="199"/>
      <c r="U44" s="199"/>
      <c r="V44" s="371"/>
      <c r="W44" s="371"/>
      <c r="X44" s="371"/>
      <c r="Y44" s="371"/>
      <c r="Z44" s="371"/>
      <c r="AA44" s="371"/>
      <c r="AB44" s="371"/>
      <c r="AC44" s="371"/>
      <c r="AD44" s="371"/>
      <c r="AE44" s="371"/>
      <c r="AF44" s="371"/>
      <c r="AG44" s="371"/>
      <c r="AH44" s="371"/>
      <c r="AI44" s="371"/>
      <c r="AJ44" s="371"/>
      <c r="AK44" s="371"/>
      <c r="AL44" s="371"/>
      <c r="AM44" s="371"/>
      <c r="AN44" s="371"/>
      <c r="AO44" s="371"/>
      <c r="AP44" s="371"/>
      <c r="AQ44" s="260"/>
    </row>
    <row r="45" spans="15:43" s="177" customFormat="1" ht="14.25" customHeight="1">
      <c r="O45" s="369"/>
      <c r="P45" s="1118" t="s">
        <v>1506</v>
      </c>
      <c r="Q45" s="1118"/>
      <c r="R45" s="1118"/>
      <c r="S45" s="1118"/>
      <c r="T45" s="1118"/>
      <c r="U45" s="526"/>
      <c r="V45" s="1131" t="s">
        <v>758</v>
      </c>
      <c r="W45" s="1131"/>
      <c r="X45" s="1131"/>
      <c r="Y45" s="1131"/>
      <c r="Z45" s="1131"/>
      <c r="AA45" s="1131"/>
      <c r="AB45" s="528"/>
      <c r="AC45" s="1132" t="s">
        <v>1507</v>
      </c>
      <c r="AD45" s="1132"/>
      <c r="AE45" s="1132"/>
      <c r="AF45" s="1132"/>
      <c r="AG45" s="1132"/>
      <c r="AH45" s="1132"/>
      <c r="AI45" s="528"/>
      <c r="AJ45" s="528"/>
      <c r="AK45" s="528"/>
      <c r="AL45" s="528"/>
      <c r="AM45" s="528"/>
      <c r="AN45" s="528"/>
      <c r="AO45" s="528"/>
      <c r="AP45" s="528"/>
      <c r="AQ45" s="260"/>
    </row>
    <row r="46" spans="15:43" s="177" customFormat="1" ht="14.25" customHeight="1">
      <c r="O46" s="369"/>
      <c r="P46" s="1118"/>
      <c r="Q46" s="1118"/>
      <c r="R46" s="1118"/>
      <c r="S46" s="1118"/>
      <c r="T46" s="1118"/>
      <c r="U46" s="526"/>
      <c r="V46" s="1126" t="str">
        <f>IF(M02S04F02="","",M02S04F02)</f>
        <v/>
      </c>
      <c r="W46" s="1126"/>
      <c r="X46" s="1126"/>
      <c r="Y46" s="1126"/>
      <c r="Z46" s="1126"/>
      <c r="AA46" s="1126"/>
      <c r="AB46" s="516"/>
      <c r="AC46" s="1126" t="str">
        <f>CONCATENATE(M02S04F08," ",M02S04F09)</f>
        <v xml:space="preserve"> </v>
      </c>
      <c r="AD46" s="1126"/>
      <c r="AE46" s="1126"/>
      <c r="AF46" s="1126"/>
      <c r="AG46" s="1126"/>
      <c r="AH46" s="1126"/>
      <c r="AI46" s="529"/>
      <c r="AJ46" s="529"/>
      <c r="AK46" s="516"/>
      <c r="AL46" s="516"/>
      <c r="AM46" s="516"/>
      <c r="AN46" s="516"/>
      <c r="AO46" s="516"/>
      <c r="AP46" s="530"/>
      <c r="AQ46" s="260"/>
    </row>
    <row r="47" spans="15:43" s="177" customFormat="1" ht="14.25" customHeight="1">
      <c r="O47" s="369"/>
      <c r="P47" s="1118"/>
      <c r="Q47" s="1118"/>
      <c r="R47" s="1118"/>
      <c r="S47" s="1118"/>
      <c r="T47" s="1118"/>
      <c r="U47" s="526"/>
      <c r="V47" s="1126" t="str">
        <f>IF(M02S04F03="","",M02S04F03)</f>
        <v/>
      </c>
      <c r="W47" s="1126"/>
      <c r="X47" s="1126"/>
      <c r="Y47" s="1126"/>
      <c r="Z47" s="1126"/>
      <c r="AA47" s="1126"/>
      <c r="AB47" s="516"/>
      <c r="AC47" s="1134" t="str">
        <f>IF(M02S04F10="","",M02S04F10)</f>
        <v/>
      </c>
      <c r="AD47" s="1134"/>
      <c r="AE47" s="1134"/>
      <c r="AF47" s="1134"/>
      <c r="AG47" s="1134"/>
      <c r="AH47" s="1134"/>
      <c r="AI47" s="529"/>
      <c r="AJ47" s="529"/>
      <c r="AK47" s="517"/>
      <c r="AL47" s="517"/>
      <c r="AM47" s="517"/>
      <c r="AN47" s="517"/>
      <c r="AO47" s="517"/>
      <c r="AP47" s="531"/>
      <c r="AQ47" s="260"/>
    </row>
    <row r="48" spans="15:43" s="177" customFormat="1" ht="14.25" customHeight="1">
      <c r="O48" s="369"/>
      <c r="P48" s="1118"/>
      <c r="Q48" s="1118"/>
      <c r="R48" s="1118"/>
      <c r="S48" s="1118"/>
      <c r="T48" s="1118"/>
      <c r="U48" s="526"/>
      <c r="V48" s="1126" t="str">
        <f>IF(M02S04F05="","",CONCATENATE(M02S04F05,", ",M02S04F06," ",TEXT(M02S04F07,"00000")))</f>
        <v/>
      </c>
      <c r="W48" s="1126"/>
      <c r="X48" s="1126"/>
      <c r="Y48" s="1126"/>
      <c r="Z48" s="1126"/>
      <c r="AA48" s="1126"/>
      <c r="AB48" s="516"/>
      <c r="AC48" s="1126" t="str">
        <f>TEXT(M02S04F11,"(###) ###-####")</f>
        <v>() -</v>
      </c>
      <c r="AD48" s="1126"/>
      <c r="AE48" s="1126"/>
      <c r="AF48" s="1126"/>
      <c r="AG48" s="1126"/>
      <c r="AH48" s="1126"/>
      <c r="AI48" s="529"/>
      <c r="AJ48" s="529"/>
      <c r="AK48" s="516"/>
      <c r="AL48" s="516"/>
      <c r="AM48" s="516"/>
      <c r="AN48" s="516"/>
      <c r="AO48" s="516"/>
      <c r="AP48" s="530"/>
      <c r="AQ48" s="260"/>
    </row>
    <row r="49" spans="15:89" s="177" customFormat="1" ht="12" customHeight="1">
      <c r="O49" s="369"/>
      <c r="AQ49" s="260"/>
    </row>
    <row r="50" spans="15:89" s="177" customFormat="1" ht="23.25">
      <c r="O50" s="369"/>
      <c r="P50" s="1191" t="s">
        <v>1527</v>
      </c>
      <c r="Q50" s="1191"/>
      <c r="R50" s="1191"/>
      <c r="S50" s="1191"/>
      <c r="T50" s="1191"/>
      <c r="U50" s="1191"/>
      <c r="V50" s="1191"/>
      <c r="W50" s="1191"/>
      <c r="X50" s="1191"/>
      <c r="Y50" s="1191"/>
      <c r="Z50" s="1191"/>
      <c r="AA50" s="1191"/>
      <c r="AB50" s="1191"/>
      <c r="AC50" s="1191"/>
      <c r="AD50" s="1191"/>
      <c r="AE50" s="1191"/>
      <c r="AF50" s="1191"/>
      <c r="AG50" s="1191"/>
      <c r="AH50" s="1191"/>
      <c r="AI50" s="1191"/>
      <c r="AJ50" s="1191"/>
      <c r="AK50" s="1191"/>
      <c r="AL50" s="1191"/>
      <c r="AM50" s="1191"/>
      <c r="AN50" s="1191"/>
      <c r="AO50" s="1191"/>
      <c r="AP50" s="1191"/>
      <c r="AQ50" s="260"/>
    </row>
    <row r="51" spans="15:89" s="177" customFormat="1" ht="12" customHeight="1">
      <c r="O51" s="369"/>
      <c r="P51" s="375"/>
      <c r="Q51" s="375"/>
      <c r="R51" s="375"/>
      <c r="S51" s="375"/>
      <c r="T51" s="375"/>
      <c r="U51" s="375"/>
      <c r="V51" s="375"/>
      <c r="W51" s="375"/>
      <c r="X51" s="375"/>
      <c r="Y51" s="375"/>
      <c r="Z51" s="375"/>
      <c r="AA51" s="375"/>
      <c r="AB51" s="375"/>
      <c r="AC51" s="375"/>
      <c r="AD51" s="375"/>
      <c r="AE51" s="375"/>
      <c r="AF51" s="375"/>
      <c r="AG51" s="375"/>
      <c r="AH51" s="375"/>
      <c r="AI51" s="375"/>
      <c r="AJ51" s="375"/>
      <c r="AK51" s="375"/>
      <c r="AL51" s="375"/>
      <c r="AM51" s="375"/>
      <c r="AN51" s="375"/>
      <c r="AO51" s="375"/>
      <c r="AP51" s="375"/>
      <c r="AQ51" s="260"/>
    </row>
    <row r="52" spans="15:89" s="177" customFormat="1" ht="15.75" customHeight="1">
      <c r="O52" s="369"/>
      <c r="P52" s="489"/>
      <c r="Q52" s="489"/>
      <c r="R52" s="489"/>
      <c r="S52" s="489"/>
      <c r="T52" s="1210" t="s">
        <v>1528</v>
      </c>
      <c r="U52" s="1210"/>
      <c r="V52" s="1210"/>
      <c r="W52" s="1210"/>
      <c r="X52" s="1210"/>
      <c r="Y52" s="1210"/>
      <c r="AC52" s="1210" t="s">
        <v>1529</v>
      </c>
      <c r="AD52" s="1210"/>
      <c r="AE52" s="1210"/>
      <c r="AF52" s="1210"/>
      <c r="AG52" s="1210"/>
      <c r="AH52" s="1210"/>
      <c r="AI52" s="1210"/>
      <c r="AQ52" s="260"/>
    </row>
    <row r="53" spans="15:89" s="177" customFormat="1" ht="15.75" thickBot="1">
      <c r="O53" s="376"/>
      <c r="P53" s="356"/>
      <c r="Q53" s="356"/>
      <c r="R53" s="356"/>
      <c r="S53" s="356"/>
      <c r="T53" s="1210"/>
      <c r="U53" s="1210"/>
      <c r="V53" s="1210"/>
      <c r="W53" s="1210"/>
      <c r="X53" s="1210"/>
      <c r="Y53" s="1210"/>
      <c r="Z53" s="1211" t="str">
        <f>IF('M05-S01a'!AE46="Yes","Yes",IF('M05-S01a'!AE46="No","No",IF('M05-S01a'!AE46="","")))</f>
        <v/>
      </c>
      <c r="AA53" s="1212"/>
      <c r="AC53" s="1210"/>
      <c r="AD53" s="1210"/>
      <c r="AE53" s="1210"/>
      <c r="AF53" s="1210"/>
      <c r="AG53" s="1210"/>
      <c r="AH53" s="1210"/>
      <c r="AI53" s="1210"/>
      <c r="AJ53" s="1213"/>
      <c r="AK53" s="1214"/>
      <c r="AQ53" s="260"/>
    </row>
    <row r="54" spans="15:89" s="177" customFormat="1" ht="15.75" customHeight="1">
      <c r="O54" s="376"/>
      <c r="P54" s="356"/>
      <c r="Q54" s="356"/>
      <c r="R54" s="356"/>
      <c r="S54" s="356"/>
      <c r="T54" s="1210"/>
      <c r="U54" s="1210"/>
      <c r="V54" s="1210"/>
      <c r="W54" s="1210"/>
      <c r="X54" s="1210"/>
      <c r="Y54" s="1210"/>
      <c r="Z54" s="272"/>
      <c r="AA54" s="261" t="str">
        <f ca="1">M05S01BF01disp</f>
        <v>Required</v>
      </c>
      <c r="AC54" s="1210"/>
      <c r="AD54" s="1210"/>
      <c r="AE54" s="1210"/>
      <c r="AF54" s="1210"/>
      <c r="AG54" s="1210"/>
      <c r="AH54" s="1210"/>
      <c r="AI54" s="1210"/>
      <c r="AJ54" s="272"/>
      <c r="AK54" s="261" t="str">
        <f ca="1">M05S01BF02disp</f>
        <v/>
      </c>
      <c r="AQ54" s="260"/>
    </row>
    <row r="55" spans="15:89" s="177" customFormat="1" ht="15.75" customHeight="1">
      <c r="O55" s="376"/>
      <c r="Z55" s="1193" t="s">
        <v>1530</v>
      </c>
      <c r="AA55" s="1193"/>
      <c r="AB55" s="1193"/>
      <c r="AC55" s="1193"/>
      <c r="AD55" s="1193"/>
      <c r="AE55" s="1193"/>
      <c r="AF55" s="1193"/>
      <c r="AQ55" s="260"/>
    </row>
    <row r="56" spans="15:89" s="177" customFormat="1" ht="15.75" customHeight="1">
      <c r="O56" s="369"/>
      <c r="P56" s="240"/>
      <c r="Q56" s="240"/>
      <c r="R56" s="240"/>
      <c r="S56" s="240"/>
      <c r="T56" s="240"/>
      <c r="U56" s="240"/>
      <c r="V56" s="240"/>
      <c r="W56" s="240"/>
      <c r="X56" s="240"/>
      <c r="Y56" s="240"/>
      <c r="Z56" s="1192" t="str">
        <f>IFERROR(IF(M05S01BF01&lt;&gt;"Yes","",IF(OBR_Amount_Requested_Final&lt;0,0,OBR_Amount_Requested_Final)),"")</f>
        <v/>
      </c>
      <c r="AA56" s="1192"/>
      <c r="AB56" s="1192"/>
      <c r="AC56" s="1192"/>
      <c r="AD56" s="1192"/>
      <c r="AE56" s="1192"/>
      <c r="AF56" s="1192"/>
      <c r="AQ56" s="260"/>
    </row>
    <row r="57" spans="15:89" s="177" customFormat="1" ht="12" customHeight="1">
      <c r="O57" s="369"/>
      <c r="P57" s="240"/>
      <c r="Q57" s="240"/>
      <c r="R57" s="240"/>
      <c r="S57" s="240"/>
      <c r="T57" s="240"/>
      <c r="U57" s="240"/>
      <c r="V57" s="240"/>
      <c r="W57" s="240"/>
      <c r="X57" s="240"/>
      <c r="Y57" s="240"/>
      <c r="Z57" s="275"/>
      <c r="AA57" s="275"/>
      <c r="AB57" s="275"/>
      <c r="AC57" s="275"/>
      <c r="AD57" s="275"/>
      <c r="AE57" s="275"/>
      <c r="AF57" s="275"/>
      <c r="AQ57" s="260"/>
    </row>
    <row r="58" spans="15:89" s="177" customFormat="1" ht="12" customHeight="1">
      <c r="O58" s="369"/>
      <c r="P58" s="1187" t="s">
        <v>1531</v>
      </c>
      <c r="Q58" s="1187"/>
      <c r="R58" s="1187"/>
      <c r="S58" s="1187"/>
      <c r="T58" s="1187"/>
      <c r="U58" s="1187"/>
      <c r="V58" s="1187"/>
      <c r="W58" s="1187"/>
      <c r="X58" s="1187"/>
      <c r="Y58" s="1187"/>
      <c r="Z58" s="1187"/>
      <c r="AA58" s="1187"/>
      <c r="AE58" s="1187" t="s">
        <v>1532</v>
      </c>
      <c r="AF58" s="1187"/>
      <c r="AG58" s="1187"/>
      <c r="AH58" s="1187"/>
      <c r="AI58" s="1187"/>
      <c r="AJ58" s="1187"/>
      <c r="AK58" s="1187"/>
      <c r="AL58" s="1187"/>
      <c r="AM58" s="1187"/>
      <c r="AN58" s="1187"/>
      <c r="AO58" s="1187"/>
      <c r="AP58" s="1187"/>
      <c r="AQ58" s="260"/>
    </row>
    <row r="59" spans="15:89" s="177" customFormat="1" ht="12.75" customHeight="1">
      <c r="O59" s="369"/>
      <c r="P59" s="339"/>
      <c r="Q59" s="339"/>
      <c r="R59" s="339"/>
      <c r="S59" s="339"/>
      <c r="T59" s="339"/>
      <c r="U59" s="339"/>
      <c r="V59" s="339"/>
      <c r="W59" s="339"/>
      <c r="X59" s="339"/>
      <c r="Y59" s="339"/>
      <c r="Z59" s="339"/>
      <c r="AA59" s="339"/>
      <c r="AE59" s="339"/>
      <c r="AF59" s="339"/>
      <c r="AG59" s="339"/>
      <c r="AH59" s="339"/>
      <c r="AI59" s="339"/>
      <c r="AJ59" s="339"/>
      <c r="AK59" s="339"/>
      <c r="AL59" s="339"/>
      <c r="AM59" s="339"/>
      <c r="AN59" s="339"/>
      <c r="AO59" s="339"/>
      <c r="AP59" s="339"/>
      <c r="AQ59" s="260"/>
    </row>
    <row r="60" spans="15:89" s="177" customFormat="1" ht="15.75" customHeight="1">
      <c r="O60" s="369"/>
      <c r="P60" s="1114" t="s">
        <v>1533</v>
      </c>
      <c r="Q60" s="1114"/>
      <c r="R60" s="1114"/>
      <c r="S60" s="1114"/>
      <c r="T60" s="1114"/>
      <c r="U60" s="1114"/>
      <c r="AE60" s="1165" t="s">
        <v>1533</v>
      </c>
      <c r="AF60" s="1165"/>
      <c r="AG60" s="1165"/>
      <c r="AH60" s="1165"/>
      <c r="AI60" s="1165"/>
      <c r="AJ60" s="1165"/>
      <c r="AK60" s="1165"/>
      <c r="AL60" s="1165"/>
      <c r="AM60" s="1165"/>
      <c r="AN60" s="1165"/>
      <c r="AO60" s="1165"/>
      <c r="AP60" s="1165"/>
      <c r="AQ60" s="260"/>
      <c r="BL60" s="1114" t="s">
        <v>1533</v>
      </c>
      <c r="BM60" s="1114"/>
      <c r="BN60" s="1114"/>
      <c r="BO60" s="1114"/>
      <c r="BP60" s="1114"/>
      <c r="BQ60" s="1114"/>
      <c r="BZ60" s="1165" t="s">
        <v>1533</v>
      </c>
      <c r="CA60" s="1165"/>
      <c r="CB60" s="1165"/>
      <c r="CC60" s="1165"/>
      <c r="CD60" s="1165"/>
      <c r="CE60" s="1165"/>
      <c r="CF60" s="1165"/>
      <c r="CG60" s="1165"/>
      <c r="CH60" s="1165"/>
      <c r="CI60" s="1165"/>
      <c r="CJ60" s="1165"/>
      <c r="CK60" s="1165"/>
    </row>
    <row r="61" spans="15:89" s="177" customFormat="1" ht="15.75" customHeight="1" thickBot="1">
      <c r="O61" s="369"/>
      <c r="P61" s="1188" t="str">
        <f>IF(M05S01BF01="Yes",IF(M02S02F02="","",M02S02F02),"")</f>
        <v/>
      </c>
      <c r="Q61" s="1189"/>
      <c r="R61" s="1189"/>
      <c r="S61" s="1189"/>
      <c r="T61" s="1189"/>
      <c r="U61" s="1189"/>
      <c r="V61" s="1189"/>
      <c r="W61" s="1189"/>
      <c r="X61" s="1189"/>
      <c r="Y61" s="1189"/>
      <c r="Z61" s="1189"/>
      <c r="AA61" s="1190"/>
      <c r="AE61" s="804" t="str">
        <f>IFERROR(IF(AND(M05S01BF01="Yes", M05S01BF02="Yes"),
IF(M02S04F02="","",M02S04F02),
IF(AND(M05S01BF01="Yes",M05S01BF02&lt;&gt;"Yes"),
IF(M02S02F02="","",M02S02F02),"")),"")</f>
        <v/>
      </c>
      <c r="AF61" s="805"/>
      <c r="AG61" s="805"/>
      <c r="AH61" s="805"/>
      <c r="AI61" s="805"/>
      <c r="AJ61" s="805"/>
      <c r="AK61" s="805"/>
      <c r="AL61" s="805"/>
      <c r="AM61" s="805"/>
      <c r="AN61" s="805"/>
      <c r="AO61" s="805"/>
      <c r="AP61" s="806"/>
      <c r="AQ61" s="260"/>
      <c r="BL61" s="858" t="str">
        <f>IF(M05S01BF01="Yes",IF(M02S02F02="","",M02S02F02),"")</f>
        <v/>
      </c>
      <c r="BM61" s="1174"/>
      <c r="BN61" s="1174"/>
      <c r="BO61" s="1174"/>
      <c r="BP61" s="1174"/>
      <c r="BQ61" s="1174"/>
      <c r="BR61" s="1174"/>
      <c r="BS61" s="1174"/>
      <c r="BT61" s="1174"/>
      <c r="BU61" s="1174"/>
      <c r="BV61" s="1174"/>
      <c r="BW61" s="859"/>
      <c r="BZ61" s="858" t="str">
        <f>IFERROR(IF(AND(M05S01BF01="Yes", M05S01BF02="Yes"),
IF(M02S04F02="","",M02S04F02),
IF(AND(M05S01BF01="Yes",M05S01BF02&lt;&gt;"Yes"),
IF(M02S02F02="","",M02S02F02),"")),"")</f>
        <v/>
      </c>
      <c r="CA61" s="1174"/>
      <c r="CB61" s="1174"/>
      <c r="CC61" s="1174"/>
      <c r="CD61" s="1174"/>
      <c r="CE61" s="1174"/>
      <c r="CF61" s="1174"/>
      <c r="CG61" s="1174"/>
      <c r="CH61" s="1174"/>
      <c r="CI61" s="1174"/>
      <c r="CJ61" s="1174"/>
      <c r="CK61" s="859"/>
    </row>
    <row r="62" spans="15:89" s="177" customFormat="1" ht="12.75" customHeight="1">
      <c r="O62" s="369"/>
      <c r="P62" s="346"/>
      <c r="Q62" s="346"/>
      <c r="R62" s="346"/>
      <c r="S62" s="346"/>
      <c r="T62" s="346"/>
      <c r="AA62" s="261" t="str">
        <f ca="1">M05S01BF03disp</f>
        <v/>
      </c>
      <c r="AP62" s="261" t="str">
        <f ca="1">M05S01BF07disp</f>
        <v/>
      </c>
      <c r="AQ62" s="260"/>
      <c r="BL62" s="346"/>
      <c r="BM62" s="346"/>
      <c r="BN62" s="346"/>
      <c r="BO62" s="346"/>
      <c r="BP62" s="346"/>
      <c r="BQ62" s="261" t="str">
        <f ca="1">M05S01BF03disp</f>
        <v/>
      </c>
      <c r="CK62" s="261" t="str">
        <f ca="1">M05S01BF07disp</f>
        <v/>
      </c>
    </row>
    <row r="63" spans="15:89" s="177" customFormat="1" ht="15.75" customHeight="1">
      <c r="O63" s="369"/>
      <c r="P63" s="262" t="s">
        <v>758</v>
      </c>
      <c r="Q63" s="262"/>
      <c r="R63" s="262"/>
      <c r="S63" s="262"/>
      <c r="T63" s="262"/>
      <c r="U63" s="262"/>
      <c r="V63" s="263"/>
      <c r="W63" s="264"/>
      <c r="X63" s="264"/>
      <c r="Y63" s="264"/>
      <c r="Z63" s="264"/>
      <c r="AA63" s="264"/>
      <c r="AE63" s="892" t="s">
        <v>715</v>
      </c>
      <c r="AF63" s="892"/>
      <c r="AG63" s="892"/>
      <c r="AH63" s="892"/>
      <c r="AI63" s="892"/>
      <c r="AJ63" s="892"/>
      <c r="AK63" s="283"/>
      <c r="AL63" s="60"/>
      <c r="AM63" s="60"/>
      <c r="AN63" s="60"/>
      <c r="AO63" s="60"/>
      <c r="AP63" s="60"/>
      <c r="AQ63" s="260"/>
      <c r="BL63" s="262" t="s">
        <v>758</v>
      </c>
      <c r="BM63" s="262"/>
      <c r="BN63" s="262"/>
      <c r="BO63" s="262"/>
      <c r="BP63" s="262"/>
      <c r="BQ63" s="262"/>
      <c r="BR63" s="263"/>
      <c r="BS63" s="264"/>
      <c r="BT63" s="264"/>
      <c r="BU63" s="264"/>
      <c r="BV63" s="264"/>
      <c r="BW63" s="264"/>
      <c r="BZ63" s="892" t="s">
        <v>715</v>
      </c>
      <c r="CA63" s="892"/>
      <c r="CB63" s="892"/>
      <c r="CC63" s="892"/>
      <c r="CD63" s="892"/>
      <c r="CE63" s="892"/>
      <c r="CF63" s="283"/>
      <c r="CG63" s="60"/>
      <c r="CH63" s="60"/>
      <c r="CI63" s="60"/>
      <c r="CJ63" s="60"/>
      <c r="CK63" s="60"/>
    </row>
    <row r="64" spans="15:89" s="177" customFormat="1" ht="15.75" customHeight="1" thickBot="1">
      <c r="O64" s="369"/>
      <c r="P64" s="804" t="str">
        <f>IF(M05S01BF01="Yes",IF(M02S02F03="","",M02S02F03),"")</f>
        <v/>
      </c>
      <c r="Q64" s="805"/>
      <c r="R64" s="805"/>
      <c r="S64" s="805"/>
      <c r="T64" s="805"/>
      <c r="U64" s="805"/>
      <c r="V64" s="805"/>
      <c r="W64" s="805"/>
      <c r="X64" s="805"/>
      <c r="Y64" s="805"/>
      <c r="Z64" s="805"/>
      <c r="AA64" s="806"/>
      <c r="AE64" s="885" t="str">
        <f>IFERROR(IF(AND(M05S01BF01="Yes", M05S01BF02="Yes"),
IF(M02S04F03="","",M02S04F03),
IF(AND(M05S01BF01="Yes",M05S01BF02&lt;&gt;"Yes"),
IF(M02S02F04="","",M02S02F04),"")),"")</f>
        <v/>
      </c>
      <c r="AF64" s="886"/>
      <c r="AG64" s="886"/>
      <c r="AH64" s="886"/>
      <c r="AI64" s="886"/>
      <c r="AJ64" s="886"/>
      <c r="AK64" s="886"/>
      <c r="AL64" s="886"/>
      <c r="AM64" s="886"/>
      <c r="AN64" s="886"/>
      <c r="AO64" s="886"/>
      <c r="AP64" s="887"/>
      <c r="AQ64" s="260"/>
      <c r="BL64" s="858" t="str">
        <f>IF(M05S01BF01="Yes",IF(M02S02F03="","",M02S02F03),"")</f>
        <v/>
      </c>
      <c r="BM64" s="1174"/>
      <c r="BN64" s="1174"/>
      <c r="BO64" s="1174"/>
      <c r="BP64" s="1174"/>
      <c r="BQ64" s="1174"/>
      <c r="BR64" s="1174"/>
      <c r="BS64" s="1174"/>
      <c r="BT64" s="1174"/>
      <c r="BU64" s="1174"/>
      <c r="BV64" s="1174"/>
      <c r="BW64" s="859"/>
      <c r="BZ64" s="1175" t="str">
        <f>IFERROR(IF(AND(M05S01BF01="Yes", M05S01BF02="Yes"),
IF(M02S04F03="","",M02S04F03),
IF(AND(M05S01BF01="Yes",M05S01BF02&lt;&gt;"Yes"),
IF(M02S02F04="","",M02S02F04),"")),"")</f>
        <v/>
      </c>
      <c r="CA64" s="1176"/>
      <c r="CB64" s="1176"/>
      <c r="CC64" s="1176"/>
      <c r="CD64" s="1176"/>
      <c r="CE64" s="1176"/>
      <c r="CF64" s="1176"/>
      <c r="CG64" s="1176"/>
      <c r="CH64" s="1176"/>
      <c r="CI64" s="1176"/>
      <c r="CJ64" s="1176"/>
      <c r="CK64" s="1177"/>
    </row>
    <row r="65" spans="15:90" s="177" customFormat="1" ht="12.75" customHeight="1">
      <c r="O65" s="369"/>
      <c r="P65" s="263"/>
      <c r="Q65" s="263"/>
      <c r="R65" s="263"/>
      <c r="S65" s="263"/>
      <c r="T65" s="263"/>
      <c r="U65" s="263"/>
      <c r="V65" s="265"/>
      <c r="W65" s="263"/>
      <c r="X65" s="263"/>
      <c r="Y65" s="263"/>
      <c r="Z65" s="263"/>
      <c r="AA65" s="261" t="str" cm="1">
        <f t="array" aca="1" ref="AA65" ca="1">M05S01BF21disp</f>
        <v/>
      </c>
      <c r="AE65" s="283"/>
      <c r="AF65" s="283"/>
      <c r="AG65" s="283"/>
      <c r="AH65" s="283"/>
      <c r="AI65" s="283"/>
      <c r="AJ65" s="60"/>
      <c r="AK65" s="266"/>
      <c r="AL65" s="60"/>
      <c r="AM65" s="60"/>
      <c r="AN65" s="60"/>
      <c r="AO65" s="60"/>
      <c r="AP65" s="261" t="str">
        <f ca="1">M05S01BF22disp</f>
        <v/>
      </c>
      <c r="AQ65" s="260"/>
      <c r="BL65" s="263"/>
      <c r="BM65" s="263"/>
      <c r="BN65" s="263"/>
      <c r="BO65" s="263"/>
      <c r="BP65" s="263"/>
      <c r="BQ65" s="263"/>
      <c r="BR65" s="265"/>
      <c r="BS65" s="263"/>
      <c r="BT65" s="263"/>
      <c r="BU65" s="263"/>
      <c r="BV65" s="263"/>
      <c r="BW65" s="261" t="str" cm="1">
        <f t="array" aca="1" ref="BW65" ca="1">M05S01BF21disp</f>
        <v/>
      </c>
      <c r="BZ65" s="283"/>
      <c r="CA65" s="283"/>
      <c r="CB65" s="283"/>
      <c r="CC65" s="283"/>
      <c r="CD65" s="283"/>
      <c r="CE65" s="60"/>
      <c r="CF65" s="266"/>
      <c r="CG65" s="60"/>
      <c r="CH65" s="60"/>
      <c r="CI65" s="60"/>
      <c r="CJ65" s="60"/>
      <c r="CK65" s="261" t="str">
        <f ca="1">M05S01BF22disp</f>
        <v/>
      </c>
    </row>
    <row r="66" spans="15:90" s="177" customFormat="1" ht="15.75" customHeight="1">
      <c r="O66" s="369"/>
      <c r="P66" s="1178" t="s">
        <v>720</v>
      </c>
      <c r="Q66" s="1178"/>
      <c r="R66" s="1178"/>
      <c r="S66" s="1178"/>
      <c r="T66" s="1178"/>
      <c r="U66" s="1178"/>
      <c r="V66" s="265"/>
      <c r="W66" s="262" t="s">
        <v>721</v>
      </c>
      <c r="X66" s="262"/>
      <c r="Y66" s="262"/>
      <c r="Z66" s="262" t="s">
        <v>722</v>
      </c>
      <c r="AE66" s="892" t="s">
        <v>720</v>
      </c>
      <c r="AF66" s="892"/>
      <c r="AG66" s="892"/>
      <c r="AH66" s="892"/>
      <c r="AI66" s="892"/>
      <c r="AJ66" s="892"/>
      <c r="AK66" s="60"/>
      <c r="AL66" s="267" t="s">
        <v>721</v>
      </c>
      <c r="AM66" s="267"/>
      <c r="AN66" s="267"/>
      <c r="AO66" s="267" t="s">
        <v>774</v>
      </c>
      <c r="AP66" s="267"/>
      <c r="AQ66" s="260"/>
      <c r="BL66" s="1178" t="s">
        <v>720</v>
      </c>
      <c r="BM66" s="1178"/>
      <c r="BN66" s="1178"/>
      <c r="BO66" s="1178"/>
      <c r="BP66" s="1178"/>
      <c r="BQ66" s="1178"/>
      <c r="BR66" s="265"/>
      <c r="BS66" s="262" t="s">
        <v>721</v>
      </c>
      <c r="BT66" s="262"/>
      <c r="BU66" s="262"/>
      <c r="BV66" s="262" t="s">
        <v>722</v>
      </c>
      <c r="BZ66" s="892" t="s">
        <v>720</v>
      </c>
      <c r="CA66" s="892"/>
      <c r="CB66" s="892"/>
      <c r="CC66" s="892"/>
      <c r="CD66" s="892"/>
      <c r="CE66" s="892"/>
      <c r="CF66" s="60"/>
      <c r="CG66" s="267" t="s">
        <v>721</v>
      </c>
      <c r="CH66" s="267"/>
      <c r="CI66" s="267"/>
      <c r="CJ66" s="267" t="s">
        <v>774</v>
      </c>
      <c r="CK66" s="267"/>
    </row>
    <row r="67" spans="15:90" s="177" customFormat="1" ht="15.75" customHeight="1" thickBot="1">
      <c r="O67" s="369"/>
      <c r="P67" s="804" t="str">
        <f>IF(M05S01BF01="Yes",IF(M02S02F06="","",M02S02F06),"")</f>
        <v/>
      </c>
      <c r="Q67" s="805"/>
      <c r="R67" s="805"/>
      <c r="S67" s="805"/>
      <c r="T67" s="805"/>
      <c r="U67" s="806"/>
      <c r="V67" s="263"/>
      <c r="W67" s="804" t="str">
        <f>IF(M05S01BF01="Yes",IF(M02S02F07="","",M02S02F07),"")</f>
        <v/>
      </c>
      <c r="X67" s="806"/>
      <c r="Y67" s="268"/>
      <c r="Z67" s="862" t="str">
        <f>IF(M05S01BF01="Yes",IF(M02S02F08="","",M02S02F08),"")</f>
        <v/>
      </c>
      <c r="AA67" s="863"/>
      <c r="AE67" s="885" t="str">
        <f>IFERROR(IF(AND(M05S01BF01="Yes", M05S01BF02="Yes"),
IF(M02S04F05="","",M02S04F05),
IF(AND(M05S01BF01="Yes",M05S01BF02&lt;&gt;"Yes"),
IF(M02S02F09="","",M02S02F09),"")),"")</f>
        <v/>
      </c>
      <c r="AF67" s="886"/>
      <c r="AG67" s="886"/>
      <c r="AH67" s="886"/>
      <c r="AI67" s="886"/>
      <c r="AJ67" s="887"/>
      <c r="AK67" s="60"/>
      <c r="AL67" s="913" t="str">
        <f>IFERROR(IF(AND(M05S01BF01="Yes", M05S01BF02="Yes"),
IF(M02S04F06="","",M02S04F06),
IF(AND(M05S01BF01="Yes",M05S01BF02&lt;&gt;"Yes"),
IF(M02S02F10="","",M02S02F10),"")),"")</f>
        <v/>
      </c>
      <c r="AM67" s="914"/>
      <c r="AN67" s="60"/>
      <c r="AO67" s="1195" t="str">
        <f>IFERROR(IF(AND(M05S01BF01="Yes", M05S01BF02="Yes"),
IF(M02S04F07="","",M02S04F07),
IF(AND(M05S01BF01="Yes",M05S01BF02&lt;&gt;"Yes"),
IF(M02S02F11="","",M02S02F11),"")),"")</f>
        <v/>
      </c>
      <c r="AP67" s="1196"/>
      <c r="AQ67" s="260"/>
      <c r="BL67" s="858" t="str">
        <f>IF(M05S01BF01="Yes",IF(M02S02F06="","",M02S02F06),"")</f>
        <v/>
      </c>
      <c r="BM67" s="1174"/>
      <c r="BN67" s="1174"/>
      <c r="BO67" s="1174"/>
      <c r="BP67" s="1174"/>
      <c r="BQ67" s="859"/>
      <c r="BR67" s="263"/>
      <c r="BS67" s="858" t="str">
        <f>IF(M05S01BF01="Yes",IF(M02S02F07="","",M02S02F07),"")</f>
        <v/>
      </c>
      <c r="BT67" s="859"/>
      <c r="BU67" s="268"/>
      <c r="BV67" s="1179" t="str">
        <f>IF(M05S01BF01="Yes",IF(M02S02F08="","",M02S02F08),"")</f>
        <v/>
      </c>
      <c r="BW67" s="1180"/>
      <c r="BZ67" s="1175" t="str">
        <f>IFERROR(IF(AND(M05S01BF01="Yes", M05S01BF02="Yes"),
IF(M02S04F05="","",M02S04F05),
IF(AND(M05S01BF01="Yes",M05S01BF02&lt;&gt;"Yes"),
IF(M02S02F09="","",M02S02F09),"")),"")</f>
        <v/>
      </c>
      <c r="CA67" s="1176"/>
      <c r="CB67" s="1176"/>
      <c r="CC67" s="1176"/>
      <c r="CD67" s="1176"/>
      <c r="CE67" s="1177"/>
      <c r="CF67" s="60"/>
      <c r="CG67" s="1166" t="str">
        <f>IFERROR(IF(AND(M05S01BF01="Yes", M05S01BF02="Yes"),
IF(M02S04F06="","",M02S04F06),
IF(AND(M05S01BF01="Yes",M05S01BF02&lt;&gt;"Yes"),
IF(M02S02F10="","",M02S02F10),"")),"")</f>
        <v/>
      </c>
      <c r="CH67" s="1167"/>
      <c r="CI67" s="60"/>
      <c r="CJ67" s="1168" t="str">
        <f>IFERROR(IF(AND(M05S01BF01="Yes", M05S01BF02="Yes"),
IF(M02S04F07="","",M02S04F07),
IF(AND(M05S01BF01="Yes",M05S01BF02&lt;&gt;"Yes"),
IF(M02S02F11="","",M02S02F11),"")),"")</f>
        <v/>
      </c>
      <c r="CK67" s="1169"/>
    </row>
    <row r="68" spans="15:90" s="177" customFormat="1" ht="12.75" customHeight="1">
      <c r="O68" s="369"/>
      <c r="P68" s="264"/>
      <c r="Q68" s="264"/>
      <c r="R68" s="264"/>
      <c r="S68" s="264"/>
      <c r="T68" s="264"/>
      <c r="U68" s="261" t="str">
        <f ca="1">M05S01BF23disp</f>
        <v/>
      </c>
      <c r="V68" s="269"/>
      <c r="W68" s="269"/>
      <c r="X68" s="261" t="str">
        <f ca="1">M05S01BF24disp</f>
        <v/>
      </c>
      <c r="Y68" s="269"/>
      <c r="Z68" s="269"/>
      <c r="AA68" s="261" t="str">
        <f ca="1">M05S01BF25disp</f>
        <v/>
      </c>
      <c r="AE68" s="283"/>
      <c r="AF68" s="283"/>
      <c r="AG68" s="283"/>
      <c r="AH68" s="283"/>
      <c r="AI68" s="283"/>
      <c r="AJ68" s="261" t="str">
        <f ca="1">M05S01BF27disp</f>
        <v/>
      </c>
      <c r="AK68" s="264"/>
      <c r="AL68" s="264"/>
      <c r="AM68" s="261" t="str">
        <f ca="1">M05S01BF28disp</f>
        <v/>
      </c>
      <c r="AN68" s="264"/>
      <c r="AO68" s="264"/>
      <c r="AP68" s="261" t="str">
        <f ca="1">M05S01BF29disp</f>
        <v/>
      </c>
      <c r="AQ68" s="260"/>
      <c r="BL68" s="264"/>
      <c r="BM68" s="264"/>
      <c r="BN68" s="264"/>
      <c r="BO68" s="264"/>
      <c r="BP68" s="264"/>
      <c r="BQ68" s="261" t="str">
        <f ca="1">M05S01BF23disp</f>
        <v/>
      </c>
      <c r="BR68" s="269"/>
      <c r="BS68" s="269"/>
      <c r="BT68" s="261" t="str">
        <f ca="1">M05S01BF24disp</f>
        <v/>
      </c>
      <c r="BU68" s="269"/>
      <c r="BV68" s="269"/>
      <c r="BW68" s="261" t="str">
        <f ca="1">M05S01BF25disp</f>
        <v/>
      </c>
      <c r="BZ68" s="283"/>
      <c r="CA68" s="283"/>
      <c r="CB68" s="283"/>
      <c r="CC68" s="283"/>
      <c r="CD68" s="283"/>
      <c r="CE68" s="261" t="str">
        <f ca="1">M05S01BF27disp</f>
        <v/>
      </c>
      <c r="CF68" s="264"/>
      <c r="CG68" s="264"/>
      <c r="CH68" s="261" t="str">
        <f ca="1">M05S01BF28disp</f>
        <v/>
      </c>
      <c r="CI68" s="264"/>
      <c r="CJ68" s="264"/>
      <c r="CK68" s="261" t="str">
        <f ca="1">M05S01BF29disp</f>
        <v/>
      </c>
    </row>
    <row r="69" spans="15:90" s="177" customFormat="1" ht="15.75" customHeight="1">
      <c r="O69" s="369"/>
      <c r="P69" s="1165" t="s">
        <v>756</v>
      </c>
      <c r="Q69" s="1165"/>
      <c r="R69" s="1165"/>
      <c r="S69" s="1165"/>
      <c r="T69" s="1165"/>
      <c r="V69" s="1165" t="s">
        <v>757</v>
      </c>
      <c r="W69" s="1165"/>
      <c r="X69" s="1165"/>
      <c r="Y69" s="1165"/>
      <c r="Z69" s="1165"/>
      <c r="AE69" s="1165" t="s">
        <v>756</v>
      </c>
      <c r="AF69" s="1165"/>
      <c r="AG69" s="1165"/>
      <c r="AH69" s="1165"/>
      <c r="AI69" s="1165"/>
      <c r="AK69" s="1165" t="s">
        <v>757</v>
      </c>
      <c r="AL69" s="1165"/>
      <c r="AM69" s="1165"/>
      <c r="AN69" s="1165"/>
      <c r="AO69" s="1165"/>
      <c r="AQ69" s="260"/>
      <c r="BL69" s="1165" t="s">
        <v>756</v>
      </c>
      <c r="BM69" s="1165"/>
      <c r="BN69" s="1165"/>
      <c r="BO69" s="1165"/>
      <c r="BP69" s="1165"/>
      <c r="BR69" s="1165" t="s">
        <v>757</v>
      </c>
      <c r="BS69" s="1165"/>
      <c r="BT69" s="1165"/>
      <c r="BU69" s="1165"/>
      <c r="BV69" s="1165"/>
      <c r="BZ69" s="1165" t="s">
        <v>756</v>
      </c>
      <c r="CA69" s="1165"/>
      <c r="CB69" s="1165"/>
      <c r="CC69" s="1165"/>
      <c r="CD69" s="1165"/>
      <c r="CF69" s="1165" t="s">
        <v>757</v>
      </c>
      <c r="CG69" s="1165"/>
      <c r="CH69" s="1165"/>
      <c r="CI69" s="1165"/>
      <c r="CJ69" s="1165"/>
    </row>
    <row r="70" spans="15:90" s="177" customFormat="1" ht="15.75" customHeight="1" thickBot="1">
      <c r="O70" s="369"/>
      <c r="P70" s="1184" t="str">
        <f>IF(M05S01BF01="Yes",IF(M02S03F13="","",M02S03F13),"")</f>
        <v/>
      </c>
      <c r="Q70" s="1185"/>
      <c r="R70" s="1185"/>
      <c r="S70" s="1185"/>
      <c r="T70" s="1186"/>
      <c r="V70" s="1184" t="str">
        <f>IF(M05S01BF01="Yes",IF(M02S03F14="","",M02S03F14),"")</f>
        <v/>
      </c>
      <c r="W70" s="1185"/>
      <c r="X70" s="1185"/>
      <c r="Y70" s="1185"/>
      <c r="Z70" s="1186"/>
      <c r="AE70" s="1184" t="str">
        <f>IFERROR(IF(AND(M05S01BF01="Yes", M05S01BF02="Yes"),
IF(M02S04F08="","",M02S04F08),
IF(AND(M05S01BF01="Yes",M05S01BF02&lt;&gt;"Yes"),
IF(M02S03F13="","",M02S03F13),"")),"")</f>
        <v/>
      </c>
      <c r="AF70" s="1185"/>
      <c r="AG70" s="1185"/>
      <c r="AH70" s="1185"/>
      <c r="AI70" s="1186"/>
      <c r="AK70" s="1184" t="str">
        <f>IFERROR(IF(AND(M05S01BF01="Yes", M05S01BF02="Yes"),
IF(M02S04F09="","",M02S04F09),
IF(AND(M05S01BF01="Yes",M05S01BF02&lt;&gt;"Yes"),
IF(M02S03F14="","",M02S03F14),"")),"")</f>
        <v/>
      </c>
      <c r="AL70" s="1185"/>
      <c r="AM70" s="1185"/>
      <c r="AN70" s="1185"/>
      <c r="AO70" s="1186"/>
      <c r="AQ70" s="260"/>
      <c r="BL70" s="1162" t="str">
        <f>IF(M05S01BF01="Yes",IF(M02S03F13="","",M02S03F13),"")</f>
        <v/>
      </c>
      <c r="BM70" s="1163"/>
      <c r="BN70" s="1163"/>
      <c r="BO70" s="1163"/>
      <c r="BP70" s="1164"/>
      <c r="BR70" s="1162" t="str">
        <f>IF(M05S01BF01="Yes",IF(M02S03F14="","",M02S03F14),"")</f>
        <v/>
      </c>
      <c r="BS70" s="1163"/>
      <c r="BT70" s="1163"/>
      <c r="BU70" s="1163"/>
      <c r="BV70" s="1164"/>
      <c r="BZ70" s="1162" t="str">
        <f>IFERROR(IF(AND(M05S01BF01="Yes", M05S01BF02="Yes"),
IF(M02S04F08="","",M02S04F08),
IF(AND(M05S01BF01="Yes",M05S01BF02&lt;&gt;"Yes"),
IF(M02S03F13="","",M02S03F13),"")),"")</f>
        <v/>
      </c>
      <c r="CA70" s="1163"/>
      <c r="CB70" s="1163"/>
      <c r="CC70" s="1163"/>
      <c r="CD70" s="1164"/>
      <c r="CF70" s="1162" t="str">
        <f>IFERROR(IF(AND(M05S01BF01="Yes", M05S01BF02="Yes"),
IF(M02S04F09="","",M02S04F09),
IF(AND(M05S01BF01="Yes",M05S01BF02&lt;&gt;"Yes"),
IF(M02S03F14="","",M02S03F14),"")),"")</f>
        <v/>
      </c>
      <c r="CG70" s="1163"/>
      <c r="CH70" s="1163"/>
      <c r="CI70" s="1163"/>
      <c r="CJ70" s="1164"/>
    </row>
    <row r="71" spans="15:90" s="177" customFormat="1" ht="12.75" customHeight="1">
      <c r="O71" s="369"/>
      <c r="T71" s="261" t="str">
        <f ca="1">M05S01BF08disp</f>
        <v/>
      </c>
      <c r="Z71" s="261" t="str">
        <f ca="1">M05S01BF09disp</f>
        <v/>
      </c>
      <c r="AE71" s="283"/>
      <c r="AF71" s="283"/>
      <c r="AG71" s="283"/>
      <c r="AH71" s="283"/>
      <c r="AI71" s="261" t="str">
        <f ca="1">M05S01BF11disp</f>
        <v/>
      </c>
      <c r="AK71" s="283"/>
      <c r="AL71" s="283"/>
      <c r="AM71" s="283"/>
      <c r="AN71" s="283"/>
      <c r="AO71" s="261" t="str">
        <f ca="1">M05S01BF12disp</f>
        <v/>
      </c>
      <c r="AQ71" s="260"/>
      <c r="BP71" s="261" t="str">
        <f ca="1">M05S01BF08disp</f>
        <v/>
      </c>
      <c r="BV71" s="261" t="str">
        <f ca="1">M05S01BF09disp</f>
        <v/>
      </c>
      <c r="BZ71" s="283"/>
      <c r="CA71" s="283"/>
      <c r="CB71" s="283"/>
      <c r="CC71" s="283"/>
      <c r="CD71" s="261" t="str">
        <f ca="1">M05S01BF11disp</f>
        <v/>
      </c>
      <c r="CF71" s="283"/>
      <c r="CG71" s="283"/>
      <c r="CH71" s="283"/>
      <c r="CI71" s="283"/>
      <c r="CJ71" s="261" t="str">
        <f ca="1">M05S01BF12disp</f>
        <v/>
      </c>
    </row>
    <row r="72" spans="15:90" s="177" customFormat="1" ht="15.75" customHeight="1">
      <c r="O72" s="369"/>
      <c r="P72" s="1165" t="s">
        <v>761</v>
      </c>
      <c r="Q72" s="1165"/>
      <c r="R72" s="1165"/>
      <c r="S72" s="1165"/>
      <c r="T72" s="1165"/>
      <c r="V72" s="1165" t="s">
        <v>762</v>
      </c>
      <c r="W72" s="1165"/>
      <c r="X72" s="1165"/>
      <c r="Y72" s="1165"/>
      <c r="Z72" s="1165"/>
      <c r="AA72" s="1165"/>
      <c r="AE72" s="1165" t="s">
        <v>761</v>
      </c>
      <c r="AF72" s="1165"/>
      <c r="AG72" s="1165"/>
      <c r="AH72" s="1165"/>
      <c r="AI72" s="1165"/>
      <c r="AK72" s="1165" t="s">
        <v>762</v>
      </c>
      <c r="AL72" s="1165"/>
      <c r="AM72" s="1165"/>
      <c r="AN72" s="1165"/>
      <c r="AO72" s="1165"/>
      <c r="AP72" s="1165"/>
      <c r="AQ72" s="260"/>
      <c r="BL72" s="1165" t="s">
        <v>761</v>
      </c>
      <c r="BM72" s="1165"/>
      <c r="BN72" s="1165"/>
      <c r="BO72" s="1165"/>
      <c r="BP72" s="1165"/>
      <c r="BR72" s="1165" t="s">
        <v>762</v>
      </c>
      <c r="BS72" s="1165"/>
      <c r="BT72" s="1165"/>
      <c r="BU72" s="1165"/>
      <c r="BV72" s="1165"/>
      <c r="BW72" s="1165"/>
      <c r="BZ72" s="1165" t="s">
        <v>761</v>
      </c>
      <c r="CA72" s="1165"/>
      <c r="CB72" s="1165"/>
      <c r="CC72" s="1165"/>
      <c r="CD72" s="1165"/>
      <c r="CF72" s="1165" t="s">
        <v>762</v>
      </c>
      <c r="CG72" s="1165"/>
      <c r="CH72" s="1165"/>
      <c r="CI72" s="1165"/>
      <c r="CJ72" s="1165"/>
      <c r="CK72" s="1165"/>
    </row>
    <row r="73" spans="15:90" s="177" customFormat="1" ht="15.75" customHeight="1" thickBot="1">
      <c r="O73" s="369"/>
      <c r="P73" s="888" t="str">
        <f>IF(M05S01BF01="Yes",IF(M02S03F16="","",M02S03F16),"")</f>
        <v/>
      </c>
      <c r="Q73" s="889"/>
      <c r="R73" s="889"/>
      <c r="S73" s="889"/>
      <c r="T73" s="890"/>
      <c r="V73" s="1207" t="str">
        <f>IF(M05S01BF01="Yes",IF(M02S03F17="","",M02S03F17),"")</f>
        <v/>
      </c>
      <c r="W73" s="1208"/>
      <c r="X73" s="1208"/>
      <c r="Y73" s="1208"/>
      <c r="Z73" s="1208"/>
      <c r="AA73" s="1209"/>
      <c r="AE73" s="888" t="str">
        <f>IFERROR(IF(AND(M05S01BF01="Yes", M05S01BF02="Yes"),
IF(M02S04F11="","",M02S04F11),
IF(AND(M05S01BF01="Yes",M05S01BF02&lt;&gt;"Yes"),
IF(M02S03F16="","",M02S03F16),"")),"")</f>
        <v/>
      </c>
      <c r="AF73" s="889"/>
      <c r="AG73" s="889"/>
      <c r="AH73" s="889"/>
      <c r="AI73" s="890"/>
      <c r="AK73" s="1181" t="str">
        <f>IFERROR(IF(AND(M05S01BF01="Yes", M05S01BF02="Yes"),
IF(M02S04F12="","",M02S04F12),
IF(AND(M05S01BF01="Yes",M05S01BF02&lt;&gt;"Yes"),
IF(M02S03F17="","",M02S03F17),"")),"")</f>
        <v/>
      </c>
      <c r="AL73" s="1182"/>
      <c r="AM73" s="1182"/>
      <c r="AN73" s="1182"/>
      <c r="AO73" s="1182"/>
      <c r="AP73" s="1183"/>
      <c r="AQ73" s="260"/>
      <c r="BL73" s="1153" t="str">
        <f>IF(M05S01BF01="Yes",IF(M02S03F16="","",M02S03F16),"")</f>
        <v/>
      </c>
      <c r="BM73" s="1154"/>
      <c r="BN73" s="1154"/>
      <c r="BO73" s="1154"/>
      <c r="BP73" s="1155"/>
      <c r="BR73" s="1156" t="str">
        <f>IF(M05S01BF01="Yes",IF(M02S03F17="","",M02S03F17),"")</f>
        <v/>
      </c>
      <c r="BS73" s="1157"/>
      <c r="BT73" s="1157"/>
      <c r="BU73" s="1157"/>
      <c r="BV73" s="1157"/>
      <c r="BW73" s="1158"/>
      <c r="BZ73" s="1153" t="str">
        <f>IFERROR(IF(AND(M05S01BF01="Yes", M05S01BF02="Yes"),
IF(M02S04F11="","",M02S04F11),
IF(AND(M05S01BF01="Yes",M05S01BF02&lt;&gt;"Yes"),
IF(M02S03F16="","",M02S03F16),"")),"")</f>
        <v/>
      </c>
      <c r="CA73" s="1154"/>
      <c r="CB73" s="1154"/>
      <c r="CC73" s="1154"/>
      <c r="CD73" s="1155"/>
      <c r="CF73" s="1159" t="str">
        <f>IFERROR(IF(AND(M05S01BF01="Yes", M05S01BF02="Yes"),
IF(M02S04F12="","",M02S04F12),
IF(AND(M05S01BF01="Yes",M05S01BF02&lt;&gt;"Yes"),
IF(M02S03F17="","",M02S03F17),"")),"")</f>
        <v/>
      </c>
      <c r="CG73" s="1160"/>
      <c r="CH73" s="1160"/>
      <c r="CI73" s="1160"/>
      <c r="CJ73" s="1160"/>
      <c r="CK73" s="1161"/>
    </row>
    <row r="74" spans="15:90" s="177" customFormat="1" ht="12.75" customHeight="1">
      <c r="O74" s="369"/>
      <c r="T74" s="261" t="str">
        <f ca="1">M05S01BF14disp</f>
        <v/>
      </c>
      <c r="AA74" s="261" t="str">
        <f ca="1">M05S01BF15disp</f>
        <v/>
      </c>
      <c r="AE74" s="334"/>
      <c r="AF74" s="334"/>
      <c r="AG74" s="334"/>
      <c r="AH74" s="334"/>
      <c r="AI74" s="261" t="str">
        <f ca="1">M05S01BF19disp</f>
        <v/>
      </c>
      <c r="AK74" s="334"/>
      <c r="AL74" s="334"/>
      <c r="AM74" s="334"/>
      <c r="AN74" s="334"/>
      <c r="AO74" s="334"/>
      <c r="AP74" s="261" t="str">
        <f ca="1">M05S01BF20disp</f>
        <v/>
      </c>
      <c r="AQ74" s="260"/>
      <c r="BP74" s="261" t="str">
        <f ca="1">M05S01BF14disp</f>
        <v/>
      </c>
      <c r="BW74" s="261" t="str">
        <f ca="1">M05S01BF15disp</f>
        <v/>
      </c>
      <c r="BZ74" s="334"/>
      <c r="CA74" s="334"/>
      <c r="CB74" s="334"/>
      <c r="CC74" s="334"/>
      <c r="CD74" s="261" t="str">
        <f ca="1">M05S01BF19disp</f>
        <v/>
      </c>
      <c r="CF74" s="334"/>
      <c r="CG74" s="334"/>
      <c r="CH74" s="334"/>
      <c r="CI74" s="334"/>
      <c r="CJ74" s="334"/>
      <c r="CK74" s="261" t="str">
        <f ca="1">M05S01BF20disp</f>
        <v/>
      </c>
    </row>
    <row r="75" spans="15:90" s="177" customFormat="1" ht="15.75" customHeight="1">
      <c r="O75" s="369"/>
      <c r="P75" s="1206" t="s">
        <v>1534</v>
      </c>
      <c r="Q75" s="1206"/>
      <c r="R75" s="1206"/>
      <c r="S75" s="1206"/>
      <c r="T75" s="1206"/>
      <c r="V75" s="262" t="s">
        <v>1535</v>
      </c>
      <c r="AC75" s="267"/>
      <c r="AE75" s="270" t="s">
        <v>873</v>
      </c>
      <c r="AF75" s="270"/>
      <c r="AG75" s="270"/>
      <c r="AH75" s="270"/>
      <c r="AL75" s="1152" t="s">
        <v>1511</v>
      </c>
      <c r="AM75" s="1152"/>
      <c r="AN75" s="1152"/>
      <c r="AO75" s="1152"/>
      <c r="AP75" s="1152"/>
      <c r="AQ75" s="274"/>
      <c r="BL75" s="270" t="s">
        <v>873</v>
      </c>
      <c r="BM75" s="270"/>
      <c r="BN75" s="270"/>
      <c r="BO75" s="270"/>
      <c r="BS75" s="1152" t="s">
        <v>1511</v>
      </c>
      <c r="BT75" s="1152"/>
      <c r="BU75" s="1152"/>
      <c r="BV75" s="1152"/>
      <c r="BW75" s="1152"/>
      <c r="BX75" s="267"/>
      <c r="BZ75" s="270" t="s">
        <v>873</v>
      </c>
      <c r="CA75" s="270"/>
      <c r="CB75" s="270"/>
      <c r="CC75" s="270"/>
      <c r="CG75" s="1152" t="s">
        <v>1511</v>
      </c>
      <c r="CH75" s="1152"/>
      <c r="CI75" s="1152"/>
      <c r="CJ75" s="1152"/>
      <c r="CK75" s="1152"/>
      <c r="CL75" s="267"/>
    </row>
    <row r="76" spans="15:90" s="177" customFormat="1" ht="15.75" customHeight="1" thickBot="1">
      <c r="O76" s="369"/>
      <c r="P76" s="804"/>
      <c r="Q76" s="805"/>
      <c r="R76" s="805"/>
      <c r="S76" s="805"/>
      <c r="T76" s="806"/>
      <c r="V76" s="804"/>
      <c r="W76" s="805"/>
      <c r="X76" s="805"/>
      <c r="Y76" s="805"/>
      <c r="Z76" s="805"/>
      <c r="AA76" s="806"/>
      <c r="AE76" s="1170"/>
      <c r="AF76" s="1171"/>
      <c r="AG76" s="1171"/>
      <c r="AH76" s="1171"/>
      <c r="AI76" s="1171"/>
      <c r="AJ76" s="1172"/>
      <c r="AL76" s="483"/>
      <c r="AM76" s="271" t="s">
        <v>1512</v>
      </c>
      <c r="AN76" s="899"/>
      <c r="AO76" s="900"/>
      <c r="AP76" s="1173"/>
      <c r="AQ76" s="260"/>
      <c r="BL76" s="1146" t="str">
        <f>IF(AND(M05S01BF01="Yes",ISNUMBER(SEARCH("Customer",M05S01AF01))=TRUE),M05S01AF03,"")</f>
        <v/>
      </c>
      <c r="BM76" s="1147"/>
      <c r="BN76" s="1147"/>
      <c r="BO76" s="1147"/>
      <c r="BP76" s="1147"/>
      <c r="BQ76" s="1148"/>
      <c r="BS76" s="377" t="str">
        <f>IF(AND(M05S01BF01="Yes",ISNUMBER(SEARCH("Customer",M05S01AF01))=TRUE),M05S01AF04,"")</f>
        <v/>
      </c>
      <c r="BT76" s="271" t="s">
        <v>1512</v>
      </c>
      <c r="BU76" s="1149" t="str">
        <f>IF(AND(M05S01BF01="Yes",ISNUMBER(SEARCH("Customer",M05S01AF01))=TRUE),M05S01AF05,"")</f>
        <v/>
      </c>
      <c r="BV76" s="1150"/>
      <c r="BW76" s="1151"/>
      <c r="BZ76" s="1146" t="str">
        <f>IF(AND(M05S01BF01="Yes",M05S01BF02="No",ISNUMBER(SEARCH("Customer",M05S01AF01))=TRUE),M05S01AF03,IF(AND(M05S01BF01="Yes",M05S01BF02="Yes",ISNUMBER(SEARCH("Trade Ally",M05S01AF01))=TRUE),M05S01AF03,""))</f>
        <v/>
      </c>
      <c r="CA76" s="1147"/>
      <c r="CB76" s="1147"/>
      <c r="CC76" s="1147"/>
      <c r="CD76" s="1147"/>
      <c r="CE76" s="1148"/>
      <c r="CG76" s="377" t="str">
        <f>IF(AND(M05S01BF01="Yes",M05S01BF02="No",ISNUMBER(SEARCH("Customer",M05S01AF01))=TRUE),M05S01AF04,IF(AND(M05S01BF01="Yes",M05S01BF02="Yes",ISNUMBER(SEARCH("Trade Ally",M05S01AF01))=TRUE),M05S01AF04,""))</f>
        <v/>
      </c>
      <c r="CH76" s="271" t="s">
        <v>1512</v>
      </c>
      <c r="CI76" s="1149" t="str">
        <f>IF(AND(M05S01BF01="Yes",M05S01BF02="No",ISNUMBER(SEARCH("Customer",M05S01AF01))=TRUE),M05S01AF05,IF(AND(M05S01BF01="Yes",M05S01BF02="Yes",ISNUMBER(SEARCH("Trade Ally",M05S01AF01))=TRUE),M05S01AF05,""))</f>
        <v/>
      </c>
      <c r="CJ76" s="1150"/>
      <c r="CK76" s="1151"/>
    </row>
    <row r="77" spans="15:90" s="177" customFormat="1" ht="12.75" customHeight="1">
      <c r="O77" s="369"/>
      <c r="T77" s="261" t="str">
        <f ca="1">M05S01BF10disp</f>
        <v/>
      </c>
      <c r="AA77" s="261" t="str">
        <f ca="1">M05S01BF17disp</f>
        <v/>
      </c>
      <c r="AE77" s="346"/>
      <c r="AF77" s="346"/>
      <c r="AG77" s="346"/>
      <c r="AH77" s="346"/>
      <c r="AI77" s="346"/>
      <c r="AJ77" s="261" t="str">
        <f ca="1">M05S01BF33disp</f>
        <v/>
      </c>
      <c r="AK77" s="272"/>
      <c r="AL77" s="261" t="str">
        <f ca="1">M05S01BF34disp</f>
        <v/>
      </c>
      <c r="AM77" s="273"/>
      <c r="AN77" s="347"/>
      <c r="AO77" s="347"/>
      <c r="AP77" s="261" t="str">
        <f ca="1">M05S01BF35disp</f>
        <v/>
      </c>
      <c r="AQ77" s="260"/>
    </row>
    <row r="78" spans="15:90" s="177" customFormat="1" ht="15.75" customHeight="1">
      <c r="O78" s="369"/>
      <c r="AQ78" s="260"/>
    </row>
    <row r="79" spans="15:90" s="177" customFormat="1" ht="15.75" customHeight="1">
      <c r="O79" s="369"/>
      <c r="AQ79" s="260"/>
    </row>
    <row r="80" spans="15:90" s="177" customFormat="1" ht="12.75" customHeight="1">
      <c r="O80" s="369"/>
      <c r="AQ80" s="260"/>
    </row>
    <row r="81" spans="15:43" s="177" customFormat="1" ht="12" customHeight="1">
      <c r="O81" s="369"/>
      <c r="AQ81" s="260"/>
    </row>
    <row r="82" spans="15:43" s="177" customFormat="1" ht="23.25">
      <c r="O82" s="369"/>
      <c r="P82" s="1191" t="s">
        <v>1536</v>
      </c>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260"/>
    </row>
    <row r="83" spans="15:43" s="177" customFormat="1" ht="12" customHeight="1">
      <c r="O83" s="369"/>
      <c r="P83" s="378"/>
      <c r="Q83" s="378"/>
      <c r="R83" s="378"/>
      <c r="S83" s="378"/>
      <c r="T83" s="378"/>
      <c r="U83" s="378"/>
      <c r="V83" s="378"/>
      <c r="W83" s="378"/>
      <c r="X83" s="378"/>
      <c r="Y83" s="378"/>
      <c r="Z83" s="378"/>
      <c r="AA83" s="378"/>
      <c r="AB83" s="378"/>
      <c r="AC83" s="378"/>
      <c r="AD83" s="378"/>
      <c r="AE83" s="378"/>
      <c r="AF83" s="378"/>
      <c r="AG83" s="378"/>
      <c r="AH83" s="378"/>
      <c r="AI83" s="378"/>
      <c r="AJ83" s="378"/>
      <c r="AK83" s="378"/>
      <c r="AL83" s="378"/>
      <c r="AM83" s="378"/>
      <c r="AN83" s="378"/>
      <c r="AO83" s="378"/>
      <c r="AP83" s="378"/>
      <c r="AQ83" s="260"/>
    </row>
    <row r="84" spans="15:43" s="177" customFormat="1" ht="15.75" customHeight="1">
      <c r="O84" s="369"/>
      <c r="P84" s="1197" t="s">
        <v>1537</v>
      </c>
      <c r="Q84" s="1198"/>
      <c r="R84" s="1198"/>
      <c r="S84" s="1198"/>
      <c r="T84" s="1198"/>
      <c r="U84" s="1198"/>
      <c r="V84" s="1198"/>
      <c r="W84" s="1198"/>
      <c r="X84" s="1198"/>
      <c r="Y84" s="1198"/>
      <c r="Z84" s="1198"/>
      <c r="AA84" s="1198"/>
      <c r="AB84" s="1198"/>
      <c r="AC84" s="1198"/>
      <c r="AD84" s="1198"/>
      <c r="AE84" s="1198"/>
      <c r="AF84" s="1198"/>
      <c r="AG84" s="1198"/>
      <c r="AH84" s="1198"/>
      <c r="AI84" s="1198"/>
      <c r="AJ84" s="1198"/>
      <c r="AK84" s="1198"/>
      <c r="AL84" s="1198"/>
      <c r="AM84" s="1198"/>
      <c r="AN84" s="1198"/>
      <c r="AO84" s="1198"/>
      <c r="AP84" s="1199"/>
      <c r="AQ84" s="260"/>
    </row>
    <row r="85" spans="15:43" s="177" customFormat="1" ht="15.75" customHeight="1">
      <c r="O85" s="369"/>
      <c r="P85" s="1200"/>
      <c r="Q85" s="1201"/>
      <c r="R85" s="1201"/>
      <c r="S85" s="1201"/>
      <c r="T85" s="1201"/>
      <c r="U85" s="1201"/>
      <c r="V85" s="1201"/>
      <c r="W85" s="1201"/>
      <c r="X85" s="1201"/>
      <c r="Y85" s="1201"/>
      <c r="Z85" s="1201"/>
      <c r="AA85" s="1201"/>
      <c r="AB85" s="1201"/>
      <c r="AC85" s="1201"/>
      <c r="AD85" s="1201"/>
      <c r="AE85" s="1201"/>
      <c r="AF85" s="1201"/>
      <c r="AG85" s="1201"/>
      <c r="AH85" s="1201"/>
      <c r="AI85" s="1201"/>
      <c r="AJ85" s="1201"/>
      <c r="AK85" s="1201"/>
      <c r="AL85" s="1201"/>
      <c r="AM85" s="1201"/>
      <c r="AN85" s="1201"/>
      <c r="AO85" s="1201"/>
      <c r="AP85" s="1202"/>
      <c r="AQ85" s="260"/>
    </row>
    <row r="86" spans="15:43" s="177" customFormat="1" ht="15.75" customHeight="1">
      <c r="O86" s="369"/>
      <c r="P86" s="1200"/>
      <c r="Q86" s="1201"/>
      <c r="R86" s="1201"/>
      <c r="S86" s="1201"/>
      <c r="T86" s="1201"/>
      <c r="U86" s="1201"/>
      <c r="V86" s="1201"/>
      <c r="W86" s="1201"/>
      <c r="X86" s="1201"/>
      <c r="Y86" s="1201"/>
      <c r="Z86" s="1201"/>
      <c r="AA86" s="1201"/>
      <c r="AB86" s="1201"/>
      <c r="AC86" s="1201"/>
      <c r="AD86" s="1201"/>
      <c r="AE86" s="1201"/>
      <c r="AF86" s="1201"/>
      <c r="AG86" s="1201"/>
      <c r="AH86" s="1201"/>
      <c r="AI86" s="1201"/>
      <c r="AJ86" s="1201"/>
      <c r="AK86" s="1201"/>
      <c r="AL86" s="1201"/>
      <c r="AM86" s="1201"/>
      <c r="AN86" s="1201"/>
      <c r="AO86" s="1201"/>
      <c r="AP86" s="1202"/>
      <c r="AQ86" s="260"/>
    </row>
    <row r="87" spans="15:43" s="177" customFormat="1" ht="15.75" customHeight="1">
      <c r="O87" s="369"/>
      <c r="P87" s="1200"/>
      <c r="Q87" s="1201"/>
      <c r="R87" s="1201"/>
      <c r="S87" s="1201"/>
      <c r="T87" s="1201"/>
      <c r="U87" s="1201"/>
      <c r="V87" s="1201"/>
      <c r="W87" s="1201"/>
      <c r="X87" s="1201"/>
      <c r="Y87" s="1201"/>
      <c r="Z87" s="1201"/>
      <c r="AA87" s="1201"/>
      <c r="AB87" s="1201"/>
      <c r="AC87" s="1201"/>
      <c r="AD87" s="1201"/>
      <c r="AE87" s="1201"/>
      <c r="AF87" s="1201"/>
      <c r="AG87" s="1201"/>
      <c r="AH87" s="1201"/>
      <c r="AI87" s="1201"/>
      <c r="AJ87" s="1201"/>
      <c r="AK87" s="1201"/>
      <c r="AL87" s="1201"/>
      <c r="AM87" s="1201"/>
      <c r="AN87" s="1201"/>
      <c r="AO87" s="1201"/>
      <c r="AP87" s="1202"/>
      <c r="AQ87" s="260"/>
    </row>
    <row r="88" spans="15:43" s="177" customFormat="1" ht="15.75" customHeight="1">
      <c r="O88" s="369"/>
      <c r="P88" s="1200"/>
      <c r="Q88" s="1201"/>
      <c r="R88" s="1201"/>
      <c r="S88" s="1201"/>
      <c r="T88" s="1201"/>
      <c r="U88" s="1201"/>
      <c r="V88" s="1201"/>
      <c r="W88" s="1201"/>
      <c r="X88" s="1201"/>
      <c r="Y88" s="1201"/>
      <c r="Z88" s="1201"/>
      <c r="AA88" s="1201"/>
      <c r="AB88" s="1201"/>
      <c r="AC88" s="1201"/>
      <c r="AD88" s="1201"/>
      <c r="AE88" s="1201"/>
      <c r="AF88" s="1201"/>
      <c r="AG88" s="1201"/>
      <c r="AH88" s="1201"/>
      <c r="AI88" s="1201"/>
      <c r="AJ88" s="1201"/>
      <c r="AK88" s="1201"/>
      <c r="AL88" s="1201"/>
      <c r="AM88" s="1201"/>
      <c r="AN88" s="1201"/>
      <c r="AO88" s="1201"/>
      <c r="AP88" s="1202"/>
      <c r="AQ88" s="260"/>
    </row>
    <row r="89" spans="15:43" s="177" customFormat="1" ht="15.75" customHeight="1">
      <c r="O89" s="369"/>
      <c r="P89" s="1200"/>
      <c r="Q89" s="1201"/>
      <c r="R89" s="1201"/>
      <c r="S89" s="1201"/>
      <c r="T89" s="1201"/>
      <c r="U89" s="1201"/>
      <c r="V89" s="1201"/>
      <c r="W89" s="1201"/>
      <c r="X89" s="1201"/>
      <c r="Y89" s="1201"/>
      <c r="Z89" s="1201"/>
      <c r="AA89" s="1201"/>
      <c r="AB89" s="1201"/>
      <c r="AC89" s="1201"/>
      <c r="AD89" s="1201"/>
      <c r="AE89" s="1201"/>
      <c r="AF89" s="1201"/>
      <c r="AG89" s="1201"/>
      <c r="AH89" s="1201"/>
      <c r="AI89" s="1201"/>
      <c r="AJ89" s="1201"/>
      <c r="AK89" s="1201"/>
      <c r="AL89" s="1201"/>
      <c r="AM89" s="1201"/>
      <c r="AN89" s="1201"/>
      <c r="AO89" s="1201"/>
      <c r="AP89" s="1202"/>
      <c r="AQ89" s="260"/>
    </row>
    <row r="90" spans="15:43" s="177" customFormat="1" ht="15.75" customHeight="1">
      <c r="O90" s="369"/>
      <c r="P90" s="1200"/>
      <c r="Q90" s="1201"/>
      <c r="R90" s="1201"/>
      <c r="S90" s="1201"/>
      <c r="T90" s="1201"/>
      <c r="U90" s="1201"/>
      <c r="V90" s="1201"/>
      <c r="W90" s="1201"/>
      <c r="X90" s="1201"/>
      <c r="Y90" s="1201"/>
      <c r="Z90" s="1201"/>
      <c r="AA90" s="1201"/>
      <c r="AB90" s="1201"/>
      <c r="AC90" s="1201"/>
      <c r="AD90" s="1201"/>
      <c r="AE90" s="1201"/>
      <c r="AF90" s="1201"/>
      <c r="AG90" s="1201"/>
      <c r="AH90" s="1201"/>
      <c r="AI90" s="1201"/>
      <c r="AJ90" s="1201"/>
      <c r="AK90" s="1201"/>
      <c r="AL90" s="1201"/>
      <c r="AM90" s="1201"/>
      <c r="AN90" s="1201"/>
      <c r="AO90" s="1201"/>
      <c r="AP90" s="1202"/>
      <c r="AQ90" s="260"/>
    </row>
    <row r="91" spans="15:43" s="177" customFormat="1" ht="15.75" customHeight="1">
      <c r="O91" s="369"/>
      <c r="P91" s="1200"/>
      <c r="Q91" s="1201"/>
      <c r="R91" s="1201"/>
      <c r="S91" s="1201"/>
      <c r="T91" s="1201"/>
      <c r="U91" s="1201"/>
      <c r="V91" s="1201"/>
      <c r="W91" s="1201"/>
      <c r="X91" s="1201"/>
      <c r="Y91" s="1201"/>
      <c r="Z91" s="1201"/>
      <c r="AA91" s="1201"/>
      <c r="AB91" s="1201"/>
      <c r="AC91" s="1201"/>
      <c r="AD91" s="1201"/>
      <c r="AE91" s="1201"/>
      <c r="AF91" s="1201"/>
      <c r="AG91" s="1201"/>
      <c r="AH91" s="1201"/>
      <c r="AI91" s="1201"/>
      <c r="AJ91" s="1201"/>
      <c r="AK91" s="1201"/>
      <c r="AL91" s="1201"/>
      <c r="AM91" s="1201"/>
      <c r="AN91" s="1201"/>
      <c r="AO91" s="1201"/>
      <c r="AP91" s="1202"/>
      <c r="AQ91" s="260"/>
    </row>
    <row r="92" spans="15:43" s="177" customFormat="1" ht="15.75" customHeight="1">
      <c r="O92" s="369"/>
      <c r="P92" s="1200"/>
      <c r="Q92" s="1201"/>
      <c r="R92" s="1201"/>
      <c r="S92" s="1201"/>
      <c r="T92" s="1201"/>
      <c r="U92" s="1201"/>
      <c r="V92" s="1201"/>
      <c r="W92" s="1201"/>
      <c r="X92" s="1201"/>
      <c r="Y92" s="1201"/>
      <c r="Z92" s="1201"/>
      <c r="AA92" s="1201"/>
      <c r="AB92" s="1201"/>
      <c r="AC92" s="1201"/>
      <c r="AD92" s="1201"/>
      <c r="AE92" s="1201"/>
      <c r="AF92" s="1201"/>
      <c r="AG92" s="1201"/>
      <c r="AH92" s="1201"/>
      <c r="AI92" s="1201"/>
      <c r="AJ92" s="1201"/>
      <c r="AK92" s="1201"/>
      <c r="AL92" s="1201"/>
      <c r="AM92" s="1201"/>
      <c r="AN92" s="1201"/>
      <c r="AO92" s="1201"/>
      <c r="AP92" s="1202"/>
      <c r="AQ92" s="260"/>
    </row>
    <row r="93" spans="15:43" s="177" customFormat="1" ht="15.75" customHeight="1">
      <c r="O93" s="369"/>
      <c r="P93" s="1200"/>
      <c r="Q93" s="1201"/>
      <c r="R93" s="1201"/>
      <c r="S93" s="1201"/>
      <c r="T93" s="1201"/>
      <c r="U93" s="1201"/>
      <c r="V93" s="1201"/>
      <c r="W93" s="1201"/>
      <c r="X93" s="1201"/>
      <c r="Y93" s="1201"/>
      <c r="Z93" s="1201"/>
      <c r="AA93" s="1201"/>
      <c r="AB93" s="1201"/>
      <c r="AC93" s="1201"/>
      <c r="AD93" s="1201"/>
      <c r="AE93" s="1201"/>
      <c r="AF93" s="1201"/>
      <c r="AG93" s="1201"/>
      <c r="AH93" s="1201"/>
      <c r="AI93" s="1201"/>
      <c r="AJ93" s="1201"/>
      <c r="AK93" s="1201"/>
      <c r="AL93" s="1201"/>
      <c r="AM93" s="1201"/>
      <c r="AN93" s="1201"/>
      <c r="AO93" s="1201"/>
      <c r="AP93" s="1202"/>
      <c r="AQ93" s="260"/>
    </row>
    <row r="94" spans="15:43" s="177" customFormat="1" ht="15.75" customHeight="1">
      <c r="O94" s="369"/>
      <c r="P94" s="1200"/>
      <c r="Q94" s="1201"/>
      <c r="R94" s="1201"/>
      <c r="S94" s="1201"/>
      <c r="T94" s="1201"/>
      <c r="U94" s="1201"/>
      <c r="V94" s="1201"/>
      <c r="W94" s="1201"/>
      <c r="X94" s="1201"/>
      <c r="Y94" s="1201"/>
      <c r="Z94" s="1201"/>
      <c r="AA94" s="1201"/>
      <c r="AB94" s="1201"/>
      <c r="AC94" s="1201"/>
      <c r="AD94" s="1201"/>
      <c r="AE94" s="1201"/>
      <c r="AF94" s="1201"/>
      <c r="AG94" s="1201"/>
      <c r="AH94" s="1201"/>
      <c r="AI94" s="1201"/>
      <c r="AJ94" s="1201"/>
      <c r="AK94" s="1201"/>
      <c r="AL94" s="1201"/>
      <c r="AM94" s="1201"/>
      <c r="AN94" s="1201"/>
      <c r="AO94" s="1201"/>
      <c r="AP94" s="1202"/>
      <c r="AQ94" s="260"/>
    </row>
    <row r="95" spans="15:43" s="177" customFormat="1" ht="15.75" customHeight="1">
      <c r="O95" s="369"/>
      <c r="P95" s="1200"/>
      <c r="Q95" s="1201"/>
      <c r="R95" s="1201"/>
      <c r="S95" s="1201"/>
      <c r="T95" s="1201"/>
      <c r="U95" s="1201"/>
      <c r="V95" s="1201"/>
      <c r="W95" s="1201"/>
      <c r="X95" s="1201"/>
      <c r="Y95" s="1201"/>
      <c r="Z95" s="1201"/>
      <c r="AA95" s="1201"/>
      <c r="AB95" s="1201"/>
      <c r="AC95" s="1201"/>
      <c r="AD95" s="1201"/>
      <c r="AE95" s="1201"/>
      <c r="AF95" s="1201"/>
      <c r="AG95" s="1201"/>
      <c r="AH95" s="1201"/>
      <c r="AI95" s="1201"/>
      <c r="AJ95" s="1201"/>
      <c r="AK95" s="1201"/>
      <c r="AL95" s="1201"/>
      <c r="AM95" s="1201"/>
      <c r="AN95" s="1201"/>
      <c r="AO95" s="1201"/>
      <c r="AP95" s="1202"/>
      <c r="AQ95" s="260"/>
    </row>
    <row r="96" spans="15:43" s="177" customFormat="1" ht="15.75" customHeight="1">
      <c r="O96" s="369"/>
      <c r="P96" s="1200"/>
      <c r="Q96" s="1201"/>
      <c r="R96" s="1201"/>
      <c r="S96" s="1201"/>
      <c r="T96" s="1201"/>
      <c r="U96" s="1201"/>
      <c r="V96" s="1201"/>
      <c r="W96" s="1201"/>
      <c r="X96" s="1201"/>
      <c r="Y96" s="1201"/>
      <c r="Z96" s="1201"/>
      <c r="AA96" s="1201"/>
      <c r="AB96" s="1201"/>
      <c r="AC96" s="1201"/>
      <c r="AD96" s="1201"/>
      <c r="AE96" s="1201"/>
      <c r="AF96" s="1201"/>
      <c r="AG96" s="1201"/>
      <c r="AH96" s="1201"/>
      <c r="AI96" s="1201"/>
      <c r="AJ96" s="1201"/>
      <c r="AK96" s="1201"/>
      <c r="AL96" s="1201"/>
      <c r="AM96" s="1201"/>
      <c r="AN96" s="1201"/>
      <c r="AO96" s="1201"/>
      <c r="AP96" s="1202"/>
      <c r="AQ96" s="260"/>
    </row>
    <row r="97" spans="15:43" s="177" customFormat="1" ht="15.75" customHeight="1">
      <c r="O97" s="369"/>
      <c r="P97" s="1200"/>
      <c r="Q97" s="1201"/>
      <c r="R97" s="1201"/>
      <c r="S97" s="1201"/>
      <c r="T97" s="1201"/>
      <c r="U97" s="1201"/>
      <c r="V97" s="1201"/>
      <c r="W97" s="1201"/>
      <c r="X97" s="1201"/>
      <c r="Y97" s="1201"/>
      <c r="Z97" s="1201"/>
      <c r="AA97" s="1201"/>
      <c r="AB97" s="1201"/>
      <c r="AC97" s="1201"/>
      <c r="AD97" s="1201"/>
      <c r="AE97" s="1201"/>
      <c r="AF97" s="1201"/>
      <c r="AG97" s="1201"/>
      <c r="AH97" s="1201"/>
      <c r="AI97" s="1201"/>
      <c r="AJ97" s="1201"/>
      <c r="AK97" s="1201"/>
      <c r="AL97" s="1201"/>
      <c r="AM97" s="1201"/>
      <c r="AN97" s="1201"/>
      <c r="AO97" s="1201"/>
      <c r="AP97" s="1202"/>
      <c r="AQ97" s="260"/>
    </row>
    <row r="98" spans="15:43" s="177" customFormat="1" ht="15.75" customHeight="1">
      <c r="O98" s="369"/>
      <c r="P98" s="1200"/>
      <c r="Q98" s="1201"/>
      <c r="R98" s="1201"/>
      <c r="S98" s="1201"/>
      <c r="T98" s="1201"/>
      <c r="U98" s="1201"/>
      <c r="V98" s="1201"/>
      <c r="W98" s="1201"/>
      <c r="X98" s="1201"/>
      <c r="Y98" s="1201"/>
      <c r="Z98" s="1201"/>
      <c r="AA98" s="1201"/>
      <c r="AB98" s="1201"/>
      <c r="AC98" s="1201"/>
      <c r="AD98" s="1201"/>
      <c r="AE98" s="1201"/>
      <c r="AF98" s="1201"/>
      <c r="AG98" s="1201"/>
      <c r="AH98" s="1201"/>
      <c r="AI98" s="1201"/>
      <c r="AJ98" s="1201"/>
      <c r="AK98" s="1201"/>
      <c r="AL98" s="1201"/>
      <c r="AM98" s="1201"/>
      <c r="AN98" s="1201"/>
      <c r="AO98" s="1201"/>
      <c r="AP98" s="1202"/>
      <c r="AQ98" s="260"/>
    </row>
    <row r="99" spans="15:43" s="177" customFormat="1" ht="15.75" customHeight="1">
      <c r="O99" s="369"/>
      <c r="P99" s="1200"/>
      <c r="Q99" s="1201"/>
      <c r="R99" s="1201"/>
      <c r="S99" s="1201"/>
      <c r="T99" s="1201"/>
      <c r="U99" s="1201"/>
      <c r="V99" s="1201"/>
      <c r="W99" s="1201"/>
      <c r="X99" s="1201"/>
      <c r="Y99" s="1201"/>
      <c r="Z99" s="1201"/>
      <c r="AA99" s="1201"/>
      <c r="AB99" s="1201"/>
      <c r="AC99" s="1201"/>
      <c r="AD99" s="1201"/>
      <c r="AE99" s="1201"/>
      <c r="AF99" s="1201"/>
      <c r="AG99" s="1201"/>
      <c r="AH99" s="1201"/>
      <c r="AI99" s="1201"/>
      <c r="AJ99" s="1201"/>
      <c r="AK99" s="1201"/>
      <c r="AL99" s="1201"/>
      <c r="AM99" s="1201"/>
      <c r="AN99" s="1201"/>
      <c r="AO99" s="1201"/>
      <c r="AP99" s="1202"/>
      <c r="AQ99" s="260"/>
    </row>
    <row r="100" spans="15:43" s="177" customFormat="1" ht="15.75" customHeight="1">
      <c r="O100" s="369"/>
      <c r="P100" s="1200"/>
      <c r="Q100" s="1201"/>
      <c r="R100" s="1201"/>
      <c r="S100" s="1201"/>
      <c r="T100" s="1201"/>
      <c r="U100" s="1201"/>
      <c r="V100" s="1201"/>
      <c r="W100" s="1201"/>
      <c r="X100" s="1201"/>
      <c r="Y100" s="1201"/>
      <c r="Z100" s="1201"/>
      <c r="AA100" s="1201"/>
      <c r="AB100" s="1201"/>
      <c r="AC100" s="1201"/>
      <c r="AD100" s="1201"/>
      <c r="AE100" s="1201"/>
      <c r="AF100" s="1201"/>
      <c r="AG100" s="1201"/>
      <c r="AH100" s="1201"/>
      <c r="AI100" s="1201"/>
      <c r="AJ100" s="1201"/>
      <c r="AK100" s="1201"/>
      <c r="AL100" s="1201"/>
      <c r="AM100" s="1201"/>
      <c r="AN100" s="1201"/>
      <c r="AO100" s="1201"/>
      <c r="AP100" s="1202"/>
      <c r="AQ100" s="260"/>
    </row>
    <row r="101" spans="15:43" s="177" customFormat="1" ht="12" customHeight="1">
      <c r="O101" s="369"/>
      <c r="AQ101" s="260"/>
    </row>
    <row r="102" spans="15:43" s="177" customFormat="1" ht="23.25">
      <c r="O102" s="369"/>
      <c r="P102" s="1191" t="s">
        <v>1538</v>
      </c>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260"/>
    </row>
    <row r="103" spans="15:43" s="177" customFormat="1" ht="12" customHeight="1">
      <c r="O103" s="369"/>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260"/>
    </row>
    <row r="104" spans="15:43" s="177" customFormat="1" ht="15.75" customHeight="1">
      <c r="O104" s="369"/>
      <c r="P104" s="1197" t="s">
        <v>1539</v>
      </c>
      <c r="Q104" s="1198"/>
      <c r="R104" s="1198"/>
      <c r="S104" s="1198"/>
      <c r="T104" s="1198"/>
      <c r="U104" s="1198"/>
      <c r="V104" s="1198"/>
      <c r="W104" s="1198"/>
      <c r="X104" s="1198"/>
      <c r="Y104" s="1198"/>
      <c r="Z104" s="1198"/>
      <c r="AA104" s="1198"/>
      <c r="AB104" s="1198"/>
      <c r="AC104" s="1198"/>
      <c r="AD104" s="1198"/>
      <c r="AE104" s="1198"/>
      <c r="AF104" s="1198"/>
      <c r="AG104" s="1198"/>
      <c r="AH104" s="1198"/>
      <c r="AI104" s="1198"/>
      <c r="AJ104" s="1198"/>
      <c r="AK104" s="1198"/>
      <c r="AL104" s="1198"/>
      <c r="AM104" s="1198"/>
      <c r="AN104" s="1198"/>
      <c r="AO104" s="1198"/>
      <c r="AP104" s="1199"/>
      <c r="AQ104" s="260"/>
    </row>
    <row r="105" spans="15:43" s="177" customFormat="1" ht="15.75" customHeight="1">
      <c r="O105" s="369"/>
      <c r="P105" s="1200"/>
      <c r="Q105" s="1201"/>
      <c r="R105" s="1201"/>
      <c r="S105" s="1201"/>
      <c r="T105" s="1201"/>
      <c r="U105" s="1201"/>
      <c r="V105" s="1201"/>
      <c r="W105" s="1201"/>
      <c r="X105" s="1201"/>
      <c r="Y105" s="1201"/>
      <c r="Z105" s="1201"/>
      <c r="AA105" s="1201"/>
      <c r="AB105" s="1201"/>
      <c r="AC105" s="1201"/>
      <c r="AD105" s="1201"/>
      <c r="AE105" s="1201"/>
      <c r="AF105" s="1201"/>
      <c r="AG105" s="1201"/>
      <c r="AH105" s="1201"/>
      <c r="AI105" s="1201"/>
      <c r="AJ105" s="1201"/>
      <c r="AK105" s="1201"/>
      <c r="AL105" s="1201"/>
      <c r="AM105" s="1201"/>
      <c r="AN105" s="1201"/>
      <c r="AO105" s="1201"/>
      <c r="AP105" s="1202"/>
      <c r="AQ105" s="260"/>
    </row>
    <row r="106" spans="15:43" s="177" customFormat="1" ht="15.75" customHeight="1">
      <c r="O106" s="369"/>
      <c r="P106" s="1203"/>
      <c r="Q106" s="1204"/>
      <c r="R106" s="1204"/>
      <c r="S106" s="1204"/>
      <c r="T106" s="1204"/>
      <c r="U106" s="1204"/>
      <c r="V106" s="1204"/>
      <c r="W106" s="1204"/>
      <c r="X106" s="1204"/>
      <c r="Y106" s="1204"/>
      <c r="Z106" s="1204"/>
      <c r="AA106" s="1204"/>
      <c r="AB106" s="1204"/>
      <c r="AC106" s="1204"/>
      <c r="AD106" s="1204"/>
      <c r="AE106" s="1204"/>
      <c r="AF106" s="1204"/>
      <c r="AG106" s="1204"/>
      <c r="AH106" s="1204"/>
      <c r="AI106" s="1204"/>
      <c r="AJ106" s="1204"/>
      <c r="AK106" s="1204"/>
      <c r="AL106" s="1204"/>
      <c r="AM106" s="1204"/>
      <c r="AN106" s="1204"/>
      <c r="AO106" s="1204"/>
      <c r="AP106" s="1205"/>
      <c r="AQ106" s="260"/>
    </row>
    <row r="107" spans="15:43" s="177" customFormat="1" ht="12" customHeight="1">
      <c r="O107" s="369"/>
      <c r="AQ107" s="260"/>
    </row>
    <row r="108" spans="15:43" s="177" customFormat="1" ht="15.75" customHeight="1">
      <c r="O108" s="369"/>
      <c r="P108" s="267" t="s">
        <v>768</v>
      </c>
      <c r="Q108" s="267"/>
      <c r="R108" s="267"/>
      <c r="S108" s="267"/>
      <c r="T108" s="267"/>
      <c r="U108" s="267"/>
      <c r="V108" s="267"/>
      <c r="W108" s="267"/>
      <c r="X108" s="267"/>
      <c r="Y108" s="267"/>
      <c r="Z108" s="267"/>
      <c r="AA108" s="267"/>
      <c r="AB108" s="267"/>
      <c r="AC108" s="267" t="s">
        <v>1515</v>
      </c>
      <c r="AD108" s="267"/>
      <c r="AE108" s="267"/>
      <c r="AF108" s="267"/>
      <c r="AG108" s="267"/>
      <c r="AH108" s="267"/>
      <c r="AI108" s="267"/>
      <c r="AJ108" s="267"/>
      <c r="AK108" s="267"/>
      <c r="AM108" s="892" t="s">
        <v>770</v>
      </c>
      <c r="AN108" s="892"/>
      <c r="AO108" s="892"/>
      <c r="AP108" s="892"/>
      <c r="AQ108" s="260"/>
    </row>
    <row r="109" spans="15:43" s="177" customFormat="1" ht="15.75" customHeight="1" thickBot="1">
      <c r="O109" s="369"/>
      <c r="P109" s="893"/>
      <c r="Q109" s="893"/>
      <c r="R109" s="893"/>
      <c r="S109" s="893"/>
      <c r="T109" s="893"/>
      <c r="U109" s="893"/>
      <c r="V109" s="893"/>
      <c r="W109" s="893"/>
      <c r="X109" s="893"/>
      <c r="Y109" s="893"/>
      <c r="Z109" s="893"/>
      <c r="AA109" s="893"/>
      <c r="AC109" s="894"/>
      <c r="AD109" s="894"/>
      <c r="AE109" s="894"/>
      <c r="AF109" s="894"/>
      <c r="AG109" s="894"/>
      <c r="AH109" s="894"/>
      <c r="AI109" s="894"/>
      <c r="AJ109" s="894"/>
      <c r="AK109" s="894"/>
      <c r="AM109" s="895"/>
      <c r="AN109" s="895"/>
      <c r="AO109" s="895"/>
      <c r="AP109" s="895"/>
      <c r="AQ109" s="260"/>
    </row>
    <row r="110" spans="15:43" s="177" customFormat="1" ht="15.75" customHeight="1">
      <c r="O110" s="369"/>
      <c r="P110" s="283"/>
      <c r="Q110" s="283"/>
      <c r="R110" s="283"/>
      <c r="S110" s="283"/>
      <c r="T110" s="283"/>
      <c r="U110" s="283"/>
      <c r="V110" s="283"/>
      <c r="W110" s="283"/>
      <c r="X110" s="283"/>
      <c r="Y110" s="283"/>
      <c r="Z110" s="283"/>
      <c r="AA110" s="261" t="str">
        <f ca="1">M05S01BF30disp</f>
        <v/>
      </c>
      <c r="AC110" s="283"/>
      <c r="AD110" s="283"/>
      <c r="AE110" s="283"/>
      <c r="AF110" s="283"/>
      <c r="AG110" s="283"/>
      <c r="AH110" s="283"/>
      <c r="AI110" s="283"/>
      <c r="AK110" s="261" t="str">
        <f ca="1">M05S01BF31disp</f>
        <v/>
      </c>
      <c r="AM110" s="353"/>
      <c r="AN110" s="353"/>
      <c r="AO110" s="353"/>
      <c r="AP110" s="261" t="str">
        <f ca="1">M05S01BF32disp</f>
        <v/>
      </c>
      <c r="AQ110" s="260"/>
    </row>
    <row r="111" spans="15:43" s="177" customFormat="1" ht="12" customHeight="1">
      <c r="O111" s="369"/>
      <c r="P111" s="283"/>
      <c r="Q111" s="283"/>
      <c r="R111" s="283"/>
      <c r="S111" s="283"/>
      <c r="T111" s="283"/>
      <c r="U111" s="283"/>
      <c r="V111" s="283"/>
      <c r="W111" s="283"/>
      <c r="X111" s="283"/>
      <c r="Y111" s="283"/>
      <c r="Z111" s="283"/>
      <c r="AA111" s="318"/>
      <c r="AC111" s="283"/>
      <c r="AD111" s="283"/>
      <c r="AE111" s="283"/>
      <c r="AF111" s="283"/>
      <c r="AG111" s="283"/>
      <c r="AH111" s="283"/>
      <c r="AI111" s="283"/>
      <c r="AK111" s="318"/>
      <c r="AM111" s="353"/>
      <c r="AN111" s="353"/>
      <c r="AO111" s="353"/>
      <c r="AP111" s="318"/>
      <c r="AQ111" s="260"/>
    </row>
    <row r="112" spans="15:43" s="177" customFormat="1" ht="15.75" customHeight="1">
      <c r="O112" s="369"/>
      <c r="P112" s="1125" t="str">
        <f>FOOT1&amp;"  • "&amp; FOOT2 &amp;" • "&amp;FOOT3</f>
        <v>PSE&amp;G C&amp;I Energy Efficiency Program  • 1-844-300-PSEG (7734) • PSEGenergysaver@TRCcompanies.com</v>
      </c>
      <c r="Q112" s="1125"/>
      <c r="R112" s="1125"/>
      <c r="S112" s="1125"/>
      <c r="T112" s="1125"/>
      <c r="U112" s="1125"/>
      <c r="V112" s="1125"/>
      <c r="W112" s="1125"/>
      <c r="X112" s="1125"/>
      <c r="Y112" s="1125"/>
      <c r="Z112" s="1125"/>
      <c r="AA112" s="1125"/>
      <c r="AB112" s="1125"/>
      <c r="AC112" s="1125"/>
      <c r="AD112" s="1125"/>
      <c r="AE112" s="1125"/>
      <c r="AF112" s="1125"/>
      <c r="AG112" s="1125"/>
      <c r="AH112" s="1125"/>
      <c r="AI112" s="1125"/>
      <c r="AJ112" s="1125"/>
      <c r="AK112" s="1125"/>
      <c r="AL112" s="1125"/>
      <c r="AM112" s="1125"/>
      <c r="AN112" s="1125"/>
      <c r="AO112" s="1125"/>
      <c r="AP112" s="1125"/>
      <c r="AQ112" s="260"/>
    </row>
    <row r="113" spans="12:47" s="177" customFormat="1" ht="15.75" customHeight="1">
      <c r="O113" s="369"/>
      <c r="P113" s="1125"/>
      <c r="Q113" s="1125"/>
      <c r="R113" s="1125"/>
      <c r="S113" s="1125"/>
      <c r="T113" s="1125"/>
      <c r="U113" s="1125"/>
      <c r="V113" s="1125"/>
      <c r="W113" s="1125"/>
      <c r="X113" s="1125"/>
      <c r="Y113" s="1125"/>
      <c r="Z113" s="1125"/>
      <c r="AA113" s="1125"/>
      <c r="AB113" s="1125"/>
      <c r="AC113" s="1125"/>
      <c r="AD113" s="1125"/>
      <c r="AE113" s="1125"/>
      <c r="AF113" s="1125"/>
      <c r="AG113" s="1125"/>
      <c r="AH113" s="1125"/>
      <c r="AI113" s="1125"/>
      <c r="AJ113" s="1125"/>
      <c r="AK113" s="1125"/>
      <c r="AL113" s="1125"/>
      <c r="AM113" s="1125"/>
      <c r="AN113" s="1125"/>
      <c r="AO113" s="1125"/>
      <c r="AP113" s="1125"/>
      <c r="AQ113" s="260"/>
    </row>
    <row r="114" spans="12:47" s="177" customFormat="1" ht="12" customHeight="1">
      <c r="O114" s="379"/>
      <c r="P114" s="380"/>
      <c r="Q114" s="380"/>
      <c r="R114" s="380"/>
      <c r="S114" s="380"/>
      <c r="T114" s="380"/>
      <c r="U114" s="380"/>
      <c r="V114" s="380"/>
      <c r="W114" s="380"/>
      <c r="X114" s="380"/>
      <c r="Y114" s="380"/>
      <c r="Z114" s="380"/>
      <c r="AA114" s="380"/>
      <c r="AB114" s="380"/>
      <c r="AC114" s="380"/>
      <c r="AD114" s="380"/>
      <c r="AE114" s="380"/>
      <c r="AF114" s="380"/>
      <c r="AG114" s="380"/>
      <c r="AH114" s="380"/>
      <c r="AI114" s="380"/>
      <c r="AJ114" s="380"/>
      <c r="AK114" s="380"/>
      <c r="AL114" s="380"/>
      <c r="AM114" s="380"/>
      <c r="AN114" s="380"/>
      <c r="AO114" s="380"/>
      <c r="AP114" s="380"/>
      <c r="AQ114" s="381"/>
    </row>
    <row r="115" spans="12:47" s="177" customFormat="1" ht="12" customHeight="1"/>
    <row r="116" spans="12:47" s="177" customFormat="1" ht="12" hidden="1" customHeight="1"/>
    <row r="117" spans="12:47" s="177" customFormat="1" ht="12" hidden="1" customHeight="1">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row>
    <row r="118" spans="12:47" s="177" customFormat="1" ht="15.75" hidden="1" customHeight="1">
      <c r="AO118" s="323"/>
      <c r="AP118" s="323"/>
      <c r="AQ118" s="323"/>
      <c r="AR118" s="323"/>
      <c r="AS118" s="323"/>
      <c r="AT118" s="323"/>
      <c r="AU118" s="323"/>
    </row>
    <row r="119" spans="12:47" s="177" customFormat="1" ht="15.75" hidden="1" customHeight="1"/>
    <row r="120" spans="12:47" s="177" customFormat="1" ht="12" hidden="1" customHeight="1"/>
    <row r="121" spans="12:47" s="177" customFormat="1" ht="15.75" hidden="1" customHeight="1"/>
    <row r="122" spans="12:47" s="177" customFormat="1" ht="15.75" hidden="1" customHeight="1"/>
    <row r="123" spans="12:47" s="177" customFormat="1" ht="15.75" hidden="1" customHeight="1"/>
    <row r="124" spans="12:47" s="177" customFormat="1" ht="15.75" hidden="1" customHeight="1"/>
    <row r="125" spans="12:47" s="177" customFormat="1" ht="15.75" hidden="1" customHeight="1"/>
    <row r="126" spans="12:47" s="177" customFormat="1" ht="15.75" hidden="1" customHeight="1"/>
    <row r="127" spans="12:47" s="177" customFormat="1" ht="15.75" hidden="1" customHeight="1"/>
    <row r="128" spans="12:47" s="177" customFormat="1" ht="15.75" hidden="1" customHeight="1"/>
    <row r="129" s="177" customFormat="1" ht="15.75" hidden="1" customHeight="1"/>
    <row r="130" s="177" customFormat="1" ht="15.75" hidden="1" customHeight="1"/>
    <row r="131" s="177" customFormat="1" ht="15.75" hidden="1" customHeight="1"/>
    <row r="132" s="177" customFormat="1" ht="15.75" hidden="1" customHeight="1"/>
    <row r="133" s="177" customFormat="1" ht="15.75" hidden="1" customHeight="1"/>
    <row r="134" s="177" customFormat="1" ht="15.75" hidden="1" customHeight="1"/>
    <row r="135" s="177" customFormat="1" ht="15.75" hidden="1" customHeight="1"/>
    <row r="136" s="177" customFormat="1" ht="15.75" hidden="1" customHeight="1"/>
    <row r="137" s="177" customFormat="1" ht="15.75" hidden="1" customHeight="1"/>
    <row r="138" s="177" customFormat="1" ht="15.75" hidden="1" customHeight="1"/>
    <row r="139" s="177" customFormat="1" ht="15.75" hidden="1" customHeight="1"/>
    <row r="140" s="177" customFormat="1" ht="15.75" hidden="1" customHeight="1"/>
    <row r="141" s="177" customFormat="1" ht="15.75" hidden="1" customHeight="1"/>
    <row r="142" s="177" customFormat="1" ht="15.75" hidden="1" customHeight="1"/>
    <row r="143" s="177" customFormat="1" ht="15.75" hidden="1" customHeight="1"/>
    <row r="144" s="177" customFormat="1" ht="15.75" hidden="1" customHeight="1"/>
    <row r="145" spans="49:55" s="177" customFormat="1" ht="15.75" hidden="1" customHeight="1"/>
    <row r="146" spans="49:55" s="177" customFormat="1" ht="15.75" hidden="1" customHeight="1"/>
    <row r="147" spans="49:55" s="177" customFormat="1" ht="15.75" hidden="1" customHeight="1"/>
    <row r="148" spans="49:55" s="177" customFormat="1" ht="15.75" hidden="1" customHeight="1"/>
    <row r="149" spans="49:55" s="177" customFormat="1" ht="15.75" hidden="1" customHeight="1"/>
    <row r="150" spans="49:55" s="177" customFormat="1" ht="15.75" hidden="1" customHeight="1"/>
    <row r="151" spans="49:55" s="177" customFormat="1" ht="15.75" hidden="1" customHeight="1"/>
    <row r="152" spans="49:55" s="177" customFormat="1" ht="15.75" hidden="1" customHeight="1">
      <c r="BC152" s="312"/>
    </row>
    <row r="153" spans="49:55" s="177" customFormat="1" ht="15.75" hidden="1" customHeight="1"/>
    <row r="154" spans="49:55" s="177" customFormat="1" ht="15.75" hidden="1" customHeight="1"/>
    <row r="155" spans="49:55" s="177" customFormat="1" ht="15.75" hidden="1" customHeight="1"/>
    <row r="156" spans="49:55" s="177" customFormat="1" ht="15.75" hidden="1" customHeight="1"/>
    <row r="157" spans="49:55" s="177" customFormat="1" ht="15.75" hidden="1" customHeight="1"/>
    <row r="158" spans="49:55" s="177" customFormat="1" ht="15.75" hidden="1" customHeight="1">
      <c r="AW158" s="283"/>
    </row>
    <row r="159" spans="49:55" s="177" customFormat="1" ht="15.75" hidden="1" customHeight="1">
      <c r="AW159" s="266"/>
    </row>
    <row r="160" spans="49:55" s="177" customFormat="1" ht="15.75" hidden="1" customHeight="1">
      <c r="AW160" s="266"/>
    </row>
    <row r="161" spans="49:49" s="177" customFormat="1" ht="15.75" hidden="1" customHeight="1">
      <c r="AW161" s="312"/>
    </row>
    <row r="162" spans="49:49" s="177" customFormat="1" ht="15.75" hidden="1" customHeight="1">
      <c r="AW162" s="266"/>
    </row>
    <row r="163" spans="49:49" s="177" customFormat="1" ht="15.75" hidden="1" customHeight="1">
      <c r="AW163" s="266"/>
    </row>
    <row r="164" spans="49:49" s="177" customFormat="1" ht="15.75" hidden="1" customHeight="1"/>
    <row r="165" spans="49:49" s="177" customFormat="1" ht="15.75" hidden="1" customHeight="1"/>
    <row r="166" spans="49:49" s="177" customFormat="1" ht="15.75" hidden="1" customHeight="1"/>
    <row r="167" spans="49:49" s="177" customFormat="1" ht="15.75" hidden="1" customHeight="1"/>
    <row r="168" spans="49:49" s="177" customFormat="1" ht="15.75" hidden="1" customHeight="1"/>
    <row r="169" spans="49:49" s="177" customFormat="1" ht="15.75" hidden="1" customHeight="1"/>
    <row r="170" spans="49:49" s="177" customFormat="1" ht="15.75" hidden="1" customHeight="1"/>
    <row r="171" spans="49:49" s="177" customFormat="1" ht="15.75" hidden="1" customHeight="1"/>
    <row r="172" spans="49:49" s="177" customFormat="1" ht="15.75" hidden="1" customHeight="1"/>
    <row r="173" spans="49:49" s="177" customFormat="1" ht="15.75" hidden="1" customHeight="1"/>
    <row r="174" spans="49:49" s="177" customFormat="1" ht="15.75" hidden="1" customHeight="1"/>
    <row r="175" spans="49:49" s="177" customFormat="1" ht="15.75" hidden="1" customHeight="1"/>
    <row r="176" spans="49:49" s="177" customFormat="1" ht="15.75" hidden="1" customHeight="1"/>
    <row r="177" s="177" customFormat="1" ht="15.75" hidden="1" customHeight="1"/>
    <row r="178" s="177" customFormat="1" ht="15.75" hidden="1" customHeight="1"/>
    <row r="179" s="177" customFormat="1" ht="15.75" hidden="1" customHeight="1"/>
    <row r="180" s="177" customFormat="1" ht="15.75" hidden="1" customHeight="1"/>
    <row r="181" s="177" customFormat="1" ht="15.75" hidden="1" customHeight="1"/>
    <row r="182" s="177" customFormat="1" ht="15.75" hidden="1" customHeight="1"/>
    <row r="183" s="177" customFormat="1" ht="15.75" hidden="1" customHeight="1"/>
    <row r="184" s="177" customFormat="1" ht="15.75" hidden="1" customHeight="1"/>
    <row r="185" s="177" customFormat="1" ht="15.75" hidden="1" customHeight="1"/>
    <row r="186" s="177" customFormat="1" ht="15.75" hidden="1" customHeight="1"/>
    <row r="187" s="177" customFormat="1" ht="15.75" hidden="1" customHeight="1"/>
    <row r="188" s="177" customFormat="1" ht="15.75" hidden="1" customHeight="1"/>
    <row r="189" s="177" customFormat="1" ht="15.75" hidden="1" customHeight="1"/>
    <row r="190" s="177" customFormat="1" ht="15.75" hidden="1" customHeight="1"/>
    <row r="191" s="177" customFormat="1" ht="15.75" hidden="1" customHeight="1"/>
    <row r="192" s="177" customFormat="1" ht="15.75" hidden="1" customHeight="1"/>
    <row r="193" spans="1:58" s="177" customFormat="1" ht="15.75" hidden="1" customHeight="1"/>
    <row r="194" spans="1:58" s="177" customFormat="1" ht="15.75" hidden="1" customHeight="1"/>
    <row r="195" spans="1:58" s="177" customFormat="1" ht="15.75" hidden="1" customHeight="1"/>
    <row r="196" spans="1:58" s="177" customFormat="1" ht="15.75" hidden="1" customHeight="1"/>
    <row r="197" spans="1:58" s="177" customFormat="1" ht="15" hidden="1"/>
    <row r="198" spans="1:58" s="177" customFormat="1" ht="15.75" hidden="1" customHeight="1"/>
    <row r="199" spans="1:58" s="177" customFormat="1" ht="15.75" hidden="1" customHeight="1"/>
    <row r="200" spans="1:58" ht="15.75"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row>
    <row r="201" spans="1:58" ht="15.75"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row>
    <row r="202" spans="1:58" ht="15.75"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row>
    <row r="203" spans="1:58" ht="15.75" hidden="1" customHeight="1"/>
    <row r="204" spans="1:58" ht="15.75" hidden="1" customHeight="1"/>
    <row r="205" spans="1:58" ht="15.75" hidden="1" customHeight="1"/>
    <row r="206" spans="1:58" ht="15.75" hidden="1" customHeight="1"/>
    <row r="207" spans="1:58" ht="15.75" hidden="1" customHeight="1"/>
    <row r="208" spans="1:5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77" spans="13:47" ht="16.350000000000001" hidden="1" customHeight="1">
      <c r="M277" s="1194"/>
      <c r="N277" s="1194"/>
      <c r="O277" s="1194"/>
      <c r="P277" s="1194"/>
      <c r="Q277" s="1194"/>
      <c r="R277" s="1194"/>
      <c r="S277" s="1194"/>
      <c r="T277" s="1194"/>
      <c r="U277" s="1194"/>
      <c r="V277" s="1194"/>
      <c r="W277" s="1194"/>
      <c r="X277" s="1194"/>
      <c r="Y277" s="1194"/>
      <c r="Z277" s="1194"/>
      <c r="AA277" s="1194"/>
      <c r="AB277" s="1194"/>
      <c r="AC277" s="1194"/>
      <c r="AD277" s="1194"/>
      <c r="AE277" s="1194"/>
      <c r="AF277" s="1194"/>
      <c r="AG277" s="1194"/>
      <c r="AH277" s="1194"/>
      <c r="AI277" s="1194"/>
      <c r="AJ277" s="1194"/>
      <c r="AK277" s="1194"/>
      <c r="AL277" s="1194"/>
      <c r="AM277" s="1194"/>
      <c r="AN277" s="1194"/>
      <c r="AO277" s="1194"/>
      <c r="AP277" s="1194"/>
      <c r="AQ277" s="1194"/>
      <c r="AR277" s="1194"/>
      <c r="AS277" s="1194"/>
      <c r="AT277" s="1194"/>
      <c r="AU277" s="1194"/>
    </row>
  </sheetData>
  <sheetProtection algorithmName="SHA-512" hashValue="GdriL2M9AHA6j0FNZIWklmF5MmzyZZhi//uKvl80818s9kBLpaRL3pjh4Gwhis6Gd17eRlABAGFVjDarsGhYNQ==" saltValue="IStI6TeZkopdCgaTyB3Jqg==" spinCount="100000" sheet="1" objects="1" scenarios="1" selectLockedCells="1"/>
  <mergeCells count="140">
    <mergeCell ref="BG5:BI7"/>
    <mergeCell ref="BG8:BI8"/>
    <mergeCell ref="AE66:AJ66"/>
    <mergeCell ref="AE61:AP61"/>
    <mergeCell ref="AE60:AP60"/>
    <mergeCell ref="AZ1:BE3"/>
    <mergeCell ref="BF1:BI3"/>
    <mergeCell ref="AB4:AG4"/>
    <mergeCell ref="AT4:AW4"/>
    <mergeCell ref="AX4:BB4"/>
    <mergeCell ref="BC4:BF4"/>
    <mergeCell ref="P11:AT12"/>
    <mergeCell ref="AD37:AP38"/>
    <mergeCell ref="E17:BC17"/>
    <mergeCell ref="P34:AC36"/>
    <mergeCell ref="AI34:AP36"/>
    <mergeCell ref="P37:AC38"/>
    <mergeCell ref="P14:AT15"/>
    <mergeCell ref="G20:AH21"/>
    <mergeCell ref="G9:AY10"/>
    <mergeCell ref="AN1:AQ3"/>
    <mergeCell ref="AR1:AU3"/>
    <mergeCell ref="AV1:AY3"/>
    <mergeCell ref="F1:I3"/>
    <mergeCell ref="J1:M3"/>
    <mergeCell ref="V69:Z69"/>
    <mergeCell ref="AL67:AM67"/>
    <mergeCell ref="V42:AA42"/>
    <mergeCell ref="V43:AA43"/>
    <mergeCell ref="AC52:AI54"/>
    <mergeCell ref="Z53:AA53"/>
    <mergeCell ref="AC40:AI40"/>
    <mergeCell ref="AJ40:AP40"/>
    <mergeCell ref="AC41:AI41"/>
    <mergeCell ref="AJ41:AP41"/>
    <mergeCell ref="AC42:AI42"/>
    <mergeCell ref="AJ42:AP42"/>
    <mergeCell ref="AC43:AI43"/>
    <mergeCell ref="AJ43:AP43"/>
    <mergeCell ref="AJ53:AK53"/>
    <mergeCell ref="V40:AA40"/>
    <mergeCell ref="V41:AA41"/>
    <mergeCell ref="Z67:AA67"/>
    <mergeCell ref="T52:Y54"/>
    <mergeCell ref="P64:AA64"/>
    <mergeCell ref="P40:T43"/>
    <mergeCell ref="V47:AA47"/>
    <mergeCell ref="AC47:AH47"/>
    <mergeCell ref="M277:AU277"/>
    <mergeCell ref="AM108:AP108"/>
    <mergeCell ref="AM109:AP109"/>
    <mergeCell ref="AE67:AJ67"/>
    <mergeCell ref="AO67:AP67"/>
    <mergeCell ref="P104:AP106"/>
    <mergeCell ref="P82:AP82"/>
    <mergeCell ref="P84:AP100"/>
    <mergeCell ref="P102:AP102"/>
    <mergeCell ref="AE69:AI69"/>
    <mergeCell ref="AE70:AI70"/>
    <mergeCell ref="P70:T70"/>
    <mergeCell ref="V70:Z70"/>
    <mergeCell ref="AC109:AK109"/>
    <mergeCell ref="V76:AA76"/>
    <mergeCell ref="P69:T69"/>
    <mergeCell ref="P109:AA109"/>
    <mergeCell ref="P75:T75"/>
    <mergeCell ref="P76:T76"/>
    <mergeCell ref="V72:AA72"/>
    <mergeCell ref="V73:AA73"/>
    <mergeCell ref="P72:T72"/>
    <mergeCell ref="P73:T73"/>
    <mergeCell ref="P112:AP113"/>
    <mergeCell ref="V48:AA48"/>
    <mergeCell ref="AC48:AH48"/>
    <mergeCell ref="AE64:AP64"/>
    <mergeCell ref="AK69:AO69"/>
    <mergeCell ref="AK70:AO70"/>
    <mergeCell ref="P58:AA58"/>
    <mergeCell ref="AE58:AP58"/>
    <mergeCell ref="P61:AA61"/>
    <mergeCell ref="P60:U60"/>
    <mergeCell ref="W67:X67"/>
    <mergeCell ref="P50:AP50"/>
    <mergeCell ref="P45:T48"/>
    <mergeCell ref="V45:AA45"/>
    <mergeCell ref="AC45:AH45"/>
    <mergeCell ref="V46:AA46"/>
    <mergeCell ref="AC46:AH46"/>
    <mergeCell ref="P67:U67"/>
    <mergeCell ref="Z56:AF56"/>
    <mergeCell ref="Z55:AF55"/>
    <mergeCell ref="P66:U66"/>
    <mergeCell ref="AE63:AJ63"/>
    <mergeCell ref="BZ69:CD69"/>
    <mergeCell ref="CF69:CJ69"/>
    <mergeCell ref="AE76:AJ76"/>
    <mergeCell ref="AN76:AP76"/>
    <mergeCell ref="BL60:BQ60"/>
    <mergeCell ref="BZ60:CK60"/>
    <mergeCell ref="BZ61:CK61"/>
    <mergeCell ref="BZ63:CE63"/>
    <mergeCell ref="BL64:BW64"/>
    <mergeCell ref="BZ64:CK64"/>
    <mergeCell ref="BL66:BQ66"/>
    <mergeCell ref="BZ66:CE66"/>
    <mergeCell ref="BL67:BQ67"/>
    <mergeCell ref="BS67:BT67"/>
    <mergeCell ref="BV67:BW67"/>
    <mergeCell ref="BZ67:CE67"/>
    <mergeCell ref="AE72:AI72"/>
    <mergeCell ref="AE73:AI73"/>
    <mergeCell ref="AK72:AP72"/>
    <mergeCell ref="AK73:AP73"/>
    <mergeCell ref="BL61:BW61"/>
    <mergeCell ref="BS75:BW75"/>
    <mergeCell ref="CG75:CK75"/>
    <mergeCell ref="R200:AR201"/>
    <mergeCell ref="P25:V27"/>
    <mergeCell ref="W25:AP27"/>
    <mergeCell ref="BL76:BQ76"/>
    <mergeCell ref="BU76:BW76"/>
    <mergeCell ref="BZ76:CE76"/>
    <mergeCell ref="CI76:CK76"/>
    <mergeCell ref="AL75:AP75"/>
    <mergeCell ref="BL73:BP73"/>
    <mergeCell ref="BR73:BW73"/>
    <mergeCell ref="BZ73:CD73"/>
    <mergeCell ref="CF73:CK73"/>
    <mergeCell ref="BL70:BP70"/>
    <mergeCell ref="BR70:BV70"/>
    <mergeCell ref="BZ70:CD70"/>
    <mergeCell ref="CF70:CJ70"/>
    <mergeCell ref="BL72:BP72"/>
    <mergeCell ref="BR72:BW72"/>
    <mergeCell ref="BZ72:CD72"/>
    <mergeCell ref="CF72:CK72"/>
    <mergeCell ref="CG67:CH67"/>
    <mergeCell ref="CJ67:CK67"/>
    <mergeCell ref="BL69:BP69"/>
    <mergeCell ref="BR69:BV69"/>
  </mergeCells>
  <conditionalFormatting sqref="P71:T71">
    <cfRule type="expression" dxfId="243" priority="85">
      <formula>$T$71&lt;&gt;Txt_Rqd</formula>
    </cfRule>
  </conditionalFormatting>
  <conditionalFormatting sqref="P74:T74">
    <cfRule type="expression" dxfId="242" priority="80">
      <formula>$T$74&lt;&gt;Txt_Rqd</formula>
    </cfRule>
  </conditionalFormatting>
  <conditionalFormatting sqref="P77:T77">
    <cfRule type="expression" dxfId="241" priority="83">
      <formula>$T$77&lt;&gt;Txt_Rqd</formula>
    </cfRule>
  </conditionalFormatting>
  <conditionalFormatting sqref="P68:U68">
    <cfRule type="expression" dxfId="240" priority="72">
      <formula>$U$68&lt;&gt;Txt_Rqd</formula>
    </cfRule>
  </conditionalFormatting>
  <conditionalFormatting sqref="P61:AA61">
    <cfRule type="expression" dxfId="239" priority="9">
      <formula>IF(M05S01BF01&lt;&gt;"Yes",TRUE,FALSE)</formula>
    </cfRule>
  </conditionalFormatting>
  <conditionalFormatting sqref="P62:AA62">
    <cfRule type="expression" dxfId="238" priority="1338">
      <formula>$AA$62&lt;&gt;Txt_Rqd</formula>
    </cfRule>
  </conditionalFormatting>
  <conditionalFormatting sqref="P65:AA65">
    <cfRule type="expression" dxfId="237" priority="78">
      <formula>$AA$65&lt;&gt;Txt_Rqd</formula>
    </cfRule>
  </conditionalFormatting>
  <conditionalFormatting sqref="P110:AA110">
    <cfRule type="expression" dxfId="236" priority="1336">
      <formula>$AA$110&lt;&gt;Txt_Rqd</formula>
    </cfRule>
  </conditionalFormatting>
  <conditionalFormatting sqref="V71:Z71">
    <cfRule type="expression" dxfId="235" priority="84">
      <formula>$Z$71&lt;&gt;Txt_Rqd</formula>
    </cfRule>
  </conditionalFormatting>
  <conditionalFormatting sqref="V74:AA74">
    <cfRule type="expression" dxfId="234" priority="1337">
      <formula>$AA$74&lt;&gt;Txt_Rqd</formula>
    </cfRule>
  </conditionalFormatting>
  <conditionalFormatting sqref="V77:AA77">
    <cfRule type="expression" dxfId="233" priority="82">
      <formula>$AA$77&lt;&gt;Txt_Rqd</formula>
    </cfRule>
  </conditionalFormatting>
  <conditionalFormatting sqref="W68:X68">
    <cfRule type="expression" dxfId="229" priority="71">
      <formula>$X$68&lt;&gt;Txt_Rqd</formula>
    </cfRule>
  </conditionalFormatting>
  <conditionalFormatting sqref="Z53">
    <cfRule type="expression" dxfId="228" priority="30">
      <formula>IF(M05S01BF36&lt;&gt;"No",TRUE,FALSE)</formula>
    </cfRule>
  </conditionalFormatting>
  <conditionalFormatting sqref="Z54:AA54">
    <cfRule type="expression" dxfId="227" priority="87">
      <formula>$AA$54&lt;&gt;Txt_Rqd</formula>
    </cfRule>
  </conditionalFormatting>
  <conditionalFormatting sqref="Z68:AA68">
    <cfRule type="expression" dxfId="226" priority="73">
      <formula>$AA$68&lt;&gt;Txt_Rqd</formula>
    </cfRule>
  </conditionalFormatting>
  <conditionalFormatting sqref="Z55:AF56">
    <cfRule type="expression" dxfId="225" priority="2">
      <formula>IF(AND(M05S07F21="Fast Track",M05S01BF01="Yes"),TRUE,FALSE)</formula>
    </cfRule>
  </conditionalFormatting>
  <conditionalFormatting sqref="AC110:AK110">
    <cfRule type="expression" dxfId="224" priority="1329">
      <formula>$AK$110&lt;&gt;Txt_Rqd</formula>
    </cfRule>
  </conditionalFormatting>
  <conditionalFormatting sqref="AE71:AI71">
    <cfRule type="expression" dxfId="223" priority="67">
      <formula>$AI$71&lt;&gt;Txt_Rqd</formula>
    </cfRule>
  </conditionalFormatting>
  <conditionalFormatting sqref="AE74:AI74">
    <cfRule type="expression" dxfId="222" priority="61">
      <formula>$AI$74&lt;&gt;Txt_Rqd</formula>
    </cfRule>
  </conditionalFormatting>
  <conditionalFormatting sqref="AE68:AJ68">
    <cfRule type="expression" dxfId="221" priority="55">
      <formula>$AJ$68&lt;&gt;Txt_Rqd</formula>
    </cfRule>
  </conditionalFormatting>
  <conditionalFormatting sqref="AE77:AJ77">
    <cfRule type="expression" dxfId="220" priority="2266">
      <formula>#REF!&lt;&gt;Txt_Rqd</formula>
    </cfRule>
  </conditionalFormatting>
  <conditionalFormatting sqref="AE62:AP62">
    <cfRule type="expression" dxfId="219" priority="70">
      <formula>$AP$62&lt;&gt;Txt_Rqd</formula>
    </cfRule>
  </conditionalFormatting>
  <conditionalFormatting sqref="AE65:AP65">
    <cfRule type="expression" dxfId="218" priority="57">
      <formula>$AP$65&lt;&gt;Txt_Rqd</formula>
    </cfRule>
  </conditionalFormatting>
  <conditionalFormatting sqref="AJ53:AK53 AE61:AP61 P64:AA64 AE64:AP64 P67:U67 W67:X67 Z67:AA67 AE67:AJ67 AL67:AM67 AO67:AP67 P70:T70 V70:Z70 AE70:AI70 AK70:AO70 P73:T73 V73:AA73 AE73:AI73 AK73:AP73 P76:T76 V76:AA76 AE76:AJ76 AL76 AN76:AP76 P109:AA109 AC109:AK109 AM109:AP109">
    <cfRule type="expression" dxfId="217" priority="3">
      <formula>IF(M05S01BF01&lt;&gt;"Yes",TRUE,FALSE)</formula>
    </cfRule>
  </conditionalFormatting>
  <conditionalFormatting sqref="AJ54:AK54">
    <cfRule type="expression" dxfId="216" priority="86">
      <formula>$AK$54&lt;&gt;Txt_Rqd</formula>
    </cfRule>
  </conditionalFormatting>
  <conditionalFormatting sqref="AK71:AO71">
    <cfRule type="expression" dxfId="215" priority="64">
      <formula>$AO$71&lt;&gt;Txt_Rqd</formula>
    </cfRule>
  </conditionalFormatting>
  <conditionalFormatting sqref="AK74:AP74">
    <cfRule type="expression" dxfId="214" priority="59">
      <formula>$AP$74&lt;&gt;Txt_Rqd</formula>
    </cfRule>
  </conditionalFormatting>
  <conditionalFormatting sqref="AL77">
    <cfRule type="expression" dxfId="213" priority="33">
      <formula>AL77&lt;&gt;Txt_Rqd</formula>
    </cfRule>
  </conditionalFormatting>
  <conditionalFormatting sqref="AL68:AM68">
    <cfRule type="expression" dxfId="212" priority="53">
      <formula>$AM$68&lt;&gt;Txt_Rqd</formula>
    </cfRule>
  </conditionalFormatting>
  <conditionalFormatting sqref="AM110:AP110">
    <cfRule type="expression" dxfId="211" priority="42">
      <formula>$AP$110&lt;&gt;Txt_Rqd</formula>
    </cfRule>
  </conditionalFormatting>
  <conditionalFormatting sqref="AN77:AP77">
    <cfRule type="expression" dxfId="210" priority="2270">
      <formula>#REF!&lt;&gt;Txt_Rqd</formula>
    </cfRule>
  </conditionalFormatting>
  <conditionalFormatting sqref="AO68:AP68">
    <cfRule type="expression" dxfId="209" priority="51">
      <formula>$AP$68&lt;&gt;Txt_Rqd</formula>
    </cfRule>
  </conditionalFormatting>
  <conditionalFormatting sqref="BA8:BF8">
    <cfRule type="expression" dxfId="208" priority="1">
      <formula>IF($AO$8=PROJSTATMEASURE,FALSE,TRUE)</formula>
    </cfRule>
  </conditionalFormatting>
  <conditionalFormatting sqref="BL61:BW61">
    <cfRule type="expression" dxfId="207" priority="8">
      <formula>IF(M05S01BF01&lt;&gt;"Yes",TRUE,FALSE)</formula>
    </cfRule>
  </conditionalFormatting>
  <dataValidations count="14">
    <dataValidation allowBlank="1" showErrorMessage="1" sqref="P67:U67 W65:Z65 W66:X66 Y66:Y67 Z66:AA66 V76:AA76 BV66:BW66 BL67:BQ67 BS65:BV65 BS66:BT66 BU66:BU67" xr:uid="{E81811EA-C737-4281-97D1-6FBD3F1432E7}"/>
    <dataValidation type="list" allowBlank="1" showInputMessage="1" showErrorMessage="1" sqref="W67:X67 AL67 BS67:BT67 CG67" xr:uid="{E247802C-EEB3-49AD-B51D-06AF1EBDA681}">
      <formula1>STATESABBREV</formula1>
    </dataValidation>
    <dataValidation type="textLength" operator="equal" allowBlank="1" showInputMessage="1" showErrorMessage="1" error="Please enter only the last 7 digits of the Tax ID" prompt="Please enter only the last 7 digits of the Tax ID" sqref="BU76:BW76 AN77:AO77" xr:uid="{D5A8CBA4-0E08-4609-B7BC-DC3FA8976A86}">
      <formula1>7</formula1>
    </dataValidation>
    <dataValidation type="textLength" operator="equal" allowBlank="1" showInputMessage="1" showErrorMessage="1" prompt="Please enter only the first 2 digits of the Tax ID" sqref="BS76" xr:uid="{0AAF3BCC-FE95-4154-A050-AAFE32971786}">
      <formula1>2</formula1>
    </dataValidation>
    <dataValidation type="date" operator="greaterThanOrEqual" allowBlank="1" showInputMessage="1" showErrorMessage="1" error="Please enter date. Format: xx/xx/xxx" sqref="AM110:AO113 CO15:CR15" xr:uid="{A4BCA424-0392-412B-8194-DC419E9F3445}">
      <formula1>32874</formula1>
    </dataValidation>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BI15:BJ15 P110:Z113" xr:uid="{8198E378-EF20-4567-A2D3-E2E0BBFF4A3C}"/>
    <dataValidation type="whole" allowBlank="1" showInputMessage="1" showErrorMessage="1" sqref="AO67 CJ67" xr:uid="{B5884F04-EA40-4495-9D6C-914635579767}">
      <formula1>0</formula1>
      <formula2>99999</formula2>
    </dataValidation>
    <dataValidation type="textLength" allowBlank="1" showInputMessage="1" showErrorMessage="1" error="Please enter a valid phone number. Example: (111) 111-1111" sqref="AF74:AH74 P73 AE73:AE74 CA74:CC74 BL73 BZ73:BZ74" xr:uid="{44F14D8F-3896-4C9B-9FED-AA042F6859C0}">
      <formula1>7</formula1>
      <formula2>15</formula2>
    </dataValidation>
    <dataValidation type="custom" allowBlank="1" showInputMessage="1" showErrorMessage="1" error="Please enter a valid email address." sqref="V73 AK73:AK74 AL74:AO74 BR73 CF73:CF74 CG74:CJ74" xr:uid="{E89C4000-9CB5-4138-9638-18CACB8ABDF9}">
      <formula1>AND(FIND(".",V73),FIND("@",V73))</formula1>
    </dataValidation>
    <dataValidation type="list" allowBlank="1" showInputMessage="1" showErrorMessage="1" sqref="BL76:BQ76" xr:uid="{0EF69B70-49CF-42A1-BE22-B58B980204D6}">
      <formula1>TAXLIST</formula1>
    </dataValidation>
    <dataValidation allowBlank="1" showInputMessage="1" sqref="CI76:CK76 BZ76:CE76 CG76" xr:uid="{B2F84EA9-D3D5-4772-A4FF-DD5C8F0BA896}"/>
    <dataValidation allowBlank="1" showInputMessage="1" showErrorMessage="1" prompt="Business Identification No" sqref="P76:T76" xr:uid="{18F5C64E-ACA6-45AB-8ED9-D9771F6E69A8}"/>
    <dataValidation type="list" allowBlank="1" showInputMessage="1" sqref="AE76:AJ76" xr:uid="{DE5E34FC-B6D1-450E-B84B-9D78E1A2025A}">
      <formula1>TAXLIST</formula1>
    </dataValidation>
    <dataValidation allowBlank="1" showInputMessage="1" showErrorMessage="1" error="Please enter only the last 7 digits of the Tax ID" sqref="AN76:AP76 AL76" xr:uid="{D757222E-4CDF-4CC6-810E-AC25E6B5CFDB}"/>
  </dataValidations>
  <hyperlinks>
    <hyperlink ref="J1:M3" location="'M01-S02'!J1" tooltip="Instructions" display="'M01-S02'!J1" xr:uid="{D1B38563-15AB-4655-B5EB-9962AB4D1C84}"/>
    <hyperlink ref="AV1:AY3" location="'M05-S05'!AL1" tooltip=" " display="'M05-S05'!AL1" xr:uid="{ECFA93BD-113D-4D8B-86BC-EFD4FEFC87A7}"/>
    <hyperlink ref="BF1:BI3" location="'M01-S03'!AP1" tooltip="Contact" display="'M01-S03'!AP1" xr:uid="{AF14AD88-4F81-4AA2-9BA0-F4A41D38C785}"/>
    <hyperlink ref="AR1:AU3" location="'M05-S04'!AH1" tooltip=" " display="'M05-S04'!AH1" xr:uid="{43CF9109-8AA9-4A14-B969-13B2F49ADD58}"/>
    <hyperlink ref="AN1:AQ3" location="'M05-S05'!AL1" tooltip=" " display="'M05-S05'!AL1" xr:uid="{07852D43-127E-410A-8660-3D4F440E23C0}"/>
  </hyperlinks>
  <printOptions horizontalCentered="1" verticalCentered="1"/>
  <pageMargins left="0" right="0" top="0.1" bottom="0.1" header="0" footer="0"/>
  <pageSetup scale="65"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019B8D2A-3758-4C1C-888F-204B2F9EAB82}">
            <xm:f>'M01-S01'!L71-TODAY()&gt;=7</xm:f>
            <x14:dxf>
              <font>
                <b val="0"/>
                <i val="0"/>
                <color theme="1"/>
              </font>
            </x14:dxf>
          </x14:cfRule>
          <x14:cfRule type="expression" priority="6" id="{3F7179C8-45E6-4253-AB7C-16872F070C20}">
            <xm:f>AND('M01-S01'!L71-TODAY()&lt;7,'M01-S01'!L71-TODAY()&gt;2)</xm:f>
            <x14:dxf>
              <font>
                <b/>
                <i val="0"/>
                <color rgb="FFFF0000"/>
              </font>
            </x14:dxf>
          </x14:cfRule>
          <x14:cfRule type="expression" priority="7" id="{26D9ACCB-AEEC-44E2-8CC3-A99BE8CB358C}">
            <xm:f>AND('M01-S01'!L71-TODAY()&lt;=2,'M01-S01'!L71-TODAY()&gt;=0)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W25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26315B3-95A4-4E64-A007-40EA703BE987}">
          <x14:formula1>
            <xm:f>'DATA TABLES_Project'!$A$12:$A$13</xm:f>
          </x14:formula1>
          <xm:sqref>AJ53:AK53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84C-2924-43DB-A5DB-B5513BADE83D}">
  <sheetPr codeName="Sheet7">
    <pageSetUpPr fitToPage="1"/>
  </sheetPr>
  <dimension ref="A1:CT202"/>
  <sheetViews>
    <sheetView showGridLines="0" showRowColHeaders="0" showWhiteSpace="0" zoomScale="90" zoomScaleNormal="90" workbookViewId="0">
      <selection activeCell="L25" sqref="L25:AB25"/>
    </sheetView>
  </sheetViews>
  <sheetFormatPr defaultColWidth="0" defaultRowHeight="16.350000000000001" customHeight="1" zeroHeight="1"/>
  <cols>
    <col min="1" max="61" width="4.5703125" style="177" customWidth="1"/>
    <col min="62" max="16384" width="4.5703125" style="177" hidden="1"/>
  </cols>
  <sheetData>
    <row r="1" spans="1:98" ht="16.350000000000001" customHeight="1">
      <c r="A1" s="60"/>
      <c r="B1" s="239"/>
      <c r="C1" s="239"/>
      <c r="D1" s="239"/>
      <c r="E1" s="239"/>
      <c r="F1" s="750" t="str">
        <f>M1S1</f>
        <v>WELCOME</v>
      </c>
      <c r="G1" s="750"/>
      <c r="H1" s="750"/>
      <c r="I1" s="750"/>
      <c r="J1" s="727" t="str">
        <f>M1S2</f>
        <v>INSTRUCTIONS</v>
      </c>
      <c r="K1" s="727"/>
      <c r="L1" s="727"/>
      <c r="M1" s="727"/>
      <c r="N1" s="240"/>
      <c r="O1" s="240"/>
      <c r="P1" s="240"/>
      <c r="Q1" s="240"/>
      <c r="R1" s="240"/>
      <c r="S1" s="240"/>
      <c r="T1" s="241"/>
      <c r="U1" s="242" t="s">
        <v>118</v>
      </c>
      <c r="V1" s="242"/>
      <c r="W1" s="242"/>
      <c r="X1" s="242"/>
      <c r="Y1" s="240"/>
      <c r="Z1" s="240"/>
      <c r="AA1" s="240"/>
      <c r="AB1" s="240"/>
      <c r="AC1" s="240"/>
      <c r="AD1" s="240"/>
      <c r="AE1" s="240"/>
      <c r="AF1" s="240"/>
      <c r="AG1"/>
      <c r="AH1"/>
      <c r="AI1"/>
      <c r="AJ1"/>
      <c r="AK1"/>
      <c r="AL1"/>
      <c r="AM1"/>
      <c r="AN1" s="734" t="str">
        <f>IF(ACTIVEINSPECT="Yes","Complete "&amp;M5S4,"")</f>
        <v/>
      </c>
      <c r="AO1" s="734"/>
      <c r="AP1" s="734"/>
      <c r="AQ1" s="734"/>
      <c r="AR1" s="730" t="str">
        <f>IF(ACTIVEOFFER="Yes","Sign "&amp;M5S6,"")</f>
        <v>Sign OBR: Repayment Agreement</v>
      </c>
      <c r="AS1" s="730"/>
      <c r="AT1" s="730"/>
      <c r="AU1" s="730"/>
      <c r="AV1" s="730" t="str">
        <f>IF(ACTIVECOMPL="Yes","Sign "&amp;M5S5,"")</f>
        <v xml:space="preserve">Sign Project Completion Certification </v>
      </c>
      <c r="AW1" s="730"/>
      <c r="AX1" s="730"/>
      <c r="AY1" s="730"/>
      <c r="AZ1" s="732" t="str">
        <f>M1S4</f>
        <v>INCENTIVE RATES &amp; REQUIREMENTS</v>
      </c>
      <c r="BA1" s="732"/>
      <c r="BB1" s="732"/>
      <c r="BC1" s="732"/>
      <c r="BD1" s="732"/>
      <c r="BE1" s="732"/>
      <c r="BF1" s="722" t="s">
        <v>119</v>
      </c>
      <c r="BG1" s="723"/>
      <c r="BH1" s="723"/>
      <c r="BI1" s="723"/>
    </row>
    <row r="2" spans="1:98" ht="16.350000000000001" customHeight="1">
      <c r="B2" s="239"/>
      <c r="C2" s="239"/>
      <c r="D2" s="239"/>
      <c r="E2" s="239"/>
      <c r="F2" s="750"/>
      <c r="G2" s="750"/>
      <c r="H2" s="750"/>
      <c r="I2" s="750"/>
      <c r="J2" s="728"/>
      <c r="K2" s="728"/>
      <c r="L2" s="728"/>
      <c r="M2" s="728"/>
      <c r="N2" s="240"/>
      <c r="O2" s="240"/>
      <c r="P2" s="240"/>
      <c r="Q2" s="240"/>
      <c r="R2" s="240"/>
      <c r="S2" s="240"/>
      <c r="T2" s="241"/>
      <c r="U2" s="242"/>
      <c r="V2" s="242"/>
      <c r="W2" s="242"/>
      <c r="X2" s="242"/>
      <c r="Y2" s="240"/>
      <c r="Z2" s="240"/>
      <c r="AA2" s="240"/>
      <c r="AB2" s="240"/>
      <c r="AC2" s="240"/>
      <c r="AD2" s="240"/>
      <c r="AE2" s="240"/>
      <c r="AF2" s="240"/>
      <c r="AG2"/>
      <c r="AH2"/>
      <c r="AI2"/>
      <c r="AJ2"/>
      <c r="AK2"/>
      <c r="AL2"/>
      <c r="AM2"/>
      <c r="AN2" s="734"/>
      <c r="AO2" s="734"/>
      <c r="AP2" s="734"/>
      <c r="AQ2" s="734"/>
      <c r="AR2" s="730"/>
      <c r="AS2" s="730"/>
      <c r="AT2" s="730"/>
      <c r="AU2" s="730"/>
      <c r="AV2" s="730"/>
      <c r="AW2" s="730"/>
      <c r="AX2" s="730"/>
      <c r="AY2" s="730"/>
      <c r="AZ2" s="732"/>
      <c r="BA2" s="732"/>
      <c r="BB2" s="732"/>
      <c r="BC2" s="732"/>
      <c r="BD2" s="732"/>
      <c r="BE2" s="732"/>
      <c r="BF2" s="723"/>
      <c r="BG2" s="723"/>
      <c r="BH2" s="723"/>
      <c r="BI2" s="723"/>
    </row>
    <row r="3" spans="1:98" ht="16.350000000000001" customHeight="1" thickBot="1">
      <c r="A3" s="626"/>
      <c r="B3" s="648"/>
      <c r="C3" s="648"/>
      <c r="D3" s="648"/>
      <c r="E3" s="648"/>
      <c r="F3" s="875"/>
      <c r="G3" s="875"/>
      <c r="H3" s="875"/>
      <c r="I3" s="875"/>
      <c r="J3" s="876"/>
      <c r="K3" s="876"/>
      <c r="L3" s="876"/>
      <c r="M3" s="876"/>
      <c r="N3" s="642"/>
      <c r="O3" s="642"/>
      <c r="P3" s="642"/>
      <c r="Q3" s="642"/>
      <c r="R3" s="642"/>
      <c r="S3" s="642"/>
      <c r="T3" s="642"/>
      <c r="U3" s="643"/>
      <c r="V3" s="643"/>
      <c r="W3" s="643"/>
      <c r="X3" s="643"/>
      <c r="Y3" s="626"/>
      <c r="Z3" s="626"/>
      <c r="AA3" s="626"/>
      <c r="AB3" s="626"/>
      <c r="AC3" s="626"/>
      <c r="AD3" s="626"/>
      <c r="AE3" s="626"/>
      <c r="AF3" s="626"/>
      <c r="AG3" s="614"/>
      <c r="AH3" s="614"/>
      <c r="AI3" s="614"/>
      <c r="AJ3" s="614"/>
      <c r="AK3" s="614"/>
      <c r="AL3" s="614"/>
      <c r="AM3" s="614"/>
      <c r="AN3" s="868"/>
      <c r="AO3" s="868"/>
      <c r="AP3" s="868"/>
      <c r="AQ3" s="868"/>
      <c r="AR3" s="869"/>
      <c r="AS3" s="869"/>
      <c r="AT3" s="869"/>
      <c r="AU3" s="869"/>
      <c r="AV3" s="869"/>
      <c r="AW3" s="869"/>
      <c r="AX3" s="869"/>
      <c r="AY3" s="869"/>
      <c r="AZ3" s="1009"/>
      <c r="BA3" s="1009"/>
      <c r="BB3" s="1009"/>
      <c r="BC3" s="1009"/>
      <c r="BD3" s="1009"/>
      <c r="BE3" s="1009"/>
      <c r="BF3" s="871"/>
      <c r="BG3" s="871"/>
      <c r="BH3" s="871"/>
      <c r="BI3" s="871"/>
    </row>
    <row r="4" spans="1:98" ht="16.350000000000001" customHeight="1">
      <c r="A4" s="632"/>
      <c r="B4" s="632"/>
      <c r="C4" s="632"/>
      <c r="D4" s="632"/>
      <c r="E4" s="632"/>
      <c r="F4" s="632"/>
      <c r="G4" s="632"/>
      <c r="H4" s="632"/>
      <c r="I4" s="632"/>
      <c r="J4" s="632"/>
      <c r="K4" s="632"/>
      <c r="L4" s="633"/>
      <c r="M4" s="498"/>
      <c r="N4" s="632"/>
      <c r="O4" s="632"/>
      <c r="P4" s="632"/>
      <c r="Q4" s="632"/>
      <c r="R4" s="632"/>
      <c r="S4" s="634" t="s">
        <v>707</v>
      </c>
      <c r="T4" s="635" t="str">
        <f>M05S07F07</f>
        <v>Custom</v>
      </c>
      <c r="U4" s="636"/>
      <c r="V4" s="636"/>
      <c r="W4" s="636"/>
      <c r="X4" s="632"/>
      <c r="Y4" s="632"/>
      <c r="Z4" s="632"/>
      <c r="AA4" s="634" t="s">
        <v>708</v>
      </c>
      <c r="AB4" s="874" t="str">
        <f>IF(M02S02F02="","[Project Name]",LEFT(M02S02F02,25))</f>
        <v>[Project Name]</v>
      </c>
      <c r="AC4" s="874"/>
      <c r="AD4" s="874"/>
      <c r="AE4" s="874"/>
      <c r="AF4" s="874"/>
      <c r="AG4" s="874"/>
      <c r="AH4" s="632"/>
      <c r="AI4" s="634" t="s">
        <v>709</v>
      </c>
      <c r="AJ4" s="637" t="str">
        <f>IF(M02S02F27="Yes",Status_Final,Status_Pre)</f>
        <v>Draft Pre-Application</v>
      </c>
      <c r="AK4" s="498"/>
      <c r="AL4" s="632"/>
      <c r="AM4" s="632"/>
      <c r="AN4" s="498"/>
      <c r="AO4" s="498"/>
      <c r="AP4" s="632"/>
      <c r="AQ4" s="632"/>
      <c r="AR4" s="632"/>
      <c r="AS4" s="634" t="s">
        <v>710</v>
      </c>
      <c r="AT4" s="872">
        <f>Incent_Total_Cap_All</f>
        <v>0</v>
      </c>
      <c r="AU4" s="872"/>
      <c r="AV4" s="872"/>
      <c r="AW4" s="872"/>
      <c r="AX4" s="873" t="s">
        <v>711</v>
      </c>
      <c r="AY4" s="873"/>
      <c r="AZ4" s="873"/>
      <c r="BA4" s="873"/>
      <c r="BB4" s="873"/>
      <c r="BC4" s="872" t="str">
        <f>OBR_Amount_Requested</f>
        <v/>
      </c>
      <c r="BD4" s="872"/>
      <c r="BE4" s="872"/>
      <c r="BF4" s="872"/>
      <c r="BG4" s="498"/>
      <c r="BH4" s="644"/>
      <c r="BI4" s="644"/>
    </row>
    <row r="5" spans="1:98"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row>
    <row r="6" spans="1:98" ht="16.350000000000001" customHeight="1">
      <c r="B6" s="622"/>
      <c r="C6" s="622"/>
      <c r="D6" s="622"/>
      <c r="E6" s="622"/>
      <c r="F6" s="622"/>
      <c r="G6" s="622"/>
      <c r="H6" s="622"/>
      <c r="I6" s="622"/>
      <c r="J6" s="622"/>
      <c r="K6" s="622"/>
      <c r="BD6" s="623"/>
      <c r="BG6" s="866"/>
      <c r="BH6" s="866"/>
      <c r="BI6" s="866"/>
    </row>
    <row r="7" spans="1:98" ht="16.350000000000001" customHeight="1">
      <c r="B7" s="624"/>
      <c r="C7" s="624"/>
      <c r="D7" s="624"/>
      <c r="E7" s="624"/>
      <c r="F7" s="624"/>
      <c r="G7" s="624"/>
      <c r="H7" s="624"/>
      <c r="I7" s="624"/>
      <c r="J7" s="624"/>
      <c r="K7" s="624"/>
      <c r="BG7" s="866"/>
      <c r="BH7" s="866"/>
      <c r="BI7" s="866"/>
    </row>
    <row r="8" spans="1:98" s="626"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BA8" s="625"/>
      <c r="BB8" s="625"/>
      <c r="BC8" s="625"/>
      <c r="BD8" s="625"/>
      <c r="BE8" s="625"/>
      <c r="BF8" s="625"/>
      <c r="BG8" s="867" t="s">
        <v>712</v>
      </c>
      <c r="BH8" s="867"/>
      <c r="BI8" s="867"/>
    </row>
    <row r="9" spans="1:98" s="179" customFormat="1" ht="16.350000000000001" customHeight="1">
      <c r="G9" s="1249" t="str">
        <f>M2S1</f>
        <v>Terms &amp; Conditions</v>
      </c>
      <c r="H9" s="1249"/>
      <c r="I9" s="1249"/>
      <c r="J9" s="1249"/>
      <c r="K9" s="1249"/>
      <c r="L9" s="1249"/>
      <c r="M9" s="1249"/>
      <c r="N9" s="1249"/>
      <c r="O9" s="1249"/>
      <c r="P9" s="1249"/>
      <c r="Q9" s="1249"/>
      <c r="R9" s="1249"/>
      <c r="S9" s="1249"/>
      <c r="T9" s="1249"/>
      <c r="U9" s="1249"/>
      <c r="V9" s="1249"/>
      <c r="W9" s="1249"/>
      <c r="X9" s="1249"/>
      <c r="Y9" s="1249"/>
      <c r="Z9" s="1249"/>
      <c r="AA9" s="1249"/>
      <c r="AB9" s="1249"/>
      <c r="AC9" s="1249"/>
      <c r="AD9" s="1249"/>
      <c r="AE9" s="1249"/>
      <c r="AF9" s="1249"/>
      <c r="AG9" s="1249"/>
      <c r="AH9" s="1249"/>
      <c r="AI9" s="1249"/>
      <c r="AJ9" s="1249"/>
      <c r="AK9" s="1249"/>
      <c r="AL9" s="1249"/>
      <c r="AM9" s="1249"/>
      <c r="AN9" s="1249"/>
      <c r="AO9" s="1249"/>
      <c r="AP9" s="1249"/>
      <c r="AQ9" s="1249"/>
      <c r="AR9" s="1249"/>
      <c r="AS9" s="1249"/>
      <c r="AT9" s="1249"/>
      <c r="AU9" s="1249"/>
      <c r="AV9" s="1249"/>
      <c r="AW9" s="1249"/>
      <c r="AX9" s="1249"/>
      <c r="AY9" s="1249"/>
      <c r="BJ9" s="1222" t="s">
        <v>1540</v>
      </c>
      <c r="BK9" s="1222"/>
      <c r="BL9" s="1222"/>
      <c r="BM9" s="1222"/>
      <c r="BN9" s="1222"/>
      <c r="BO9" s="1222"/>
      <c r="BP9" s="1222"/>
      <c r="BQ9" s="1222"/>
      <c r="BR9" s="1222"/>
      <c r="BS9" s="1222"/>
      <c r="BT9" s="1222"/>
      <c r="BU9" s="1222"/>
      <c r="BV9" s="1222"/>
      <c r="BW9" s="1222"/>
      <c r="BX9" s="1222"/>
      <c r="BY9" s="1222"/>
      <c r="BZ9" s="1222"/>
      <c r="CA9" s="1222"/>
      <c r="CB9" s="1222"/>
      <c r="CC9" s="1222"/>
      <c r="CD9" s="1222"/>
      <c r="CE9" s="1222"/>
      <c r="CF9" s="1222"/>
      <c r="CG9" s="1222"/>
      <c r="CH9" s="1222"/>
      <c r="CI9" s="1222"/>
      <c r="CJ9" s="1222"/>
      <c r="CK9" s="1222"/>
      <c r="CL9" s="1222"/>
      <c r="CM9" s="1222"/>
      <c r="CN9" s="1222"/>
      <c r="CO9" s="1222"/>
      <c r="CP9" s="1222"/>
      <c r="CQ9" s="1222"/>
      <c r="CR9" s="1222"/>
      <c r="CS9" s="312"/>
    </row>
    <row r="10" spans="1:98" s="179" customFormat="1" ht="16.350000000000001" customHeight="1">
      <c r="G10" s="1250"/>
      <c r="H10" s="1250"/>
      <c r="I10" s="1250"/>
      <c r="J10" s="1250"/>
      <c r="K10" s="1250"/>
      <c r="L10" s="1250"/>
      <c r="M10" s="1250"/>
      <c r="N10" s="1250"/>
      <c r="O10" s="1250"/>
      <c r="P10" s="1250"/>
      <c r="Q10" s="1250"/>
      <c r="R10" s="1250"/>
      <c r="S10" s="1250"/>
      <c r="T10" s="1250"/>
      <c r="U10" s="1250"/>
      <c r="V10" s="1250"/>
      <c r="W10" s="1250"/>
      <c r="X10" s="1250"/>
      <c r="Y10" s="1250"/>
      <c r="Z10" s="1250"/>
      <c r="AA10" s="1250"/>
      <c r="AB10" s="1250"/>
      <c r="AC10" s="1250"/>
      <c r="AD10" s="1250"/>
      <c r="AE10" s="1250"/>
      <c r="AF10" s="1250"/>
      <c r="AG10" s="1250"/>
      <c r="AH10" s="1250"/>
      <c r="AI10" s="1250"/>
      <c r="AJ10" s="1250"/>
      <c r="AK10" s="1250"/>
      <c r="AL10" s="1250"/>
      <c r="AM10" s="1250"/>
      <c r="AN10" s="1250"/>
      <c r="AO10" s="1250"/>
      <c r="AP10" s="1250"/>
      <c r="AQ10" s="1250"/>
      <c r="AR10" s="1250"/>
      <c r="AS10" s="1250"/>
      <c r="AT10" s="1250"/>
      <c r="AU10" s="1250"/>
      <c r="AV10" s="1250"/>
      <c r="AW10" s="1250"/>
      <c r="AX10" s="1250"/>
      <c r="AY10" s="1250"/>
      <c r="BJ10" s="1231" t="s">
        <v>1541</v>
      </c>
      <c r="BK10" s="1232"/>
      <c r="BL10" s="1232"/>
      <c r="BM10" s="1232"/>
      <c r="BN10" s="1232"/>
      <c r="BO10" s="1232"/>
      <c r="BP10" s="1232"/>
      <c r="BQ10" s="1232"/>
      <c r="BR10" s="1232"/>
      <c r="BS10" s="1232"/>
      <c r="BT10" s="1232"/>
      <c r="BU10" s="1232"/>
      <c r="BV10" s="1232"/>
      <c r="BW10" s="1232"/>
      <c r="BX10" s="1232"/>
      <c r="BY10" s="1232"/>
      <c r="BZ10" s="1232"/>
      <c r="CA10" s="1232"/>
      <c r="CB10" s="1232"/>
      <c r="CC10" s="1232"/>
      <c r="CD10" s="1232"/>
      <c r="CE10" s="1232"/>
      <c r="CF10" s="1232"/>
      <c r="CG10" s="1232"/>
      <c r="CH10" s="1232"/>
      <c r="CI10" s="1232"/>
      <c r="CJ10" s="1232"/>
      <c r="CK10" s="1232"/>
      <c r="CL10" s="1232"/>
      <c r="CM10" s="1232"/>
      <c r="CN10" s="1232"/>
      <c r="CO10" s="1232"/>
      <c r="CP10" s="1232"/>
      <c r="CQ10" s="1232"/>
      <c r="CR10" s="1232"/>
      <c r="CS10" s="1233"/>
    </row>
    <row r="11" spans="1:98" s="382" customFormat="1" ht="16.350000000000001" customHeight="1">
      <c r="J11" s="344"/>
      <c r="K11" s="344"/>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344"/>
      <c r="AV11" s="344"/>
      <c r="AW11" s="344"/>
      <c r="BI11" s="383"/>
      <c r="BJ11" s="1234"/>
      <c r="BK11" s="1235"/>
      <c r="BL11" s="1235"/>
      <c r="BM11" s="1235"/>
      <c r="BN11" s="1235"/>
      <c r="BO11" s="1235"/>
      <c r="BP11" s="1235"/>
      <c r="BQ11" s="1235"/>
      <c r="BR11" s="1235"/>
      <c r="BS11" s="1235"/>
      <c r="BT11" s="1235"/>
      <c r="BU11" s="1235"/>
      <c r="BV11" s="1235"/>
      <c r="BW11" s="1235"/>
      <c r="BX11" s="1235"/>
      <c r="BY11" s="1235"/>
      <c r="BZ11" s="1235"/>
      <c r="CA11" s="1235"/>
      <c r="CB11" s="1235"/>
      <c r="CC11" s="1235"/>
      <c r="CD11" s="1235"/>
      <c r="CE11" s="1235"/>
      <c r="CF11" s="1235"/>
      <c r="CG11" s="1235"/>
      <c r="CH11" s="1235"/>
      <c r="CI11" s="1235"/>
      <c r="CJ11" s="1235"/>
      <c r="CK11" s="1235"/>
      <c r="CL11" s="1235"/>
      <c r="CM11" s="1235"/>
      <c r="CN11" s="1235"/>
      <c r="CO11" s="1235"/>
      <c r="CP11" s="1235"/>
      <c r="CQ11" s="1235"/>
      <c r="CR11" s="1235"/>
      <c r="CS11" s="1236"/>
      <c r="CT11" s="383"/>
    </row>
    <row r="12" spans="1:98" ht="16.350000000000001" customHeight="1">
      <c r="A12" s="179"/>
      <c r="B12" s="179"/>
      <c r="C12" s="179"/>
      <c r="D12" s="239"/>
      <c r="E12" s="239"/>
      <c r="F12" s="239"/>
      <c r="G12" s="239"/>
      <c r="H12" s="239"/>
      <c r="I12" s="239"/>
      <c r="J12" s="239"/>
      <c r="K12" s="239"/>
      <c r="L12" s="1222" t="s">
        <v>1542</v>
      </c>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222"/>
      <c r="AM12" s="1222"/>
      <c r="AN12" s="1222"/>
      <c r="AO12" s="1222"/>
      <c r="AP12" s="1222"/>
      <c r="AQ12" s="1222"/>
      <c r="AR12" s="1222"/>
      <c r="AS12" s="1222"/>
      <c r="AT12" s="1222"/>
      <c r="BI12" s="239"/>
      <c r="BJ12" s="1237"/>
      <c r="BK12" s="1238"/>
      <c r="BL12" s="1238"/>
      <c r="BM12" s="1238"/>
      <c r="BN12" s="1238"/>
      <c r="BO12" s="1238"/>
      <c r="BP12" s="1238"/>
      <c r="BQ12" s="1238"/>
      <c r="BR12" s="1238"/>
      <c r="BS12" s="1238"/>
      <c r="BT12" s="1238"/>
      <c r="BU12" s="1238"/>
      <c r="BV12" s="1238"/>
      <c r="BW12" s="1238"/>
      <c r="BX12" s="1238"/>
      <c r="BY12" s="1238"/>
      <c r="BZ12" s="1238"/>
      <c r="CA12" s="1238"/>
      <c r="CB12" s="1238"/>
      <c r="CC12" s="1238"/>
      <c r="CD12" s="1238"/>
      <c r="CE12" s="1238"/>
      <c r="CF12" s="1238"/>
      <c r="CG12" s="1238"/>
      <c r="CH12" s="1238"/>
      <c r="CI12" s="1238"/>
      <c r="CJ12" s="1238"/>
      <c r="CK12" s="1238"/>
      <c r="CL12" s="1238"/>
      <c r="CM12" s="1238"/>
      <c r="CN12" s="1238"/>
      <c r="CO12" s="1238"/>
      <c r="CP12" s="1238"/>
      <c r="CQ12" s="1238"/>
      <c r="CR12" s="1238"/>
      <c r="CS12" s="1239"/>
      <c r="CT12" s="239"/>
    </row>
    <row r="13" spans="1:98" ht="16.350000000000001" customHeight="1">
      <c r="A13" s="179"/>
      <c r="B13" s="179"/>
      <c r="C13" s="179"/>
      <c r="D13" s="239"/>
      <c r="E13" s="239"/>
      <c r="F13" s="239"/>
      <c r="G13" s="239"/>
      <c r="H13" s="239"/>
      <c r="I13" s="239"/>
      <c r="J13" s="239"/>
      <c r="K13" s="239"/>
      <c r="L13" s="1240" t="s">
        <v>1543</v>
      </c>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2"/>
    </row>
    <row r="14" spans="1:98" ht="16.350000000000001" customHeight="1">
      <c r="A14" s="179"/>
      <c r="B14" s="179"/>
      <c r="C14" s="179"/>
      <c r="D14" s="239"/>
      <c r="E14" s="239"/>
      <c r="F14" s="239"/>
      <c r="G14" s="239"/>
      <c r="H14" s="239"/>
      <c r="I14" s="239"/>
      <c r="J14" s="239"/>
      <c r="K14" s="239"/>
      <c r="L14" s="1243"/>
      <c r="M14" s="1244"/>
      <c r="N14" s="1244"/>
      <c r="O14" s="1244"/>
      <c r="P14" s="1244"/>
      <c r="Q14" s="1244"/>
      <c r="R14" s="1244"/>
      <c r="S14" s="1244"/>
      <c r="T14" s="1244"/>
      <c r="U14" s="1244"/>
      <c r="V14" s="1244"/>
      <c r="W14" s="1244"/>
      <c r="X14" s="1244"/>
      <c r="Y14" s="1244"/>
      <c r="Z14" s="1244"/>
      <c r="AA14" s="1244"/>
      <c r="AB14" s="1244"/>
      <c r="AC14" s="1244"/>
      <c r="AD14" s="1244"/>
      <c r="AE14" s="1244"/>
      <c r="AF14" s="1244"/>
      <c r="AG14" s="1244"/>
      <c r="AH14" s="1244"/>
      <c r="AI14" s="1244"/>
      <c r="AJ14" s="1244"/>
      <c r="AK14" s="1244"/>
      <c r="AL14" s="1244"/>
      <c r="AM14" s="1244"/>
      <c r="AN14" s="1244"/>
      <c r="AO14" s="1244"/>
      <c r="AP14" s="1244"/>
      <c r="AQ14" s="1244"/>
      <c r="AR14" s="1244"/>
      <c r="AS14" s="1244"/>
      <c r="AT14" s="1244"/>
      <c r="AU14" s="1245"/>
    </row>
    <row r="15" spans="1:98" ht="16.350000000000001" customHeight="1">
      <c r="A15" s="179"/>
      <c r="B15" s="179"/>
      <c r="C15" s="179"/>
      <c r="D15" s="239"/>
      <c r="E15" s="239"/>
      <c r="F15" s="239"/>
      <c r="G15" s="239"/>
      <c r="H15" s="239"/>
      <c r="I15" s="239"/>
      <c r="J15" s="239"/>
      <c r="K15" s="239"/>
      <c r="L15" s="1243"/>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5"/>
      <c r="BD15" s="384"/>
      <c r="BE15" s="384"/>
      <c r="BF15" s="239"/>
    </row>
    <row r="16" spans="1:98" ht="16.350000000000001" customHeight="1">
      <c r="A16" s="179"/>
      <c r="B16" s="179"/>
      <c r="C16" s="179"/>
      <c r="D16" s="239"/>
      <c r="E16" s="239"/>
      <c r="F16" s="239"/>
      <c r="G16" s="239"/>
      <c r="H16" s="239"/>
      <c r="I16" s="239"/>
      <c r="J16" s="239"/>
      <c r="K16" s="239"/>
      <c r="L16" s="1243"/>
      <c r="M16" s="1244"/>
      <c r="N16" s="1244"/>
      <c r="O16" s="1244"/>
      <c r="P16" s="1244"/>
      <c r="Q16" s="1244"/>
      <c r="R16" s="1244"/>
      <c r="S16" s="1244"/>
      <c r="T16" s="1244"/>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5"/>
      <c r="BD16" s="384"/>
      <c r="BE16" s="384"/>
      <c r="BF16" s="239"/>
    </row>
    <row r="17" spans="1:58" ht="16.350000000000001" customHeight="1">
      <c r="A17" s="179"/>
      <c r="B17" s="179"/>
      <c r="C17" s="179"/>
      <c r="D17" s="239"/>
      <c r="E17" s="239"/>
      <c r="F17" s="239"/>
      <c r="G17" s="239"/>
      <c r="H17" s="239"/>
      <c r="I17" s="239"/>
      <c r="J17" s="239"/>
      <c r="K17" s="239"/>
      <c r="L17" s="1246"/>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8"/>
      <c r="BD17" s="384"/>
      <c r="BE17" s="384"/>
      <c r="BF17" s="239"/>
    </row>
    <row r="18" spans="1:58" ht="16.350000000000001" customHeight="1">
      <c r="A18" s="179"/>
      <c r="B18" s="179"/>
      <c r="C18" s="179"/>
      <c r="D18" s="239"/>
      <c r="E18" s="239"/>
      <c r="F18" s="239"/>
      <c r="G18" s="239"/>
      <c r="H18" s="239"/>
      <c r="I18" s="239"/>
      <c r="J18" s="239"/>
      <c r="K18" s="239"/>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239"/>
      <c r="AW18" s="239"/>
      <c r="AX18" s="239"/>
      <c r="AY18" s="239"/>
      <c r="AZ18" s="239"/>
      <c r="BD18" s="384"/>
      <c r="BE18" s="384"/>
      <c r="BF18" s="239"/>
    </row>
    <row r="19" spans="1:58" ht="16.350000000000001" customHeight="1">
      <c r="A19" s="179"/>
      <c r="B19" s="179"/>
      <c r="C19" s="179"/>
      <c r="D19" s="179"/>
      <c r="E19" s="239"/>
      <c r="F19" s="385"/>
      <c r="G19" s="385"/>
      <c r="H19" s="385"/>
      <c r="I19" s="385"/>
      <c r="J19" s="385"/>
      <c r="K19" s="385"/>
      <c r="L19" s="1222" t="s">
        <v>1544</v>
      </c>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222"/>
      <c r="AM19" s="1222"/>
      <c r="AN19" s="1222"/>
      <c r="AO19" s="1222"/>
      <c r="AP19" s="1222"/>
      <c r="AQ19" s="1222"/>
      <c r="AR19" s="1222"/>
      <c r="AS19" s="1222"/>
      <c r="AT19" s="1222"/>
      <c r="AU19" s="1222"/>
      <c r="AV19" s="385"/>
      <c r="AW19" s="385"/>
      <c r="AX19" s="385"/>
      <c r="AY19" s="385"/>
      <c r="AZ19" s="385"/>
      <c r="BA19" s="385"/>
      <c r="BB19" s="385"/>
      <c r="BC19" s="385"/>
    </row>
    <row r="20" spans="1:58" ht="16.350000000000001" customHeight="1">
      <c r="A20" s="179"/>
      <c r="B20" s="179"/>
      <c r="C20" s="179"/>
      <c r="D20" s="179"/>
      <c r="E20" s="385"/>
      <c r="F20" s="385"/>
      <c r="G20" s="385"/>
      <c r="H20" s="385"/>
      <c r="I20" s="385"/>
      <c r="J20" s="385"/>
      <c r="K20" s="385"/>
      <c r="L20" s="1223" t="s">
        <v>1545</v>
      </c>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224"/>
      <c r="AM20" s="1224"/>
      <c r="AN20" s="1224"/>
      <c r="AO20" s="1224"/>
      <c r="AP20" s="1224"/>
      <c r="AQ20" s="1224"/>
      <c r="AR20" s="1224"/>
      <c r="AS20" s="1224"/>
      <c r="AT20" s="1224"/>
      <c r="AU20" s="1225"/>
      <c r="AV20" s="385"/>
      <c r="AW20" s="385"/>
      <c r="AX20" s="385"/>
      <c r="AY20" s="385"/>
      <c r="AZ20" s="385"/>
      <c r="BA20" s="385"/>
      <c r="BB20" s="385"/>
      <c r="BC20" s="385"/>
    </row>
    <row r="21" spans="1:58" ht="16.350000000000001" customHeight="1">
      <c r="A21" s="179"/>
      <c r="B21" s="179"/>
      <c r="C21" s="179"/>
      <c r="D21" s="179"/>
      <c r="E21" s="385"/>
      <c r="F21" s="385"/>
      <c r="G21" s="385"/>
      <c r="H21" s="385"/>
      <c r="I21" s="385"/>
      <c r="J21" s="385"/>
      <c r="K21" s="385"/>
      <c r="L21" s="1226"/>
      <c r="M21" s="1201"/>
      <c r="N21" s="1201"/>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c r="AL21" s="1201"/>
      <c r="AM21" s="1201"/>
      <c r="AN21" s="1201"/>
      <c r="AO21" s="1201"/>
      <c r="AP21" s="1201"/>
      <c r="AQ21" s="1201"/>
      <c r="AR21" s="1201"/>
      <c r="AS21" s="1201"/>
      <c r="AT21" s="1201"/>
      <c r="AU21" s="1227"/>
      <c r="AV21" s="385"/>
      <c r="AW21" s="385"/>
      <c r="AX21" s="385"/>
      <c r="AY21" s="385"/>
      <c r="AZ21" s="385"/>
      <c r="BA21" s="385"/>
      <c r="BB21" s="385"/>
      <c r="BC21" s="385"/>
    </row>
    <row r="22" spans="1:58" ht="16.350000000000001" customHeight="1">
      <c r="A22" s="179"/>
      <c r="B22" s="179"/>
      <c r="C22" s="179"/>
      <c r="D22" s="179"/>
      <c r="E22" s="385"/>
      <c r="F22" s="385"/>
      <c r="G22" s="385"/>
      <c r="H22" s="385"/>
      <c r="I22" s="385"/>
      <c r="J22" s="385"/>
      <c r="K22" s="385"/>
      <c r="L22" s="1228"/>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29"/>
      <c r="AK22" s="1229"/>
      <c r="AL22" s="1229"/>
      <c r="AM22" s="1229"/>
      <c r="AN22" s="1229"/>
      <c r="AO22" s="1229"/>
      <c r="AP22" s="1229"/>
      <c r="AQ22" s="1229"/>
      <c r="AR22" s="1229"/>
      <c r="AS22" s="1229"/>
      <c r="AT22" s="1229"/>
      <c r="AU22" s="1230"/>
      <c r="AV22" s="385"/>
      <c r="AW22" s="385"/>
      <c r="AX22" s="385"/>
      <c r="AY22" s="385"/>
      <c r="AZ22" s="385"/>
      <c r="BA22" s="385"/>
      <c r="BB22" s="385"/>
      <c r="BC22" s="385"/>
    </row>
    <row r="23" spans="1:58" ht="16.350000000000001" customHeight="1">
      <c r="A23" s="179"/>
      <c r="B23" s="179"/>
      <c r="C23" s="179"/>
      <c r="D23" s="179"/>
      <c r="E23" s="385"/>
      <c r="F23" s="385"/>
      <c r="G23" s="385"/>
      <c r="H23" s="385"/>
      <c r="I23" s="385"/>
      <c r="J23" s="385"/>
      <c r="K23" s="385"/>
      <c r="AV23" s="385"/>
      <c r="AW23" s="385"/>
      <c r="AX23" s="385"/>
      <c r="AY23" s="385"/>
      <c r="AZ23" s="385"/>
      <c r="BA23" s="385"/>
      <c r="BB23" s="385"/>
      <c r="BC23" s="385"/>
    </row>
    <row r="24" spans="1:58" ht="16.350000000000001" customHeight="1">
      <c r="A24" s="179"/>
      <c r="B24" s="179"/>
      <c r="C24" s="179"/>
      <c r="D24" s="179"/>
      <c r="E24" s="179"/>
      <c r="F24" s="179"/>
      <c r="J24" s="199"/>
      <c r="K24" s="199"/>
      <c r="L24" s="892" t="s">
        <v>1546</v>
      </c>
      <c r="M24" s="892"/>
      <c r="N24" s="892"/>
      <c r="O24" s="892"/>
      <c r="P24" s="892"/>
      <c r="Q24" s="892"/>
      <c r="R24" s="892"/>
      <c r="S24" s="892"/>
      <c r="T24" s="892"/>
      <c r="U24" s="892"/>
      <c r="V24" s="892"/>
      <c r="W24" s="892"/>
      <c r="X24" s="892"/>
      <c r="Y24" s="892"/>
      <c r="Z24" s="892"/>
      <c r="AA24" s="892"/>
      <c r="AB24" s="892"/>
      <c r="AC24" s="283"/>
      <c r="AD24" s="892" t="s">
        <v>769</v>
      </c>
      <c r="AE24" s="892"/>
      <c r="AF24" s="892"/>
      <c r="AG24" s="892"/>
      <c r="AH24" s="892"/>
      <c r="AI24" s="892"/>
      <c r="AJ24" s="892"/>
      <c r="AK24" s="892"/>
      <c r="AL24" s="892"/>
      <c r="AM24" s="892"/>
      <c r="AN24" s="892"/>
      <c r="AO24" s="892"/>
      <c r="AP24" s="892"/>
      <c r="AQ24" s="283"/>
      <c r="AR24" s="892" t="s">
        <v>770</v>
      </c>
      <c r="AS24" s="892"/>
      <c r="AT24" s="892"/>
      <c r="AU24" s="892"/>
      <c r="AV24" s="386"/>
      <c r="AW24" s="386"/>
      <c r="AX24" s="239"/>
      <c r="AY24" s="239"/>
    </row>
    <row r="25" spans="1:58" ht="16.350000000000001" customHeight="1" thickBot="1">
      <c r="A25" s="179"/>
      <c r="B25" s="179"/>
      <c r="C25" s="179"/>
      <c r="D25" s="179"/>
      <c r="E25" s="179"/>
      <c r="F25" s="179"/>
      <c r="L25" s="885"/>
      <c r="M25" s="886"/>
      <c r="N25" s="886"/>
      <c r="O25" s="886"/>
      <c r="P25" s="886"/>
      <c r="Q25" s="886"/>
      <c r="R25" s="886"/>
      <c r="S25" s="886"/>
      <c r="T25" s="886"/>
      <c r="U25" s="886"/>
      <c r="V25" s="886"/>
      <c r="W25" s="886"/>
      <c r="X25" s="886"/>
      <c r="Y25" s="886"/>
      <c r="Z25" s="886"/>
      <c r="AA25" s="886"/>
      <c r="AB25" s="887"/>
      <c r="AC25" s="267"/>
      <c r="AD25" s="885"/>
      <c r="AE25" s="886"/>
      <c r="AF25" s="886"/>
      <c r="AG25" s="886"/>
      <c r="AH25" s="886"/>
      <c r="AI25" s="886"/>
      <c r="AJ25" s="886"/>
      <c r="AK25" s="886"/>
      <c r="AL25" s="886"/>
      <c r="AM25" s="886"/>
      <c r="AN25" s="886"/>
      <c r="AO25" s="886"/>
      <c r="AP25" s="887"/>
      <c r="AQ25" s="267"/>
      <c r="AR25" s="1121"/>
      <c r="AS25" s="1122"/>
      <c r="AT25" s="1122"/>
      <c r="AU25" s="1123"/>
    </row>
    <row r="26" spans="1:58" ht="16.350000000000001" customHeight="1">
      <c r="L26" s="283"/>
      <c r="M26" s="283"/>
      <c r="N26" s="283"/>
      <c r="O26" s="283"/>
      <c r="P26" s="283"/>
      <c r="Q26" s="283"/>
      <c r="R26" s="283"/>
      <c r="S26" s="283"/>
      <c r="T26" s="283"/>
      <c r="U26" s="283"/>
      <c r="V26" s="283"/>
      <c r="W26" s="283"/>
      <c r="X26" s="283"/>
      <c r="Y26" s="283"/>
      <c r="Z26" s="283"/>
      <c r="AA26" s="283"/>
      <c r="AB26" s="261" t="str">
        <f ca="1">M02S01F01disp</f>
        <v/>
      </c>
      <c r="AC26" s="267"/>
      <c r="AD26" s="283"/>
      <c r="AE26" s="283"/>
      <c r="AF26" s="283"/>
      <c r="AG26" s="283"/>
      <c r="AH26" s="283"/>
      <c r="AI26" s="283"/>
      <c r="AJ26" s="283"/>
      <c r="AK26" s="283"/>
      <c r="AL26" s="283"/>
      <c r="AM26" s="283"/>
      <c r="AN26" s="283"/>
      <c r="AO26" s="283"/>
      <c r="AP26" s="261" t="str">
        <f ca="1">M02S01F02disp</f>
        <v/>
      </c>
      <c r="AQ26" s="267"/>
      <c r="AR26" s="353"/>
      <c r="AS26" s="353"/>
      <c r="AT26" s="353"/>
      <c r="AU26" s="261" t="str">
        <f ca="1">M02S01F03disp</f>
        <v/>
      </c>
    </row>
    <row r="27" spans="1:58" ht="16.350000000000001" customHeight="1">
      <c r="L27" s="283"/>
      <c r="M27" s="283"/>
      <c r="N27" s="283"/>
      <c r="O27" s="283"/>
      <c r="P27" s="283"/>
      <c r="Q27" s="283"/>
      <c r="R27" s="283"/>
      <c r="S27" s="283"/>
      <c r="T27" s="283"/>
      <c r="U27" s="283"/>
      <c r="V27" s="283"/>
      <c r="W27" s="283"/>
      <c r="X27" s="283"/>
      <c r="Y27" s="283"/>
      <c r="Z27" s="283"/>
      <c r="AA27" s="283"/>
      <c r="AB27" s="283"/>
      <c r="AC27" s="267"/>
      <c r="AD27" s="283"/>
      <c r="AE27" s="283"/>
      <c r="AF27" s="283"/>
      <c r="AG27" s="283"/>
      <c r="AH27" s="283"/>
      <c r="AI27" s="283"/>
      <c r="AJ27" s="283"/>
      <c r="AK27" s="283"/>
      <c r="AL27" s="283"/>
      <c r="AM27" s="283"/>
      <c r="AN27" s="283"/>
      <c r="AO27" s="283"/>
      <c r="AP27" s="283"/>
      <c r="AQ27" s="267"/>
      <c r="AR27" s="353"/>
      <c r="AS27" s="353"/>
      <c r="AT27" s="353"/>
      <c r="AU27" s="353"/>
    </row>
    <row r="28" spans="1:58" ht="16.350000000000001" customHeight="1">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row>
    <row r="29" spans="1:58" s="239" customFormat="1" ht="16.350000000000001" customHeight="1"/>
    <row r="30" spans="1:58" s="239" customFormat="1" ht="16.350000000000001" customHeight="1"/>
    <row r="31" spans="1:58" s="239" customFormat="1" ht="16.350000000000001" customHeight="1"/>
    <row r="32" spans="1:58" s="239" customFormat="1" ht="16.350000000000001" customHeight="1"/>
    <row r="33" s="239" customFormat="1" ht="16.350000000000001" customHeight="1"/>
    <row r="34" ht="16.350000000000001" customHeight="1"/>
    <row r="35" ht="16.350000000000001" customHeight="1"/>
    <row r="36" ht="16.350000000000001" customHeight="1"/>
    <row r="37" ht="16.350000000000001" customHeight="1"/>
    <row r="38" ht="16.350000000000001" customHeight="1"/>
    <row r="187" spans="13:48" ht="16.350000000000001" hidden="1" customHeight="1">
      <c r="M187" s="879"/>
      <c r="N187" s="879"/>
      <c r="O187" s="879"/>
      <c r="P187" s="879"/>
      <c r="Q187" s="879"/>
      <c r="R187" s="879"/>
      <c r="S187" s="879"/>
      <c r="T187" s="879"/>
      <c r="U187" s="879"/>
      <c r="V187" s="879"/>
      <c r="W187" s="879"/>
      <c r="X187" s="879"/>
      <c r="Y187" s="879"/>
      <c r="Z187" s="879"/>
      <c r="AA187" s="879"/>
      <c r="AB187" s="879"/>
      <c r="AC187" s="879"/>
      <c r="AD187" s="879"/>
      <c r="AE187" s="879"/>
      <c r="AF187" s="879"/>
      <c r="AG187" s="879"/>
      <c r="AH187" s="879"/>
      <c r="AI187" s="879"/>
      <c r="AJ187" s="879"/>
      <c r="AK187" s="879"/>
      <c r="AL187" s="879"/>
      <c r="AM187" s="879"/>
      <c r="AN187" s="879"/>
      <c r="AO187" s="879"/>
      <c r="AP187" s="879"/>
      <c r="AQ187" s="879"/>
      <c r="AR187" s="879"/>
      <c r="AS187" s="879"/>
      <c r="AT187" s="879"/>
      <c r="AU187" s="879"/>
    </row>
    <row r="188" spans="13:48" ht="16.350000000000001" hidden="1" customHeight="1">
      <c r="M188" s="879"/>
      <c r="N188" s="879"/>
      <c r="O188" s="879"/>
      <c r="P188" s="879"/>
      <c r="Q188" s="879"/>
      <c r="R188" s="879"/>
      <c r="S188" s="879"/>
      <c r="T188" s="879"/>
      <c r="U188" s="879"/>
      <c r="V188" s="879"/>
      <c r="W188" s="879"/>
      <c r="X188" s="879"/>
      <c r="Y188" s="879"/>
      <c r="Z188" s="879"/>
      <c r="AA188" s="879"/>
      <c r="AB188" s="879"/>
      <c r="AC188" s="879"/>
      <c r="AD188" s="879"/>
      <c r="AE188" s="879"/>
      <c r="AF188" s="879"/>
      <c r="AG188" s="879"/>
      <c r="AH188" s="879"/>
      <c r="AI188" s="879"/>
      <c r="AJ188" s="879"/>
      <c r="AK188" s="879"/>
      <c r="AL188" s="879"/>
      <c r="AM188" s="879"/>
      <c r="AN188" s="879"/>
      <c r="AO188" s="879"/>
      <c r="AP188" s="879"/>
      <c r="AQ188" s="879"/>
      <c r="AR188" s="879"/>
      <c r="AS188" s="879"/>
      <c r="AT188" s="879"/>
      <c r="AU188" s="879"/>
    </row>
    <row r="189" spans="13:48" ht="16.350000000000001" hidden="1" customHeight="1">
      <c r="M189" s="879"/>
      <c r="N189" s="879"/>
      <c r="O189" s="879"/>
      <c r="P189" s="879"/>
      <c r="Q189" s="879"/>
      <c r="R189" s="879"/>
      <c r="S189" s="879"/>
      <c r="T189" s="879"/>
      <c r="U189" s="879"/>
      <c r="V189" s="879"/>
      <c r="W189" s="879"/>
      <c r="X189" s="879"/>
      <c r="Y189" s="879"/>
      <c r="Z189" s="879"/>
      <c r="AA189" s="879"/>
      <c r="AB189" s="879"/>
      <c r="AC189" s="879"/>
      <c r="AD189" s="879"/>
      <c r="AE189" s="879"/>
      <c r="AF189" s="879"/>
      <c r="AG189" s="879"/>
      <c r="AH189" s="879"/>
      <c r="AI189" s="879"/>
      <c r="AJ189" s="879"/>
      <c r="AK189" s="879"/>
      <c r="AL189" s="879"/>
      <c r="AM189" s="879"/>
      <c r="AN189" s="879"/>
      <c r="AO189" s="879"/>
      <c r="AP189" s="879"/>
      <c r="AQ189" s="879"/>
      <c r="AR189" s="879"/>
      <c r="AS189" s="879"/>
      <c r="AT189" s="879"/>
      <c r="AU189" s="879"/>
      <c r="AV189" s="879"/>
    </row>
    <row r="200" spans="1:59" s="182" customFormat="1"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22"/>
    </row>
    <row r="201" spans="1:59" s="182" customFormat="1"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22"/>
    </row>
    <row r="202" spans="1:59" s="182" customFormat="1"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22"/>
    </row>
  </sheetData>
  <sheetProtection algorithmName="SHA-512" hashValue="sZW75WxydjWOK/nthwH+aFa/oGTAVxqL8GnRvetoJSLqlxw/DR8fNonFwbUhbplssSzuAtC68ZtNDXRO0gzBWQ==" saltValue="grCbJmm7Mt7SIum+E9uRlg==" spinCount="100000" sheet="1" objects="1" scenarios="1" selectLockedCells="1"/>
  <mergeCells count="29">
    <mergeCell ref="AZ1:BE3"/>
    <mergeCell ref="BF1:BI3"/>
    <mergeCell ref="F1:I3"/>
    <mergeCell ref="J1:M3"/>
    <mergeCell ref="BJ9:CR9"/>
    <mergeCell ref="AB4:AG4"/>
    <mergeCell ref="AT4:AW4"/>
    <mergeCell ref="AX4:BB4"/>
    <mergeCell ref="BC4:BF4"/>
    <mergeCell ref="AN1:AQ3"/>
    <mergeCell ref="AR1:AU3"/>
    <mergeCell ref="AV1:AY3"/>
    <mergeCell ref="BJ10:CS12"/>
    <mergeCell ref="L13:AU17"/>
    <mergeCell ref="G9:AY10"/>
    <mergeCell ref="L12:AT12"/>
    <mergeCell ref="BG5:BI7"/>
    <mergeCell ref="BG8:BI8"/>
    <mergeCell ref="R200:AR201"/>
    <mergeCell ref="L19:AU19"/>
    <mergeCell ref="AR25:AU25"/>
    <mergeCell ref="M189:AV189"/>
    <mergeCell ref="AD25:AP25"/>
    <mergeCell ref="L25:AB25"/>
    <mergeCell ref="L24:AB24"/>
    <mergeCell ref="AR24:AU24"/>
    <mergeCell ref="M187:AU188"/>
    <mergeCell ref="AD24:AP24"/>
    <mergeCell ref="L20:AU22"/>
  </mergeCells>
  <conditionalFormatting sqref="L26:AB26">
    <cfRule type="expression" dxfId="206" priority="3">
      <formula>$AB$26&lt;&gt;Txt_Rqd</formula>
    </cfRule>
  </conditionalFormatting>
  <conditionalFormatting sqref="AD26:AP26">
    <cfRule type="expression" dxfId="205" priority="6">
      <formula>$AP$26&lt;&gt;Txt_Rqd</formula>
    </cfRule>
  </conditionalFormatting>
  <conditionalFormatting sqref="AR26:AU26">
    <cfRule type="expression" dxfId="204" priority="2">
      <formula>$AU$26&lt;&gt;Txt_Rqd</formula>
    </cfRule>
  </conditionalFormatting>
  <conditionalFormatting sqref="BA8:BF8">
    <cfRule type="expression" dxfId="203" priority="1">
      <formula>IF($AO$8=PROJSTATMEASURE,FALSE,TRUE)</formula>
    </cfRule>
  </conditionalFormatting>
  <dataValidations xWindow="549" yWindow="699" count="2">
    <dataValidation type="date" operator="greaterThanOrEqual" allowBlank="1" showInputMessage="1" showErrorMessage="1" error="Please enter date. Format: xx/xx/xxx" sqref="AU27 AR26:AT27" xr:uid="{8CDE128B-BC98-45D3-B91E-50CDD30F7FFA}">
      <formula1>32874</formula1>
    </dataValidation>
    <dataValidation type="textLength" errorStyle="warning" allowBlank="1" showInputMessage="1" showErrorMessage="1" errorTitle="*Important*" error="Please print to PDF to sign. " sqref="AR25:AU25" xr:uid="{AC3E4421-D188-4DC2-AA74-EB90985CD1F4}">
      <formula1>0</formula1>
      <formula2>0</formula2>
    </dataValidation>
  </dataValidations>
  <hyperlinks>
    <hyperlink ref="J1:M3" location="'M01-S02'!J1" tooltip="Instructions" display="'M01-S02'!J1" xr:uid="{AF62ACFA-19B0-4B78-A39A-F956B9EFA797}"/>
    <hyperlink ref="AV1:AY3" location="'M05-S05'!AL1" tooltip=" " display="'M05-S05'!AL1" xr:uid="{AF71E28D-E6C7-4C40-9A16-C8AE8F472BDA}"/>
    <hyperlink ref="BF1:BI3" location="'M01-S03'!AP1" tooltip="Contact" display="'M01-S03'!AP1" xr:uid="{479B9309-3D57-491C-9520-E6AEF326962C}"/>
    <hyperlink ref="AR1:AU3" location="'M05-S04'!AH1" tooltip=" " display="'M05-S04'!AH1" xr:uid="{8FFD4C25-5A28-4B2A-AD00-AA406F312159}"/>
    <hyperlink ref="AN1:AQ3" location="'M05-S05'!AL1" tooltip=" " display="'M05-S05'!AL1" xr:uid="{04EC6334-99AE-42F5-96ED-5A950580A7EE}"/>
  </hyperlinks>
  <printOptions horizontalCentered="1"/>
  <pageMargins left="0" right="0" top="0.25" bottom="0.25" header="0.25" footer="0.25"/>
  <pageSetup scale="52"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A556-7EE0-4743-906B-EE7AB2E2E5FF}">
  <sheetPr codeName="Sheet14">
    <pageSetUpPr fitToPage="1"/>
  </sheetPr>
  <dimension ref="A1:BI205"/>
  <sheetViews>
    <sheetView showGridLines="0" showRowColHeaders="0" zoomScale="90" zoomScaleNormal="90" workbookViewId="0">
      <selection activeCell="G9" sqref="G9:AX10"/>
    </sheetView>
  </sheetViews>
  <sheetFormatPr defaultColWidth="0" defaultRowHeight="0" customHeight="1" zeroHeight="1"/>
  <cols>
    <col min="1" max="61" width="4.5703125" style="177" customWidth="1"/>
    <col min="62" max="16384" width="4.5703125" style="177" hidden="1"/>
  </cols>
  <sheetData>
    <row r="1" spans="1:61" ht="16.350000000000001" customHeight="1">
      <c r="A1" s="60"/>
      <c r="B1" s="239"/>
      <c r="C1" s="239"/>
      <c r="D1" s="239"/>
      <c r="E1" s="239"/>
      <c r="F1" s="750" t="str">
        <f>M1S1</f>
        <v>WELCOME</v>
      </c>
      <c r="G1" s="750"/>
      <c r="H1" s="750"/>
      <c r="I1" s="750"/>
      <c r="J1" s="727" t="str">
        <f>M1S2</f>
        <v>INSTRUCTIONS</v>
      </c>
      <c r="K1" s="727"/>
      <c r="L1" s="727"/>
      <c r="M1" s="727"/>
      <c r="N1" s="240"/>
      <c r="O1" s="240"/>
      <c r="P1" s="240"/>
      <c r="Q1" s="240"/>
      <c r="R1" s="240"/>
      <c r="S1" s="240"/>
      <c r="T1" s="241"/>
      <c r="U1" s="242" t="s">
        <v>118</v>
      </c>
      <c r="V1" s="242"/>
      <c r="W1" s="242"/>
      <c r="X1" s="242"/>
      <c r="Y1" s="240"/>
      <c r="Z1" s="240"/>
      <c r="AA1" s="240"/>
      <c r="AB1" s="240"/>
      <c r="AC1" s="240"/>
      <c r="AD1" s="240"/>
      <c r="AE1" s="240"/>
      <c r="AF1" s="240"/>
      <c r="AG1"/>
      <c r="AH1"/>
      <c r="AI1"/>
      <c r="AJ1"/>
      <c r="AK1"/>
      <c r="AL1"/>
      <c r="AM1"/>
      <c r="AN1" s="734" t="str">
        <f>IF(ACTIVEINSPECT="Yes","Complete "&amp;M5S4,"")</f>
        <v/>
      </c>
      <c r="AO1" s="734"/>
      <c r="AP1" s="734"/>
      <c r="AQ1" s="734"/>
      <c r="AR1" s="730" t="str">
        <f>IF(ACTIVEOFFER="Yes","Sign "&amp;M5S6,"")</f>
        <v>Sign OBR: Repayment Agreement</v>
      </c>
      <c r="AS1" s="730"/>
      <c r="AT1" s="730"/>
      <c r="AU1" s="730"/>
      <c r="AV1" s="730" t="str">
        <f>IF(ACTIVECOMPL="Yes","Sign "&amp;M5S5,"")</f>
        <v xml:space="preserve">Sign Project Completion Certification </v>
      </c>
      <c r="AW1" s="730"/>
      <c r="AX1" s="730"/>
      <c r="AY1" s="730"/>
      <c r="AZ1" s="732" t="str">
        <f>M1S4</f>
        <v>INCENTIVE RATES &amp; REQUIREMENTS</v>
      </c>
      <c r="BA1" s="732"/>
      <c r="BB1" s="732"/>
      <c r="BC1" s="732"/>
      <c r="BD1" s="732"/>
      <c r="BE1" s="732"/>
      <c r="BF1" s="722" t="s">
        <v>119</v>
      </c>
      <c r="BG1" s="723"/>
      <c r="BH1" s="723"/>
      <c r="BI1" s="723"/>
    </row>
    <row r="2" spans="1:61" ht="16.350000000000001" customHeight="1">
      <c r="B2" s="239"/>
      <c r="C2" s="239"/>
      <c r="D2" s="239"/>
      <c r="E2" s="239"/>
      <c r="F2" s="750"/>
      <c r="G2" s="750"/>
      <c r="H2" s="750"/>
      <c r="I2" s="750"/>
      <c r="J2" s="728"/>
      <c r="K2" s="728"/>
      <c r="L2" s="728"/>
      <c r="M2" s="728"/>
      <c r="N2" s="240"/>
      <c r="O2" s="240"/>
      <c r="P2" s="240"/>
      <c r="Q2" s="240"/>
      <c r="R2" s="240"/>
      <c r="S2" s="240"/>
      <c r="T2" s="241"/>
      <c r="U2" s="242"/>
      <c r="V2" s="242"/>
      <c r="W2" s="242"/>
      <c r="X2" s="242"/>
      <c r="Y2" s="240"/>
      <c r="Z2" s="240"/>
      <c r="AA2" s="240"/>
      <c r="AB2" s="240"/>
      <c r="AC2" s="240"/>
      <c r="AD2" s="240"/>
      <c r="AE2" s="240"/>
      <c r="AF2" s="240"/>
      <c r="AG2"/>
      <c r="AH2"/>
      <c r="AI2"/>
      <c r="AJ2"/>
      <c r="AK2"/>
      <c r="AL2"/>
      <c r="AM2"/>
      <c r="AN2" s="734"/>
      <c r="AO2" s="734"/>
      <c r="AP2" s="734"/>
      <c r="AQ2" s="734"/>
      <c r="AR2" s="730"/>
      <c r="AS2" s="730"/>
      <c r="AT2" s="730"/>
      <c r="AU2" s="730"/>
      <c r="AV2" s="730"/>
      <c r="AW2" s="730"/>
      <c r="AX2" s="730"/>
      <c r="AY2" s="730"/>
      <c r="AZ2" s="732"/>
      <c r="BA2" s="732"/>
      <c r="BB2" s="732"/>
      <c r="BC2" s="732"/>
      <c r="BD2" s="732"/>
      <c r="BE2" s="732"/>
      <c r="BF2" s="723"/>
      <c r="BG2" s="723"/>
      <c r="BH2" s="723"/>
      <c r="BI2" s="723"/>
    </row>
    <row r="3" spans="1:61" ht="16.350000000000001" customHeight="1" thickBot="1">
      <c r="A3" s="626"/>
      <c r="B3" s="648"/>
      <c r="C3" s="648"/>
      <c r="D3" s="648"/>
      <c r="E3" s="648"/>
      <c r="F3" s="875"/>
      <c r="G3" s="875"/>
      <c r="H3" s="875"/>
      <c r="I3" s="875"/>
      <c r="J3" s="876"/>
      <c r="K3" s="876"/>
      <c r="L3" s="876"/>
      <c r="M3" s="876"/>
      <c r="N3" s="642"/>
      <c r="O3" s="642"/>
      <c r="P3" s="642"/>
      <c r="Q3" s="642"/>
      <c r="R3" s="642"/>
      <c r="S3" s="642"/>
      <c r="T3" s="642"/>
      <c r="U3" s="643"/>
      <c r="V3" s="643"/>
      <c r="W3" s="643"/>
      <c r="X3" s="643"/>
      <c r="Y3" s="626"/>
      <c r="Z3" s="626"/>
      <c r="AA3" s="626"/>
      <c r="AB3" s="626"/>
      <c r="AC3" s="626"/>
      <c r="AD3" s="626"/>
      <c r="AE3" s="626"/>
      <c r="AF3" s="626"/>
      <c r="AG3" s="614"/>
      <c r="AH3" s="614"/>
      <c r="AI3" s="614"/>
      <c r="AJ3" s="614"/>
      <c r="AK3" s="614"/>
      <c r="AL3" s="614"/>
      <c r="AM3" s="614"/>
      <c r="AN3" s="868"/>
      <c r="AO3" s="868"/>
      <c r="AP3" s="868"/>
      <c r="AQ3" s="868"/>
      <c r="AR3" s="869"/>
      <c r="AS3" s="869"/>
      <c r="AT3" s="869"/>
      <c r="AU3" s="869"/>
      <c r="AV3" s="869"/>
      <c r="AW3" s="869"/>
      <c r="AX3" s="869"/>
      <c r="AY3" s="869"/>
      <c r="AZ3" s="1009"/>
      <c r="BA3" s="1009"/>
      <c r="BB3" s="1009"/>
      <c r="BC3" s="1009"/>
      <c r="BD3" s="1009"/>
      <c r="BE3" s="1009"/>
      <c r="BF3" s="871"/>
      <c r="BG3" s="871"/>
      <c r="BH3" s="871"/>
      <c r="BI3" s="871"/>
    </row>
    <row r="4" spans="1:61" s="284" customFormat="1" ht="16.350000000000001" customHeight="1">
      <c r="A4" s="615"/>
      <c r="B4" s="615"/>
      <c r="C4" s="615"/>
      <c r="D4" s="615"/>
      <c r="E4" s="615"/>
      <c r="F4" s="615"/>
      <c r="G4" s="615"/>
      <c r="H4" s="615"/>
      <c r="I4" s="615"/>
      <c r="J4" s="615"/>
      <c r="K4" s="615"/>
      <c r="L4" s="616"/>
      <c r="M4" s="617"/>
      <c r="N4" s="615"/>
      <c r="O4" s="615"/>
      <c r="P4" s="615"/>
      <c r="Q4" s="615"/>
      <c r="R4" s="615"/>
      <c r="S4" s="613" t="s">
        <v>707</v>
      </c>
      <c r="T4" s="618" t="str">
        <f>M05S07F07</f>
        <v>Custom</v>
      </c>
      <c r="U4" s="619"/>
      <c r="V4" s="619"/>
      <c r="W4" s="619"/>
      <c r="X4" s="615"/>
      <c r="Y4" s="615"/>
      <c r="Z4" s="615"/>
      <c r="AA4" s="613" t="s">
        <v>708</v>
      </c>
      <c r="AB4" s="1215" t="str">
        <f>IF(M02S02F02="","[Project Name]",LEFT(M02S02F02,25))</f>
        <v>[Project Name]</v>
      </c>
      <c r="AC4" s="1215"/>
      <c r="AD4" s="1215"/>
      <c r="AE4" s="1215"/>
      <c r="AF4" s="1215"/>
      <c r="AG4" s="1215"/>
      <c r="AH4" s="615"/>
      <c r="AI4" s="566" t="s">
        <v>709</v>
      </c>
      <c r="AJ4" s="567" t="str">
        <f>IF(M02S02F27="Yes",Status_Final,Status_Pre)</f>
        <v>Draft Pre-Application</v>
      </c>
      <c r="AK4" s="495"/>
      <c r="AL4" s="494"/>
      <c r="AM4" s="494"/>
      <c r="AN4" s="495"/>
      <c r="AO4" s="495"/>
      <c r="AP4" s="494"/>
      <c r="AQ4" s="494"/>
      <c r="AR4" s="494"/>
      <c r="AS4" s="566" t="s">
        <v>710</v>
      </c>
      <c r="AT4" s="1216">
        <f>Incent_Total_Cap_All</f>
        <v>0</v>
      </c>
      <c r="AU4" s="1216"/>
      <c r="AV4" s="1216"/>
      <c r="AW4" s="1216"/>
      <c r="AX4" s="1217" t="s">
        <v>711</v>
      </c>
      <c r="AY4" s="1217"/>
      <c r="AZ4" s="1217"/>
      <c r="BA4" s="1217"/>
      <c r="BB4" s="1217"/>
      <c r="BC4" s="1216" t="str">
        <f>OBR_Amount_Requested</f>
        <v/>
      </c>
      <c r="BD4" s="1216"/>
      <c r="BE4" s="1216"/>
      <c r="BF4" s="1216"/>
      <c r="BG4" s="495"/>
    </row>
    <row r="5" spans="1:61" ht="16.350000000000001" customHeight="1">
      <c r="B5" s="622"/>
      <c r="C5" s="622"/>
      <c r="D5" s="622"/>
      <c r="E5" s="622"/>
      <c r="F5" s="622"/>
      <c r="G5" s="622"/>
      <c r="H5" s="622"/>
      <c r="I5" s="622"/>
      <c r="J5" s="622"/>
      <c r="K5" s="622"/>
      <c r="BE5" s="623"/>
      <c r="BG5" s="918">
        <f ca="1">PROGRESSSTATUS</f>
        <v>0</v>
      </c>
      <c r="BH5" s="918"/>
      <c r="BI5" s="918"/>
    </row>
    <row r="6" spans="1:61" ht="16.350000000000001" customHeight="1">
      <c r="B6" s="622"/>
      <c r="C6" s="622"/>
      <c r="D6" s="622"/>
      <c r="E6" s="622"/>
      <c r="F6" s="622"/>
      <c r="G6" s="622"/>
      <c r="H6" s="622"/>
      <c r="I6" s="622"/>
      <c r="J6" s="622"/>
      <c r="K6" s="622"/>
      <c r="BD6" s="623"/>
      <c r="BG6" s="866"/>
      <c r="BH6" s="866"/>
      <c r="BI6" s="866"/>
    </row>
    <row r="7" spans="1:61" ht="16.350000000000001" customHeight="1">
      <c r="B7" s="624"/>
      <c r="C7" s="624"/>
      <c r="D7" s="624"/>
      <c r="E7" s="624"/>
      <c r="F7" s="624"/>
      <c r="G7" s="624"/>
      <c r="H7" s="624"/>
      <c r="I7" s="624"/>
      <c r="J7" s="624"/>
      <c r="K7" s="624"/>
      <c r="BG7" s="866"/>
      <c r="BH7" s="866"/>
      <c r="BI7" s="866"/>
    </row>
    <row r="8" spans="1:6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row>
    <row r="9" spans="1:61" ht="16.350000000000001" customHeight="1">
      <c r="G9" s="878" t="str">
        <f>M5S2</f>
        <v>Project Review</v>
      </c>
      <c r="H9" s="878"/>
      <c r="I9" s="878"/>
      <c r="J9" s="878"/>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row>
    <row r="10" spans="1:61" ht="16.350000000000001" customHeight="1">
      <c r="F10" s="38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878"/>
      <c r="AS10" s="878"/>
      <c r="AT10" s="878"/>
      <c r="AU10" s="878"/>
      <c r="AV10" s="878"/>
      <c r="AW10" s="878"/>
      <c r="AX10" s="878"/>
    </row>
    <row r="11" spans="1:61" ht="16.350000000000001" customHeight="1">
      <c r="K11" s="1283" t="s">
        <v>1547</v>
      </c>
      <c r="L11" s="1283"/>
      <c r="M11" s="1283"/>
      <c r="N11" s="1283"/>
      <c r="O11" s="1283"/>
      <c r="P11" s="1283"/>
      <c r="Q11" s="1283"/>
      <c r="R11" s="1283"/>
      <c r="S11" s="1283"/>
      <c r="T11" s="1283"/>
      <c r="U11" s="1283"/>
      <c r="V11" s="1283"/>
      <c r="W11" s="1283"/>
      <c r="X11" s="1283"/>
      <c r="Y11" s="1283"/>
      <c r="Z11" s="1283"/>
      <c r="AA11" s="1283"/>
      <c r="AB11" s="1283"/>
      <c r="AC11" s="1283"/>
      <c r="AD11" s="1283"/>
      <c r="AE11" s="1283"/>
      <c r="AF11" s="1283"/>
      <c r="AG11" s="1283"/>
      <c r="AH11" s="1283"/>
      <c r="AI11" s="1283"/>
      <c r="AJ11" s="1283"/>
      <c r="AK11" s="1283"/>
      <c r="AL11" s="1283"/>
      <c r="AM11" s="1283"/>
      <c r="AN11" s="1283"/>
      <c r="AO11" s="1283"/>
      <c r="AP11" s="1283"/>
      <c r="AQ11" s="344"/>
      <c r="AR11" s="344"/>
      <c r="AS11" s="344"/>
    </row>
    <row r="12" spans="1:61" ht="16.350000000000001" customHeight="1">
      <c r="K12" s="1283"/>
      <c r="L12" s="1283"/>
      <c r="M12" s="1283"/>
      <c r="N12" s="1283"/>
      <c r="O12" s="1283"/>
      <c r="P12" s="1283"/>
      <c r="Q12" s="1283"/>
      <c r="R12" s="1283"/>
      <c r="S12" s="1283"/>
      <c r="T12" s="1283"/>
      <c r="U12" s="1283"/>
      <c r="V12" s="1283"/>
      <c r="W12" s="1283"/>
      <c r="X12" s="1283"/>
      <c r="Y12" s="1283"/>
      <c r="Z12" s="1283"/>
      <c r="AA12" s="1283"/>
      <c r="AB12" s="1283"/>
      <c r="AC12" s="1283"/>
      <c r="AD12" s="1283"/>
      <c r="AE12" s="1283"/>
      <c r="AF12" s="1283"/>
      <c r="AG12" s="1283"/>
      <c r="AH12" s="1283"/>
      <c r="AI12" s="1283"/>
      <c r="AJ12" s="1283"/>
      <c r="AK12" s="1283"/>
      <c r="AL12" s="1283"/>
      <c r="AM12" s="1283"/>
      <c r="AN12" s="1283"/>
      <c r="AO12" s="1283"/>
      <c r="AP12" s="1283"/>
      <c r="AQ12" s="344"/>
      <c r="AR12" s="344"/>
      <c r="AS12" s="344"/>
      <c r="AT12" s="60"/>
    </row>
    <row r="13" spans="1:61" ht="16.350000000000001" customHeight="1">
      <c r="K13" s="389"/>
      <c r="L13" s="389"/>
      <c r="M13" s="389"/>
      <c r="N13" s="389"/>
      <c r="O13" s="389"/>
      <c r="P13" s="389"/>
      <c r="Q13" s="389"/>
      <c r="R13" s="389"/>
      <c r="S13" s="389"/>
      <c r="T13" s="389"/>
      <c r="U13" s="389"/>
      <c r="V13" s="389"/>
      <c r="W13" s="389"/>
      <c r="X13" s="389"/>
      <c r="Y13" s="389"/>
      <c r="Z13" s="389"/>
      <c r="AA13" s="390"/>
      <c r="AB13" s="390"/>
      <c r="AC13" s="390"/>
      <c r="AD13" s="390"/>
      <c r="AE13" s="390"/>
      <c r="AF13" s="390"/>
      <c r="AG13" s="389"/>
      <c r="AH13" s="389"/>
      <c r="AI13" s="389"/>
      <c r="AJ13" s="389"/>
      <c r="AK13" s="389"/>
      <c r="AL13" s="389"/>
      <c r="AM13" s="389"/>
      <c r="AN13" s="389"/>
      <c r="AO13" s="389"/>
      <c r="AP13" s="389"/>
      <c r="AQ13" s="389"/>
      <c r="AR13" s="389"/>
      <c r="AS13" s="389"/>
      <c r="AT13" s="60"/>
    </row>
    <row r="14" spans="1:61" ht="16.350000000000001" customHeight="1">
      <c r="K14" s="1251" t="str">
        <f>M1S2</f>
        <v>INSTRUCTIONS</v>
      </c>
      <c r="L14" s="1252"/>
      <c r="M14" s="1252"/>
      <c r="N14" s="1252"/>
      <c r="O14" s="1252"/>
      <c r="P14" s="1252"/>
      <c r="Q14" s="1252"/>
      <c r="R14" s="1252"/>
      <c r="S14" s="1252"/>
      <c r="T14" s="1252"/>
      <c r="U14" s="1253" t="str">
        <f ca="1">IF(COMPINSTRUCT&lt;&gt;1,"Incomplete","")</f>
        <v>Incomplete</v>
      </c>
      <c r="V14" s="1253"/>
      <c r="W14" s="1253"/>
      <c r="X14" s="1253"/>
      <c r="Y14" s="1253"/>
      <c r="Z14" s="1253"/>
      <c r="AA14" s="1253"/>
      <c r="AB14" s="1254" t="s">
        <v>1548</v>
      </c>
      <c r="AC14" s="1254"/>
      <c r="AD14" s="1255"/>
      <c r="AE14" s="389"/>
      <c r="AT14" s="60"/>
    </row>
    <row r="15" spans="1:61" ht="16.350000000000001" customHeight="1">
      <c r="K15" s="1260" t="str">
        <f ca="1">IF(AND(M01S02F01="",M01S02F01disp="Required"),"Missing Submitter","Submitter: "&amp;M01S02F01)</f>
        <v>Missing Submitter</v>
      </c>
      <c r="L15" s="892"/>
      <c r="M15" s="892"/>
      <c r="N15" s="892"/>
      <c r="O15" s="892"/>
      <c r="P15" s="892"/>
      <c r="Q15" s="892"/>
      <c r="R15" s="892"/>
      <c r="S15" s="892"/>
      <c r="T15" s="892"/>
      <c r="AD15" s="397"/>
      <c r="AE15" s="389"/>
    </row>
    <row r="16" spans="1:61" ht="16.350000000000001" customHeight="1">
      <c r="K16" s="477" t="str">
        <f ca="1">IF(AND(M01S02F02="",M01S02F02disp="Required"),"Missing Submission Type","Submitted Through: "&amp;M01S02F02)</f>
        <v>Missing Submission Type</v>
      </c>
      <c r="L16" s="475"/>
      <c r="M16" s="475"/>
      <c r="N16" s="475"/>
      <c r="O16" s="475"/>
      <c r="P16" s="475"/>
      <c r="Q16" s="475"/>
      <c r="R16" s="475"/>
      <c r="S16" s="475"/>
      <c r="T16" s="475"/>
      <c r="U16" s="475"/>
      <c r="V16" s="475"/>
      <c r="W16" s="475"/>
      <c r="X16" s="177" t="str">
        <f>IF(M01S02F02=Txt_SubMthdEmail,IF(EmailPlatformSelection="","Missing Email Platform","Email Platform: "&amp;EmailPlatformSelection),"")</f>
        <v/>
      </c>
      <c r="Z16" s="475"/>
      <c r="AA16" s="475"/>
      <c r="AB16" s="475"/>
      <c r="AC16" s="475"/>
      <c r="AD16" s="476"/>
      <c r="AE16" s="389"/>
      <c r="AF16" s="563" t="s">
        <v>1549</v>
      </c>
      <c r="AG16" s="564"/>
      <c r="AH16" s="564"/>
      <c r="AI16" s="564"/>
      <c r="AJ16" s="564"/>
      <c r="AK16" s="564"/>
      <c r="AL16" s="564"/>
      <c r="AM16" s="564"/>
      <c r="AN16" s="564"/>
      <c r="AO16" s="564"/>
      <c r="AP16" s="564"/>
      <c r="AQ16" s="564"/>
      <c r="AR16" s="1253" t="str">
        <f>IF(COMPMEASURE&lt;&gt;1,"Incomplete","")</f>
        <v>Incomplete</v>
      </c>
      <c r="AS16" s="1253"/>
      <c r="AT16" s="1282"/>
    </row>
    <row r="17" spans="11:56" ht="16.350000000000001" customHeight="1">
      <c r="K17" s="1251" t="str">
        <f>M2S2</f>
        <v>Project Information</v>
      </c>
      <c r="L17" s="1252"/>
      <c r="M17" s="1252"/>
      <c r="N17" s="1252"/>
      <c r="O17" s="1252"/>
      <c r="P17" s="1252"/>
      <c r="Q17" s="1252"/>
      <c r="R17" s="1252"/>
      <c r="S17" s="1252"/>
      <c r="T17" s="1252"/>
      <c r="U17" s="1253" t="str">
        <f ca="1">IF(COMPBUILD&lt;&gt;1,"Incomplete","")</f>
        <v>Incomplete</v>
      </c>
      <c r="V17" s="1253"/>
      <c r="W17" s="1253"/>
      <c r="X17" s="1253"/>
      <c r="Y17" s="1253"/>
      <c r="Z17" s="1253"/>
      <c r="AA17" s="1253"/>
      <c r="AB17" s="1254" t="s">
        <v>1548</v>
      </c>
      <c r="AC17" s="1254"/>
      <c r="AD17" s="1255"/>
      <c r="AE17" s="60"/>
      <c r="AF17" s="657" t="s">
        <v>1550</v>
      </c>
      <c r="AG17" s="658"/>
      <c r="AH17" s="658"/>
      <c r="AI17" s="658"/>
      <c r="AJ17" s="658"/>
      <c r="AK17" s="658"/>
      <c r="AL17" s="658"/>
      <c r="AM17" s="654" t="s">
        <v>214</v>
      </c>
      <c r="AN17" s="654"/>
      <c r="AO17" s="654"/>
      <c r="AP17" s="655" t="s">
        <v>1417</v>
      </c>
      <c r="AQ17" s="655"/>
      <c r="AR17" s="655"/>
      <c r="AS17" s="655"/>
      <c r="AT17" s="656"/>
    </row>
    <row r="18" spans="11:56" ht="16.350000000000001" customHeight="1">
      <c r="K18" s="1260" t="str">
        <f>IF(M02S02F02="","Missing Site Name",M02S02F02)</f>
        <v>Missing Site Name</v>
      </c>
      <c r="L18" s="892"/>
      <c r="M18" s="892"/>
      <c r="N18" s="892"/>
      <c r="O18" s="892"/>
      <c r="P18" s="892"/>
      <c r="Q18" s="892"/>
      <c r="R18" s="892"/>
      <c r="S18" s="892"/>
      <c r="T18" s="892"/>
      <c r="U18" s="892" t="str">
        <f>IF(M02S02F05="","Missing Customer Type",M02S02F05)</f>
        <v>Missing Customer Type</v>
      </c>
      <c r="V18" s="892"/>
      <c r="W18" s="892"/>
      <c r="X18" s="892"/>
      <c r="Y18" s="892"/>
      <c r="Z18" s="892"/>
      <c r="AA18" s="892"/>
      <c r="AB18" s="892"/>
      <c r="AC18" s="892"/>
      <c r="AD18" s="1270"/>
      <c r="AE18" s="60"/>
      <c r="AF18" s="1290" t="str">
        <f>M4S2</f>
        <v>Lighting &amp; Lighting Controls</v>
      </c>
      <c r="AG18" s="1291"/>
      <c r="AH18" s="1291"/>
      <c r="AI18" s="1291"/>
      <c r="AJ18" s="1291"/>
      <c r="AK18" s="1291"/>
      <c r="AL18" s="1291"/>
      <c r="AM18" s="1284">
        <f>TEMPLATE!H10</f>
        <v>0</v>
      </c>
      <c r="AN18" s="1285"/>
      <c r="AO18" s="1285"/>
      <c r="AP18" s="1288">
        <f>TEMPLATE!T10</f>
        <v>0</v>
      </c>
      <c r="AQ18" s="1288"/>
      <c r="AR18" s="1288"/>
      <c r="AS18" s="1288"/>
      <c r="AT18" s="1289"/>
      <c r="BD18" s="60"/>
    </row>
    <row r="19" spans="11:56" ht="16.350000000000001" customHeight="1">
      <c r="K19" s="1260" t="str">
        <f>IF(OR(M02S02F03="",M02S02F06="",M02S02F07="",M02S02F08=""),"Missing Service Address Info",M02S02F03)</f>
        <v>Missing Service Address Info</v>
      </c>
      <c r="L19" s="892"/>
      <c r="M19" s="892"/>
      <c r="N19" s="892"/>
      <c r="O19" s="892"/>
      <c r="P19" s="892"/>
      <c r="Q19" s="892"/>
      <c r="R19" s="892"/>
      <c r="S19" s="892"/>
      <c r="T19" s="892"/>
      <c r="U19" s="892" t="str">
        <f>IF(OR(M02S02F04="",M02S02F09="",M02S02F10="",M02S02F11=""),"Missing Mailing Address Info",M02S02F04)</f>
        <v>Missing Mailing Address Info</v>
      </c>
      <c r="V19" s="892"/>
      <c r="W19" s="892"/>
      <c r="X19" s="892"/>
      <c r="Y19" s="892"/>
      <c r="Z19" s="892"/>
      <c r="AA19" s="892"/>
      <c r="AB19" s="892"/>
      <c r="AC19" s="892"/>
      <c r="AD19" s="1270"/>
      <c r="AE19" s="60"/>
      <c r="AF19" s="1290" t="str">
        <f>M4S3</f>
        <v>HVAC</v>
      </c>
      <c r="AG19" s="1291"/>
      <c r="AH19" s="1291"/>
      <c r="AI19" s="1291"/>
      <c r="AJ19" s="1291"/>
      <c r="AK19" s="1291"/>
      <c r="AL19" s="1291"/>
      <c r="AM19" s="1284">
        <f>TEMPLATE!H11</f>
        <v>0</v>
      </c>
      <c r="AN19" s="1285"/>
      <c r="AO19" s="1285"/>
      <c r="AP19" s="1288">
        <f>TEMPLATE!T11</f>
        <v>0</v>
      </c>
      <c r="AQ19" s="1288"/>
      <c r="AR19" s="1288"/>
      <c r="AS19" s="1288"/>
      <c r="AT19" s="1289"/>
    </row>
    <row r="20" spans="11:56" ht="16.350000000000001" customHeight="1">
      <c r="K20" s="1260" t="str">
        <f>IF(OR(M02S02F03="",M02S02F06="",M02S02F07="",M02S02F08=""),"",M02S02F06)</f>
        <v/>
      </c>
      <c r="L20" s="892"/>
      <c r="M20" s="892"/>
      <c r="N20" s="892"/>
      <c r="O20" s="892"/>
      <c r="P20" s="892" t="str">
        <f>IF(OR(M02S02F03="",M02S02F06="",M02S02F07="",M02S02F08=""),"",M02S02F07)</f>
        <v/>
      </c>
      <c r="Q20" s="892"/>
      <c r="R20" s="1279" t="str">
        <f>IF(OR(M02S02F03="",M02S02F06="",M02S02F07="",M02S02F08=""),"",M02S02F08)</f>
        <v/>
      </c>
      <c r="S20" s="1279"/>
      <c r="T20" s="1279"/>
      <c r="U20" s="892" t="str">
        <f>IF(OR(M02S02F04="",M02S02F09="",M02S02F10="",M02S02F11=""),"",M02S02F09)</f>
        <v/>
      </c>
      <c r="V20" s="892"/>
      <c r="W20" s="892"/>
      <c r="X20" s="892"/>
      <c r="Y20" s="892"/>
      <c r="Z20" s="892" t="str">
        <f>IF(OR(M02S02F04="",M02S02F09="",M02S02F10="",M02S02F11=""),"",M02S02F10)</f>
        <v/>
      </c>
      <c r="AA20" s="892"/>
      <c r="AB20" s="1280" t="str">
        <f>IF(OR(M02S02F04="",M02S02F09="",M02S02F10="",M02S02F11=""),"",M02S02F11)</f>
        <v/>
      </c>
      <c r="AC20" s="1280"/>
      <c r="AD20" s="1281"/>
      <c r="AE20" s="60"/>
      <c r="AF20" s="1290" t="str">
        <f>M4S4</f>
        <v>Heating</v>
      </c>
      <c r="AG20" s="1291"/>
      <c r="AH20" s="1291"/>
      <c r="AI20" s="1291"/>
      <c r="AJ20" s="1291"/>
      <c r="AK20" s="1291"/>
      <c r="AL20" s="1291"/>
      <c r="AM20" s="1284">
        <f>TEMPLATE!H12</f>
        <v>0</v>
      </c>
      <c r="AN20" s="1285"/>
      <c r="AO20" s="1285"/>
      <c r="AP20" s="1288">
        <f>TEMPLATE!T12</f>
        <v>0</v>
      </c>
      <c r="AQ20" s="1288"/>
      <c r="AR20" s="1288"/>
      <c r="AS20" s="1288"/>
      <c r="AT20" s="1289"/>
    </row>
    <row r="21" spans="11:56" ht="16.350000000000001" customHeight="1">
      <c r="K21" s="1261" t="s">
        <v>1551</v>
      </c>
      <c r="L21" s="1262"/>
      <c r="M21" s="1262"/>
      <c r="N21" s="1262"/>
      <c r="O21" s="1262"/>
      <c r="P21" s="1262"/>
      <c r="Q21" s="1262"/>
      <c r="R21" s="1262"/>
      <c r="S21" s="1262"/>
      <c r="T21" s="1262"/>
      <c r="U21" s="1262"/>
      <c r="V21" s="1262"/>
      <c r="W21" s="1262"/>
      <c r="X21" s="1262"/>
      <c r="Y21" s="1262"/>
      <c r="Z21" s="1262"/>
      <c r="AA21" s="1262"/>
      <c r="AB21" s="1262"/>
      <c r="AC21" s="1262"/>
      <c r="AD21" s="1263"/>
      <c r="AE21" s="60"/>
      <c r="AF21" s="1290" t="str">
        <f>M4S5</f>
        <v>Water Heating &amp; Boilers</v>
      </c>
      <c r="AG21" s="1291"/>
      <c r="AH21" s="1291"/>
      <c r="AI21" s="1291"/>
      <c r="AJ21" s="1291"/>
      <c r="AK21" s="1291"/>
      <c r="AL21" s="1291"/>
      <c r="AM21" s="1284">
        <f>TEMPLATE!H13</f>
        <v>0</v>
      </c>
      <c r="AN21" s="1285"/>
      <c r="AO21" s="1285"/>
      <c r="AP21" s="1288">
        <f>TEMPLATE!T13</f>
        <v>0</v>
      </c>
      <c r="AQ21" s="1288"/>
      <c r="AR21" s="1288"/>
      <c r="AS21" s="1288"/>
      <c r="AT21" s="1289"/>
    </row>
    <row r="22" spans="11:56" ht="16.350000000000001" customHeight="1">
      <c r="K22" s="391" t="str">
        <f>IF(OR(M02S02F12="",M02S02F13="",M02S02F14="",M02S02F15="",M02S02F16=""),"Missing Utility Account Information","PSEG Service: "&amp;M02S02F12)</f>
        <v>Missing Utility Account Information</v>
      </c>
      <c r="L22" s="267"/>
      <c r="M22" s="267"/>
      <c r="N22" s="267"/>
      <c r="O22" s="267"/>
      <c r="P22" s="267"/>
      <c r="Q22" s="267"/>
      <c r="R22" s="267"/>
      <c r="S22" s="267"/>
      <c r="T22" s="267"/>
      <c r="U22" s="267"/>
      <c r="V22" s="267"/>
      <c r="W22" s="267"/>
      <c r="X22" s="267"/>
      <c r="Y22" s="267"/>
      <c r="Z22" s="267"/>
      <c r="AA22" s="267"/>
      <c r="AB22" s="267"/>
      <c r="AC22" s="267"/>
      <c r="AD22" s="392"/>
      <c r="AE22" s="60"/>
      <c r="AF22" s="1290" t="str">
        <f>M4S6</f>
        <v>Refrigeration</v>
      </c>
      <c r="AG22" s="1291"/>
      <c r="AH22" s="1291"/>
      <c r="AI22" s="1291"/>
      <c r="AJ22" s="1291"/>
      <c r="AK22" s="1291"/>
      <c r="AL22" s="1291"/>
      <c r="AM22" s="1284">
        <f>TEMPLATE!H14</f>
        <v>0</v>
      </c>
      <c r="AN22" s="1285"/>
      <c r="AO22" s="1285"/>
      <c r="AP22" s="1288">
        <f>TEMPLATE!T14</f>
        <v>0</v>
      </c>
      <c r="AQ22" s="1288"/>
      <c r="AR22" s="1288"/>
      <c r="AS22" s="1288"/>
      <c r="AT22" s="1289"/>
    </row>
    <row r="23" spans="11:56" ht="16.350000000000001" customHeight="1">
      <c r="K23" s="391" t="str">
        <f>IF(OR(M02S02F12="",M02S02F13="",M02S02F14="",M02S02F15="",M02S02F16=""),"","Electric Utility: "&amp;M02S02F13)</f>
        <v/>
      </c>
      <c r="L23" s="267"/>
      <c r="M23" s="267"/>
      <c r="N23" s="267"/>
      <c r="O23" s="267"/>
      <c r="P23" s="267"/>
      <c r="Q23" s="481" t="str">
        <f>IF(OR(M02S02F12="",M02S02F13="",M02S02F14="",M02S02F15="",M02S02F16=""),"","Acc. No. "&amp;M02S02F14)</f>
        <v/>
      </c>
      <c r="R23" s="267"/>
      <c r="S23" s="267"/>
      <c r="T23" s="267"/>
      <c r="U23" s="267"/>
      <c r="V23" s="267"/>
      <c r="W23" s="267"/>
      <c r="X23" s="267"/>
      <c r="Y23" s="267"/>
      <c r="Z23" s="267"/>
      <c r="AA23" s="267"/>
      <c r="AB23" s="267"/>
      <c r="AC23" s="267"/>
      <c r="AD23" s="392"/>
      <c r="AE23" s="60"/>
      <c r="AF23" s="1290" t="str">
        <f>M4S7</f>
        <v>Food Service</v>
      </c>
      <c r="AG23" s="1291"/>
      <c r="AH23" s="1291"/>
      <c r="AI23" s="1291"/>
      <c r="AJ23" s="1291"/>
      <c r="AK23" s="1291"/>
      <c r="AL23" s="1291"/>
      <c r="AM23" s="1284">
        <f>TEMPLATE!H15</f>
        <v>0</v>
      </c>
      <c r="AN23" s="1285"/>
      <c r="AO23" s="1285"/>
      <c r="AP23" s="1288">
        <f>TEMPLATE!T15</f>
        <v>0</v>
      </c>
      <c r="AQ23" s="1288"/>
      <c r="AR23" s="1288"/>
      <c r="AS23" s="1288"/>
      <c r="AT23" s="1289"/>
    </row>
    <row r="24" spans="11:56" ht="16.350000000000001" customHeight="1">
      <c r="K24" s="391" t="str">
        <f>IF(OR(M02S02F12="",M02S02F13="",M02S02F14="",M02S02F15="",M02S02F16=""),"","Gas Utility: "&amp;M02S02F15)</f>
        <v/>
      </c>
      <c r="L24" s="267"/>
      <c r="M24" s="267"/>
      <c r="N24" s="267"/>
      <c r="O24" s="267"/>
      <c r="P24" s="267"/>
      <c r="Q24" s="481" t="str">
        <f>IF(OR(M02S02F12="",M02S02F13="",M02S02F14="",M02S02F15="",M02S02F16=""),"","Acc. No. "&amp;M02S02F16)</f>
        <v/>
      </c>
      <c r="R24" s="267"/>
      <c r="S24" s="267"/>
      <c r="T24" s="267"/>
      <c r="U24" s="267"/>
      <c r="V24" s="267"/>
      <c r="W24" s="267"/>
      <c r="X24" s="267"/>
      <c r="Y24" s="267"/>
      <c r="Z24" s="267"/>
      <c r="AA24" s="267"/>
      <c r="AB24" s="267"/>
      <c r="AC24" s="267"/>
      <c r="AD24" s="392"/>
      <c r="AE24" s="60"/>
      <c r="AF24" s="1290" t="str">
        <f>M4S8</f>
        <v>Agriculture</v>
      </c>
      <c r="AG24" s="1291"/>
      <c r="AH24" s="1291"/>
      <c r="AI24" s="1291"/>
      <c r="AJ24" s="1291"/>
      <c r="AK24" s="1291"/>
      <c r="AL24" s="1291"/>
      <c r="AM24" s="1284">
        <f>TEMPLATE!H16</f>
        <v>0</v>
      </c>
      <c r="AN24" s="1285"/>
      <c r="AO24" s="1285"/>
      <c r="AP24" s="1288">
        <f>TEMPLATE!T16</f>
        <v>0</v>
      </c>
      <c r="AQ24" s="1288"/>
      <c r="AR24" s="1288"/>
      <c r="AS24" s="1288"/>
      <c r="AT24" s="1289"/>
    </row>
    <row r="25" spans="11:56" ht="16.350000000000001" customHeight="1">
      <c r="K25" s="1261" t="s">
        <v>1551</v>
      </c>
      <c r="L25" s="1262"/>
      <c r="M25" s="1262"/>
      <c r="N25" s="1262"/>
      <c r="O25" s="1262"/>
      <c r="P25" s="1262"/>
      <c r="Q25" s="1262"/>
      <c r="R25" s="1262"/>
      <c r="S25" s="1262"/>
      <c r="T25" s="1262"/>
      <c r="U25" s="1262"/>
      <c r="V25" s="1262"/>
      <c r="W25" s="1262"/>
      <c r="X25" s="1262"/>
      <c r="Y25" s="1262"/>
      <c r="Z25" s="1262"/>
      <c r="AA25" s="1262"/>
      <c r="AB25" s="1262"/>
      <c r="AC25" s="1262"/>
      <c r="AD25" s="1263"/>
      <c r="AF25" s="1290" t="str">
        <f>M4S9</f>
        <v>Plug Load</v>
      </c>
      <c r="AG25" s="1291"/>
      <c r="AH25" s="1291"/>
      <c r="AI25" s="1291"/>
      <c r="AJ25" s="1291"/>
      <c r="AK25" s="1291"/>
      <c r="AL25" s="1291"/>
      <c r="AM25" s="1284">
        <f>TEMPLATE!H17</f>
        <v>0</v>
      </c>
      <c r="AN25" s="1285"/>
      <c r="AO25" s="1285"/>
      <c r="AP25" s="1288">
        <f>TEMPLATE!T17</f>
        <v>0</v>
      </c>
      <c r="AQ25" s="1288"/>
      <c r="AR25" s="1288"/>
      <c r="AS25" s="1288"/>
      <c r="AT25" s="1289"/>
    </row>
    <row r="26" spans="11:56" ht="16.350000000000001" customHeight="1">
      <c r="K26" s="1278" t="str">
        <f>IF(OR(BuildingInfo_Building_Type="",M02S02F18="",BuildingInfo_Annual_Operating_Hours="",M02S02F21="",M02S02F22="",BuildingInfo_Year_Built="",BuildingInfo_Space_Conditioning_Type="",BuildingInfo_Water_Heating="",IF(TEMPLATE!G125=TRUE,M02S02F32="",FALSE)),"Missing Building Information","Building Type: "&amp;BuildingInfo_Building_Type)</f>
        <v>Missing Building Information</v>
      </c>
      <c r="L26" s="1152"/>
      <c r="M26" s="1152"/>
      <c r="N26" s="1152"/>
      <c r="O26" s="1152"/>
      <c r="P26" s="1152"/>
      <c r="Q26" s="1152"/>
      <c r="R26" s="1152"/>
      <c r="S26" s="1152"/>
      <c r="T26" s="1152"/>
      <c r="U26" s="892" t="str">
        <f>IF(OR(BuildingInfo_Building_Type="",M02S02F18="",BuildingInfo_Annual_Operating_Hours="",M02S02F21="",M02S02F22="",BuildingInfo_Year_Built="",BuildingInfo_Space_Conditioning_Type="",BuildingInfo_Water_Heating="",IF(TEMPLATE!G125=TRUE,M02S02F32="",FALSE)),"","Building Ownership: "&amp;M02S02F18)</f>
        <v/>
      </c>
      <c r="V26" s="892"/>
      <c r="W26" s="892"/>
      <c r="X26" s="892"/>
      <c r="Y26" s="892"/>
      <c r="Z26" s="892"/>
      <c r="AA26" s="892"/>
      <c r="AB26" s="892"/>
      <c r="AC26" s="892"/>
      <c r="AD26" s="1270"/>
      <c r="AF26" s="1290" t="str">
        <f>M4S10</f>
        <v>Residential Appliances</v>
      </c>
      <c r="AG26" s="1291"/>
      <c r="AH26" s="1291"/>
      <c r="AI26" s="1291"/>
      <c r="AJ26" s="1291"/>
      <c r="AK26" s="1291"/>
      <c r="AL26" s="1291"/>
      <c r="AM26" s="1284">
        <f>TEMPLATE!H18</f>
        <v>0</v>
      </c>
      <c r="AN26" s="1285"/>
      <c r="AO26" s="1285"/>
      <c r="AP26" s="1288">
        <f>TEMPLATE!T18</f>
        <v>0</v>
      </c>
      <c r="AQ26" s="1288"/>
      <c r="AR26" s="1288"/>
      <c r="AS26" s="1288"/>
      <c r="AT26" s="1289"/>
    </row>
    <row r="27" spans="11:56" ht="16.350000000000001" customHeight="1">
      <c r="K27" s="1260" t="str">
        <f>IF(OR(BuildingInfo_Building_Type="",M02S02F18="",BuildingInfo_Annual_Operating_Hours="",M02S02F21="",M02S02F22="",BuildingInfo_Year_Built="",BuildingInfo_Space_Conditioning_Type="",BuildingInfo_Water_Heating="",IF(TEMPLATE!G125=TRUE,M02S02F32="",FALSE)),"","Op Hours: "&amp;BuildingInfo_Annual_Operating_Hours)</f>
        <v/>
      </c>
      <c r="L27" s="892"/>
      <c r="M27" s="892"/>
      <c r="N27" s="892"/>
      <c r="O27" s="892"/>
      <c r="P27" s="892"/>
      <c r="Q27" s="1276" t="str">
        <f>IF(OR(BuildingInfo_Building_Type="",M02S02F18="",BuildingInfo_Annual_Operating_Hours="",M02S02F21="",M02S02F22="",BuildingInfo_Year_Built="",BuildingInfo_Space_Conditioning_Type="",BuildingInfo_Water_Heating="",IF(TEMPLATE!G125=TRUE,M02S02F32="",FALSE)),"","Sq Ft: "&amp;M02S02F21)</f>
        <v/>
      </c>
      <c r="R27" s="1276"/>
      <c r="S27" s="1276"/>
      <c r="T27" s="1276"/>
      <c r="U27" s="1276" t="str">
        <f>IF(TEMPLATE!G125=TRUE,IF(OR(BuildingInfo_Building_Type="",M02S02F18="",BuildingInfo_Annual_Operating_Hours="",M02S02F21="",M02S02F22="",M02S02F32="",BuildingInfo_Year_Built="",BuildingInfo_Space_Conditioning_Type="",BuildingInfo_Water_Heating=""),"","No. Buildings: "&amp;M02S02F32),"")</f>
        <v/>
      </c>
      <c r="V27" s="1276"/>
      <c r="W27" s="1276"/>
      <c r="X27" s="1276"/>
      <c r="Y27" s="1276"/>
      <c r="Z27" s="1292" t="str">
        <f>IF(OR(BuildingInfo_Building_Type="",M02S02F18="",BuildingInfo_Annual_Operating_Hours="",M02S02F21="",M02S02F22="",BuildingInfo_Year_Built="",BuildingInfo_Space_Conditioning_Type="",BuildingInfo_Water_Heating="",IF(TEMPLATE!G125=TRUE,M02S02F32="",FALSE)),"","Year Built: "&amp;BuildingInfo_Year_Built)</f>
        <v/>
      </c>
      <c r="AA27" s="1292"/>
      <c r="AB27" s="1292"/>
      <c r="AC27" s="1292"/>
      <c r="AD27" s="1293"/>
      <c r="AF27" s="1290" t="str">
        <f>M4S11</f>
        <v>Miscellaneous</v>
      </c>
      <c r="AG27" s="1291"/>
      <c r="AH27" s="1291"/>
      <c r="AI27" s="1291"/>
      <c r="AJ27" s="1291"/>
      <c r="AK27" s="1291"/>
      <c r="AL27" s="1291"/>
      <c r="AM27" s="1284">
        <f>TEMPLATE!H19</f>
        <v>0</v>
      </c>
      <c r="AN27" s="1285"/>
      <c r="AO27" s="1285"/>
      <c r="AP27" s="1288">
        <f>TEMPLATE!T19</f>
        <v>0</v>
      </c>
      <c r="AQ27" s="1288"/>
      <c r="AR27" s="1288"/>
      <c r="AS27" s="1288"/>
      <c r="AT27" s="1289"/>
    </row>
    <row r="28" spans="11:56" ht="16.350000000000001" customHeight="1">
      <c r="K28" s="391" t="str">
        <f>IF(OR(BuildingInfo_Building_Type="",M02S02F18="",BuildingInfo_Annual_Operating_Hours="",M02S02F21="",M02S02F22="",BuildingInfo_Year_Built="",BuildingInfo_Space_Conditioning_Type="",BuildingInfo_Water_Heating="",IF(TEMPLATE!G125=TRUE,M02S02F32="",FALSE)),"","Space Conditioning: "&amp;BuildingInfo_Space_Conditioning_Type)</f>
        <v/>
      </c>
      <c r="L28" s="267"/>
      <c r="M28" s="267"/>
      <c r="N28" s="267"/>
      <c r="O28" s="267"/>
      <c r="P28" s="267"/>
      <c r="Q28" s="267"/>
      <c r="R28" s="267"/>
      <c r="S28" s="267"/>
      <c r="T28" s="267"/>
      <c r="U28" s="1276" t="str">
        <f>IF(OR(BuildingInfo_Building_Type="",M02S02F18="",BuildingInfo_Annual_Operating_Hours="",M02S02F21="",M02S02F22="",BuildingInfo_Year_Built="",BuildingInfo_Space_Conditioning_Type="",BuildingInfo_Water_Heating="",IF(TEMPLATE!G125=TRUE,M02S02F32="",FALSE)),"","No. Floors: "&amp;M02S02F22)</f>
        <v/>
      </c>
      <c r="V28" s="1276"/>
      <c r="W28" s="1276"/>
      <c r="X28" s="1276"/>
      <c r="Y28" s="1276"/>
      <c r="Z28" s="267"/>
      <c r="AA28" s="267"/>
      <c r="AB28" s="267"/>
      <c r="AC28" s="267"/>
      <c r="AD28" s="392"/>
      <c r="AF28" s="1297" t="s">
        <v>1552</v>
      </c>
      <c r="AG28" s="1298"/>
      <c r="AH28" s="1298"/>
      <c r="AI28" s="1298"/>
      <c r="AJ28" s="1298"/>
      <c r="AK28" s="1298"/>
      <c r="AL28" s="1298"/>
      <c r="AM28" s="1298"/>
      <c r="AN28" s="1298"/>
      <c r="AO28" s="1298"/>
      <c r="AP28" s="1286">
        <f>SUM(AP18:AT27)</f>
        <v>0</v>
      </c>
      <c r="AQ28" s="1286"/>
      <c r="AR28" s="1286"/>
      <c r="AS28" s="1286"/>
      <c r="AT28" s="1287"/>
    </row>
    <row r="29" spans="11:56" ht="16.350000000000001" customHeight="1">
      <c r="K29" s="391" t="str">
        <f>IF(OR(BuildingInfo_Building_Type="",M02S02F18="",BuildingInfo_Annual_Operating_Hours="",M02S02F21="",M02S02F22="",BuildingInfo_Year_Built="",BuildingInfo_Space_Conditioning_Type="",BuildingInfo_Water_Heating="",IF(TEMPLATE!G125=TRUE,M02S02F32="",FALSE)),"","Existing Water Heating Type: "&amp;BuildingInfo_Water_Heating)</f>
        <v/>
      </c>
      <c r="L29" s="267"/>
      <c r="M29" s="267"/>
      <c r="N29" s="267"/>
      <c r="O29" s="267"/>
      <c r="P29" s="267"/>
      <c r="Q29" s="267"/>
      <c r="R29" s="267"/>
      <c r="S29" s="267"/>
      <c r="T29" s="267"/>
      <c r="Z29" s="267"/>
      <c r="AA29" s="267"/>
      <c r="AB29" s="267"/>
      <c r="AC29" s="267"/>
      <c r="AD29" s="392"/>
    </row>
    <row r="30" spans="11:56" ht="16.350000000000001" customHeight="1">
      <c r="K30" s="1261" t="s">
        <v>1551</v>
      </c>
      <c r="L30" s="1262"/>
      <c r="M30" s="1262"/>
      <c r="N30" s="1262"/>
      <c r="O30" s="1262"/>
      <c r="P30" s="1262"/>
      <c r="Q30" s="1262"/>
      <c r="R30" s="1262"/>
      <c r="S30" s="1262"/>
      <c r="T30" s="1262"/>
      <c r="U30" s="1262"/>
      <c r="V30" s="1262"/>
      <c r="W30" s="1262"/>
      <c r="X30" s="1262"/>
      <c r="Y30" s="1262"/>
      <c r="Z30" s="1262"/>
      <c r="AA30" s="1262"/>
      <c r="AB30" s="1262"/>
      <c r="AC30" s="1262"/>
      <c r="AD30" s="1263"/>
    </row>
    <row r="31" spans="11:56" ht="16.350000000000001" customHeight="1">
      <c r="K31" s="391" t="str">
        <f>IF(OR(M02S02F25="",M02S02F26="",M02S02F27="",M02S02F31=""),"Missing Project Description Information","Project ID: "&amp;M02S02F25)</f>
        <v>Missing Project Description Information</v>
      </c>
      <c r="L31" s="267"/>
      <c r="M31" s="267"/>
      <c r="N31" s="267"/>
      <c r="O31" s="267"/>
      <c r="P31" s="267"/>
      <c r="Q31" s="267"/>
      <c r="R31" s="267"/>
      <c r="S31" s="267"/>
      <c r="T31" s="267"/>
      <c r="U31" s="267" t="str">
        <f>IF(OR(M02S02F25="",M02S02F26="",M02S02F27="",M02S02F31=""),"","Project Description: Complete")</f>
        <v/>
      </c>
      <c r="V31" s="267"/>
      <c r="W31" s="267"/>
      <c r="X31" s="267"/>
      <c r="Y31" s="267"/>
      <c r="Z31" s="267"/>
      <c r="AA31" s="267"/>
      <c r="AB31" s="267"/>
      <c r="AC31" s="267"/>
      <c r="AD31" s="392"/>
    </row>
    <row r="32" spans="11:56" ht="16.350000000000001" customHeight="1">
      <c r="K32" s="391" t="str">
        <f>IF(OR(M02S02F25="",M02S02F26="",M02S02F27="",M02S02F31=""),"","How did you hear?: "&amp;M02S02F26)</f>
        <v/>
      </c>
      <c r="L32" s="267"/>
      <c r="M32" s="267"/>
      <c r="N32" s="267"/>
      <c r="O32" s="267"/>
      <c r="P32" s="267"/>
      <c r="Q32" s="267"/>
      <c r="R32" s="267"/>
      <c r="S32" s="267"/>
      <c r="T32" s="267"/>
      <c r="U32" s="267" t="str">
        <f>IF(M02S02F27="No","Estimated Start Date: ","")</f>
        <v/>
      </c>
      <c r="V32" s="267"/>
      <c r="W32" s="267"/>
      <c r="X32" s="267"/>
      <c r="Y32" s="267"/>
      <c r="Z32" s="267"/>
      <c r="AA32" s="267"/>
      <c r="AB32" s="1294" t="str">
        <f>IF(OR(M02S02F27="",M02S02F27="Yes"),"",
IF(AND(M02S02F27="No",M02S02F29&lt;&gt;"",M02S02F29&lt;&gt;0),M02S02F29,
"Missing Date"))</f>
        <v/>
      </c>
      <c r="AC32" s="1294"/>
      <c r="AD32" s="1295"/>
    </row>
    <row r="33" spans="11:31" ht="16.350000000000001" customHeight="1">
      <c r="K33" s="391" t="str">
        <f>IF(M02S02F27="","","Already Installed: "&amp;M02S02F27)</f>
        <v/>
      </c>
      <c r="L33" s="267"/>
      <c r="M33" s="267"/>
      <c r="N33" s="267"/>
      <c r="O33" s="267"/>
      <c r="P33" s="267"/>
      <c r="Q33" s="1296" t="str">
        <f>IF(OR(MSF20229="",MSF20229="No"),"",
IF(AND(MSF20229="Yes",MSF20230&lt;&gt;"",MSF20230&lt;&gt;0),MSF20230,
"Missing Date"))</f>
        <v/>
      </c>
      <c r="R33" s="1296"/>
      <c r="S33" s="1296"/>
      <c r="T33" s="267"/>
      <c r="U33" s="267" t="str">
        <f>IF(M02S02F27="No","Estimated Completion Date: ","")</f>
        <v/>
      </c>
      <c r="V33" s="267"/>
      <c r="W33" s="267"/>
      <c r="X33" s="267"/>
      <c r="Y33" s="267"/>
      <c r="Z33" s="267"/>
      <c r="AA33" s="267"/>
      <c r="AB33" s="1294" t="str">
        <f>IF(OR(M02S02F27="",M02S02F27="Yes"),"",
IF(AND(M02S02F27="No",M02S02F30&lt;&gt;"",M02S02F30&lt;&gt;0),M02S02F30,
"Missing Date"))</f>
        <v/>
      </c>
      <c r="AC33" s="1294"/>
      <c r="AD33" s="1295"/>
    </row>
    <row r="34" spans="11:31" ht="16.350000000000001" customHeight="1">
      <c r="K34" s="1274" t="str">
        <f>M2S3</f>
        <v>Customer Information</v>
      </c>
      <c r="L34" s="1275"/>
      <c r="M34" s="1275"/>
      <c r="N34" s="1275"/>
      <c r="O34" s="1275"/>
      <c r="P34" s="1275"/>
      <c r="Q34" s="1275"/>
      <c r="R34" s="1275"/>
      <c r="S34" s="1275"/>
      <c r="T34" s="1275"/>
      <c r="U34" s="1273" t="str">
        <f ca="1">IF(COMPCUSTOMER&lt;&gt;1,"Incomplete","")</f>
        <v>Incomplete</v>
      </c>
      <c r="V34" s="1273"/>
      <c r="W34" s="1273"/>
      <c r="X34" s="1273"/>
      <c r="Y34" s="1273"/>
      <c r="Z34" s="1273"/>
      <c r="AA34" s="1273"/>
      <c r="AB34" s="1271" t="s">
        <v>1548</v>
      </c>
      <c r="AC34" s="1271"/>
      <c r="AD34" s="1272"/>
    </row>
    <row r="35" spans="11:31" ht="16.350000000000001" customHeight="1">
      <c r="K35" s="1260" t="str">
        <f>IF(M02S03F01="","Missing Site Name",M02S03F01)</f>
        <v>Missing Site Name</v>
      </c>
      <c r="L35" s="892"/>
      <c r="M35" s="892"/>
      <c r="N35" s="892"/>
      <c r="O35" s="892"/>
      <c r="P35" s="892"/>
      <c r="Q35" s="892"/>
      <c r="R35" s="892"/>
      <c r="S35" s="892"/>
      <c r="T35" s="892"/>
      <c r="U35" s="267"/>
      <c r="V35" s="267"/>
      <c r="W35" s="267"/>
      <c r="X35" s="267"/>
      <c r="Y35" s="267"/>
      <c r="Z35" s="267"/>
      <c r="AA35" s="267"/>
      <c r="AB35" s="267"/>
      <c r="AC35" s="267"/>
      <c r="AD35" s="392"/>
    </row>
    <row r="36" spans="11:31" ht="16.350000000000001" customHeight="1">
      <c r="K36" s="1260" t="str">
        <f>IF(OR(M02S03F03="",M02S03F04="",M02S03F06="",M02S03F07="",M02S03F08=""),"Missing Company Contact Info",M02S03F03&amp;" "&amp;M02S03F04)</f>
        <v>Missing Company Contact Info</v>
      </c>
      <c r="L36" s="892"/>
      <c r="M36" s="892"/>
      <c r="N36" s="892"/>
      <c r="O36" s="892"/>
      <c r="P36" s="892"/>
      <c r="Q36" s="892"/>
      <c r="R36" s="892"/>
      <c r="S36" s="892"/>
      <c r="T36" s="892"/>
      <c r="U36" s="892" t="str">
        <f>IF(OR(M02S03F05="",M02S03F09="",M02S03F10="",M02S03F11=""),"Missing Company Address Info",M02S03F05)</f>
        <v>Missing Company Address Info</v>
      </c>
      <c r="V36" s="892"/>
      <c r="W36" s="892"/>
      <c r="X36" s="892"/>
      <c r="Y36" s="892"/>
      <c r="Z36" s="892"/>
      <c r="AA36" s="892"/>
      <c r="AB36" s="892"/>
      <c r="AC36" s="892"/>
      <c r="AD36" s="1270"/>
    </row>
    <row r="37" spans="11:31" ht="16.350000000000001" customHeight="1">
      <c r="K37" s="1260" t="str">
        <f>IF(OR(M02S03F03="",M02S03F04="",M02S03F06="",M02S03F07="",M02S03F08=""),"",M02S03F06)</f>
        <v/>
      </c>
      <c r="L37" s="892"/>
      <c r="M37" s="892"/>
      <c r="N37" s="892"/>
      <c r="O37" s="892"/>
      <c r="P37" s="1267" t="str">
        <f>IF(OR(M02S03F03="",M02S03F04="",M02S03F06="",M02S03F07="",M02S03F08=""),"",M02S03F07)</f>
        <v/>
      </c>
      <c r="Q37" s="1267"/>
      <c r="R37" s="1267"/>
      <c r="S37" s="1267"/>
      <c r="T37" s="1267"/>
      <c r="U37" s="892" t="str">
        <f>IF(OR(M02S03F05="",M02S03F09="",M02S03F10="",M02S03F11=""),"",M02S03F09)</f>
        <v/>
      </c>
      <c r="V37" s="892"/>
      <c r="W37" s="892"/>
      <c r="X37" s="892"/>
      <c r="Y37" s="892"/>
      <c r="Z37" s="892" t="str">
        <f>IF(OR(M02S03F05="",M02S03F09="",M02S03F10="",M02S03F11=""),"",M02S03F10)</f>
        <v/>
      </c>
      <c r="AA37" s="892"/>
      <c r="AB37" s="1292" t="str">
        <f>IF(OR(M02S03F05="",M02S03F09="",M02S03F10="",M02S03F11=""),"",M02S03F11)</f>
        <v/>
      </c>
      <c r="AC37" s="1292"/>
      <c r="AD37" s="1293"/>
    </row>
    <row r="38" spans="11:31" ht="16.350000000000001" customHeight="1">
      <c r="K38" s="1260" t="str">
        <f>IF(OR(M02S03F03="",M02S03F04="",M02S03F06="",M02S03F07="",M02S03F08=""),"",M02S03F08)</f>
        <v/>
      </c>
      <c r="L38" s="892"/>
      <c r="M38" s="892"/>
      <c r="N38" s="892"/>
      <c r="O38" s="892"/>
      <c r="P38" s="892"/>
      <c r="Q38" s="892"/>
      <c r="R38" s="892"/>
      <c r="S38" s="892"/>
      <c r="T38" s="892"/>
      <c r="U38" s="267"/>
      <c r="V38" s="267"/>
      <c r="W38" s="267"/>
      <c r="X38" s="267"/>
      <c r="Y38" s="267"/>
      <c r="Z38" s="267"/>
      <c r="AA38" s="267"/>
      <c r="AB38" s="267"/>
      <c r="AC38" s="267"/>
      <c r="AD38" s="392"/>
    </row>
    <row r="39" spans="11:31" ht="16.350000000000001" customHeight="1">
      <c r="K39" s="1261" t="s">
        <v>1551</v>
      </c>
      <c r="L39" s="1262"/>
      <c r="M39" s="1262"/>
      <c r="N39" s="1262"/>
      <c r="O39" s="1262"/>
      <c r="P39" s="1262"/>
      <c r="Q39" s="1262"/>
      <c r="R39" s="1262"/>
      <c r="S39" s="1262"/>
      <c r="T39" s="1262"/>
      <c r="U39" s="1262"/>
      <c r="V39" s="1262"/>
      <c r="W39" s="1262"/>
      <c r="X39" s="1262"/>
      <c r="Y39" s="1262"/>
      <c r="Z39" s="1262"/>
      <c r="AA39" s="1262"/>
      <c r="AB39" s="1262"/>
      <c r="AC39" s="1262"/>
      <c r="AD39" s="1263"/>
    </row>
    <row r="40" spans="11:31" ht="16.350000000000001" customHeight="1">
      <c r="K40" s="1260" t="str">
        <f ca="1">IF(OR(AND(M02S03F13="",M02S03F13disp="Required"),
AND(M02S03F14="",M02S03F14disp="Required"),
AND(M02S03F15="",M02S03F15disp="Required"),
AND(M02S03F16="",M02S03F16disp="Required"),
AND(M02S03F17="",M02S03F17disp="Required")),
"Missing Technical/Site Contact Info",M02S03F13&amp;" "&amp;M02S03F14)</f>
        <v>Missing Technical/Site Contact Info</v>
      </c>
      <c r="L40" s="892"/>
      <c r="M40" s="892"/>
      <c r="N40" s="892"/>
      <c r="O40" s="892"/>
      <c r="P40" s="892"/>
      <c r="Q40" s="892"/>
      <c r="R40" s="892"/>
      <c r="S40" s="892"/>
      <c r="T40" s="892"/>
      <c r="U40" s="267"/>
      <c r="V40" s="267"/>
      <c r="W40" s="267"/>
      <c r="X40" s="267"/>
      <c r="Y40" s="267"/>
      <c r="Z40" s="267"/>
      <c r="AA40" s="267"/>
      <c r="AB40" s="267"/>
      <c r="AC40" s="267"/>
      <c r="AD40" s="392"/>
      <c r="AE40" s="60"/>
    </row>
    <row r="41" spans="11:31" ht="16.350000000000001" customHeight="1">
      <c r="K41" s="1260" t="str">
        <f>IF(OR(M02S03F13="",M02S03F14="",M02S03F15="",M02S03F16="",M02S03F17=""),"",M02S03F15)</f>
        <v/>
      </c>
      <c r="L41" s="892"/>
      <c r="M41" s="892"/>
      <c r="N41" s="892"/>
      <c r="O41" s="892"/>
      <c r="P41" s="1267" t="str">
        <f>IF(OR(M02S03F13="",M02S03F14="",M02S03F15="",M02S03F16="",M02S03F17=""),"",M02S03F16)</f>
        <v/>
      </c>
      <c r="Q41" s="1267"/>
      <c r="R41" s="1267"/>
      <c r="S41" s="1267"/>
      <c r="T41" s="1267"/>
      <c r="U41" s="267"/>
      <c r="V41" s="267"/>
      <c r="W41" s="267"/>
      <c r="X41" s="267"/>
      <c r="Y41" s="267"/>
      <c r="Z41" s="267"/>
      <c r="AA41" s="267"/>
      <c r="AB41" s="267"/>
      <c r="AC41" s="267"/>
      <c r="AD41" s="392"/>
      <c r="AE41" s="60"/>
    </row>
    <row r="42" spans="11:31" ht="16.350000000000001" customHeight="1">
      <c r="K42" s="1260" t="str">
        <f>IF(OR(M02S03F13="",M02S03F14="",M02S03F15="",M02S03F16="",M02S03F17=""),"",M02S03F17)</f>
        <v/>
      </c>
      <c r="L42" s="892"/>
      <c r="M42" s="892"/>
      <c r="N42" s="892"/>
      <c r="O42" s="892"/>
      <c r="P42" s="892"/>
      <c r="Q42" s="892"/>
      <c r="R42" s="892"/>
      <c r="S42" s="892"/>
      <c r="T42" s="892"/>
      <c r="U42" s="267"/>
      <c r="V42" s="267"/>
      <c r="W42" s="267"/>
      <c r="X42" s="267"/>
      <c r="Y42" s="267"/>
      <c r="Z42" s="267"/>
      <c r="AA42" s="267"/>
      <c r="AB42" s="267"/>
      <c r="AC42" s="267"/>
      <c r="AD42" s="392"/>
    </row>
    <row r="43" spans="11:31" ht="16.350000000000001" customHeight="1">
      <c r="K43" s="1274" t="str">
        <f>M2S4</f>
        <v>Trade Ally / Contractor Information</v>
      </c>
      <c r="L43" s="1275"/>
      <c r="M43" s="1275"/>
      <c r="N43" s="1275"/>
      <c r="O43" s="1275"/>
      <c r="P43" s="1275"/>
      <c r="Q43" s="1275"/>
      <c r="R43" s="1275"/>
      <c r="S43" s="1275"/>
      <c r="T43" s="1275"/>
      <c r="U43" s="1273" t="str">
        <f ca="1">IF(COMPTA&lt;&gt;1,"Incomplete","")</f>
        <v>Incomplete</v>
      </c>
      <c r="V43" s="1273"/>
      <c r="W43" s="1273"/>
      <c r="X43" s="1273"/>
      <c r="Y43" s="1273"/>
      <c r="Z43" s="1273"/>
      <c r="AA43" s="1273"/>
      <c r="AB43" s="1271" t="s">
        <v>1548</v>
      </c>
      <c r="AC43" s="1271"/>
      <c r="AD43" s="1272"/>
    </row>
    <row r="44" spans="11:31" ht="16.350000000000001" customHeight="1">
      <c r="K44" s="1260" t="str">
        <f>IF(M02S04F01="","Missing TA/Contractor Info",IF(M02S04F01="None","No TA/Contractor",IF(M02S04F02="","Missing Company Name",M02S04F02)))</f>
        <v>Missing TA/Contractor Info</v>
      </c>
      <c r="L44" s="892"/>
      <c r="M44" s="892"/>
      <c r="N44" s="892"/>
      <c r="O44" s="892"/>
      <c r="P44" s="892"/>
      <c r="Q44" s="892"/>
      <c r="R44" s="892"/>
      <c r="S44" s="892"/>
      <c r="T44" s="892"/>
      <c r="U44" s="892" t="str">
        <f>IF(OR(M02S04F01="",M02S04F01="No"),"",IF(OR(M02S04F08="",M02S04F09="",M02S04F10="",M02S04F11="",M02S04F12=""),"Missing Contact Info",M02S04F08&amp;" "&amp;M02S04F09))</f>
        <v/>
      </c>
      <c r="V44" s="892"/>
      <c r="W44" s="892"/>
      <c r="X44" s="892"/>
      <c r="Y44" s="892"/>
      <c r="Z44" s="892" t="str">
        <f>IF(OR(M02S02F07="",M02S02F08="",M02S02F09="",M02S02F10="",M02S02F11="",$U$44=""),"",M02S04F10)</f>
        <v/>
      </c>
      <c r="AA44" s="892"/>
      <c r="AB44" s="892"/>
      <c r="AC44" s="892"/>
      <c r="AD44" s="1270"/>
    </row>
    <row r="45" spans="11:31" ht="16.350000000000001" customHeight="1">
      <c r="K45" s="1260" t="str">
        <f>IF(OR(M02S04F01="None",M02S04F01=""),"",IF(OR(M02S04F03="",M02S04F05="",M02S04F06="",M02S04F07=""),"Missing Address Info",M02S04F03))</f>
        <v/>
      </c>
      <c r="L45" s="892"/>
      <c r="M45" s="892"/>
      <c r="N45" s="892"/>
      <c r="O45" s="892"/>
      <c r="P45" s="892"/>
      <c r="Q45" s="892"/>
      <c r="R45" s="892"/>
      <c r="S45" s="892"/>
      <c r="T45" s="892"/>
      <c r="U45" s="1268" t="str">
        <f>IF(OR(M02S02F07="",M02S02F08="",M02S02F09="",M02S02F10="",M02S02F11="",$U$44=""),"","P: "&amp;TEXT(M02S04F11,"(###) ###-####")&amp;"  E: "&amp;M02S04F12)</f>
        <v/>
      </c>
      <c r="V45" s="1268"/>
      <c r="W45" s="1268"/>
      <c r="X45" s="1268"/>
      <c r="Y45" s="1268"/>
      <c r="Z45" s="1268"/>
      <c r="AA45" s="1268"/>
      <c r="AB45" s="1268"/>
      <c r="AC45" s="1268"/>
      <c r="AD45" s="1269"/>
    </row>
    <row r="46" spans="11:31" ht="16.350000000000001" customHeight="1">
      <c r="K46" s="1260" t="str">
        <f>IF(OR(M02S04F03="",M02S04F05="",M02S04F06="",M02S04F07="",$K$45=""),"",M02S04F05)</f>
        <v/>
      </c>
      <c r="L46" s="892"/>
      <c r="M46" s="892"/>
      <c r="N46" s="892"/>
      <c r="O46" s="892"/>
      <c r="P46" s="892" t="str">
        <f>IF(OR(M02S04F03="",M02S04F05="",M02S04F06="",M02S04F07="",$K$45=""),"",M02S04F06)</f>
        <v/>
      </c>
      <c r="Q46" s="892"/>
      <c r="R46" s="1277" t="str">
        <f>IF(OR(M02S04F03="",M02S04F05="",M02S04F06="",M02S04F07="",$K$45=""),"",M02S04F07)</f>
        <v/>
      </c>
      <c r="S46" s="1277"/>
      <c r="T46" s="1277"/>
      <c r="U46" s="892" t="str">
        <f>IF(M02S04F01="None","",IF(AND(M02S04F13="",M02S04F14="",M02S04F15="",M02S04F16="",M02S04F17=""),"",IF(AND(OR(M02S04F13&lt;&gt;"",M02S04F14&lt;&gt;"",M02S04F15&lt;&gt;"",M02S04F16&lt;&gt;"",M02S04F17&lt;&gt;""),OR(M02S04F13="",M02S04F14="",M02S04F15="",M02S04F16="",M02S04F17="")),"Missing Contact Info",M02S04F13&amp;" "&amp;M02S04F14)))</f>
        <v/>
      </c>
      <c r="V46" s="892"/>
      <c r="W46" s="892"/>
      <c r="X46" s="892"/>
      <c r="Y46" s="892"/>
      <c r="Z46" s="892" t="str">
        <f>IF(M02S04F01="None","",IF(AND(M02S04F13="",M02S04F14="",M02S04F15="",M02S04F16="",M02S04F17=""),"",IF(AND(OR(M02S04F13&lt;&gt;"",M02S04F14&lt;&gt;"",M02S04F15&lt;&gt;"",M02S04F16&lt;&gt;"",M02S04F17&lt;&gt;""),OR(M02S04F13="",M02S04F14="",M02S04F15="",M02S04F16="",M02S04F17="")),"",M02S04F15)))</f>
        <v/>
      </c>
      <c r="AA46" s="892"/>
      <c r="AB46" s="892"/>
      <c r="AC46" s="892"/>
      <c r="AD46" s="1270"/>
    </row>
    <row r="47" spans="11:31" ht="16.350000000000001" customHeight="1">
      <c r="K47" s="391"/>
      <c r="L47" s="267"/>
      <c r="M47" s="267"/>
      <c r="N47" s="267"/>
      <c r="O47" s="267"/>
      <c r="P47" s="267"/>
      <c r="Q47" s="267"/>
      <c r="R47" s="267"/>
      <c r="S47" s="267"/>
      <c r="T47" s="267"/>
      <c r="U47" s="1268" t="str">
        <f>IF(M02S04F01="None","",IF(AND(M02S04F13="",M02S04F14="",M02S04F15="",M02S04F16="",M02S04F17=""),"",IF(AND(OR(M02S04F13&lt;&gt;"",M02S04F14&lt;&gt;"",M02S04F15&lt;&gt;"",M02S04F16&lt;&gt;"",M02S04F17&lt;&gt;""),OR(M02S04F13="",M02S04F14="",M02S04F15="",M02S04F16="",M02S04F17="")),"","P: "&amp;TEXT(M02S04F16,"(###) ###-####")&amp;"  E: "&amp;M02S04F17)))</f>
        <v/>
      </c>
      <c r="V47" s="1268"/>
      <c r="W47" s="1268"/>
      <c r="X47" s="1268"/>
      <c r="Y47" s="1268"/>
      <c r="Z47" s="1268"/>
      <c r="AA47" s="1268"/>
      <c r="AB47" s="1268"/>
      <c r="AC47" s="1268"/>
      <c r="AD47" s="1269"/>
    </row>
    <row r="48" spans="11:31" ht="16.350000000000001" customHeight="1">
      <c r="K48" s="1274" t="str">
        <f>M5S1a</f>
        <v>Payment</v>
      </c>
      <c r="L48" s="1275"/>
      <c r="M48" s="1275"/>
      <c r="N48" s="1275"/>
      <c r="O48" s="1275"/>
      <c r="P48" s="1275"/>
      <c r="Q48" s="1275"/>
      <c r="R48" s="1275"/>
      <c r="S48" s="1275"/>
      <c r="T48" s="1275"/>
      <c r="U48" s="1273" t="str">
        <f ca="1">IF(COMPPAY&lt;&gt;1,"Incomplete","")</f>
        <v>Incomplete</v>
      </c>
      <c r="V48" s="1273"/>
      <c r="W48" s="1273"/>
      <c r="X48" s="1273"/>
      <c r="Y48" s="1273"/>
      <c r="Z48" s="1273"/>
      <c r="AA48" s="1273"/>
      <c r="AB48" s="1271" t="s">
        <v>1548</v>
      </c>
      <c r="AC48" s="1271"/>
      <c r="AD48" s="1272"/>
    </row>
    <row r="49" spans="11:30" ht="16.350000000000001" customHeight="1">
      <c r="K49" s="391" t="str">
        <f>IF(M05S01AF01="","Missing Payee Type","Check Made to: "&amp;M05S01AF01)</f>
        <v>Missing Payee Type</v>
      </c>
      <c r="L49" s="267"/>
      <c r="M49" s="267"/>
      <c r="N49" s="267"/>
      <c r="O49" s="267"/>
      <c r="P49" s="267"/>
      <c r="Q49" s="267"/>
      <c r="R49" s="267"/>
      <c r="S49" s="267"/>
      <c r="T49" s="267"/>
      <c r="U49" s="267"/>
      <c r="V49" s="267"/>
      <c r="W49" s="267"/>
      <c r="X49" s="267"/>
      <c r="Y49" s="267"/>
      <c r="Z49" s="267"/>
      <c r="AA49" s="267"/>
      <c r="AB49" s="267"/>
      <c r="AC49" s="267"/>
      <c r="AD49" s="392"/>
    </row>
    <row r="50" spans="11:30" ht="16.350000000000001" customHeight="1">
      <c r="K50" s="1260" t="str">
        <f>IF(OR(M05S01AF02=0,M05S01AF02=""),"Missing Company Name",M05S01AF02)</f>
        <v>Missing Company Name</v>
      </c>
      <c r="L50" s="892"/>
      <c r="M50" s="892"/>
      <c r="N50" s="892"/>
      <c r="O50" s="892"/>
      <c r="P50" s="892"/>
      <c r="Q50" s="892"/>
      <c r="R50" s="892"/>
      <c r="S50" s="892"/>
      <c r="T50" s="892"/>
      <c r="U50" s="267"/>
      <c r="V50" s="267"/>
      <c r="W50" s="267"/>
      <c r="X50" s="267"/>
      <c r="Y50" s="267"/>
      <c r="Z50" s="267"/>
      <c r="AA50" s="267"/>
      <c r="AB50" s="267"/>
      <c r="AC50" s="267"/>
      <c r="AD50" s="392"/>
    </row>
    <row r="51" spans="11:30" ht="16.350000000000001" customHeight="1">
      <c r="K51" s="391" t="str">
        <f>IF(M05S01AF03="","Missing Tax Entity","Tax Entity: "&amp;M05S01AF03)</f>
        <v>Missing Tax Entity</v>
      </c>
      <c r="L51" s="267"/>
      <c r="M51" s="267"/>
      <c r="N51" s="267"/>
      <c r="O51" s="267"/>
      <c r="P51" s="267"/>
      <c r="Q51" s="267"/>
      <c r="R51" s="267"/>
      <c r="S51" s="267"/>
      <c r="T51" s="267"/>
      <c r="U51" s="267" t="str">
        <f>IF(OR(M05S01AF04="",M05S01AF05=""),"Missing Tax ID","Tax ID: "&amp;M05S01AF04&amp;"-"&amp;M05S01AF05)</f>
        <v>Missing Tax ID</v>
      </c>
      <c r="V51" s="267"/>
      <c r="W51" s="267"/>
      <c r="X51" s="267"/>
      <c r="Y51" s="267"/>
      <c r="Z51" s="267"/>
      <c r="AA51" s="267"/>
      <c r="AB51" s="267"/>
      <c r="AC51" s="267"/>
      <c r="AD51" s="392"/>
    </row>
    <row r="52" spans="11:30" ht="16.350000000000001" customHeight="1">
      <c r="K52" s="1260" t="str">
        <f>IF(OR(M05S01AF06="",M05S01AF07="",M05S01AF09="",M05S01AF10=""),"Missing Payee Contact Info",M05S01AF06&amp;" "&amp;M05S01AF07)</f>
        <v>Missing Payee Contact Info</v>
      </c>
      <c r="L52" s="892"/>
      <c r="M52" s="892"/>
      <c r="N52" s="892"/>
      <c r="O52" s="892"/>
      <c r="P52" s="892"/>
      <c r="Q52" s="892"/>
      <c r="R52" s="892"/>
      <c r="S52" s="892"/>
      <c r="T52" s="892"/>
      <c r="U52" s="892" t="str">
        <f>IF(OR(M05S01AF08="",M05S01AF11="",M05S01AF12="",M05S01AF13=""),"Missing Mailing Address Info",M05S01AF08)</f>
        <v>Missing Mailing Address Info</v>
      </c>
      <c r="V52" s="892"/>
      <c r="W52" s="892"/>
      <c r="X52" s="892"/>
      <c r="Y52" s="892"/>
      <c r="Z52" s="892"/>
      <c r="AA52" s="892"/>
      <c r="AB52" s="892"/>
      <c r="AC52" s="892"/>
      <c r="AD52" s="1270"/>
    </row>
    <row r="53" spans="11:30" ht="16.350000000000001" customHeight="1">
      <c r="K53" s="1266" t="str">
        <f>IF(OR(M05S01AF06="",M05S01AF07="",M05S01AF09="",M05S01AF10=""),"",M05S01AF09)</f>
        <v/>
      </c>
      <c r="L53" s="1267"/>
      <c r="M53" s="1267"/>
      <c r="N53" s="1267"/>
      <c r="O53" s="1267"/>
      <c r="P53" s="267"/>
      <c r="Q53" s="267"/>
      <c r="R53" s="267"/>
      <c r="S53" s="267"/>
      <c r="T53" s="267"/>
      <c r="U53" s="892" t="str">
        <f>IF(OR(M05S01AF08="",M05S01AF11="",M05S01AF12="",M05S01AF13=""),"",M05S01AF11)</f>
        <v/>
      </c>
      <c r="V53" s="892"/>
      <c r="W53" s="892"/>
      <c r="X53" s="892"/>
      <c r="Y53" s="892"/>
      <c r="Z53" s="892" t="str">
        <f>IF(OR(M05S01AF08="",M05S01AF11="",M05S01AF12="",M05S01AF13=""),"",M05S01AF12)</f>
        <v/>
      </c>
      <c r="AA53" s="892"/>
      <c r="AB53" s="1280" t="str">
        <f>IF(OR(M05S01AF08="",M05S01AF11="",M05S01AF12="",M05S01AF13=""),"",M05S01AF13)</f>
        <v/>
      </c>
      <c r="AC53" s="1280"/>
      <c r="AD53" s="1281"/>
    </row>
    <row r="54" spans="11:30" ht="16.350000000000001" customHeight="1">
      <c r="K54" s="1260" t="str">
        <f>IF(OR(M05S01AF06="",M05S01AF07="",M05S01AF09="",M05S01AF10=""),"",M05S01AF10)</f>
        <v/>
      </c>
      <c r="L54" s="892"/>
      <c r="M54" s="892"/>
      <c r="N54" s="892"/>
      <c r="O54" s="892"/>
      <c r="P54" s="892"/>
      <c r="Q54" s="892"/>
      <c r="R54" s="892"/>
      <c r="S54" s="892"/>
      <c r="T54" s="892"/>
      <c r="U54" s="267"/>
      <c r="V54" s="267"/>
      <c r="W54" s="267"/>
      <c r="X54" s="267"/>
      <c r="Y54" s="267"/>
      <c r="Z54" s="267"/>
      <c r="AA54" s="267"/>
      <c r="AB54" s="267"/>
      <c r="AC54" s="267"/>
      <c r="AD54" s="392"/>
    </row>
    <row r="55" spans="11:30" ht="16.350000000000001" customHeight="1">
      <c r="K55" s="391" t="s">
        <v>1553</v>
      </c>
      <c r="L55" s="267"/>
      <c r="M55" s="267"/>
      <c r="N55" s="267"/>
      <c r="O55" s="267"/>
      <c r="P55" s="267"/>
      <c r="Q55" s="267"/>
      <c r="R55" s="267"/>
      <c r="S55" s="267"/>
      <c r="T55" s="267"/>
      <c r="U55" s="267"/>
      <c r="V55" s="267"/>
      <c r="W55" s="267"/>
      <c r="X55" s="267"/>
      <c r="Y55" s="267"/>
      <c r="Z55" s="267"/>
      <c r="AA55" s="267"/>
      <c r="AB55" s="267"/>
      <c r="AC55" s="267"/>
      <c r="AD55" s="392"/>
    </row>
    <row r="56" spans="11:30" ht="16.350000000000001" customHeight="1">
      <c r="K56" s="391" t="str">
        <f>IF(M05S01AF01&lt;&gt;"Trade Ally","",IF(OR(M05S01AF14="",M05S01AF15="",M05S01AF16=""),"Missing Payment Release Authorization",M05S01AF14))</f>
        <v/>
      </c>
      <c r="L56" s="267"/>
      <c r="M56" s="267"/>
      <c r="N56" s="267"/>
      <c r="O56" s="267"/>
      <c r="P56" s="267"/>
      <c r="Q56" s="267"/>
      <c r="R56" s="267"/>
      <c r="S56" s="267"/>
      <c r="T56" s="267"/>
      <c r="U56" s="267" t="str">
        <f>IF(OR(M05S01AF14="",M05S01AF15="",M05S01AF16=""),"",M05S01AF15)</f>
        <v/>
      </c>
      <c r="V56" s="267"/>
      <c r="W56" s="267"/>
      <c r="X56" s="267"/>
      <c r="Y56" s="267"/>
      <c r="Z56" s="267"/>
      <c r="AA56" s="267"/>
      <c r="AB56" s="1264" t="str">
        <f>IF(OR(M05S01AF14="",M05S01AF15="",M05S01AF16=""),"",M05S01AF16)</f>
        <v/>
      </c>
      <c r="AC56" s="1264"/>
      <c r="AD56" s="1265"/>
    </row>
    <row r="57" spans="11:30" ht="16.350000000000001" customHeight="1">
      <c r="K57" s="1251" t="str">
        <f>M5S1b&amp; " Application"</f>
        <v>On-Bill Repayment Application</v>
      </c>
      <c r="L57" s="1252"/>
      <c r="M57" s="1252"/>
      <c r="N57" s="1252"/>
      <c r="O57" s="1252"/>
      <c r="P57" s="1252"/>
      <c r="Q57" s="1252"/>
      <c r="R57" s="1252"/>
      <c r="S57" s="1252"/>
      <c r="T57" s="1252"/>
      <c r="U57" s="1253" t="str">
        <f ca="1">IF(COMPOBR&lt;&gt;1,"Incomplete","")</f>
        <v>Incomplete</v>
      </c>
      <c r="V57" s="1253"/>
      <c r="W57" s="1253"/>
      <c r="X57" s="1253"/>
      <c r="Y57" s="1253"/>
      <c r="Z57" s="1253"/>
      <c r="AA57" s="1253"/>
      <c r="AB57" s="1254" t="s">
        <v>1548</v>
      </c>
      <c r="AC57" s="1254"/>
      <c r="AD57" s="1255"/>
    </row>
    <row r="58" spans="11:30" ht="16.350000000000001" customHeight="1">
      <c r="K58" s="1260" t="str">
        <f>"Applying for OBR: "&amp;M05S01BF01</f>
        <v xml:space="preserve">Applying for OBR: </v>
      </c>
      <c r="L58" s="892"/>
      <c r="M58" s="892"/>
      <c r="N58" s="892"/>
      <c r="O58" s="892"/>
      <c r="P58" s="892"/>
      <c r="Q58" s="1276" t="str">
        <f>IF(OR(M05S01BF02="",M05S01BF02="No"),"","Assigning to TA: "&amp;M05S01BF02)</f>
        <v/>
      </c>
      <c r="R58" s="1276"/>
      <c r="S58" s="1276"/>
      <c r="T58" s="1276"/>
      <c r="U58" s="1276"/>
      <c r="V58" s="1299" t="str">
        <f>IF(OR(M05S01BF01="",M05S01BF01="No"),"","Amount Requested: "&amp;TEXT(OBR_Amount_Requested,"$#,##0.00"))</f>
        <v/>
      </c>
      <c r="W58" s="1299"/>
      <c r="X58" s="1299"/>
      <c r="Y58" s="1299"/>
      <c r="Z58" s="1299"/>
      <c r="AA58" s="1299"/>
      <c r="AB58" s="1299"/>
      <c r="AC58" s="1299"/>
      <c r="AD58" s="1300"/>
    </row>
    <row r="59" spans="11:30" ht="16.350000000000001" customHeight="1">
      <c r="K59" s="1261" t="s">
        <v>1551</v>
      </c>
      <c r="L59" s="1262"/>
      <c r="M59" s="1262"/>
      <c r="N59" s="1262"/>
      <c r="O59" s="1262"/>
      <c r="P59" s="1262"/>
      <c r="Q59" s="1262"/>
      <c r="R59" s="1262"/>
      <c r="S59" s="1262"/>
      <c r="T59" s="1262"/>
      <c r="U59" s="1262"/>
      <c r="V59" s="1262"/>
      <c r="W59" s="1262"/>
      <c r="X59" s="1262"/>
      <c r="Y59" s="1262"/>
      <c r="Z59" s="1262"/>
      <c r="AA59" s="1262"/>
      <c r="AB59" s="1262"/>
      <c r="AC59" s="1262"/>
      <c r="AD59" s="1263"/>
    </row>
    <row r="60" spans="11:30" ht="16.350000000000001" customHeight="1">
      <c r="K60" s="393" t="s">
        <v>1554</v>
      </c>
      <c r="L60" s="283"/>
      <c r="M60" s="283"/>
      <c r="N60" s="283"/>
      <c r="O60" s="283"/>
      <c r="P60" s="283"/>
      <c r="Q60" s="394"/>
      <c r="R60" s="394"/>
      <c r="S60" s="394"/>
      <c r="T60" s="394"/>
      <c r="U60" s="394"/>
      <c r="V60" s="395"/>
      <c r="W60" s="395"/>
      <c r="X60" s="395"/>
      <c r="Y60" s="395"/>
      <c r="Z60" s="395"/>
      <c r="AA60" s="395"/>
      <c r="AB60" s="395"/>
      <c r="AC60" s="395"/>
      <c r="AD60" s="396"/>
    </row>
    <row r="61" spans="11:30" ht="16.350000000000001" customHeight="1">
      <c r="K61" s="1260" t="str">
        <f>IF(M05S01BF01="No","",IF(M05S01BF03="","Missing Company Name",M05S01BF03))</f>
        <v>Missing Company Name</v>
      </c>
      <c r="L61" s="892"/>
      <c r="M61" s="892"/>
      <c r="N61" s="892"/>
      <c r="O61" s="892"/>
      <c r="P61" s="892"/>
      <c r="Q61" s="892"/>
      <c r="R61" s="892"/>
      <c r="S61" s="892"/>
      <c r="T61" s="892"/>
      <c r="U61" s="267"/>
      <c r="V61" s="267"/>
      <c r="W61" s="267"/>
      <c r="X61" s="267"/>
      <c r="Y61" s="267"/>
      <c r="Z61" s="267"/>
      <c r="AA61" s="267"/>
      <c r="AB61" s="267"/>
      <c r="AC61" s="267"/>
      <c r="AD61" s="392"/>
    </row>
    <row r="62" spans="11:30" ht="16.350000000000001" customHeight="1">
      <c r="K62" s="1260" t="str">
        <f>IF(M05S01BF01="No","",IF(OR(M05S01BF21="",M05S01BF23="",M05S01BF24="",M05S01BF25=""),"Missing Address Info",M05S01BF21))</f>
        <v>Missing Address Info</v>
      </c>
      <c r="L62" s="892"/>
      <c r="M62" s="892"/>
      <c r="N62" s="892"/>
      <c r="O62" s="892"/>
      <c r="P62" s="892"/>
      <c r="Q62" s="892"/>
      <c r="R62" s="892"/>
      <c r="S62" s="892"/>
      <c r="T62" s="892"/>
      <c r="U62" s="892" t="str">
        <f>IF(OR(M05S01BF21="",M05S01BF23="",M05S01BF24="",M05S01BF25=""),"",M05S01BF23)</f>
        <v/>
      </c>
      <c r="V62" s="892"/>
      <c r="W62" s="892"/>
      <c r="X62" s="892"/>
      <c r="Y62" s="892"/>
      <c r="Z62" s="892" t="str">
        <f>IF(OR(M05S01BF21="",M05S01BF23="",M05S01BF24="",M05S01BF25=""),"",M05S01BF24)</f>
        <v/>
      </c>
      <c r="AA62" s="892"/>
      <c r="AB62" s="1280" t="str">
        <f>IF(OR(M05S01BF21="",M05S01BF23="",M05S01BF24="",M05S01BF25=""),"",M05S01BF25)</f>
        <v/>
      </c>
      <c r="AC62" s="1280"/>
      <c r="AD62" s="1281"/>
    </row>
    <row r="63" spans="11:30" ht="16.350000000000001" customHeight="1">
      <c r="K63" s="1260" t="str">
        <f>IF(M05S01BF01="No","",IF(OR(M05S01BF08="",M05S01BF09="",M05S01BF14="",M05S01BF15=""),"Missing Main Contact Info",M05S01BF08&amp;" "&amp;M05S01BF09))</f>
        <v>Missing Main Contact Info</v>
      </c>
      <c r="L63" s="892"/>
      <c r="M63" s="892"/>
      <c r="N63" s="892"/>
      <c r="O63" s="892"/>
      <c r="P63" s="892"/>
      <c r="Q63" s="892"/>
      <c r="R63" s="892"/>
      <c r="S63" s="892"/>
      <c r="T63" s="892"/>
      <c r="AD63" s="397"/>
    </row>
    <row r="64" spans="11:30" ht="16.350000000000001" customHeight="1">
      <c r="K64" s="1266" t="str">
        <f>IF(OR(M05S01BF08="",M05S01BF09="",M05S01BF14="",M05S01BF15=""),"",M05S01BF14)</f>
        <v/>
      </c>
      <c r="L64" s="1267"/>
      <c r="M64" s="1267"/>
      <c r="N64" s="1267"/>
      <c r="O64" s="1267"/>
      <c r="S64" s="892" t="str">
        <f>IF(OR(M05S01BF08="",M05S01BF09="",M05S01BF14="",M05S01BF15=""),"",M05S01BF15)</f>
        <v/>
      </c>
      <c r="T64" s="892"/>
      <c r="U64" s="892"/>
      <c r="V64" s="892"/>
      <c r="W64" s="892"/>
      <c r="X64" s="892"/>
      <c r="Y64" s="892"/>
      <c r="Z64" s="892"/>
      <c r="AA64" s="892"/>
      <c r="AB64" s="892"/>
      <c r="AD64" s="397"/>
    </row>
    <row r="65" spans="11:30" ht="16.350000000000001" customHeight="1">
      <c r="K65" s="391" t="e">
        <f>IF(M05S01BF01="No","",IF(M05S01BF04="","Missing Tax Entity","Tax Entity: "&amp;M05S01BF04))</f>
        <v>#REF!</v>
      </c>
      <c r="L65" s="267"/>
      <c r="M65" s="267"/>
      <c r="N65" s="267"/>
      <c r="O65" s="267"/>
      <c r="P65" s="267"/>
      <c r="Q65" s="267"/>
      <c r="R65" s="267"/>
      <c r="S65" s="267" t="e">
        <f>IF(M05S01BF01="No","",IF(OR(M05S01BF05="",M05S01BF06=""),"Missing Tax ID","Tax ID: "&amp;M05S01BF05&amp;"-"&amp;M05S01BF06))</f>
        <v>#REF!</v>
      </c>
      <c r="T65" s="267"/>
      <c r="U65" s="267"/>
      <c r="V65" s="267"/>
      <c r="W65" s="267"/>
      <c r="X65" s="1276" t="str">
        <f>IF(M05S01BF01="No","",IF(M05S01BF10="","Missing BIN","BIN: "&amp;M05S01BF10))</f>
        <v>Missing BIN</v>
      </c>
      <c r="Y65" s="1276"/>
      <c r="Z65" s="1276"/>
      <c r="AA65" s="1276"/>
      <c r="AB65" s="892" t="str">
        <f>IF(M05S01BF01="No","",IF(M05S01BF17="","Missing Ref","Ref: "&amp;M05S01BF17))</f>
        <v>Missing Ref</v>
      </c>
      <c r="AC65" s="892"/>
      <c r="AD65" s="1270"/>
    </row>
    <row r="66" spans="11:30" ht="16.350000000000001" customHeight="1">
      <c r="K66" s="1261" t="s">
        <v>1551</v>
      </c>
      <c r="L66" s="1262"/>
      <c r="M66" s="1262"/>
      <c r="N66" s="1262"/>
      <c r="O66" s="1262"/>
      <c r="P66" s="1262"/>
      <c r="Q66" s="1262"/>
      <c r="R66" s="1262"/>
      <c r="S66" s="1262"/>
      <c r="T66" s="1262"/>
      <c r="U66" s="1262"/>
      <c r="V66" s="1262"/>
      <c r="W66" s="1262"/>
      <c r="X66" s="1262"/>
      <c r="Y66" s="1262"/>
      <c r="Z66" s="1262"/>
      <c r="AA66" s="1262"/>
      <c r="AB66" s="1262"/>
      <c r="AC66" s="1262"/>
      <c r="AD66" s="1263"/>
    </row>
    <row r="67" spans="11:30" ht="16.350000000000001" customHeight="1">
      <c r="K67" s="393" t="s">
        <v>1555</v>
      </c>
      <c r="L67" s="398"/>
      <c r="M67" s="398"/>
      <c r="N67" s="398"/>
      <c r="O67" s="398"/>
      <c r="P67" s="398"/>
      <c r="Q67" s="398"/>
      <c r="R67" s="398"/>
      <c r="S67" s="398"/>
      <c r="T67" s="398"/>
      <c r="U67" s="398"/>
      <c r="V67" s="398"/>
      <c r="W67" s="398"/>
      <c r="X67" s="398"/>
      <c r="Y67" s="398"/>
      <c r="Z67" s="398"/>
      <c r="AA67" s="398"/>
      <c r="AB67" s="398"/>
      <c r="AC67" s="398"/>
      <c r="AD67" s="399"/>
    </row>
    <row r="68" spans="11:30" ht="16.350000000000001" customHeight="1">
      <c r="K68" s="391" t="str">
        <f>IF(M05S01BF01="No","",IF(M05S01BF07="","Missing Company Name",M05S01BF07))</f>
        <v>Missing Company Name</v>
      </c>
      <c r="L68" s="267"/>
      <c r="M68" s="267"/>
      <c r="N68" s="267"/>
      <c r="O68" s="267"/>
      <c r="P68" s="267"/>
      <c r="Q68" s="267"/>
      <c r="R68" s="267"/>
      <c r="S68" s="267"/>
      <c r="T68" s="267"/>
      <c r="U68" s="267"/>
      <c r="V68" s="267"/>
      <c r="W68" s="267"/>
      <c r="X68" s="267"/>
      <c r="Y68" s="267"/>
      <c r="Z68" s="267"/>
      <c r="AA68" s="267"/>
      <c r="AB68" s="267"/>
      <c r="AC68" s="267"/>
      <c r="AD68" s="392"/>
    </row>
    <row r="69" spans="11:30" ht="16.350000000000001" customHeight="1">
      <c r="K69" s="1260" t="str">
        <f>IF(M05S01BF01="No","",IF(OR(M05S01BF22="",M05S01BF27="",M05S01BF28="",M05S01BF29=""),"Missing Address Info",M05S01BF22))</f>
        <v>Missing Address Info</v>
      </c>
      <c r="L69" s="892"/>
      <c r="M69" s="892"/>
      <c r="N69" s="892"/>
      <c r="O69" s="892"/>
      <c r="P69" s="892"/>
      <c r="Q69" s="892"/>
      <c r="R69" s="892"/>
      <c r="S69" s="892"/>
      <c r="T69" s="892"/>
      <c r="U69" s="892" t="str">
        <f>IF(OR(M05S01BF22="",M05S01BF27="",M05S01BF28="",M05S01BF29="",$K$69=""),"",M05S01BF27)</f>
        <v/>
      </c>
      <c r="V69" s="892"/>
      <c r="W69" s="892"/>
      <c r="X69" s="892"/>
      <c r="Y69" s="892"/>
      <c r="Z69" s="892" t="str">
        <f>IF(OR(M05S01BF22="",M05S01BF27="",M05S01BF28="",M05S01BF29="",$K$69=""),"",M05S01BF28)</f>
        <v/>
      </c>
      <c r="AA69" s="892"/>
      <c r="AB69" s="1280" t="str">
        <f>IF(OR(M05S01BF22="",M05S01BF27="",M05S01BF28="",M05S01BF29="",$K$69=""),"",M05S01BF29)</f>
        <v/>
      </c>
      <c r="AC69" s="1280"/>
      <c r="AD69" s="1281"/>
    </row>
    <row r="70" spans="11:30" ht="16.350000000000001" customHeight="1">
      <c r="K70" s="1260" t="str">
        <f>IF(OR(M05S01BF01="",M05S01BF01="No"),"",IF(OR(M05S01BF11="",M05S01BF12="",M05S01BF19="",M05S01BF20=""),"Missing Contact Info",M05S01BF11&amp;" "&amp;M05S01BF12))</f>
        <v/>
      </c>
      <c r="L70" s="892"/>
      <c r="M70" s="892"/>
      <c r="N70" s="892"/>
      <c r="O70" s="892"/>
      <c r="P70" s="892"/>
      <c r="Q70" s="892"/>
      <c r="R70" s="892"/>
      <c r="S70" s="892"/>
      <c r="T70" s="892"/>
      <c r="AD70" s="397"/>
    </row>
    <row r="71" spans="11:30" ht="16.350000000000001" customHeight="1">
      <c r="K71" s="1266" t="str">
        <f>IF(OR(M05S01BF11="",M05S01BF12="",M05S01BF19="",M05S01BF20="",$K$70=""),"",M05S01BF19)</f>
        <v/>
      </c>
      <c r="L71" s="1267"/>
      <c r="M71" s="1267"/>
      <c r="N71" s="1267"/>
      <c r="O71" s="1267"/>
      <c r="S71" s="892" t="str">
        <f>IF(OR(M05S01BF11="",M05S01BF12="",M05S01BF19="",M05S01BF20="",$K$70=""),"",M05S01BF20)</f>
        <v/>
      </c>
      <c r="T71" s="892"/>
      <c r="U71" s="892"/>
      <c r="V71" s="892"/>
      <c r="W71" s="892"/>
      <c r="X71" s="892"/>
      <c r="Y71" s="892"/>
      <c r="Z71" s="892"/>
      <c r="AA71" s="892"/>
      <c r="AB71" s="892"/>
      <c r="AD71" s="397"/>
    </row>
    <row r="72" spans="11:30" ht="16.350000000000001" customHeight="1">
      <c r="K72" s="391" t="str">
        <f>IF(OR(M05S01BF01="",M05S01BF01="No"),"",IF(M05S01BF33="","Missing Tax Entity","Tax Entity: "&amp;M05S01BF33))</f>
        <v/>
      </c>
      <c r="L72" s="267"/>
      <c r="M72" s="267"/>
      <c r="N72" s="267"/>
      <c r="O72" s="267"/>
      <c r="P72" s="267"/>
      <c r="Q72" s="267"/>
      <c r="R72" s="267"/>
      <c r="S72" s="267" t="str">
        <f>IF(OR(M05S01BF01="",M05S01BF01="No"),"",IF(OR(M05S01BF34="",M05S01BF35=""),"Missing Tax ID","Tax ID: "&amp;M05S01BF34&amp;"-"&amp;M05S01BF35))</f>
        <v/>
      </c>
      <c r="AD72" s="397"/>
    </row>
    <row r="73" spans="11:30" ht="16.350000000000001" customHeight="1">
      <c r="K73" s="1256" t="str">
        <f>IF(M05S01BF01="No","",IF(OR(M05S01BF30="",M05S01BF31="",M05S01BF32=""),"Missing Signature Info",M05S01BF30))</f>
        <v>Missing Signature Info</v>
      </c>
      <c r="L73" s="1257"/>
      <c r="M73" s="1257"/>
      <c r="N73" s="1257"/>
      <c r="O73" s="1257"/>
      <c r="P73" s="1257"/>
      <c r="Q73" s="1257"/>
      <c r="R73" s="1257"/>
      <c r="S73" s="1257"/>
      <c r="T73" s="1257"/>
      <c r="U73" s="1257" t="str">
        <f>IF(OR(M05S01BF30="",M05S01BF31="",M05S01BF32=""),"",M05S01BF31)</f>
        <v/>
      </c>
      <c r="V73" s="1257"/>
      <c r="W73" s="1257"/>
      <c r="X73" s="1257"/>
      <c r="Y73" s="1257"/>
      <c r="Z73" s="1257"/>
      <c r="AA73" s="1257"/>
      <c r="AB73" s="1264" t="str">
        <f>IF(OR(M05S01BF30="",M05S01BF31="",M05S01BF32=""),"",M05S01BF32)</f>
        <v/>
      </c>
      <c r="AC73" s="1264"/>
      <c r="AD73" s="1265"/>
    </row>
    <row r="74" spans="11:30" ht="16.350000000000001" customHeight="1">
      <c r="K74" s="1251" t="str">
        <f>M2S1</f>
        <v>Terms &amp; Conditions</v>
      </c>
      <c r="L74" s="1252"/>
      <c r="M74" s="1252"/>
      <c r="N74" s="1252"/>
      <c r="O74" s="1252"/>
      <c r="P74" s="1252"/>
      <c r="Q74" s="1252"/>
      <c r="R74" s="1252"/>
      <c r="S74" s="1252"/>
      <c r="T74" s="1252"/>
      <c r="U74" s="1253" t="str">
        <f ca="1">IF(COMPTERMS&lt;&gt;1,"Incomplete","")</f>
        <v>Incomplete</v>
      </c>
      <c r="V74" s="1253"/>
      <c r="W74" s="1253"/>
      <c r="X74" s="1253"/>
      <c r="Y74" s="1253"/>
      <c r="Z74" s="1253"/>
      <c r="AA74" s="1253"/>
      <c r="AB74" s="1254" t="s">
        <v>1548</v>
      </c>
      <c r="AC74" s="1254"/>
      <c r="AD74" s="1255"/>
    </row>
    <row r="75" spans="11:30" ht="16.350000000000001" customHeight="1">
      <c r="K75" s="1256" t="str">
        <f>IF(OR(M02S01F01="",M02S01F02="",M02S01F03=""),"Missing Signature Info",M02S01F01)</f>
        <v>Missing Signature Info</v>
      </c>
      <c r="L75" s="1257"/>
      <c r="M75" s="1257"/>
      <c r="N75" s="1257"/>
      <c r="O75" s="1257"/>
      <c r="P75" s="1257"/>
      <c r="Q75" s="1257"/>
      <c r="R75" s="1257"/>
      <c r="S75" s="1257"/>
      <c r="T75" s="1257" t="str">
        <f>IF(OR(M02S01F01="",M02S01F02="",M02S01F03=""),"",M02S01F02)</f>
        <v/>
      </c>
      <c r="U75" s="1257"/>
      <c r="V75" s="1257"/>
      <c r="W75" s="1257"/>
      <c r="X75" s="1257"/>
      <c r="Y75" s="1257"/>
      <c r="Z75" s="1257"/>
      <c r="AA75" s="1257"/>
      <c r="AB75" s="1258" t="str">
        <f>IF(OR(M02S01F01="",M02S01F02="",M02S01F03=""),"",M02S01F03)</f>
        <v/>
      </c>
      <c r="AC75" s="1258"/>
      <c r="AD75" s="1259"/>
    </row>
    <row r="76" spans="11:30" ht="16.350000000000001" customHeight="1">
      <c r="K76" s="1251" t="s">
        <v>1556</v>
      </c>
      <c r="L76" s="1252"/>
      <c r="M76" s="1252"/>
      <c r="N76" s="1252"/>
      <c r="O76" s="1252"/>
      <c r="P76" s="1252"/>
      <c r="Q76" s="1252"/>
      <c r="R76" s="1252"/>
      <c r="S76" s="1252"/>
      <c r="T76" s="1252"/>
      <c r="U76" s="1253" t="str">
        <f ca="1">IF(K77="Missing Union Info","Incomplete","")</f>
        <v>Incomplete</v>
      </c>
      <c r="V76" s="1253"/>
      <c r="W76" s="1253"/>
      <c r="X76" s="1253"/>
      <c r="Y76" s="1253"/>
      <c r="Z76" s="1253"/>
      <c r="AA76" s="1253"/>
      <c r="AB76" s="1254" t="s">
        <v>1548</v>
      </c>
      <c r="AC76" s="1254"/>
      <c r="AD76" s="1255"/>
    </row>
    <row r="77" spans="11:30" ht="16.350000000000001" customHeight="1">
      <c r="K77" s="1256" t="str">
        <f ca="1">IF(COMPUNIONINFO&lt;&gt;100%,"Missing Union Info","Completed")</f>
        <v>Missing Union Info</v>
      </c>
      <c r="L77" s="1257"/>
      <c r="M77" s="1257"/>
      <c r="N77" s="1257"/>
      <c r="O77" s="1257"/>
      <c r="P77" s="1257"/>
      <c r="Q77" s="1257"/>
      <c r="R77" s="1257"/>
      <c r="S77" s="1257"/>
      <c r="T77" s="1257" t="str">
        <f>IF(OR(M02S01F01="",M02S01F02="",M02S01F03=""),"",M02S01F02)</f>
        <v/>
      </c>
      <c r="U77" s="1257"/>
      <c r="V77" s="1257"/>
      <c r="W77" s="1257"/>
      <c r="X77" s="1257"/>
      <c r="Y77" s="1257"/>
      <c r="Z77" s="1257"/>
      <c r="AA77" s="1257"/>
      <c r="AB77" s="1258" t="str">
        <f>IF(OR(M02S01F01="",M02S01F02="",M02S01F03=""),"",M02S01F03)</f>
        <v/>
      </c>
      <c r="AC77" s="1258"/>
      <c r="AD77" s="1259"/>
    </row>
    <row r="78" spans="11:30" ht="16.350000000000001" customHeight="1"/>
    <row r="79" spans="11:30" ht="16.350000000000001" hidden="1" customHeight="1"/>
    <row r="80" spans="11:30" ht="16.350000000000001" hidden="1" customHeight="1"/>
    <row r="81" spans="11:30" ht="16.350000000000001" hidden="1" customHeight="1"/>
    <row r="82" spans="11:30" ht="16.350000000000001" hidden="1" customHeight="1"/>
    <row r="83" spans="11:30" ht="16.350000000000001" hidden="1" customHeight="1"/>
    <row r="84" spans="11:30" ht="16.350000000000001" hidden="1" customHeight="1"/>
    <row r="85" spans="11:30" ht="16.350000000000001" hidden="1" customHeight="1"/>
    <row r="86" spans="11:30" ht="16.350000000000001" hidden="1" customHeight="1"/>
    <row r="87" spans="11:30" ht="16.350000000000001" hidden="1" customHeight="1"/>
    <row r="88" spans="11:30" ht="16.350000000000001" hidden="1" customHeight="1"/>
    <row r="89" spans="11:30" ht="16.350000000000001" hidden="1" customHeight="1"/>
    <row r="90" spans="11:30" ht="16.350000000000001" hidden="1" customHeight="1"/>
    <row r="91" spans="11:30" ht="16.350000000000001" hidden="1" customHeight="1"/>
    <row r="92" spans="11:30" ht="16.350000000000001" hidden="1" customHeight="1">
      <c r="K92"/>
      <c r="L92"/>
      <c r="M92"/>
      <c r="N92"/>
      <c r="O92"/>
      <c r="P92"/>
      <c r="Q92"/>
      <c r="R92"/>
      <c r="S92"/>
      <c r="T92"/>
      <c r="U92"/>
      <c r="V92"/>
      <c r="W92"/>
      <c r="X92"/>
      <c r="Y92"/>
      <c r="Z92"/>
      <c r="AA92"/>
      <c r="AB92"/>
      <c r="AC92"/>
      <c r="AD92"/>
    </row>
    <row r="93" spans="11:30" ht="16.350000000000001" hidden="1" customHeight="1">
      <c r="K93"/>
      <c r="L93"/>
      <c r="M93"/>
      <c r="N93"/>
      <c r="O93"/>
      <c r="P93"/>
      <c r="Q93"/>
      <c r="R93"/>
      <c r="S93"/>
      <c r="T93"/>
      <c r="U93"/>
      <c r="V93"/>
      <c r="W93"/>
      <c r="X93"/>
      <c r="Y93"/>
      <c r="Z93"/>
      <c r="AA93"/>
      <c r="AB93"/>
      <c r="AC93"/>
      <c r="AD93"/>
    </row>
    <row r="94" spans="11:30" ht="16.350000000000001" hidden="1" customHeight="1"/>
    <row r="95" spans="11:30" ht="16.350000000000001" hidden="1" customHeight="1"/>
    <row r="96" spans="11:30" ht="16.350000000000001" hidden="1" customHeight="1"/>
    <row r="97" ht="16.350000000000001" hidden="1" customHeight="1"/>
    <row r="98" ht="16.350000000000001" hidden="1" customHeight="1"/>
    <row r="99" ht="16.350000000000001" hidden="1" customHeight="1"/>
    <row r="100" ht="16.350000000000001" hidden="1" customHeight="1"/>
    <row r="101" ht="16.350000000000001" hidden="1" customHeight="1"/>
    <row r="102" ht="16.350000000000001" hidden="1" customHeight="1"/>
    <row r="103" ht="16.350000000000001" hidden="1" customHeight="1"/>
    <row r="104" ht="16.350000000000001" hidden="1" customHeight="1"/>
    <row r="105" ht="16.350000000000001" hidden="1" customHeight="1"/>
    <row r="106" ht="16.350000000000001" hidden="1" customHeight="1"/>
    <row r="107" ht="16.350000000000001" hidden="1" customHeight="1"/>
    <row r="108" ht="16.350000000000001" hidden="1" customHeight="1"/>
    <row r="109" ht="16.350000000000001" hidden="1" customHeight="1"/>
    <row r="110" ht="16.350000000000001" hidden="1" customHeight="1"/>
    <row r="111" ht="16.350000000000001" hidden="1" customHeight="1"/>
    <row r="112" ht="16.350000000000001" hidden="1" customHeight="1"/>
    <row r="113" ht="16.350000000000001" hidden="1" customHeight="1"/>
    <row r="114" ht="16.350000000000001" hidden="1" customHeight="1"/>
    <row r="115" ht="16.350000000000001" hidden="1" customHeight="1"/>
    <row r="116" ht="16.350000000000001" hidden="1" customHeight="1"/>
    <row r="117" ht="16.350000000000001" hidden="1" customHeight="1"/>
    <row r="118" ht="16.350000000000001" hidden="1" customHeight="1"/>
    <row r="119" ht="16.350000000000001" hidden="1" customHeight="1"/>
    <row r="120" ht="16.350000000000001" hidden="1" customHeight="1"/>
    <row r="121" ht="16.350000000000001" hidden="1" customHeight="1"/>
    <row r="122" ht="16.350000000000001" hidden="1" customHeight="1"/>
    <row r="123" ht="16.350000000000001" hidden="1" customHeight="1"/>
    <row r="124" ht="16.350000000000001" hidden="1" customHeight="1"/>
    <row r="125" ht="16.350000000000001" hidden="1" customHeight="1"/>
    <row r="126" ht="16.350000000000001" hidden="1" customHeight="1"/>
    <row r="127" ht="16.350000000000001" hidden="1" customHeight="1"/>
    <row r="128" ht="16.350000000000001" hidden="1" customHeight="1"/>
    <row r="129" ht="16.350000000000001" hidden="1" customHeight="1"/>
    <row r="130" ht="16.350000000000001" hidden="1" customHeight="1"/>
    <row r="131" ht="16.350000000000001" hidden="1" customHeight="1"/>
    <row r="132" ht="16.350000000000001" hidden="1" customHeight="1"/>
    <row r="133" ht="16.350000000000001" hidden="1" customHeight="1"/>
    <row r="134" ht="16.350000000000001" hidden="1" customHeight="1"/>
    <row r="135" ht="16.350000000000001" hidden="1" customHeight="1"/>
    <row r="136" ht="16.350000000000001" hidden="1" customHeight="1"/>
    <row r="137" ht="16.350000000000001" hidden="1" customHeight="1"/>
    <row r="138" ht="16.350000000000001" hidden="1" customHeight="1"/>
    <row r="139" ht="16.350000000000001" hidden="1" customHeight="1"/>
    <row r="140" ht="16.350000000000001" hidden="1" customHeight="1"/>
    <row r="141" ht="16.350000000000001" hidden="1" customHeight="1"/>
    <row r="142" ht="16.350000000000001" hidden="1" customHeight="1"/>
    <row r="143" ht="16.350000000000001" hidden="1" customHeight="1"/>
    <row r="144" ht="16.350000000000001" hidden="1" customHeight="1"/>
    <row r="145" ht="16.350000000000001" hidden="1" customHeight="1"/>
    <row r="146" ht="16.350000000000001" hidden="1" customHeight="1"/>
    <row r="147" ht="16.350000000000001" hidden="1" customHeight="1"/>
    <row r="148" ht="16.350000000000001" hidden="1" customHeight="1"/>
    <row r="149" ht="16.350000000000001" hidden="1" customHeight="1"/>
    <row r="150" ht="16.350000000000001" hidden="1" customHeight="1"/>
    <row r="151" ht="16.350000000000001" hidden="1" customHeight="1"/>
    <row r="152" ht="16.350000000000001" hidden="1" customHeight="1"/>
    <row r="153" ht="16.350000000000001" hidden="1" customHeight="1"/>
    <row r="154" ht="16.350000000000001" hidden="1" customHeight="1"/>
    <row r="155" ht="16.350000000000001" hidden="1" customHeight="1"/>
    <row r="156" ht="16.350000000000001" hidden="1" customHeight="1"/>
    <row r="157" ht="16.350000000000001" hidden="1" customHeight="1"/>
    <row r="158" ht="16.350000000000001" hidden="1" customHeight="1"/>
    <row r="159" ht="16.350000000000001" hidden="1" customHeight="1"/>
    <row r="160" ht="16.350000000000001" hidden="1" customHeight="1"/>
    <row r="161" ht="16.350000000000001" hidden="1" customHeight="1"/>
    <row r="162" ht="16.350000000000001" hidden="1" customHeight="1"/>
    <row r="163" ht="16.350000000000001" hidden="1" customHeight="1"/>
    <row r="164" ht="16.350000000000001" hidden="1" customHeight="1"/>
    <row r="165" ht="16.350000000000001" hidden="1" customHeight="1"/>
    <row r="166" ht="16.350000000000001" hidden="1" customHeight="1"/>
    <row r="167" ht="16.350000000000001" hidden="1" customHeight="1"/>
    <row r="168" ht="16.350000000000001" hidden="1" customHeight="1"/>
    <row r="169" ht="16.350000000000001" hidden="1" customHeight="1"/>
    <row r="170" ht="16.350000000000001" hidden="1" customHeight="1"/>
    <row r="171" ht="16.350000000000001" hidden="1" customHeight="1"/>
    <row r="172" ht="16.350000000000001" hidden="1" customHeight="1"/>
    <row r="173" ht="16.350000000000001" hidden="1" customHeight="1"/>
    <row r="174" ht="16.350000000000001" hidden="1" customHeight="1"/>
    <row r="175" ht="16.350000000000001" hidden="1" customHeight="1"/>
    <row r="176" ht="16.350000000000001" hidden="1" customHeight="1"/>
    <row r="177" ht="16.350000000000001" hidden="1" customHeight="1"/>
    <row r="178" ht="16.350000000000001" hidden="1" customHeight="1"/>
    <row r="179" ht="16.350000000000001" hidden="1" customHeight="1"/>
    <row r="180" ht="16.350000000000001" hidden="1" customHeight="1"/>
    <row r="181" ht="16.350000000000001" hidden="1" customHeight="1"/>
    <row r="182" ht="16.350000000000001" hidden="1" customHeight="1"/>
    <row r="183" ht="16.350000000000001" hidden="1" customHeight="1"/>
    <row r="184" ht="16.350000000000001" hidden="1" customHeight="1"/>
    <row r="185" ht="16.350000000000001" hidden="1" customHeight="1"/>
    <row r="186" ht="16.350000000000001" hidden="1" customHeight="1"/>
    <row r="187" ht="16.350000000000001" hidden="1" customHeight="1"/>
    <row r="188" ht="16.350000000000001" hidden="1" customHeight="1"/>
    <row r="189" ht="16.350000000000001" hidden="1" customHeight="1"/>
    <row r="190" ht="16.350000000000001" hidden="1" customHeight="1"/>
    <row r="191" ht="16.350000000000001" hidden="1" customHeight="1"/>
    <row r="192" ht="16.350000000000001" hidden="1" customHeight="1"/>
    <row r="193" spans="1:59" ht="16.350000000000001" hidden="1" customHeight="1"/>
    <row r="194" spans="1:59" ht="16.350000000000001" hidden="1" customHeight="1"/>
    <row r="195" spans="1:59" ht="16.350000000000001" hidden="1" customHeight="1"/>
    <row r="196" spans="1:59" ht="16.350000000000001" hidden="1" customHeight="1"/>
    <row r="197" spans="1:59" ht="16.350000000000001" hidden="1" customHeight="1"/>
    <row r="198" spans="1:59" ht="16.350000000000001" hidden="1" customHeight="1"/>
    <row r="199" spans="1:59" ht="16.350000000000001" hidden="1" customHeight="1"/>
    <row r="200" spans="1:59" ht="16.350000000000001" hidden="1" customHeight="1"/>
    <row r="201" spans="1:59" ht="16.350000000000001" hidden="1" customHeight="1"/>
    <row r="202" spans="1:59" s="521" customFormat="1" ht="16.350000000000001" customHeight="1">
      <c r="A202" s="504"/>
      <c r="B202" s="504" t="str">
        <f>FOOT1</f>
        <v>PSE&amp;G C&amp;I Energy Efficiency Program</v>
      </c>
      <c r="C202" s="504"/>
      <c r="D202" s="504"/>
      <c r="E202" s="504"/>
      <c r="F202" s="504"/>
      <c r="G202" s="504"/>
      <c r="H202" s="504"/>
      <c r="I202" s="504"/>
      <c r="J202" s="504"/>
      <c r="K202" s="504"/>
      <c r="L202" s="504"/>
      <c r="M202" s="504"/>
      <c r="N202" s="504"/>
      <c r="O202" s="504"/>
      <c r="P202" s="504"/>
      <c r="Q202" s="504"/>
      <c r="R202" s="721" t="s">
        <v>137</v>
      </c>
      <c r="S202" s="721"/>
      <c r="T202" s="721"/>
      <c r="U202" s="721"/>
      <c r="V202" s="721"/>
      <c r="W202" s="721"/>
      <c r="X202" s="721"/>
      <c r="Y202" s="721"/>
      <c r="Z202" s="721"/>
      <c r="AA202" s="721"/>
      <c r="AB202" s="721"/>
      <c r="AC202" s="721"/>
      <c r="AD202" s="721"/>
      <c r="AE202" s="721"/>
      <c r="AF202" s="721"/>
      <c r="AG202" s="721"/>
      <c r="AH202" s="721"/>
      <c r="AI202" s="721"/>
      <c r="AJ202" s="721"/>
      <c r="AK202" s="721"/>
      <c r="AL202" s="721"/>
      <c r="AM202" s="721"/>
      <c r="AN202" s="721"/>
      <c r="AO202" s="721"/>
      <c r="AP202" s="721"/>
      <c r="AQ202" s="721"/>
      <c r="AR202" s="721"/>
      <c r="AS202" s="504"/>
      <c r="AT202" s="504"/>
      <c r="AU202" s="504"/>
      <c r="AV202" s="504"/>
      <c r="AW202" s="504"/>
      <c r="AX202" s="504"/>
      <c r="AY202" s="504"/>
      <c r="AZ202" s="504"/>
      <c r="BA202" s="504"/>
      <c r="BB202" s="504"/>
      <c r="BC202" s="504"/>
      <c r="BD202" s="504"/>
      <c r="BE202" s="701"/>
      <c r="BF202" s="701" t="str">
        <f>FOOT4</f>
        <v>Engineered Solutions Tier 2 Advance Custom Incentive Application</v>
      </c>
      <c r="BG202" s="522"/>
    </row>
    <row r="203" spans="1:59" s="521" customFormat="1" ht="16.350000000000001" customHeight="1">
      <c r="A203" s="504"/>
      <c r="B203" s="504" t="str">
        <f>FOOT2</f>
        <v>1-844-300-PSEG (7734)</v>
      </c>
      <c r="C203" s="504"/>
      <c r="D203" s="504"/>
      <c r="E203" s="504"/>
      <c r="F203" s="504"/>
      <c r="G203" s="504"/>
      <c r="H203" s="504"/>
      <c r="I203" s="504"/>
      <c r="J203" s="504"/>
      <c r="K203" s="504"/>
      <c r="L203" s="504"/>
      <c r="M203" s="504"/>
      <c r="N203" s="504"/>
      <c r="O203" s="504"/>
      <c r="P203" s="504"/>
      <c r="Q203" s="504"/>
      <c r="R203" s="721"/>
      <c r="S203" s="721"/>
      <c r="T203" s="721"/>
      <c r="U203" s="721"/>
      <c r="V203" s="721"/>
      <c r="W203" s="721"/>
      <c r="X203" s="721"/>
      <c r="Y203" s="721"/>
      <c r="Z203" s="721"/>
      <c r="AA203" s="721"/>
      <c r="AB203" s="721"/>
      <c r="AC203" s="721"/>
      <c r="AD203" s="721"/>
      <c r="AE203" s="721"/>
      <c r="AF203" s="721"/>
      <c r="AG203" s="721"/>
      <c r="AH203" s="721"/>
      <c r="AI203" s="721"/>
      <c r="AJ203" s="721"/>
      <c r="AK203" s="721"/>
      <c r="AL203" s="721"/>
      <c r="AM203" s="721"/>
      <c r="AN203" s="721"/>
      <c r="AO203" s="721"/>
      <c r="AP203" s="721"/>
      <c r="AQ203" s="721"/>
      <c r="AR203" s="721"/>
      <c r="AS203" s="504"/>
      <c r="AT203" s="504"/>
      <c r="AU203" s="504"/>
      <c r="AV203" s="504"/>
      <c r="AW203" s="504"/>
      <c r="AX203" s="504"/>
      <c r="AY203" s="504"/>
      <c r="AZ203" s="504"/>
      <c r="BA203" s="504"/>
      <c r="BB203" s="504"/>
      <c r="BC203" s="504"/>
      <c r="BD203" s="504"/>
      <c r="BE203" s="701"/>
      <c r="BF203" s="701"/>
      <c r="BG203" s="522"/>
    </row>
    <row r="204" spans="1:59" s="521" customFormat="1" ht="16.350000000000001" customHeight="1">
      <c r="A204" s="504"/>
      <c r="B204" s="504" t="str">
        <f>FOOT3</f>
        <v>PSEGenergysaver@TRCcompanies.com</v>
      </c>
      <c r="C204" s="504"/>
      <c r="D204" s="504"/>
      <c r="E204" s="504"/>
      <c r="F204" s="504"/>
      <c r="G204" s="504"/>
      <c r="H204" s="504"/>
      <c r="I204" s="504"/>
      <c r="J204" s="504"/>
      <c r="K204" s="504"/>
      <c r="L204" s="504"/>
      <c r="M204" s="504"/>
      <c r="N204" s="504"/>
      <c r="O204" s="504"/>
      <c r="P204" s="504"/>
      <c r="Q204" s="504"/>
      <c r="R204" s="504"/>
      <c r="S204" s="504"/>
      <c r="T204" s="504"/>
      <c r="U204" s="504"/>
      <c r="V204" s="504"/>
      <c r="W204" s="504"/>
      <c r="X204" s="504"/>
      <c r="Y204" s="504"/>
      <c r="Z204" s="504"/>
      <c r="AA204" s="504"/>
      <c r="AB204" s="504"/>
      <c r="AC204" s="504"/>
      <c r="AD204" s="702" t="str">
        <f>VERSION</f>
        <v>V1.0          Effective Date 1/1/25</v>
      </c>
      <c r="AE204" s="504"/>
      <c r="AF204" s="504"/>
      <c r="AG204" s="504"/>
      <c r="AH204" s="504"/>
      <c r="AI204" s="504"/>
      <c r="AJ204" s="504"/>
      <c r="AK204" s="504"/>
      <c r="AL204" s="504"/>
      <c r="AM204" s="504"/>
      <c r="AN204" s="504"/>
      <c r="AO204" s="504"/>
      <c r="AP204" s="504"/>
      <c r="AQ204" s="504"/>
      <c r="AR204" s="504"/>
      <c r="AS204" s="504"/>
      <c r="AT204" s="504"/>
      <c r="AU204" s="504"/>
      <c r="AV204" s="504"/>
      <c r="AW204" s="504"/>
      <c r="AX204" s="504"/>
      <c r="AY204" s="504"/>
      <c r="AZ204" s="504"/>
      <c r="BA204" s="504"/>
      <c r="BB204" s="504"/>
      <c r="BC204" s="504"/>
      <c r="BD204" s="504"/>
      <c r="BE204" s="701"/>
      <c r="BF204" s="701" t="str">
        <f>FOOT6</f>
        <v>This is a TRC tool</v>
      </c>
      <c r="BG204" s="522"/>
    </row>
    <row r="205" spans="1:59" ht="16.350000000000001" hidden="1" customHeight="1"/>
  </sheetData>
  <sheetProtection algorithmName="SHA-512" hashValue="4QglcXKudkRYQENDaxXhenw6elcWStSfk+TKaAFyPQ6Ev56KXaE/ZMtbq2wuS8vfIOWNSD5xTYw2piLhlkuFlQ==" saltValue="OoN1XYlBBsei1MECjRKRvQ==" spinCount="100000" sheet="1" objects="1" scenarios="1" selectLockedCells="1"/>
  <mergeCells count="162">
    <mergeCell ref="AB4:AG4"/>
    <mergeCell ref="BG5:BI7"/>
    <mergeCell ref="BG8:BI8"/>
    <mergeCell ref="AN1:AQ3"/>
    <mergeCell ref="AR1:AU3"/>
    <mergeCell ref="AV1:AY3"/>
    <mergeCell ref="AZ1:BE3"/>
    <mergeCell ref="BF1:BI3"/>
    <mergeCell ref="AM20:AO20"/>
    <mergeCell ref="AX4:BB4"/>
    <mergeCell ref="AP19:AT19"/>
    <mergeCell ref="AT4:AW4"/>
    <mergeCell ref="BC4:BF4"/>
    <mergeCell ref="T75:AA75"/>
    <mergeCell ref="AB74:AD74"/>
    <mergeCell ref="K61:T61"/>
    <mergeCell ref="V58:AD58"/>
    <mergeCell ref="K58:P58"/>
    <mergeCell ref="Q58:U58"/>
    <mergeCell ref="K70:T70"/>
    <mergeCell ref="K45:T45"/>
    <mergeCell ref="K57:T57"/>
    <mergeCell ref="U57:AA57"/>
    <mergeCell ref="X65:AA65"/>
    <mergeCell ref="AB65:AD65"/>
    <mergeCell ref="AB69:AD69"/>
    <mergeCell ref="U62:Y62"/>
    <mergeCell ref="Z62:AA62"/>
    <mergeCell ref="AB62:AD62"/>
    <mergeCell ref="U45:AD45"/>
    <mergeCell ref="AB75:AD75"/>
    <mergeCell ref="Z46:AD46"/>
    <mergeCell ref="Z69:AA69"/>
    <mergeCell ref="K71:O71"/>
    <mergeCell ref="S71:AB71"/>
    <mergeCell ref="P46:Q46"/>
    <mergeCell ref="AB33:AD33"/>
    <mergeCell ref="AB32:AD32"/>
    <mergeCell ref="Z37:AA37"/>
    <mergeCell ref="AP23:AT23"/>
    <mergeCell ref="AM25:AO25"/>
    <mergeCell ref="AF22:AL22"/>
    <mergeCell ref="AF19:AL19"/>
    <mergeCell ref="AM19:AO19"/>
    <mergeCell ref="K30:AD30"/>
    <mergeCell ref="AM26:AO26"/>
    <mergeCell ref="AM27:AO27"/>
    <mergeCell ref="AB37:AD37"/>
    <mergeCell ref="U37:Y37"/>
    <mergeCell ref="AP25:AT25"/>
    <mergeCell ref="Q33:S33"/>
    <mergeCell ref="AF28:AO28"/>
    <mergeCell ref="AF25:AL25"/>
    <mergeCell ref="K34:T34"/>
    <mergeCell ref="AF27:AL27"/>
    <mergeCell ref="U34:AA34"/>
    <mergeCell ref="AM24:AO24"/>
    <mergeCell ref="AF23:AL23"/>
    <mergeCell ref="AF24:AL24"/>
    <mergeCell ref="AP22:AT22"/>
    <mergeCell ref="U26:AD26"/>
    <mergeCell ref="AB17:AD17"/>
    <mergeCell ref="U17:AA17"/>
    <mergeCell ref="AF20:AL20"/>
    <mergeCell ref="Z27:AD27"/>
    <mergeCell ref="AB20:AD20"/>
    <mergeCell ref="U18:AD18"/>
    <mergeCell ref="AM18:AO18"/>
    <mergeCell ref="AP27:AT27"/>
    <mergeCell ref="AP18:AT18"/>
    <mergeCell ref="AP24:AT24"/>
    <mergeCell ref="AF26:AL26"/>
    <mergeCell ref="AF21:AL21"/>
    <mergeCell ref="AP26:AT26"/>
    <mergeCell ref="AF18:AL18"/>
    <mergeCell ref="F1:I3"/>
    <mergeCell ref="J1:M3"/>
    <mergeCell ref="U53:Y53"/>
    <mergeCell ref="Z53:AA53"/>
    <mergeCell ref="AB53:AD53"/>
    <mergeCell ref="K18:T18"/>
    <mergeCell ref="AR16:AT16"/>
    <mergeCell ref="K19:T19"/>
    <mergeCell ref="K25:AD25"/>
    <mergeCell ref="K11:AP12"/>
    <mergeCell ref="AM21:AO21"/>
    <mergeCell ref="G9:AX10"/>
    <mergeCell ref="K17:T17"/>
    <mergeCell ref="AP28:AT28"/>
    <mergeCell ref="AP20:AT20"/>
    <mergeCell ref="U28:Y28"/>
    <mergeCell ref="K20:O20"/>
    <mergeCell ref="U19:AD19"/>
    <mergeCell ref="U20:Y20"/>
    <mergeCell ref="Z20:AA20"/>
    <mergeCell ref="AB34:AD34"/>
    <mergeCell ref="AP21:AT21"/>
    <mergeCell ref="AM23:AO23"/>
    <mergeCell ref="AM22:AO22"/>
    <mergeCell ref="K14:T14"/>
    <mergeCell ref="U14:AA14"/>
    <mergeCell ref="AB14:AD14"/>
    <mergeCell ref="K15:T15"/>
    <mergeCell ref="U27:Y27"/>
    <mergeCell ref="U43:AA43"/>
    <mergeCell ref="Z44:AD44"/>
    <mergeCell ref="K42:T42"/>
    <mergeCell ref="K50:T50"/>
    <mergeCell ref="AB43:AD43"/>
    <mergeCell ref="R46:T46"/>
    <mergeCell ref="K26:T26"/>
    <mergeCell ref="K44:T44"/>
    <mergeCell ref="K36:T36"/>
    <mergeCell ref="K37:O37"/>
    <mergeCell ref="P37:T37"/>
    <mergeCell ref="K38:T38"/>
    <mergeCell ref="P20:Q20"/>
    <mergeCell ref="R20:T20"/>
    <mergeCell ref="K27:P27"/>
    <mergeCell ref="Q27:T27"/>
    <mergeCell ref="K21:AD21"/>
    <mergeCell ref="K43:T43"/>
    <mergeCell ref="U44:Y44"/>
    <mergeCell ref="K35:T35"/>
    <mergeCell ref="P41:T41"/>
    <mergeCell ref="U47:AD47"/>
    <mergeCell ref="AB56:AD56"/>
    <mergeCell ref="K53:O53"/>
    <mergeCell ref="K54:T54"/>
    <mergeCell ref="U52:AD52"/>
    <mergeCell ref="K39:AD39"/>
    <mergeCell ref="K41:O41"/>
    <mergeCell ref="U36:AD36"/>
    <mergeCell ref="K40:T40"/>
    <mergeCell ref="AB48:AD48"/>
    <mergeCell ref="U48:AA48"/>
    <mergeCell ref="K48:T48"/>
    <mergeCell ref="K52:T52"/>
    <mergeCell ref="R202:AR203"/>
    <mergeCell ref="K76:T76"/>
    <mergeCell ref="U76:AA76"/>
    <mergeCell ref="AB76:AD76"/>
    <mergeCell ref="K77:S77"/>
    <mergeCell ref="T77:AA77"/>
    <mergeCell ref="AB77:AD77"/>
    <mergeCell ref="K46:O46"/>
    <mergeCell ref="U46:Y46"/>
    <mergeCell ref="K74:T74"/>
    <mergeCell ref="K59:AD59"/>
    <mergeCell ref="AB73:AD73"/>
    <mergeCell ref="U73:AA73"/>
    <mergeCell ref="K73:T73"/>
    <mergeCell ref="AB57:AD57"/>
    <mergeCell ref="U74:AA74"/>
    <mergeCell ref="U69:Y69"/>
    <mergeCell ref="S64:AB64"/>
    <mergeCell ref="K66:AD66"/>
    <mergeCell ref="K64:O64"/>
    <mergeCell ref="K69:T69"/>
    <mergeCell ref="K63:T63"/>
    <mergeCell ref="K62:T62"/>
    <mergeCell ref="K75:S75"/>
  </mergeCells>
  <conditionalFormatting sqref="K16 Z16">
    <cfRule type="expression" dxfId="202" priority="2">
      <formula>IF(ISNUMBER(SEARCH("Missing",K16)),TRUE,FALSE)</formula>
    </cfRule>
  </conditionalFormatting>
  <conditionalFormatting sqref="K73 U73 AB73">
    <cfRule type="expression" dxfId="201" priority="9">
      <formula>IF(ISNUMBER(SEARCH("Missing",K73)),TRUE,FALSE)</formula>
    </cfRule>
  </conditionalFormatting>
  <conditionalFormatting sqref="K20:Q20">
    <cfRule type="expression" dxfId="200" priority="33">
      <formula>IF(ISNUMBER(SEARCH("Missing",K20)),TRUE,FALSE)</formula>
    </cfRule>
  </conditionalFormatting>
  <conditionalFormatting sqref="K72:S72">
    <cfRule type="expression" dxfId="199" priority="6">
      <formula>IF(ISNUMBER(SEARCH("Missing",K72)),TRUE,FALSE)</formula>
    </cfRule>
  </conditionalFormatting>
  <conditionalFormatting sqref="K15:T15">
    <cfRule type="expression" dxfId="198" priority="3">
      <formula>IF(ISNUMBER(SEARCH("Missing",K15)),TRUE,FALSE)</formula>
    </cfRule>
  </conditionalFormatting>
  <conditionalFormatting sqref="K29:T29">
    <cfRule type="expression" dxfId="197" priority="25">
      <formula>IF(ISNUMBER(SEARCH("Missing",K29)),TRUE,FALSE)</formula>
    </cfRule>
  </conditionalFormatting>
  <conditionalFormatting sqref="K36:T38">
    <cfRule type="expression" dxfId="196" priority="24">
      <formula>IF(ISNUMBER(SEARCH("Missing",K36)),TRUE,FALSE)</formula>
    </cfRule>
  </conditionalFormatting>
  <conditionalFormatting sqref="K27:U27 K28:AD28 Z29:AD29 K30:AD33 K34:AA34 K35:AD42 K43:AA43 K44:AD55 K56:AB56 K63:T63 K64:O64 S64:AB64 K70:T70 K71:O71 S71:AB71 K74:AD77">
    <cfRule type="expression" dxfId="195" priority="42">
      <formula>IF(ISNUMBER(SEARCH("Missing",K27)),TRUE,FALSE)</formula>
    </cfRule>
  </conditionalFormatting>
  <conditionalFormatting sqref="K62:AA62">
    <cfRule type="expression" dxfId="194" priority="21">
      <formula>IF(ISNUMBER(SEARCH("Missing",K62)),TRUE,FALSE)</formula>
    </cfRule>
  </conditionalFormatting>
  <conditionalFormatting sqref="K69:AA69">
    <cfRule type="expression" dxfId="193" priority="15">
      <formula>IF(ISNUMBER(SEARCH("Missing",K69)),TRUE,FALSE)</formula>
    </cfRule>
  </conditionalFormatting>
  <conditionalFormatting sqref="K18:AD26">
    <cfRule type="expression" dxfId="192" priority="31">
      <formula>IF(ISNUMBER(SEARCH("Missing",K18)),TRUE,FALSE)</formula>
    </cfRule>
  </conditionalFormatting>
  <conditionalFormatting sqref="K57:AD62">
    <cfRule type="expression" dxfId="191" priority="7">
      <formula>IF(ISNUMBER(SEARCH("Missing",K57)),TRUE,FALSE)</formula>
    </cfRule>
  </conditionalFormatting>
  <conditionalFormatting sqref="K65:AD69">
    <cfRule type="expression" dxfId="190" priority="19">
      <formula>IF(ISNUMBER(SEARCH("Missing",K65)),TRUE,FALSE)</formula>
    </cfRule>
  </conditionalFormatting>
  <conditionalFormatting sqref="U26:U28">
    <cfRule type="expression" dxfId="189" priority="5">
      <formula>IF(ISNUMBER(SEARCH("Missing",U26)),TRUE,FALSE)</formula>
    </cfRule>
  </conditionalFormatting>
  <conditionalFormatting sqref="U46 Z46:AD47 U47:Y47">
    <cfRule type="expression" dxfId="188" priority="38">
      <formula>IF(ISNUMBER(SEARCH("Missing",U46)),TRUE,FALSE)</formula>
    </cfRule>
  </conditionalFormatting>
  <conditionalFormatting sqref="U20:AA20">
    <cfRule type="expression" dxfId="187" priority="29">
      <formula>IF(ISNUMBER(SEARCH("Missing",U20)),TRUE,FALSE)</formula>
    </cfRule>
  </conditionalFormatting>
  <conditionalFormatting sqref="V65">
    <cfRule type="expression" dxfId="186" priority="22">
      <formula>IF(ISNUMBER(SEARCH("Missing",V65)),TRUE,FALSE)</formula>
    </cfRule>
  </conditionalFormatting>
  <conditionalFormatting sqref="Z27:AD27">
    <cfRule type="expression" dxfId="185" priority="26">
      <formula>IF(ISNUMBER(SEARCH("Missing",Z27)),TRUE,FALSE)</formula>
    </cfRule>
  </conditionalFormatting>
  <conditionalFormatting sqref="BA8:BF8">
    <cfRule type="expression" dxfId="184" priority="1">
      <formula>IF($AO$8=PROJSTATMEASURE,FALSE,TRUE)</formula>
    </cfRule>
  </conditionalFormatting>
  <hyperlinks>
    <hyperlink ref="AB74:AD74" location="'M02-S01'!A1" tooltip="Update: Terms &amp; Conditions" display=" ✎ Update" xr:uid="{398CD1AD-3469-4BD1-8444-A818E5DF26DF}"/>
    <hyperlink ref="AB17:AD17" location="'M02-S02'!A1" tooltip="Update: Trade Ally / Vendor Information" display=" ✎ Update" xr:uid="{E7955452-2A55-4EEB-8B92-8AAD104DF504}"/>
    <hyperlink ref="AB34:AD34" location="'M02-S03'!A1" tooltip="Update: Customer Information" display=" ✎ Update" xr:uid="{B38BEA78-9C81-4AA4-B00B-E887499B6F7D}"/>
    <hyperlink ref="AB43:AD43" location="'M02-S04'!A1" tooltip="Update: Trade Ally / Contractor Information" display=" ✎ Update" xr:uid="{DA88AAD8-68D4-42BF-823E-37ACA0042CE7}"/>
    <hyperlink ref="AB48:AD48" location="'M05-S01'!A1" tooltip="Update: Payment" display=" ✎ Update" xr:uid="{609B4E3E-05F9-459B-843B-53C337F54CC1}"/>
    <hyperlink ref="J1:M3" location="'M01-S02'!J1" tooltip="Instructions" display="'M01-S02'!J1" xr:uid="{5C59A0E8-B697-4C22-9A57-D590E8536062}"/>
    <hyperlink ref="AB57:AD57" location="'M02-S01'!A1" tooltip="Update: Terms &amp; Conditions" display=" ✎ Update" xr:uid="{01C74846-A0E8-401D-9201-BA4D2EE39963}"/>
    <hyperlink ref="AF20:AL20" location="'M04-S04'!C18" tooltip="View: Custom Heating" display="'M04-S04'!C18" xr:uid="{643D83EC-E38F-42A8-AF07-BA5DABA721DE}"/>
    <hyperlink ref="AF21:AL21" location="'M04-S05'!C18" tooltip="View: Custom Water Heating &amp; Boilers" display="'M04-S05'!C18" xr:uid="{BC58D889-ECC5-4446-AA83-1B21CE904EAD}"/>
    <hyperlink ref="AF25:AL25" location="'M04-S09'!C18" tooltip="View: Custom Plug Load" display="'M04-S09'!C18" xr:uid="{F88E2447-FC0D-435D-87BA-02503D61F270}"/>
    <hyperlink ref="AF22:AL22" location="'M04-S06'!C18" tooltip="View: Custom Refrigeration" display="'M04-S06'!C18" xr:uid="{5253FADF-7352-4A95-85A2-03D3AEBF6C82}"/>
    <hyperlink ref="AF23:AL23" location="'M04-S07'!C18" tooltip="View: Custom Food Service" display="'M04-S07'!C18" xr:uid="{A2081B03-8C40-40C9-BDCE-147D51079468}"/>
    <hyperlink ref="AF24:AL24" location="'M04-S08'!C18" tooltip="View: Custom Agriculture" display="'M04-S08'!C18" xr:uid="{DBEE4BA0-2D43-49D6-92F9-B2A759DB4D42}"/>
    <hyperlink ref="AF26:AL26" location="'M04-S10'!C18" tooltip="View: Custom Residential Appliances" display="'M04-S10'!C18" xr:uid="{C411D423-DA79-4111-9339-1CC8D6CA7C41}"/>
    <hyperlink ref="AF27:AL27" location="'M04-S11'!C18" tooltip="View: Custom Miscellaneous" display="'M04-S11'!C18" xr:uid="{6D7A81EA-B2AE-4B93-9222-E855FC4F8E18}"/>
    <hyperlink ref="AF18:AL18" location="'M04-S02'!C18" tooltip="View: Custom Lighting &amp; Lighting Controls" display="'M04-S02'!C18" xr:uid="{D7927E5D-70FE-4C20-86D8-27CD9CBA9152}"/>
    <hyperlink ref="AF19:AL19" location="'M04-S03'!C18" tooltip="View: Custom HVAC" display="'M04-S03'!C18" xr:uid="{F2C88A70-5E2D-4571-8AA5-039A42ADAC81}"/>
    <hyperlink ref="AB14:AD14" location="'M02-S02'!A1" tooltip="Update: Trade Ally / Vendor Information" display=" ✎ Update" xr:uid="{7A77581B-4967-41A6-A570-CCA6F284E897}"/>
    <hyperlink ref="AV1:AY3" location="'M05-S05'!AL1" tooltip=" " display="'M05-S05'!AL1" xr:uid="{D24D6136-9CF2-473A-A356-45AE7FB2991E}"/>
    <hyperlink ref="BF1:BI3" location="'M01-S03'!AP1" tooltip="Contact" display="'M01-S03'!AP1" xr:uid="{192E4147-EB4E-4009-A97E-23BDC62C60BA}"/>
    <hyperlink ref="AR1:AU3" location="'M05-S04'!AH1" tooltip=" " display="'M05-S04'!AH1" xr:uid="{72A64B7C-7D71-40B8-B503-BC2F99C96C94}"/>
    <hyperlink ref="AN1:AQ3" location="'M05-S05'!AL1" tooltip=" " display="'M05-S05'!AL1" xr:uid="{1D1C7947-6F97-453B-8EEB-925C945C57D9}"/>
    <hyperlink ref="AB76:AD76" location="'M02-S01'!A1" tooltip="Update: Terms &amp; Conditions" display=" ✎ Update" xr:uid="{5BA3A7C4-B659-43E2-B16D-92306C3A3F9B}"/>
  </hyperlinks>
  <printOptions horizontalCentered="1"/>
  <pageMargins left="0.25" right="0.25" top="0.25" bottom="0.25" header="0.25" footer="0.25"/>
  <pageSetup scale="1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3ECE-503D-4CEB-A448-43C4CEA1E016}">
  <sheetPr codeName="Sheet18">
    <pageSetUpPr fitToPage="1"/>
  </sheetPr>
  <dimension ref="A1:CN202"/>
  <sheetViews>
    <sheetView showGridLines="0" showRowColHeaders="0" zoomScale="90" zoomScaleNormal="90" workbookViewId="0">
      <selection activeCell="O14" sqref="O14:V17"/>
    </sheetView>
  </sheetViews>
  <sheetFormatPr defaultColWidth="0" defaultRowHeight="15" zeroHeight="1"/>
  <cols>
    <col min="1" max="61" width="4.5703125" style="502" customWidth="1"/>
    <col min="62" max="65" width="4.5703125" style="502" hidden="1" customWidth="1"/>
    <col min="66" max="16384" width="9.42578125" style="502" hidden="1"/>
  </cols>
  <sheetData>
    <row r="1" spans="1:65" customFormat="1" ht="16.350000000000001" customHeight="1">
      <c r="A1" s="12"/>
      <c r="F1" s="750" t="str">
        <f>M1S1</f>
        <v>WELCOME</v>
      </c>
      <c r="G1" s="750"/>
      <c r="H1" s="750"/>
      <c r="I1" s="750"/>
      <c r="J1" s="1301" t="str">
        <f>M1S2</f>
        <v>INSTRUCTIONS</v>
      </c>
      <c r="K1" s="1301"/>
      <c r="L1" s="1301"/>
      <c r="M1" s="1301"/>
      <c r="N1" s="166"/>
      <c r="O1" s="166"/>
      <c r="P1" s="166"/>
      <c r="Q1" s="166"/>
      <c r="R1" s="166"/>
      <c r="S1" s="166"/>
      <c r="T1" s="189"/>
      <c r="U1" s="190" t="s">
        <v>118</v>
      </c>
      <c r="V1" s="190"/>
      <c r="W1" s="190"/>
      <c r="X1" s="190"/>
      <c r="Y1" s="166"/>
      <c r="Z1" s="166"/>
      <c r="AA1" s="166"/>
      <c r="AB1" s="166"/>
      <c r="AC1" s="166"/>
      <c r="AD1" s="166"/>
      <c r="AE1" s="166"/>
      <c r="AF1" s="166"/>
      <c r="AG1" s="12"/>
      <c r="AN1" s="734" t="str">
        <f>IF(ACTIVEINSPECT="Yes","Complete "&amp;M5S4,"")</f>
        <v/>
      </c>
      <c r="AO1" s="734"/>
      <c r="AP1" s="734"/>
      <c r="AQ1" s="734"/>
      <c r="AR1" s="730" t="str">
        <f>IF(ACTIVEOFFER="Yes","Sign "&amp;M5S6,"")</f>
        <v>Sign OBR: Repayment Agreement</v>
      </c>
      <c r="AS1" s="730"/>
      <c r="AT1" s="730"/>
      <c r="AU1" s="730"/>
      <c r="AV1" s="730" t="str">
        <f>IF(ACTIVECOMPL="Yes","Sign "&amp;M5S5,"")</f>
        <v xml:space="preserve">Sign Project Completion Certification </v>
      </c>
      <c r="AW1" s="730"/>
      <c r="AX1" s="730"/>
      <c r="AY1" s="730"/>
      <c r="AZ1" s="732" t="str">
        <f>M1S4</f>
        <v>INCENTIVE RATES &amp; REQUIREMENTS</v>
      </c>
      <c r="BA1" s="732"/>
      <c r="BB1" s="732"/>
      <c r="BC1" s="732"/>
      <c r="BD1" s="732"/>
      <c r="BE1" s="732"/>
      <c r="BF1" s="722" t="s">
        <v>119</v>
      </c>
      <c r="BG1" s="723"/>
      <c r="BH1" s="723"/>
      <c r="BI1" s="723"/>
    </row>
    <row r="2" spans="1:65" customFormat="1" ht="16.350000000000001" customHeight="1">
      <c r="F2" s="750"/>
      <c r="G2" s="750"/>
      <c r="H2" s="750"/>
      <c r="I2" s="750"/>
      <c r="J2" s="750"/>
      <c r="K2" s="750"/>
      <c r="L2" s="750"/>
      <c r="M2" s="750"/>
      <c r="N2" s="166"/>
      <c r="O2" s="166"/>
      <c r="P2" s="166"/>
      <c r="Q2" s="166"/>
      <c r="R2" s="166"/>
      <c r="S2" s="166"/>
      <c r="T2" s="189"/>
      <c r="U2" s="190"/>
      <c r="V2" s="190"/>
      <c r="W2" s="190"/>
      <c r="X2" s="190"/>
      <c r="Y2" s="166"/>
      <c r="Z2" s="166"/>
      <c r="AA2" s="166"/>
      <c r="AB2" s="166"/>
      <c r="AC2" s="166"/>
      <c r="AD2" s="166"/>
      <c r="AE2" s="166"/>
      <c r="AF2" s="166"/>
      <c r="AG2" s="12"/>
      <c r="AN2" s="734"/>
      <c r="AO2" s="734"/>
      <c r="AP2" s="734"/>
      <c r="AQ2" s="734"/>
      <c r="AR2" s="730"/>
      <c r="AS2" s="730"/>
      <c r="AT2" s="730"/>
      <c r="AU2" s="730"/>
      <c r="AV2" s="730"/>
      <c r="AW2" s="730"/>
      <c r="AX2" s="730"/>
      <c r="AY2" s="730"/>
      <c r="AZ2" s="732"/>
      <c r="BA2" s="732"/>
      <c r="BB2" s="732"/>
      <c r="BC2" s="732"/>
      <c r="BD2" s="732"/>
      <c r="BE2" s="732"/>
      <c r="BF2" s="723"/>
      <c r="BG2" s="723"/>
      <c r="BH2" s="723"/>
      <c r="BI2" s="723"/>
    </row>
    <row r="3" spans="1:65" customFormat="1" ht="16.350000000000001" customHeight="1" thickBot="1">
      <c r="A3" s="614"/>
      <c r="B3" s="614"/>
      <c r="C3" s="614"/>
      <c r="D3" s="614"/>
      <c r="E3" s="614"/>
      <c r="F3" s="875"/>
      <c r="G3" s="875"/>
      <c r="H3" s="875"/>
      <c r="I3" s="875"/>
      <c r="J3" s="875"/>
      <c r="K3" s="875"/>
      <c r="L3" s="875"/>
      <c r="M3" s="875"/>
      <c r="N3" s="608"/>
      <c r="O3" s="608"/>
      <c r="P3" s="608"/>
      <c r="Q3" s="608"/>
      <c r="R3" s="608"/>
      <c r="S3" s="608"/>
      <c r="T3" s="608"/>
      <c r="U3" s="609"/>
      <c r="V3" s="609"/>
      <c r="W3" s="609"/>
      <c r="X3" s="609"/>
      <c r="Y3" s="614"/>
      <c r="Z3" s="614"/>
      <c r="AA3" s="614"/>
      <c r="AB3" s="614"/>
      <c r="AC3" s="614"/>
      <c r="AD3" s="614"/>
      <c r="AE3" s="614"/>
      <c r="AF3" s="614"/>
      <c r="AG3" s="606"/>
      <c r="AH3" s="614"/>
      <c r="AI3" s="614"/>
      <c r="AJ3" s="614"/>
      <c r="AK3" s="614"/>
      <c r="AL3" s="614"/>
      <c r="AM3" s="614"/>
      <c r="AN3" s="868"/>
      <c r="AO3" s="868"/>
      <c r="AP3" s="868"/>
      <c r="AQ3" s="868"/>
      <c r="AR3" s="869"/>
      <c r="AS3" s="869"/>
      <c r="AT3" s="869"/>
      <c r="AU3" s="869"/>
      <c r="AV3" s="869"/>
      <c r="AW3" s="869"/>
      <c r="AX3" s="869"/>
      <c r="AY3" s="869"/>
      <c r="AZ3" s="1009"/>
      <c r="BA3" s="1009"/>
      <c r="BB3" s="1009"/>
      <c r="BC3" s="1009"/>
      <c r="BD3" s="1009"/>
      <c r="BE3" s="1009"/>
      <c r="BF3" s="871"/>
      <c r="BG3" s="871"/>
      <c r="BH3" s="871"/>
      <c r="BI3" s="871"/>
    </row>
    <row r="4" spans="1:65" s="147" customFormat="1" ht="16.350000000000001" customHeight="1">
      <c r="A4" s="615"/>
      <c r="B4" s="615"/>
      <c r="C4" s="615"/>
      <c r="D4" s="615"/>
      <c r="E4" s="615"/>
      <c r="F4" s="615"/>
      <c r="G4" s="615"/>
      <c r="H4" s="615"/>
      <c r="I4" s="615"/>
      <c r="J4" s="615"/>
      <c r="K4" s="615"/>
      <c r="L4" s="616"/>
      <c r="M4" s="617"/>
      <c r="N4" s="615"/>
      <c r="O4" s="615"/>
      <c r="P4" s="615"/>
      <c r="Q4" s="615"/>
      <c r="R4" s="615"/>
      <c r="S4" s="613" t="s">
        <v>707</v>
      </c>
      <c r="T4" s="618" t="str">
        <f>M05S07F07</f>
        <v>Custom</v>
      </c>
      <c r="U4" s="619"/>
      <c r="V4" s="619"/>
      <c r="W4" s="619"/>
      <c r="X4" s="615"/>
      <c r="Y4" s="615"/>
      <c r="Z4" s="615"/>
      <c r="AA4" s="613" t="s">
        <v>708</v>
      </c>
      <c r="AB4" s="1215" t="str">
        <f>IF(M02S02F02="","[Project Name]",LEFT(M02S02F02,25))</f>
        <v>[Project Name]</v>
      </c>
      <c r="AC4" s="1215"/>
      <c r="AD4" s="1215"/>
      <c r="AE4" s="1215"/>
      <c r="AF4" s="1215"/>
      <c r="AG4" s="1215"/>
      <c r="AH4" s="615"/>
      <c r="AI4" s="613" t="s">
        <v>709</v>
      </c>
      <c r="AJ4" s="621" t="str">
        <f>IF(M02S02F27="Yes",Status_Final,Status_Pre)</f>
        <v>Draft Pre-Application</v>
      </c>
      <c r="AK4" s="617"/>
      <c r="AL4" s="615"/>
      <c r="AM4" s="615"/>
      <c r="AN4" s="617"/>
      <c r="AO4" s="617"/>
      <c r="AP4" s="615"/>
      <c r="AQ4" s="615"/>
      <c r="AR4" s="615"/>
      <c r="AS4" s="613" t="s">
        <v>710</v>
      </c>
      <c r="AT4" s="1047">
        <f>Incent_Total_Cap_All</f>
        <v>0</v>
      </c>
      <c r="AU4" s="1047"/>
      <c r="AV4" s="1047"/>
      <c r="AW4" s="1047"/>
      <c r="AX4" s="1048" t="s">
        <v>711</v>
      </c>
      <c r="AY4" s="1048"/>
      <c r="AZ4" s="1048"/>
      <c r="BA4" s="1048"/>
      <c r="BB4" s="1048"/>
      <c r="BC4" s="1047" t="str">
        <f>OBR_Amount_Requested</f>
        <v/>
      </c>
      <c r="BD4" s="1047"/>
      <c r="BE4" s="1047"/>
      <c r="BF4" s="1047"/>
      <c r="BG4" s="617"/>
    </row>
    <row r="5" spans="1:65" customFormat="1" ht="16.350000000000001" customHeight="1">
      <c r="A5" s="177"/>
      <c r="B5" s="622"/>
      <c r="C5" s="622"/>
      <c r="D5" s="622"/>
      <c r="E5" s="622"/>
      <c r="F5" s="622"/>
      <c r="G5" s="622"/>
      <c r="H5" s="622"/>
      <c r="I5" s="622"/>
      <c r="J5" s="622"/>
      <c r="K5" s="622"/>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623"/>
      <c r="BF5" s="177"/>
      <c r="BG5" s="918">
        <f ca="1">PROGRESSSTATUS</f>
        <v>0</v>
      </c>
      <c r="BH5" s="918"/>
      <c r="BI5" s="918"/>
    </row>
    <row r="6" spans="1:65" customFormat="1"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65" customFormat="1"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65"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row>
    <row r="9" spans="1:65" customFormat="1" ht="16.350000000000001" customHeight="1" thickBot="1">
      <c r="F9" s="765" t="s">
        <v>1557</v>
      </c>
      <c r="G9" s="765"/>
      <c r="H9" s="765"/>
      <c r="I9" s="765"/>
      <c r="J9" s="765"/>
      <c r="K9" s="765"/>
      <c r="L9" s="765"/>
      <c r="M9" s="765"/>
      <c r="N9" s="765"/>
      <c r="O9" s="765"/>
      <c r="P9" s="765"/>
      <c r="Q9" s="765"/>
      <c r="R9" s="765"/>
      <c r="S9" s="765"/>
      <c r="T9" s="765"/>
      <c r="U9" s="765"/>
      <c r="V9" s="765"/>
      <c r="W9" s="765"/>
      <c r="X9" s="765"/>
      <c r="Y9" s="765"/>
      <c r="Z9" s="765"/>
      <c r="AA9" s="765"/>
      <c r="AB9" s="765"/>
      <c r="AC9" s="765"/>
      <c r="AD9" s="765"/>
      <c r="AE9" s="765"/>
      <c r="AF9" s="765"/>
      <c r="AG9" s="765"/>
      <c r="AH9" s="765"/>
      <c r="AI9" s="765"/>
      <c r="AJ9" s="765"/>
      <c r="AK9" s="765"/>
      <c r="AL9" s="765"/>
      <c r="AM9" s="765"/>
      <c r="AN9" s="765"/>
      <c r="AO9" s="765"/>
      <c r="AP9" s="765"/>
      <c r="AQ9" s="765"/>
      <c r="AR9" s="765"/>
      <c r="AS9" s="765"/>
      <c r="AT9" s="765"/>
      <c r="AU9" s="765"/>
      <c r="AV9" s="765"/>
      <c r="AW9" s="765"/>
      <c r="AX9" s="765"/>
      <c r="AY9" s="765"/>
      <c r="AZ9" s="765"/>
      <c r="BJ9" s="1302">
        <f>M01S02F02</f>
        <v>0</v>
      </c>
      <c r="BK9" s="1303"/>
      <c r="BL9" s="1303"/>
      <c r="BM9" s="1304"/>
    </row>
    <row r="10" spans="1:65" customFormat="1" ht="16.350000000000001" customHeight="1">
      <c r="F10" s="765"/>
      <c r="G10" s="765"/>
      <c r="H10" s="765"/>
      <c r="I10" s="765"/>
      <c r="J10" s="765"/>
      <c r="K10" s="765"/>
      <c r="L10" s="765"/>
      <c r="M10" s="765"/>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5"/>
      <c r="AO10" s="765"/>
      <c r="AP10" s="765"/>
      <c r="AQ10" s="765"/>
      <c r="AR10" s="765"/>
      <c r="AS10" s="765"/>
      <c r="AT10" s="765"/>
      <c r="AU10" s="765"/>
      <c r="AV10" s="765"/>
      <c r="AW10" s="765"/>
      <c r="AX10" s="765"/>
      <c r="AY10" s="765"/>
      <c r="AZ10" s="765"/>
      <c r="BA10" s="210"/>
      <c r="BB10" s="210"/>
      <c r="BC10" s="210"/>
      <c r="BD10" s="210"/>
      <c r="BE10" s="210"/>
      <c r="BF10" s="210"/>
      <c r="BG10" s="210"/>
    </row>
    <row r="11" spans="1:65" customFormat="1" ht="16.350000000000001" customHeight="1">
      <c r="F11" s="49"/>
      <c r="G11" s="49"/>
      <c r="H11" s="49"/>
      <c r="I11" s="49"/>
      <c r="AT11" s="111"/>
      <c r="AU11" s="111"/>
      <c r="AV11" s="111"/>
    </row>
    <row r="12" spans="1:65" customFormat="1" ht="16.350000000000001" customHeight="1"/>
    <row r="13" spans="1:65" customFormat="1" ht="20.25" customHeight="1">
      <c r="O13" s="543" t="s">
        <v>1558</v>
      </c>
      <c r="P13" s="143"/>
      <c r="Q13" s="143"/>
      <c r="R13" s="143"/>
      <c r="S13" s="143"/>
      <c r="T13" s="143"/>
      <c r="U13" s="143"/>
      <c r="V13" s="143"/>
      <c r="W13" s="12"/>
      <c r="X13" s="12"/>
      <c r="Y13" s="543" t="s">
        <v>1559</v>
      </c>
      <c r="Z13" s="12"/>
      <c r="AA13" s="12"/>
      <c r="AB13" s="12"/>
      <c r="AC13" s="12"/>
      <c r="AD13" s="12"/>
      <c r="AE13" s="12"/>
      <c r="AF13" s="12"/>
      <c r="AG13" s="12"/>
      <c r="AH13" s="12"/>
      <c r="AI13" s="12"/>
      <c r="AJ13" s="543" t="s">
        <v>1560</v>
      </c>
      <c r="AK13" s="12"/>
      <c r="AL13" s="12"/>
      <c r="AM13" s="12"/>
      <c r="AN13" s="12"/>
      <c r="AO13" s="12"/>
      <c r="AP13" s="12"/>
      <c r="AQ13" s="12"/>
      <c r="AR13" s="12"/>
    </row>
    <row r="14" spans="1:65" customFormat="1" ht="16.350000000000001" customHeight="1">
      <c r="O14" s="1325" t="s">
        <v>1561</v>
      </c>
      <c r="P14" s="1325"/>
      <c r="Q14" s="1325"/>
      <c r="R14" s="1325"/>
      <c r="S14" s="1325"/>
      <c r="T14" s="1325"/>
      <c r="U14" s="1325"/>
      <c r="V14" s="1325"/>
      <c r="W14" s="129"/>
      <c r="X14" s="129"/>
      <c r="Y14" s="1324" t="s">
        <v>1562</v>
      </c>
      <c r="Z14" s="1324"/>
      <c r="AA14" s="1324"/>
      <c r="AB14" s="1324"/>
      <c r="AC14" s="1324"/>
      <c r="AD14" s="1324"/>
      <c r="AE14" s="1324"/>
      <c r="AF14" s="1324"/>
      <c r="AG14" s="1324"/>
      <c r="AH14" s="129"/>
      <c r="AI14" s="129"/>
      <c r="AJ14" s="1310" t="str">
        <f>HYPERLINK(IF(M01S02F02=Txt_SubMthdOnline,"https://bizsaveportal.pseg.com",
IF(M01S02F02=Txt_SubMthdEmail,"mailto:"&amp;FOOT3&amp;"?subject=Standard/Custom Incentive Application Submission",
"https://bizsaveportal.pseg.com")),
IF(M01S02F02=Txt_SubMthdOnline,"Upload all documents via the Online Application Portal →",
IF(M01S02F02=Txt_SubMthdEmail,"Submit the application via encrypted email →",
"Upload all documents via the Online Application Portal →")))</f>
        <v>Upload all documents via the Online Application Portal →</v>
      </c>
      <c r="AK14" s="1311"/>
      <c r="AL14" s="1311"/>
      <c r="AM14" s="1311"/>
      <c r="AN14" s="1311"/>
      <c r="AO14" s="1311"/>
      <c r="AP14" s="1311"/>
      <c r="AQ14" s="1311"/>
      <c r="AR14" s="1312"/>
    </row>
    <row r="15" spans="1:65" customFormat="1" ht="16.350000000000001" customHeight="1">
      <c r="O15" s="1325"/>
      <c r="P15" s="1325"/>
      <c r="Q15" s="1325"/>
      <c r="R15" s="1325"/>
      <c r="S15" s="1325"/>
      <c r="T15" s="1325"/>
      <c r="U15" s="1325"/>
      <c r="V15" s="1325"/>
      <c r="W15" s="1319" t="s">
        <v>1563</v>
      </c>
      <c r="X15" s="1320"/>
      <c r="Y15" s="1324"/>
      <c r="Z15" s="1324"/>
      <c r="AA15" s="1324"/>
      <c r="AB15" s="1324"/>
      <c r="AC15" s="1324"/>
      <c r="AD15" s="1324"/>
      <c r="AE15" s="1324"/>
      <c r="AF15" s="1324"/>
      <c r="AG15" s="1324"/>
      <c r="AH15" s="1319" t="s">
        <v>1563</v>
      </c>
      <c r="AI15" s="1326"/>
      <c r="AJ15" s="1313"/>
      <c r="AK15" s="1314"/>
      <c r="AL15" s="1314"/>
      <c r="AM15" s="1314"/>
      <c r="AN15" s="1314"/>
      <c r="AO15" s="1314"/>
      <c r="AP15" s="1314"/>
      <c r="AQ15" s="1314"/>
      <c r="AR15" s="1315"/>
    </row>
    <row r="16" spans="1:65" customFormat="1" ht="18.600000000000001" customHeight="1">
      <c r="O16" s="1325"/>
      <c r="P16" s="1325"/>
      <c r="Q16" s="1325"/>
      <c r="R16" s="1325"/>
      <c r="S16" s="1325"/>
      <c r="T16" s="1325"/>
      <c r="U16" s="1325"/>
      <c r="V16" s="1325"/>
      <c r="W16" s="129"/>
      <c r="X16" s="129"/>
      <c r="Y16" s="1324"/>
      <c r="Z16" s="1324"/>
      <c r="AA16" s="1324"/>
      <c r="AB16" s="1324"/>
      <c r="AC16" s="1324"/>
      <c r="AD16" s="1324"/>
      <c r="AE16" s="1324"/>
      <c r="AF16" s="1324"/>
      <c r="AG16" s="1324"/>
      <c r="AH16" s="129"/>
      <c r="AI16" s="129"/>
      <c r="AJ16" s="1313"/>
      <c r="AK16" s="1314"/>
      <c r="AL16" s="1314"/>
      <c r="AM16" s="1314"/>
      <c r="AN16" s="1314"/>
      <c r="AO16" s="1314"/>
      <c r="AP16" s="1314"/>
      <c r="AQ16" s="1314"/>
      <c r="AR16" s="1315"/>
      <c r="BA16" s="282"/>
    </row>
    <row r="17" spans="10:92" customFormat="1" ht="16.350000000000001" customHeight="1">
      <c r="O17" s="1325"/>
      <c r="P17" s="1325"/>
      <c r="Q17" s="1325"/>
      <c r="R17" s="1325"/>
      <c r="S17" s="1325"/>
      <c r="T17" s="1325"/>
      <c r="U17" s="1325"/>
      <c r="V17" s="1325"/>
      <c r="W17" s="129"/>
      <c r="X17" s="129"/>
      <c r="Y17" s="1324"/>
      <c r="Z17" s="1324"/>
      <c r="AA17" s="1324"/>
      <c r="AB17" s="1324"/>
      <c r="AC17" s="1324"/>
      <c r="AD17" s="1324"/>
      <c r="AE17" s="1324"/>
      <c r="AF17" s="1324"/>
      <c r="AG17" s="1324"/>
      <c r="AH17" s="129"/>
      <c r="AI17" s="129"/>
      <c r="AJ17" s="1316"/>
      <c r="AK17" s="1317"/>
      <c r="AL17" s="1317"/>
      <c r="AM17" s="1317"/>
      <c r="AN17" s="1317"/>
      <c r="AO17" s="1317"/>
      <c r="AP17" s="1317"/>
      <c r="AQ17" s="1317"/>
      <c r="AR17" s="1318"/>
    </row>
    <row r="18" spans="10:92" customFormat="1" ht="16.350000000000001" customHeight="1">
      <c r="AY18" s="466"/>
      <c r="AZ18" s="466"/>
      <c r="BA18" s="466"/>
      <c r="BB18" s="466"/>
      <c r="BC18" s="466"/>
      <c r="BD18" s="466"/>
      <c r="BE18" s="466"/>
      <c r="BF18" s="466"/>
      <c r="BG18" s="466"/>
    </row>
    <row r="19" spans="10:92" customFormat="1" ht="16.350000000000001" customHeight="1">
      <c r="AY19" s="466"/>
      <c r="AZ19" s="466"/>
      <c r="BA19" s="466"/>
      <c r="BB19" s="466"/>
      <c r="BC19" s="466"/>
      <c r="BD19" s="466"/>
      <c r="BE19" s="466"/>
      <c r="BF19" s="466"/>
      <c r="BG19" s="466"/>
    </row>
    <row r="20" spans="10:92" customFormat="1" ht="16.350000000000001" customHeight="1" thickBot="1">
      <c r="J20" s="645" t="s">
        <v>1564</v>
      </c>
      <c r="K20" s="646"/>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646"/>
      <c r="AM20" s="646"/>
      <c r="AN20" s="646"/>
      <c r="AO20" s="646"/>
      <c r="AP20" s="646"/>
      <c r="AQ20" s="646"/>
      <c r="AR20" s="646"/>
      <c r="AS20" s="646"/>
      <c r="AT20" s="646"/>
      <c r="AU20" s="646"/>
      <c r="AV20" s="646"/>
      <c r="AW20" s="646"/>
      <c r="BB20" s="466"/>
      <c r="BC20" s="466"/>
      <c r="BD20" s="466"/>
      <c r="BE20" s="466"/>
      <c r="BF20" s="466"/>
      <c r="BG20" s="466"/>
      <c r="BH20" s="466"/>
      <c r="BI20" s="466"/>
      <c r="BJ20" s="466"/>
    </row>
    <row r="21" spans="10:92" customFormat="1" ht="16.350000000000001" customHeight="1">
      <c r="L21" s="276" t="s">
        <v>1565</v>
      </c>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row>
    <row r="22" spans="10:92" customFormat="1" ht="16.350000000000001" customHeight="1"/>
    <row r="23" spans="10:92" customFormat="1" ht="16.350000000000001" customHeight="1">
      <c r="L23" s="1306" t="s">
        <v>1566</v>
      </c>
      <c r="M23" s="1306"/>
      <c r="N23" s="1306"/>
      <c r="O23" s="1306"/>
      <c r="Q23" s="174" t="s">
        <v>1567</v>
      </c>
      <c r="R23" s="12"/>
      <c r="S23" s="12"/>
      <c r="T23" s="12"/>
      <c r="U23" s="12"/>
      <c r="V23" s="12"/>
      <c r="W23" s="12"/>
      <c r="X23" s="12"/>
      <c r="Y23" s="12"/>
      <c r="Z23" s="12"/>
      <c r="AA23" s="12"/>
      <c r="AB23" s="12"/>
      <c r="AC23" s="12"/>
      <c r="AD23" s="12"/>
      <c r="AE23" s="12"/>
      <c r="AF23" s="174" t="s">
        <v>1568</v>
      </c>
      <c r="AH23" s="12"/>
      <c r="AI23" s="12"/>
      <c r="AJ23" s="12"/>
      <c r="AK23" s="12"/>
      <c r="AL23" s="12"/>
      <c r="AP23" s="1307" t="s">
        <v>1569</v>
      </c>
      <c r="AQ23" s="1307"/>
      <c r="AR23" s="1307"/>
      <c r="AS23" s="1307"/>
      <c r="AT23" s="1307"/>
    </row>
    <row r="24" spans="10:92" customFormat="1" ht="16.350000000000001" customHeight="1">
      <c r="M24" s="560" t="s">
        <v>142</v>
      </c>
      <c r="N24" s="561"/>
      <c r="Q24" s="12" t="s">
        <v>1570</v>
      </c>
      <c r="R24" s="12"/>
      <c r="S24" s="12"/>
      <c r="T24" s="12"/>
      <c r="U24" s="12"/>
      <c r="V24" s="12"/>
      <c r="W24" s="12"/>
      <c r="X24" s="12"/>
      <c r="Y24" s="12"/>
      <c r="Z24" s="12"/>
      <c r="AA24" s="12"/>
      <c r="AB24" s="12"/>
      <c r="AC24" s="12"/>
      <c r="AD24" s="12"/>
      <c r="AE24" s="12"/>
      <c r="AF24" s="12" t="s">
        <v>1571</v>
      </c>
      <c r="AH24" s="12"/>
      <c r="AI24" s="12"/>
      <c r="AJ24" s="12"/>
      <c r="AK24" s="12"/>
      <c r="AL24" s="12"/>
      <c r="AP24" s="12" t="s">
        <v>1572</v>
      </c>
      <c r="BS24" s="93"/>
      <c r="BT24" s="93"/>
      <c r="BU24" s="93"/>
      <c r="BV24" s="93"/>
      <c r="BW24" s="93"/>
      <c r="BX24" s="93"/>
      <c r="BY24" s="93"/>
      <c r="BZ24" s="93"/>
      <c r="CA24" s="93"/>
    </row>
    <row r="25" spans="10:92" customFormat="1" ht="16.350000000000001" customHeight="1">
      <c r="M25" s="560" t="s">
        <v>142</v>
      </c>
      <c r="N25" s="561"/>
      <c r="Q25" s="12" t="s">
        <v>1573</v>
      </c>
      <c r="R25" s="12"/>
      <c r="S25" s="12"/>
      <c r="T25" s="12"/>
      <c r="U25" s="12"/>
      <c r="V25" s="12"/>
      <c r="W25" s="12"/>
      <c r="X25" s="12"/>
      <c r="Y25" s="12"/>
      <c r="Z25" s="12"/>
      <c r="AA25" s="12"/>
      <c r="AB25" s="12"/>
      <c r="AC25" s="12"/>
      <c r="AD25" s="12"/>
      <c r="AE25" s="12"/>
      <c r="AF25" s="12" t="s">
        <v>1571</v>
      </c>
      <c r="AH25" s="12"/>
      <c r="AI25" s="12"/>
      <c r="AJ25" s="12"/>
      <c r="AK25" s="12"/>
      <c r="AL25" s="12"/>
      <c r="AP25" s="12" t="s">
        <v>1572</v>
      </c>
    </row>
    <row r="26" spans="10:92" customFormat="1" ht="16.350000000000001" customHeight="1">
      <c r="M26" s="560" t="s">
        <v>142</v>
      </c>
      <c r="N26" s="561"/>
      <c r="Q26" s="12" t="s">
        <v>1574</v>
      </c>
      <c r="R26" s="12"/>
      <c r="S26" s="12"/>
      <c r="T26" s="12"/>
      <c r="U26" s="12"/>
      <c r="V26" s="12"/>
      <c r="W26" s="12"/>
      <c r="X26" s="12"/>
      <c r="Y26" s="12"/>
      <c r="Z26" s="12"/>
      <c r="AA26" s="12"/>
      <c r="AB26" s="12"/>
      <c r="AC26" s="12"/>
      <c r="AD26" s="12"/>
      <c r="AE26" s="12"/>
      <c r="AF26" s="12" t="s">
        <v>997</v>
      </c>
      <c r="AH26" s="12"/>
      <c r="AI26" s="12"/>
      <c r="AJ26" s="12"/>
      <c r="AK26" s="12"/>
      <c r="AL26" s="12"/>
      <c r="AP26" s="12" t="s">
        <v>1572</v>
      </c>
      <c r="CL26" s="140"/>
      <c r="CM26" s="140"/>
      <c r="CN26" s="140"/>
    </row>
    <row r="27" spans="10:92" customFormat="1" ht="16.350000000000001" customHeight="1">
      <c r="M27" s="560" t="s">
        <v>142</v>
      </c>
      <c r="N27" s="561"/>
      <c r="Q27" s="12" t="s">
        <v>1575</v>
      </c>
      <c r="R27" s="12"/>
      <c r="S27" s="12"/>
      <c r="T27" s="12"/>
      <c r="U27" s="12"/>
      <c r="V27" s="12"/>
      <c r="W27" s="12"/>
      <c r="X27" s="12"/>
      <c r="Y27" s="12"/>
      <c r="Z27" s="12"/>
      <c r="AA27" s="12"/>
      <c r="AB27" s="12"/>
      <c r="AC27" s="12"/>
      <c r="AD27" s="12"/>
      <c r="AE27" s="12"/>
      <c r="AF27" s="12" t="s">
        <v>1571</v>
      </c>
      <c r="AH27" s="12"/>
      <c r="AI27" s="12"/>
      <c r="AJ27" s="12"/>
      <c r="AK27" s="12"/>
      <c r="AL27" s="12"/>
      <c r="AP27" s="12" t="s">
        <v>1572</v>
      </c>
      <c r="CL27" s="140"/>
      <c r="CM27" s="140"/>
      <c r="CN27" s="140"/>
    </row>
    <row r="28" spans="10:92" customFormat="1" ht="16.350000000000001" customHeight="1">
      <c r="M28" s="560" t="s">
        <v>142</v>
      </c>
      <c r="N28" s="561"/>
      <c r="O28" s="137"/>
      <c r="Q28" s="12" t="s">
        <v>1576</v>
      </c>
      <c r="R28" s="12"/>
      <c r="S28" s="12"/>
      <c r="T28" s="12"/>
      <c r="U28" s="12"/>
      <c r="V28" s="12"/>
      <c r="W28" s="12"/>
      <c r="X28" s="12"/>
      <c r="Y28" s="12"/>
      <c r="Z28" s="12"/>
      <c r="AA28" s="12"/>
      <c r="AB28" s="12"/>
      <c r="AC28" s="12"/>
      <c r="AD28" s="12"/>
      <c r="AE28" s="12"/>
      <c r="AF28" s="12" t="s">
        <v>1571</v>
      </c>
      <c r="AH28" s="12"/>
      <c r="AI28" s="12"/>
      <c r="AJ28" s="12"/>
      <c r="AK28" s="12"/>
      <c r="AL28" s="12"/>
      <c r="AP28" s="12" t="s">
        <v>1572</v>
      </c>
    </row>
    <row r="29" spans="10:92" customFormat="1" ht="16.350000000000001" customHeight="1">
      <c r="M29" s="562" t="s">
        <v>142</v>
      </c>
      <c r="N29" s="519"/>
      <c r="O29" s="281"/>
      <c r="P29" s="36"/>
      <c r="Q29" s="1308" t="s">
        <v>1577</v>
      </c>
      <c r="R29" s="1308"/>
      <c r="S29" s="1308"/>
      <c r="T29" s="1308"/>
      <c r="U29" s="1308"/>
      <c r="V29" s="1308"/>
      <c r="W29" s="1308"/>
      <c r="X29" s="1308"/>
      <c r="Y29" s="1308"/>
      <c r="Z29" s="1308"/>
      <c r="AA29" s="1308"/>
      <c r="AB29" s="1308"/>
      <c r="AC29" s="1308"/>
      <c r="AD29" s="163"/>
      <c r="AE29" s="163"/>
      <c r="AF29" s="12" t="s">
        <v>1571</v>
      </c>
      <c r="AG29" s="36"/>
      <c r="AH29" s="125"/>
      <c r="AI29" s="125"/>
      <c r="AJ29" s="125"/>
      <c r="AK29" s="125"/>
      <c r="AL29" s="125"/>
      <c r="AM29" s="36"/>
      <c r="AN29" s="36"/>
      <c r="AO29" s="36"/>
      <c r="AP29" s="12" t="s">
        <v>1572</v>
      </c>
      <c r="AR29" s="36"/>
      <c r="AS29" s="36"/>
    </row>
    <row r="30" spans="10:92" customFormat="1" ht="16.350000000000001" customHeight="1">
      <c r="M30" s="519"/>
      <c r="N30" s="519"/>
      <c r="O30" s="36"/>
      <c r="P30" s="36"/>
      <c r="Q30" s="1308"/>
      <c r="R30" s="1308"/>
      <c r="S30" s="1308"/>
      <c r="T30" s="1308"/>
      <c r="U30" s="1308"/>
      <c r="V30" s="1308"/>
      <c r="W30" s="1308"/>
      <c r="X30" s="1308"/>
      <c r="Y30" s="1308"/>
      <c r="Z30" s="1308"/>
      <c r="AA30" s="1308"/>
      <c r="AB30" s="1308"/>
      <c r="AC30" s="1308"/>
      <c r="AD30" s="163"/>
      <c r="AE30" s="163"/>
      <c r="AF30" s="12"/>
      <c r="AG30" s="36"/>
      <c r="AH30" s="125"/>
      <c r="AI30" s="125"/>
      <c r="AJ30" s="125"/>
      <c r="AK30" s="125"/>
      <c r="AL30" s="125"/>
      <c r="AM30" s="36"/>
      <c r="AN30" s="36"/>
      <c r="AO30" s="36"/>
      <c r="AP30" s="125"/>
      <c r="AR30" s="36"/>
      <c r="AS30" s="36"/>
    </row>
    <row r="31" spans="10:92" customFormat="1" ht="16.350000000000001" customHeight="1">
      <c r="M31" s="560" t="s">
        <v>142</v>
      </c>
      <c r="N31" s="561"/>
      <c r="O31" s="138"/>
      <c r="Q31" s="12" t="s">
        <v>1578</v>
      </c>
      <c r="R31" s="12"/>
      <c r="S31" s="148"/>
      <c r="T31" s="148"/>
      <c r="U31" s="148"/>
      <c r="V31" s="148"/>
      <c r="W31" s="148"/>
      <c r="X31" s="148"/>
      <c r="Y31" s="148"/>
      <c r="Z31" s="148"/>
      <c r="AA31" s="148"/>
      <c r="AB31" s="148"/>
      <c r="AC31" s="148"/>
      <c r="AD31" s="148"/>
      <c r="AE31" s="12"/>
      <c r="AF31" s="12" t="s">
        <v>1334</v>
      </c>
      <c r="AH31" s="12"/>
      <c r="AI31" s="12"/>
      <c r="AJ31" s="12"/>
      <c r="AK31" s="12"/>
      <c r="AL31" s="12"/>
      <c r="AP31" s="12" t="s">
        <v>1572</v>
      </c>
      <c r="AT31" s="12"/>
    </row>
    <row r="32" spans="10:92" customFormat="1" ht="16.350000000000001" customHeight="1">
      <c r="M32" s="562" t="s">
        <v>142</v>
      </c>
      <c r="N32" s="519"/>
      <c r="O32" s="281"/>
      <c r="P32" s="36"/>
      <c r="Q32" s="125" t="s">
        <v>1579</v>
      </c>
      <c r="R32" s="125"/>
      <c r="S32" s="125"/>
      <c r="T32" s="125"/>
      <c r="U32" s="125"/>
      <c r="V32" s="125"/>
      <c r="W32" s="125"/>
      <c r="X32" s="125"/>
      <c r="Y32" s="125"/>
      <c r="Z32" s="125"/>
      <c r="AA32" s="125"/>
      <c r="AB32" s="125"/>
      <c r="AC32" s="125"/>
      <c r="AD32" s="125"/>
      <c r="AE32" s="125"/>
      <c r="AF32" s="125" t="s">
        <v>1315</v>
      </c>
      <c r="AG32" s="36"/>
      <c r="AH32" s="125"/>
      <c r="AI32" s="125"/>
      <c r="AJ32" s="125"/>
      <c r="AK32" s="125"/>
      <c r="AL32" s="125"/>
      <c r="AM32" s="36"/>
      <c r="AN32" s="36"/>
      <c r="AO32" s="36"/>
      <c r="AP32" s="12" t="s">
        <v>1572</v>
      </c>
      <c r="AR32" s="36"/>
      <c r="AS32" s="36"/>
      <c r="AT32" s="12"/>
    </row>
    <row r="33" spans="12:48" customFormat="1" ht="16.350000000000001" customHeight="1">
      <c r="M33" s="138" t="s">
        <v>1580</v>
      </c>
      <c r="O33" s="138"/>
      <c r="Q33" s="12" t="s">
        <v>1581</v>
      </c>
      <c r="R33" s="12"/>
      <c r="S33" s="12"/>
      <c r="T33" s="12"/>
      <c r="U33" s="12"/>
      <c r="V33" s="12"/>
      <c r="W33" s="12"/>
      <c r="X33" s="12"/>
      <c r="Y33" s="12"/>
      <c r="Z33" s="12"/>
      <c r="AA33" s="12"/>
      <c r="AB33" s="12"/>
      <c r="AC33" s="12"/>
      <c r="AD33" s="12"/>
      <c r="AE33" s="12"/>
      <c r="AF33" s="12" t="s">
        <v>1571</v>
      </c>
      <c r="AH33" s="12"/>
      <c r="AI33" s="12"/>
      <c r="AJ33" s="12"/>
      <c r="AK33" s="12"/>
      <c r="AL33" s="12"/>
      <c r="AP33" s="12" t="s">
        <v>1572</v>
      </c>
    </row>
    <row r="34" spans="12:48" customFormat="1" ht="16.350000000000001" customHeight="1">
      <c r="M34" s="138" t="s">
        <v>1580</v>
      </c>
      <c r="O34" s="137"/>
      <c r="Q34" s="12" t="s">
        <v>1582</v>
      </c>
      <c r="AF34" s="12" t="s">
        <v>1571</v>
      </c>
      <c r="AH34" s="12"/>
      <c r="AI34" s="12"/>
      <c r="AJ34" s="12"/>
      <c r="AK34" s="12"/>
      <c r="AL34" s="12"/>
      <c r="AP34" s="12" t="s">
        <v>1572</v>
      </c>
    </row>
    <row r="35" spans="12:48" customFormat="1" ht="16.350000000000001" customHeight="1">
      <c r="M35" s="138" t="str">
        <f>IF(M05S01BF01="Yes","Required","Optional")</f>
        <v>Optional</v>
      </c>
      <c r="Q35" s="12" t="s">
        <v>1583</v>
      </c>
      <c r="AF35" s="12" t="s">
        <v>1334</v>
      </c>
      <c r="AH35" s="12"/>
      <c r="AI35" s="12"/>
      <c r="AJ35" s="12"/>
      <c r="AK35" s="12"/>
      <c r="AL35" s="12"/>
      <c r="AP35" s="12" t="s">
        <v>1572</v>
      </c>
      <c r="AT35" s="12"/>
    </row>
    <row r="36" spans="12:48" customFormat="1" ht="16.350000000000001" customHeight="1">
      <c r="M36" s="137"/>
      <c r="O36" s="137"/>
      <c r="Q36" s="12"/>
      <c r="S36" s="12"/>
      <c r="T36" s="12"/>
      <c r="U36" s="12"/>
      <c r="V36" s="12"/>
      <c r="W36" s="12"/>
      <c r="X36" s="12"/>
      <c r="Y36" s="12"/>
      <c r="Z36" s="12"/>
      <c r="AA36" s="12"/>
      <c r="AB36" s="12"/>
      <c r="AC36" s="12"/>
      <c r="AD36" s="12"/>
      <c r="AE36" s="12"/>
      <c r="AF36" s="12"/>
      <c r="AH36" s="12"/>
      <c r="AI36" s="12"/>
      <c r="AJ36" s="12"/>
      <c r="AK36" s="12"/>
      <c r="AL36" s="12"/>
      <c r="AQ36" s="12"/>
    </row>
    <row r="37" spans="12:48" customFormat="1" ht="16.350000000000001" customHeight="1">
      <c r="L37" s="276" t="s">
        <v>1584</v>
      </c>
      <c r="M37" s="278"/>
      <c r="N37" s="147"/>
      <c r="O37" s="278"/>
      <c r="P37" s="147"/>
      <c r="Q37" s="279"/>
      <c r="R37" s="147"/>
      <c r="S37" s="279"/>
      <c r="T37" s="279"/>
      <c r="U37" s="279"/>
      <c r="V37" s="279"/>
      <c r="W37" s="279"/>
      <c r="X37" s="279"/>
      <c r="Y37" s="279"/>
      <c r="Z37" s="279"/>
      <c r="AA37" s="279"/>
      <c r="AB37" s="279"/>
      <c r="AC37" s="279"/>
      <c r="AD37" s="279"/>
      <c r="AE37" s="279"/>
      <c r="AF37" s="279"/>
      <c r="AG37" s="147"/>
      <c r="AH37" s="279"/>
      <c r="AI37" s="279"/>
      <c r="AJ37" s="279"/>
      <c r="AK37" s="279"/>
      <c r="AL37" s="279"/>
      <c r="AM37" s="147"/>
      <c r="AN37" s="147"/>
      <c r="AO37" s="147"/>
      <c r="AP37" s="147"/>
      <c r="AQ37" s="279"/>
      <c r="AR37" s="147"/>
      <c r="AS37" s="147"/>
      <c r="AT37" s="147"/>
      <c r="AU37" s="147"/>
      <c r="AV37" s="147"/>
    </row>
    <row r="38" spans="12:48" customFormat="1" ht="16.350000000000001" customHeight="1">
      <c r="M38" s="137"/>
      <c r="O38" s="137"/>
      <c r="Q38" s="12"/>
      <c r="S38" s="12"/>
      <c r="T38" s="12"/>
      <c r="U38" s="12"/>
      <c r="V38" s="12"/>
      <c r="W38" s="12"/>
      <c r="X38" s="12"/>
      <c r="Y38" s="12"/>
      <c r="Z38" s="12"/>
      <c r="AA38" s="12"/>
      <c r="AB38" s="12"/>
      <c r="AC38" s="12"/>
      <c r="AD38" s="12"/>
      <c r="AE38" s="12"/>
      <c r="AF38" s="12"/>
      <c r="AH38" s="12"/>
      <c r="AI38" s="12"/>
      <c r="AJ38" s="12"/>
      <c r="AK38" s="12"/>
      <c r="AL38" s="12"/>
      <c r="AQ38" s="12"/>
    </row>
    <row r="39" spans="12:48" customFormat="1" ht="16.350000000000001" customHeight="1">
      <c r="L39" s="1306" t="s">
        <v>1566</v>
      </c>
      <c r="M39" s="1306"/>
      <c r="N39" s="1306"/>
      <c r="O39" s="1306"/>
      <c r="Q39" s="174" t="s">
        <v>1567</v>
      </c>
      <c r="R39" s="12"/>
      <c r="S39" s="12"/>
      <c r="T39" s="12"/>
      <c r="U39" s="12"/>
      <c r="V39" s="12"/>
      <c r="W39" s="12"/>
      <c r="X39" s="12"/>
      <c r="Y39" s="12"/>
      <c r="Z39" s="12"/>
      <c r="AA39" s="12"/>
      <c r="AB39" s="12"/>
      <c r="AC39" s="12"/>
      <c r="AD39" s="12"/>
      <c r="AE39" s="12"/>
      <c r="AF39" s="174" t="s">
        <v>1568</v>
      </c>
      <c r="AH39" s="12"/>
      <c r="AI39" s="12"/>
      <c r="AJ39" s="12"/>
      <c r="AK39" s="12"/>
      <c r="AL39" s="12"/>
      <c r="AP39" s="1307" t="s">
        <v>1569</v>
      </c>
      <c r="AQ39" s="1307"/>
      <c r="AR39" s="1307"/>
      <c r="AS39" s="1307"/>
      <c r="AT39" s="1307"/>
    </row>
    <row r="40" spans="12:48" customFormat="1" ht="16.350000000000001" customHeight="1">
      <c r="M40" s="560" t="s">
        <v>142</v>
      </c>
      <c r="N40" s="561"/>
      <c r="O40" s="12"/>
      <c r="P40" s="12"/>
      <c r="Q40" s="12" t="s">
        <v>1585</v>
      </c>
      <c r="R40" s="12"/>
      <c r="S40" s="12"/>
      <c r="T40" s="12"/>
      <c r="U40" s="12"/>
      <c r="V40" s="12"/>
      <c r="W40" s="12"/>
      <c r="X40" s="12"/>
      <c r="Y40" s="12"/>
      <c r="Z40" s="12"/>
      <c r="AA40" s="12"/>
      <c r="AB40" s="12"/>
      <c r="AC40" s="12"/>
      <c r="AD40" s="12"/>
      <c r="AE40" s="12"/>
      <c r="AF40" s="12" t="s">
        <v>1571</v>
      </c>
      <c r="AH40" s="12"/>
      <c r="AI40" s="12"/>
      <c r="AJ40" s="12"/>
      <c r="AK40" s="12"/>
      <c r="AL40" s="12"/>
      <c r="AP40" s="12" t="str">
        <f>IFERROR(IF(M02S02F27="Yes","Initial Application Submission",
IF(M02S02F27="No","Post Approval","Post Approval")),"")</f>
        <v>Post Approval</v>
      </c>
    </row>
    <row r="41" spans="12:48" customFormat="1" ht="16.350000000000001" customHeight="1">
      <c r="M41" s="560" t="s">
        <v>142</v>
      </c>
      <c r="N41" s="561"/>
      <c r="Q41" s="12" t="s">
        <v>1586</v>
      </c>
      <c r="R41" s="12"/>
      <c r="S41" s="12"/>
      <c r="T41" s="12"/>
      <c r="U41" s="12"/>
      <c r="V41" s="12"/>
      <c r="W41" s="12"/>
      <c r="X41" s="12"/>
      <c r="Y41" s="12"/>
      <c r="Z41" s="12"/>
      <c r="AA41" s="12"/>
      <c r="AB41" s="12"/>
      <c r="AC41" s="12"/>
      <c r="AD41" s="12"/>
      <c r="AE41" s="12"/>
      <c r="AF41" s="12" t="s">
        <v>1571</v>
      </c>
      <c r="AH41" s="12"/>
      <c r="AI41" s="12"/>
      <c r="AJ41" s="12"/>
      <c r="AK41" s="12"/>
      <c r="AL41" s="12"/>
      <c r="AP41" s="12" t="str">
        <f>IFERROR(IF(M02S02F27="Yes","Initial Application Submission",
IF(M02S02F27="No","Post Approval","Post Approval")),"")</f>
        <v>Post Approval</v>
      </c>
    </row>
    <row r="42" spans="12:48" customFormat="1" ht="16.350000000000001" customHeight="1">
      <c r="M42" s="560" t="s">
        <v>142</v>
      </c>
      <c r="N42" s="561"/>
      <c r="Q42" s="12" t="s">
        <v>1587</v>
      </c>
      <c r="R42" s="12"/>
      <c r="S42" s="12"/>
      <c r="T42" s="12"/>
      <c r="U42" s="12"/>
      <c r="V42" s="12"/>
      <c r="W42" s="12"/>
      <c r="X42" s="12"/>
      <c r="Y42" s="12"/>
      <c r="Z42" s="12"/>
      <c r="AA42" s="12"/>
      <c r="AB42" s="12"/>
      <c r="AC42" s="12"/>
      <c r="AD42" s="12"/>
      <c r="AE42" s="12"/>
      <c r="AF42" s="12" t="s">
        <v>997</v>
      </c>
      <c r="AH42" s="12"/>
      <c r="AI42" s="12"/>
      <c r="AJ42" s="12"/>
      <c r="AK42" s="12"/>
      <c r="AL42" s="12"/>
      <c r="AP42" s="12" t="s">
        <v>1572</v>
      </c>
    </row>
    <row r="43" spans="12:48" customFormat="1" ht="16.350000000000001" customHeight="1">
      <c r="M43" s="560" t="s">
        <v>142</v>
      </c>
      <c r="N43" s="560"/>
      <c r="O43" s="137"/>
      <c r="Q43" s="12" t="s">
        <v>1588</v>
      </c>
      <c r="R43" s="12"/>
      <c r="S43" s="12"/>
      <c r="T43" s="12"/>
      <c r="AF43" s="12" t="str">
        <f>AF40</f>
        <v>Customer/Contractor</v>
      </c>
      <c r="AH43" s="12"/>
      <c r="AI43" s="12"/>
      <c r="AJ43" s="12"/>
      <c r="AK43" s="12"/>
      <c r="AL43" s="12"/>
      <c r="AP43" s="12" t="str">
        <f>IFERROR(IF(M02S02F27="Yes","Initial Application Submission",
IF(M02S02F27="No","Post Approval","Post Approval")),"")</f>
        <v>Post Approval</v>
      </c>
    </row>
    <row r="44" spans="12:48" customFormat="1" ht="16.350000000000001" customHeight="1">
      <c r="M44" s="562" t="s">
        <v>142</v>
      </c>
      <c r="N44" s="562"/>
      <c r="O44" s="281"/>
      <c r="P44" s="36"/>
      <c r="Q44" s="1308" t="s">
        <v>1589</v>
      </c>
      <c r="R44" s="1308"/>
      <c r="S44" s="1308"/>
      <c r="T44" s="1308"/>
      <c r="U44" s="1308"/>
      <c r="V44" s="1308"/>
      <c r="W44" s="1308"/>
      <c r="X44" s="1308"/>
      <c r="Y44" s="1308"/>
      <c r="Z44" s="1308"/>
      <c r="AA44" s="1308"/>
      <c r="AB44" s="1308"/>
      <c r="AC44" s="1308"/>
      <c r="AD44" s="163"/>
      <c r="AE44" s="163"/>
      <c r="AF44" s="125" t="s">
        <v>1571</v>
      </c>
      <c r="AG44" s="36"/>
      <c r="AH44" s="125"/>
      <c r="AI44" s="125"/>
      <c r="AJ44" s="125"/>
      <c r="AK44" s="125"/>
      <c r="AL44" s="125"/>
      <c r="AM44" s="36"/>
      <c r="AN44" s="36"/>
      <c r="AO44" s="36"/>
      <c r="AP44" s="12" t="str">
        <f>IFERROR(IF(M02S02F27="Yes","Initial Application Submission",
IF(M02S02F27="No","Post Approval","Post Approval")),"")</f>
        <v>Post Approval</v>
      </c>
      <c r="AR44" s="36"/>
      <c r="AS44" s="36"/>
    </row>
    <row r="45" spans="12:48" customFormat="1" ht="16.350000000000001" customHeight="1">
      <c r="M45" s="36"/>
      <c r="N45" s="36"/>
      <c r="O45" s="36"/>
      <c r="P45" s="163"/>
      <c r="Q45" s="1308"/>
      <c r="R45" s="1308"/>
      <c r="S45" s="1308"/>
      <c r="T45" s="1308"/>
      <c r="U45" s="1308"/>
      <c r="V45" s="1308"/>
      <c r="W45" s="1308"/>
      <c r="X45" s="1308"/>
      <c r="Y45" s="1308"/>
      <c r="Z45" s="1308"/>
      <c r="AA45" s="1308"/>
      <c r="AB45" s="1308"/>
      <c r="AC45" s="1308"/>
      <c r="AD45" s="163"/>
      <c r="AE45" s="163"/>
      <c r="AF45" s="125"/>
      <c r="AG45" s="36"/>
      <c r="AH45" s="125"/>
      <c r="AI45" s="125"/>
      <c r="AJ45" s="125"/>
      <c r="AK45" s="125"/>
      <c r="AL45" s="125"/>
      <c r="AM45" s="36"/>
      <c r="AN45" s="36"/>
      <c r="AO45" s="36"/>
      <c r="AP45" s="36"/>
      <c r="AQ45" s="125"/>
      <c r="AR45" s="36"/>
      <c r="AS45" s="36"/>
    </row>
    <row r="46" spans="12:48" customFormat="1" ht="16.350000000000001" customHeight="1">
      <c r="M46" s="36"/>
      <c r="N46" s="36"/>
      <c r="O46" s="36"/>
      <c r="P46" s="163"/>
      <c r="Q46" s="1308"/>
      <c r="R46" s="1308"/>
      <c r="S46" s="1308"/>
      <c r="T46" s="1308"/>
      <c r="U46" s="1308"/>
      <c r="V46" s="1308"/>
      <c r="W46" s="1308"/>
      <c r="X46" s="1308"/>
      <c r="Y46" s="1308"/>
      <c r="Z46" s="1308"/>
      <c r="AA46" s="1308"/>
      <c r="AB46" s="1308"/>
      <c r="AC46" s="1308"/>
      <c r="AD46" s="163"/>
      <c r="AE46" s="163"/>
      <c r="AF46" s="125"/>
      <c r="AG46" s="36"/>
      <c r="AH46" s="125"/>
      <c r="AI46" s="125"/>
      <c r="AJ46" s="125"/>
      <c r="AK46" s="125"/>
      <c r="AL46" s="125"/>
      <c r="AM46" s="36"/>
      <c r="AN46" s="36"/>
      <c r="AO46" s="36"/>
      <c r="AP46" s="36"/>
      <c r="AQ46" s="125"/>
      <c r="AR46" s="36"/>
      <c r="AS46" s="36"/>
    </row>
    <row r="47" spans="12:48" customFormat="1" ht="16.350000000000001" customHeight="1">
      <c r="M47" s="36"/>
      <c r="N47" s="36"/>
      <c r="O47" s="36"/>
      <c r="P47" s="36"/>
      <c r="Q47" s="1308"/>
      <c r="R47" s="1308"/>
      <c r="S47" s="1308"/>
      <c r="T47" s="1308"/>
      <c r="U47" s="1308"/>
      <c r="V47" s="1308"/>
      <c r="W47" s="1308"/>
      <c r="X47" s="1308"/>
      <c r="Y47" s="1308"/>
      <c r="Z47" s="1308"/>
      <c r="AA47" s="1308"/>
      <c r="AB47" s="1308"/>
      <c r="AC47" s="1308"/>
      <c r="AD47" s="36"/>
      <c r="AE47" s="36"/>
      <c r="AF47" s="125"/>
      <c r="AG47" s="36"/>
      <c r="AH47" s="125"/>
      <c r="AI47" s="125"/>
      <c r="AJ47" s="125"/>
      <c r="AK47" s="125"/>
      <c r="AL47" s="125"/>
      <c r="AM47" s="36"/>
      <c r="AN47" s="36"/>
      <c r="AO47" s="36"/>
      <c r="AP47" s="36"/>
      <c r="AQ47" s="125"/>
      <c r="AR47" s="36"/>
      <c r="AS47" s="36"/>
    </row>
    <row r="48" spans="12:48" customFormat="1" ht="16.350000000000001" customHeight="1">
      <c r="M48" s="138" t="str">
        <f>IF(M05S01BF01="Yes","Required","Optional")</f>
        <v>Optional</v>
      </c>
      <c r="Q48" s="12" t="s">
        <v>1590</v>
      </c>
      <c r="AF48" s="12" t="s">
        <v>1334</v>
      </c>
      <c r="AH48" s="12"/>
      <c r="AI48" s="12"/>
      <c r="AJ48" s="12"/>
      <c r="AK48" s="12"/>
      <c r="AL48" s="12"/>
      <c r="AP48" s="12" t="s">
        <v>1572</v>
      </c>
    </row>
    <row r="49" spans="10:89" customFormat="1" ht="16.350000000000001" customHeight="1">
      <c r="L49" s="12"/>
      <c r="M49" s="12"/>
      <c r="N49" s="12"/>
      <c r="O49" s="12"/>
      <c r="P49" s="12"/>
      <c r="Q49" s="12"/>
      <c r="R49" s="12"/>
      <c r="S49" s="12"/>
      <c r="T49" s="12"/>
      <c r="U49" s="12"/>
      <c r="V49" s="12"/>
      <c r="W49" s="12"/>
      <c r="X49" s="12"/>
      <c r="Y49" s="12"/>
      <c r="Z49" s="12"/>
      <c r="AA49" s="12"/>
      <c r="AB49" s="12"/>
      <c r="AC49" s="12"/>
      <c r="AD49" s="12"/>
      <c r="AE49" s="12"/>
      <c r="AF49" s="12"/>
      <c r="AG49" s="12"/>
    </row>
    <row r="50" spans="10:89" customFormat="1" ht="16.350000000000001" customHeight="1"/>
    <row r="51" spans="10:89" customFormat="1" ht="16.350000000000001" customHeight="1" thickBot="1">
      <c r="J51" s="645" t="s">
        <v>1591</v>
      </c>
      <c r="K51" s="646"/>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646"/>
      <c r="AM51" s="646"/>
      <c r="AN51" s="646"/>
      <c r="AO51" s="646"/>
      <c r="AP51" s="646"/>
      <c r="AQ51" s="646"/>
      <c r="AR51" s="646"/>
      <c r="AS51" s="646"/>
      <c r="AT51" s="646"/>
      <c r="AU51" s="646"/>
      <c r="AV51" s="646"/>
      <c r="AW51" s="646"/>
      <c r="BB51" s="175"/>
      <c r="BC51" s="175"/>
      <c r="BD51" s="175"/>
    </row>
    <row r="52" spans="10:89" customFormat="1" ht="16.350000000000001" customHeight="1">
      <c r="L52" s="276" t="s">
        <v>1592</v>
      </c>
      <c r="M52" s="276"/>
      <c r="N52" s="276"/>
      <c r="O52" s="276"/>
      <c r="P52" s="276"/>
      <c r="Q52" s="276"/>
      <c r="R52" s="276"/>
      <c r="S52" s="276"/>
      <c r="T52" s="279"/>
      <c r="U52" s="279"/>
      <c r="V52" s="279"/>
      <c r="W52" s="279"/>
      <c r="X52" s="279"/>
      <c r="Y52" s="279"/>
      <c r="Z52" s="279"/>
      <c r="AA52" s="279"/>
      <c r="AB52" s="279"/>
      <c r="AC52" s="279"/>
      <c r="AD52" s="279"/>
      <c r="AE52" s="279"/>
      <c r="AF52" s="147"/>
      <c r="AG52" s="147"/>
      <c r="AH52" s="147"/>
      <c r="AI52" s="147"/>
      <c r="AJ52" s="147"/>
      <c r="AK52" s="147"/>
      <c r="AL52" s="147"/>
      <c r="AM52" s="147"/>
      <c r="AN52" s="147"/>
      <c r="AO52" s="147"/>
      <c r="AP52" s="147"/>
      <c r="AQ52" s="147"/>
      <c r="AR52" s="147"/>
      <c r="AS52" s="147"/>
      <c r="AT52" s="147"/>
      <c r="AU52" s="147"/>
      <c r="AV52" s="147"/>
    </row>
    <row r="53" spans="10:89" customFormat="1" ht="16.350000000000001" customHeight="1"/>
    <row r="54" spans="10:89" customFormat="1" ht="16.350000000000001" customHeight="1">
      <c r="L54" s="1306" t="s">
        <v>1566</v>
      </c>
      <c r="M54" s="1306"/>
      <c r="N54" s="1306"/>
      <c r="O54" s="1306"/>
      <c r="Q54" s="174" t="s">
        <v>1567</v>
      </c>
      <c r="R54" s="201"/>
      <c r="S54" s="201"/>
      <c r="T54" s="201"/>
      <c r="U54" s="201"/>
      <c r="V54" s="201"/>
      <c r="W54" s="201"/>
      <c r="X54" s="201"/>
      <c r="Y54" s="201"/>
      <c r="Z54" s="201"/>
      <c r="AA54" s="201"/>
      <c r="AB54" s="201"/>
      <c r="AC54" s="201"/>
      <c r="AD54" s="201"/>
      <c r="AE54" s="174" t="s">
        <v>1568</v>
      </c>
      <c r="AF54" s="201"/>
      <c r="AG54" s="201"/>
      <c r="AH54" s="202"/>
      <c r="AP54" s="1307" t="s">
        <v>1569</v>
      </c>
      <c r="AQ54" s="1307"/>
      <c r="AR54" s="1307"/>
      <c r="AS54" s="1307"/>
      <c r="AT54" s="1307"/>
      <c r="AY54" s="174"/>
    </row>
    <row r="55" spans="10:89" customFormat="1" ht="16.350000000000001" customHeight="1">
      <c r="M55" s="560" t="s">
        <v>142</v>
      </c>
      <c r="N55" s="137"/>
      <c r="O55" s="137"/>
      <c r="Q55" s="1322" t="s">
        <v>1593</v>
      </c>
      <c r="R55" s="1322"/>
      <c r="S55" s="1322"/>
      <c r="T55" s="1322"/>
      <c r="U55" s="1322"/>
      <c r="V55" s="1322"/>
      <c r="W55" s="1322"/>
      <c r="X55" s="1322"/>
      <c r="Y55" s="1322"/>
      <c r="Z55" s="1322"/>
      <c r="AA55" s="1322"/>
      <c r="AB55" s="1322"/>
      <c r="AC55" s="1322"/>
      <c r="AD55" s="57"/>
      <c r="AE55" s="12" t="s">
        <v>1571</v>
      </c>
      <c r="AF55" s="205"/>
      <c r="AG55" s="205"/>
      <c r="AH55" s="205"/>
      <c r="AO55" s="202"/>
      <c r="AP55" s="12" t="s">
        <v>1572</v>
      </c>
      <c r="AR55" s="201"/>
      <c r="AS55" s="201"/>
      <c r="AT55" s="202"/>
    </row>
    <row r="56" spans="10:89" customFormat="1" ht="16.350000000000001" customHeight="1">
      <c r="M56" s="12"/>
      <c r="N56" s="12"/>
      <c r="O56" s="12"/>
      <c r="P56" s="7"/>
      <c r="Q56" s="1322"/>
      <c r="R56" s="1322"/>
      <c r="S56" s="1322"/>
      <c r="T56" s="1322"/>
      <c r="U56" s="1322"/>
      <c r="V56" s="1322"/>
      <c r="W56" s="1322"/>
      <c r="X56" s="1322"/>
      <c r="Y56" s="1322"/>
      <c r="Z56" s="1322"/>
      <c r="AA56" s="1322"/>
      <c r="AB56" s="1322"/>
      <c r="AC56" s="1322"/>
      <c r="AD56" s="57"/>
      <c r="AE56" s="12"/>
      <c r="AF56" s="57"/>
      <c r="AG56" s="57"/>
      <c r="AH56" s="57"/>
      <c r="AI56" s="57"/>
      <c r="AJ56" s="57"/>
      <c r="AK56" s="57"/>
      <c r="AQ56" s="12"/>
    </row>
    <row r="57" spans="10:89" customFormat="1" ht="16.350000000000001" customHeight="1">
      <c r="M57" s="12"/>
      <c r="N57" s="12"/>
      <c r="O57" s="12"/>
      <c r="P57" s="7"/>
      <c r="Q57" s="1322"/>
      <c r="R57" s="1322"/>
      <c r="S57" s="1322"/>
      <c r="T57" s="1322"/>
      <c r="U57" s="1322"/>
      <c r="V57" s="1322"/>
      <c r="W57" s="1322"/>
      <c r="X57" s="1322"/>
      <c r="Y57" s="1322"/>
      <c r="Z57" s="1322"/>
      <c r="AA57" s="1322"/>
      <c r="AB57" s="1322"/>
      <c r="AC57" s="1322"/>
      <c r="AD57" s="57"/>
      <c r="AE57" s="12"/>
      <c r="AF57" s="57"/>
      <c r="AG57" s="57"/>
      <c r="AH57" s="57"/>
      <c r="AI57" s="57"/>
      <c r="AJ57" s="57"/>
      <c r="AK57" s="57"/>
      <c r="AQ57" s="12"/>
    </row>
    <row r="58" spans="10:89" customFormat="1" ht="16.350000000000001" customHeight="1">
      <c r="M58" s="12"/>
      <c r="N58" s="12"/>
      <c r="O58" s="12"/>
      <c r="P58" s="7"/>
      <c r="Q58" s="1322"/>
      <c r="R58" s="1322"/>
      <c r="S58" s="1322"/>
      <c r="T58" s="1322"/>
      <c r="U58" s="1322"/>
      <c r="V58" s="1322"/>
      <c r="W58" s="1322"/>
      <c r="X58" s="1322"/>
      <c r="Y58" s="1322"/>
      <c r="Z58" s="1322"/>
      <c r="AA58" s="1322"/>
      <c r="AB58" s="1322"/>
      <c r="AC58" s="1322"/>
      <c r="AD58" s="57"/>
      <c r="AE58" s="12"/>
      <c r="AF58" s="57"/>
      <c r="AG58" s="57"/>
      <c r="AH58" s="57"/>
      <c r="AI58" s="57"/>
      <c r="AJ58" s="57"/>
      <c r="AK58" s="57"/>
      <c r="AQ58" s="12"/>
    </row>
    <row r="59" spans="10:89" customFormat="1" ht="16.350000000000001" customHeight="1">
      <c r="M59" s="12"/>
      <c r="N59" s="12"/>
      <c r="O59" s="12"/>
      <c r="P59" s="7"/>
      <c r="Q59" s="1322"/>
      <c r="R59" s="1322"/>
      <c r="S59" s="1322"/>
      <c r="T59" s="1322"/>
      <c r="U59" s="1322"/>
      <c r="V59" s="1322"/>
      <c r="W59" s="1322"/>
      <c r="X59" s="1322"/>
      <c r="Y59" s="1322"/>
      <c r="Z59" s="1322"/>
      <c r="AA59" s="1322"/>
      <c r="AB59" s="1322"/>
      <c r="AC59" s="1322"/>
      <c r="AD59" s="57"/>
      <c r="AE59" s="12"/>
      <c r="AF59" s="57"/>
      <c r="AG59" s="57"/>
      <c r="AH59" s="57"/>
      <c r="AI59" s="57"/>
      <c r="AJ59" s="57"/>
      <c r="AK59" s="57"/>
      <c r="AQ59" s="12"/>
    </row>
    <row r="60" spans="10:89" customFormat="1" ht="16.350000000000001" customHeight="1">
      <c r="Q60" s="1322"/>
      <c r="R60" s="1322"/>
      <c r="S60" s="1322"/>
      <c r="T60" s="1322"/>
      <c r="U60" s="1322"/>
      <c r="V60" s="1322"/>
      <c r="W60" s="1322"/>
      <c r="X60" s="1322"/>
      <c r="Y60" s="1322"/>
      <c r="Z60" s="1322"/>
      <c r="AA60" s="1322"/>
      <c r="AB60" s="1322"/>
      <c r="AC60" s="1322"/>
      <c r="AE60" s="12"/>
      <c r="AQ60" s="12"/>
    </row>
    <row r="61" spans="10:89" customFormat="1" ht="16.350000000000001" customHeight="1">
      <c r="P61" s="7"/>
      <c r="Q61" s="1322"/>
      <c r="R61" s="1322"/>
      <c r="S61" s="1322"/>
      <c r="T61" s="1322"/>
      <c r="U61" s="1322"/>
      <c r="V61" s="1322"/>
      <c r="W61" s="1322"/>
      <c r="X61" s="1322"/>
      <c r="Y61" s="1322"/>
      <c r="Z61" s="1322"/>
      <c r="AA61" s="1322"/>
      <c r="AB61" s="1322"/>
      <c r="AC61" s="1322"/>
      <c r="AE61" s="12"/>
      <c r="AQ61" s="12"/>
    </row>
    <row r="62" spans="10:89" customFormat="1" ht="16.350000000000001" customHeight="1">
      <c r="M62" s="560" t="s">
        <v>142</v>
      </c>
      <c r="N62" s="137"/>
      <c r="O62" s="137"/>
      <c r="P62" s="7"/>
      <c r="Q62" s="1322" t="s">
        <v>1594</v>
      </c>
      <c r="R62" s="1322"/>
      <c r="S62" s="1322"/>
      <c r="T62" s="1322"/>
      <c r="U62" s="1322"/>
      <c r="V62" s="1322"/>
      <c r="W62" s="1322"/>
      <c r="X62" s="1322"/>
      <c r="Y62" s="1322"/>
      <c r="Z62" s="1322"/>
      <c r="AA62" s="1322"/>
      <c r="AB62" s="1322"/>
      <c r="AC62" s="1322"/>
      <c r="AD62" s="57"/>
      <c r="AE62" s="12" t="s">
        <v>1571</v>
      </c>
      <c r="AF62" s="205"/>
      <c r="AG62" s="205"/>
      <c r="AH62" s="205"/>
      <c r="AP62" s="12" t="s">
        <v>1572</v>
      </c>
    </row>
    <row r="63" spans="10:89" customFormat="1" ht="16.350000000000001" customHeight="1">
      <c r="P63" s="7"/>
      <c r="Q63" s="1322"/>
      <c r="R63" s="1322"/>
      <c r="S63" s="1322"/>
      <c r="T63" s="1322"/>
      <c r="U63" s="1322"/>
      <c r="V63" s="1322"/>
      <c r="W63" s="1322"/>
      <c r="X63" s="1322"/>
      <c r="Y63" s="1322"/>
      <c r="Z63" s="1322"/>
      <c r="AA63" s="1322"/>
      <c r="AB63" s="1322"/>
      <c r="AC63" s="1322"/>
      <c r="CK63" s="57"/>
    </row>
    <row r="64" spans="10:89" customFormat="1" ht="16.350000000000001" customHeight="1">
      <c r="CK64" s="57"/>
    </row>
    <row r="65" spans="10:89" customFormat="1" ht="16.350000000000001" customHeight="1">
      <c r="L65" s="276" t="s">
        <v>1595</v>
      </c>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CK65" s="57"/>
    </row>
    <row r="66" spans="10:89" customFormat="1" ht="16.350000000000001" customHeight="1">
      <c r="CK66" s="57"/>
    </row>
    <row r="67" spans="10:89" customFormat="1" ht="16.350000000000001" customHeight="1">
      <c r="L67" s="1306" t="s">
        <v>1566</v>
      </c>
      <c r="M67" s="1306"/>
      <c r="N67" s="1306"/>
      <c r="O67" s="1306"/>
      <c r="Q67" s="174" t="s">
        <v>1567</v>
      </c>
      <c r="R67" s="201"/>
      <c r="S67" s="201"/>
      <c r="T67" s="201"/>
      <c r="U67" s="201"/>
      <c r="V67" s="201"/>
      <c r="W67" s="201"/>
      <c r="X67" s="201"/>
      <c r="Y67" s="201"/>
      <c r="Z67" s="201"/>
      <c r="AA67" s="201"/>
      <c r="AB67" s="201"/>
      <c r="AC67" s="201"/>
      <c r="AD67" s="201"/>
      <c r="AE67" s="174" t="s">
        <v>1568</v>
      </c>
      <c r="AF67" s="201"/>
      <c r="AG67" s="201"/>
      <c r="AH67" s="202"/>
      <c r="AI67" s="202"/>
      <c r="AJ67" s="202"/>
      <c r="AK67" s="202"/>
      <c r="AP67" s="1307" t="s">
        <v>1569</v>
      </c>
      <c r="AQ67" s="1307"/>
      <c r="AR67" s="1307"/>
      <c r="AS67" s="1307"/>
      <c r="AT67" s="1307"/>
    </row>
    <row r="68" spans="10:89" customFormat="1" ht="16.350000000000001" customHeight="1">
      <c r="M68" s="560" t="s">
        <v>142</v>
      </c>
      <c r="N68" s="137"/>
      <c r="O68" s="137"/>
      <c r="Q68" s="1322" t="s">
        <v>1596</v>
      </c>
      <c r="R68" s="1322"/>
      <c r="S68" s="1322"/>
      <c r="T68" s="1322"/>
      <c r="U68" s="1322"/>
      <c r="V68" s="1322"/>
      <c r="W68" s="1322"/>
      <c r="X68" s="1322"/>
      <c r="Y68" s="1322"/>
      <c r="Z68" s="1322"/>
      <c r="AA68" s="1322"/>
      <c r="AB68" s="1322"/>
      <c r="AC68" s="1322"/>
      <c r="AD68" s="57"/>
      <c r="AE68" s="12" t="s">
        <v>1571</v>
      </c>
      <c r="AF68" s="57"/>
      <c r="AG68" s="57"/>
      <c r="AH68" s="57"/>
      <c r="AI68" s="57"/>
      <c r="AJ68" s="57"/>
      <c r="AK68" s="57"/>
      <c r="AP68" s="12" t="s">
        <v>1572</v>
      </c>
      <c r="AR68" s="205"/>
      <c r="AS68" s="205"/>
      <c r="AT68" s="205"/>
    </row>
    <row r="69" spans="10:89" customFormat="1" ht="16.350000000000001" customHeight="1">
      <c r="Q69" s="1322"/>
      <c r="R69" s="1322"/>
      <c r="S69" s="1322"/>
      <c r="T69" s="1322"/>
      <c r="U69" s="1322"/>
      <c r="V69" s="1322"/>
      <c r="W69" s="1322"/>
      <c r="X69" s="1322"/>
      <c r="Y69" s="1322"/>
      <c r="Z69" s="1322"/>
      <c r="AA69" s="1322"/>
      <c r="AB69" s="1322"/>
      <c r="AC69" s="1322"/>
      <c r="AD69" s="57"/>
      <c r="AE69" s="57"/>
      <c r="AF69" s="57"/>
      <c r="AG69" s="57"/>
      <c r="AH69" s="57"/>
      <c r="AI69" s="57"/>
      <c r="AJ69" s="57"/>
      <c r="AK69" s="57"/>
      <c r="AQ69" s="205"/>
      <c r="AR69" s="205"/>
      <c r="AS69" s="205"/>
      <c r="AT69" s="205"/>
    </row>
    <row r="70" spans="10:89" customFormat="1" ht="16.350000000000001" customHeight="1">
      <c r="Q70" s="1322"/>
      <c r="R70" s="1322"/>
      <c r="S70" s="1322"/>
      <c r="T70" s="1322"/>
      <c r="U70" s="1322"/>
      <c r="V70" s="1322"/>
      <c r="W70" s="1322"/>
      <c r="X70" s="1322"/>
      <c r="Y70" s="1322"/>
      <c r="Z70" s="1322"/>
      <c r="AA70" s="1322"/>
      <c r="AB70" s="1322"/>
      <c r="AC70" s="1322"/>
      <c r="AQ70" s="205"/>
      <c r="AR70" s="205"/>
      <c r="AS70" s="205"/>
      <c r="AT70" s="205"/>
    </row>
    <row r="71" spans="10:89" customFormat="1" ht="16.350000000000001" customHeight="1"/>
    <row r="72" spans="10:89" customFormat="1" ht="16.350000000000001" customHeight="1">
      <c r="L72" s="276" t="s">
        <v>1597</v>
      </c>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row>
    <row r="73" spans="10:89" customFormat="1" ht="16.350000000000001" customHeight="1">
      <c r="R73" s="277"/>
      <c r="S73" s="277"/>
      <c r="T73" s="277"/>
      <c r="U73" s="277"/>
      <c r="V73" s="277"/>
      <c r="W73" s="277"/>
      <c r="X73" s="277"/>
      <c r="Y73" s="12"/>
      <c r="Z73" s="12"/>
      <c r="AA73" s="12"/>
      <c r="AB73" s="12"/>
      <c r="AC73" s="12"/>
      <c r="AD73" s="12"/>
      <c r="AE73" s="12"/>
      <c r="AF73" s="12"/>
      <c r="AG73" s="12"/>
      <c r="AH73" s="12"/>
      <c r="AI73" s="12"/>
      <c r="AJ73" s="12"/>
    </row>
    <row r="74" spans="10:89" customFormat="1" ht="16.350000000000001" customHeight="1">
      <c r="L74" s="1306" t="s">
        <v>1566</v>
      </c>
      <c r="M74" s="1306"/>
      <c r="N74" s="1306"/>
      <c r="O74" s="1306"/>
      <c r="Q74" s="174" t="s">
        <v>1567</v>
      </c>
      <c r="R74" s="201"/>
      <c r="S74" s="201"/>
      <c r="T74" s="201"/>
      <c r="U74" s="201"/>
      <c r="V74" s="201"/>
      <c r="W74" s="201"/>
      <c r="X74" s="201"/>
      <c r="Y74" s="201"/>
      <c r="AE74" s="174" t="s">
        <v>1568</v>
      </c>
      <c r="AF74" s="201"/>
      <c r="AG74" s="201"/>
      <c r="AH74" s="202"/>
      <c r="AP74" s="1307" t="s">
        <v>1569</v>
      </c>
      <c r="AQ74" s="1307"/>
      <c r="AR74" s="1307"/>
      <c r="AS74" s="1307"/>
      <c r="AT74" s="1307"/>
    </row>
    <row r="75" spans="10:89" customFormat="1" ht="16.350000000000001" customHeight="1">
      <c r="M75" s="560" t="s">
        <v>142</v>
      </c>
      <c r="N75" s="137"/>
      <c r="Q75" s="12" t="s">
        <v>1598</v>
      </c>
      <c r="R75" s="12"/>
      <c r="S75" s="12"/>
      <c r="T75" s="12"/>
      <c r="U75" s="12"/>
      <c r="V75" s="12"/>
      <c r="W75" s="12"/>
      <c r="X75" s="12"/>
      <c r="Y75" s="12"/>
      <c r="AE75" s="12" t="str">
        <f>AF25</f>
        <v>Customer/Contractor</v>
      </c>
      <c r="AP75" s="12" t="s">
        <v>1572</v>
      </c>
      <c r="AR75" s="205"/>
      <c r="AS75" s="205"/>
      <c r="AT75" s="205"/>
    </row>
    <row r="76" spans="10:89" customFormat="1" ht="16.350000000000001" customHeight="1">
      <c r="M76" s="562" t="s">
        <v>142</v>
      </c>
      <c r="N76" s="281"/>
      <c r="O76" s="36"/>
      <c r="P76" s="36"/>
      <c r="Q76" s="1309" t="s">
        <v>1582</v>
      </c>
      <c r="R76" s="1309"/>
      <c r="S76" s="1309"/>
      <c r="T76" s="1309"/>
      <c r="U76" s="1309"/>
      <c r="V76" s="1309"/>
      <c r="W76" s="1309"/>
      <c r="X76" s="1309"/>
      <c r="Y76" s="1309"/>
      <c r="Z76" s="125"/>
      <c r="AA76" s="125"/>
      <c r="AB76" s="125"/>
      <c r="AC76" s="125"/>
      <c r="AD76" s="125"/>
      <c r="AE76" s="125" t="str">
        <f>AF27</f>
        <v>Customer/Contractor</v>
      </c>
      <c r="AF76" s="36"/>
      <c r="AG76" s="36"/>
      <c r="AH76" s="36"/>
      <c r="AI76" s="36"/>
      <c r="AJ76" s="36"/>
      <c r="AK76" s="36"/>
      <c r="AL76" s="36"/>
      <c r="AM76" s="36"/>
      <c r="AN76" s="36"/>
      <c r="AO76" s="36"/>
      <c r="AP76" s="12" t="s">
        <v>1572</v>
      </c>
      <c r="AR76" s="36"/>
      <c r="AS76" s="36"/>
      <c r="AT76" s="36"/>
    </row>
    <row r="77" spans="10:89" customFormat="1" ht="16.350000000000001" customHeight="1">
      <c r="M77" s="138" t="s">
        <v>1580</v>
      </c>
      <c r="N77" s="138"/>
      <c r="Q77" s="12" t="s">
        <v>1599</v>
      </c>
      <c r="R77" s="12"/>
      <c r="S77" s="12"/>
      <c r="T77" s="12"/>
      <c r="U77" s="12"/>
      <c r="V77" s="12"/>
      <c r="W77" s="12"/>
      <c r="X77" s="12"/>
      <c r="Y77" s="12"/>
      <c r="Z77" s="12"/>
      <c r="AA77" s="12"/>
      <c r="AB77" s="12"/>
      <c r="AC77" s="12"/>
      <c r="AD77" s="12"/>
      <c r="AE77" s="12" t="str">
        <f>AF40</f>
        <v>Customer/Contractor</v>
      </c>
      <c r="AP77" s="12" t="s">
        <v>1572</v>
      </c>
    </row>
    <row r="78" spans="10:89" customFormat="1" ht="16.350000000000001" customHeight="1">
      <c r="AD78" s="201"/>
      <c r="AO78" s="202"/>
      <c r="AP78" s="202"/>
    </row>
    <row r="79" spans="10:89" customFormat="1" ht="16.350000000000001" customHeight="1" thickBot="1">
      <c r="J79" s="614"/>
      <c r="K79" s="614"/>
      <c r="L79" s="614"/>
      <c r="M79" s="614"/>
      <c r="N79" s="614"/>
      <c r="O79" s="614"/>
      <c r="P79" s="614"/>
      <c r="Q79" s="614"/>
      <c r="R79" s="614"/>
      <c r="S79" s="614"/>
      <c r="T79" s="614"/>
      <c r="U79" s="614"/>
      <c r="V79" s="614"/>
      <c r="W79" s="614"/>
      <c r="X79" s="614"/>
      <c r="Y79" s="614"/>
      <c r="Z79" s="614"/>
      <c r="AA79" s="614"/>
      <c r="AB79" s="614"/>
      <c r="AC79" s="614"/>
      <c r="AD79" s="614"/>
      <c r="AE79" s="614"/>
      <c r="AF79" s="614"/>
      <c r="AG79" s="614"/>
      <c r="AH79" s="614"/>
      <c r="AI79" s="614"/>
      <c r="AJ79" s="614"/>
      <c r="AK79" s="614"/>
      <c r="AL79" s="614"/>
      <c r="AM79" s="614"/>
      <c r="AN79" s="614"/>
      <c r="AO79" s="614"/>
      <c r="AP79" s="614"/>
      <c r="AQ79" s="614"/>
      <c r="AR79" s="614"/>
      <c r="AS79" s="614"/>
      <c r="AT79" s="614"/>
      <c r="AU79" s="614"/>
      <c r="AV79" s="614"/>
    </row>
    <row r="80" spans="10:89" customFormat="1" ht="16.350000000000001" customHeight="1">
      <c r="AR80" s="175"/>
      <c r="AS80" s="175"/>
      <c r="AT80" s="175"/>
      <c r="AU80" s="175"/>
      <c r="AV80" s="175"/>
    </row>
    <row r="81" spans="13:46" customFormat="1" ht="16.350000000000001" customHeight="1" thickBot="1"/>
    <row r="82" spans="13:46" customFormat="1" ht="16.350000000000001" customHeight="1" thickTop="1">
      <c r="M82" s="544"/>
      <c r="N82" s="545"/>
      <c r="O82" s="545"/>
      <c r="P82" s="545"/>
      <c r="Q82" s="545"/>
      <c r="R82" s="545"/>
      <c r="S82" s="545"/>
      <c r="T82" s="545"/>
      <c r="U82" s="545"/>
      <c r="V82" s="545"/>
      <c r="W82" s="545"/>
      <c r="X82" s="545"/>
      <c r="Y82" s="545"/>
      <c r="Z82" s="545"/>
      <c r="AA82" s="545"/>
      <c r="AB82" s="545"/>
      <c r="AC82" s="545"/>
      <c r="AD82" s="545"/>
      <c r="AE82" s="545"/>
      <c r="AF82" s="545"/>
      <c r="AG82" s="546"/>
      <c r="AH82" s="546"/>
      <c r="AI82" s="546"/>
      <c r="AJ82" s="546"/>
      <c r="AK82" s="546"/>
      <c r="AL82" s="546"/>
      <c r="AM82" s="546"/>
      <c r="AN82" s="545"/>
      <c r="AO82" s="545"/>
      <c r="AP82" s="545"/>
      <c r="AQ82" s="545"/>
      <c r="AR82" s="545"/>
      <c r="AS82" s="545"/>
      <c r="AT82" s="547"/>
    </row>
    <row r="83" spans="13:46" customFormat="1" ht="16.350000000000001" customHeight="1">
      <c r="M83" s="548"/>
      <c r="N83" s="549" t="s">
        <v>1600</v>
      </c>
      <c r="O83" s="550"/>
      <c r="P83" s="550"/>
      <c r="Q83" s="550"/>
      <c r="R83" s="550"/>
      <c r="S83" s="550"/>
      <c r="T83" s="550"/>
      <c r="U83" s="550"/>
      <c r="V83" s="550"/>
      <c r="W83" s="550"/>
      <c r="X83" s="550"/>
      <c r="Y83" s="550"/>
      <c r="Z83" s="550"/>
      <c r="AA83" s="550"/>
      <c r="AB83" s="550"/>
      <c r="AC83" s="550"/>
      <c r="AD83" s="550"/>
      <c r="AE83" s="550"/>
      <c r="AF83" s="550"/>
      <c r="AG83" s="550"/>
      <c r="AH83" s="550"/>
      <c r="AI83" s="550"/>
      <c r="AJ83" s="550"/>
      <c r="AK83" s="550"/>
      <c r="AL83" s="550"/>
      <c r="AM83" s="550"/>
      <c r="AN83" s="550"/>
      <c r="AO83" s="550"/>
      <c r="AP83" s="550"/>
      <c r="AQ83" s="550"/>
      <c r="AR83" s="550"/>
      <c r="AS83" s="550"/>
      <c r="AT83" s="551"/>
    </row>
    <row r="84" spans="13:46" customFormat="1" ht="16.350000000000001" customHeight="1">
      <c r="M84" s="548"/>
      <c r="N84" s="552"/>
      <c r="O84" s="552"/>
      <c r="P84" s="1305" t="s">
        <v>1601</v>
      </c>
      <c r="Q84" s="1305"/>
      <c r="R84" s="1305"/>
      <c r="S84" s="1305"/>
      <c r="T84" s="1305"/>
      <c r="U84" s="1305"/>
      <c r="V84" s="1305"/>
      <c r="W84" s="1305"/>
      <c r="X84" s="1305"/>
      <c r="Y84" s="1305"/>
      <c r="Z84" s="1305"/>
      <c r="AA84" s="1305"/>
      <c r="AB84" s="1305"/>
      <c r="AC84" s="1305"/>
      <c r="AD84" s="1305"/>
      <c r="AE84" s="553"/>
      <c r="AF84" s="554"/>
      <c r="AG84" s="554"/>
      <c r="AH84" s="554"/>
      <c r="AI84" s="554"/>
      <c r="AJ84" s="554"/>
      <c r="AK84" s="554"/>
      <c r="AL84" s="554"/>
      <c r="AM84" s="554"/>
      <c r="AN84" s="554"/>
      <c r="AO84" s="554"/>
      <c r="AP84" s="552"/>
      <c r="AQ84" s="552"/>
      <c r="AR84" s="552"/>
      <c r="AS84" s="552"/>
      <c r="AT84" s="555"/>
    </row>
    <row r="85" spans="13:46" customFormat="1" ht="16.350000000000001" customHeight="1">
      <c r="M85" s="548"/>
      <c r="N85" s="552"/>
      <c r="O85" s="552"/>
      <c r="P85" s="1321" t="s">
        <v>1602</v>
      </c>
      <c r="Q85" s="1321"/>
      <c r="R85" s="1321"/>
      <c r="S85" s="1321"/>
      <c r="T85" s="1321"/>
      <c r="U85" s="1321"/>
      <c r="V85" s="1321"/>
      <c r="W85" s="1321"/>
      <c r="X85" s="1321"/>
      <c r="Y85" s="1321"/>
      <c r="Z85" s="1321"/>
      <c r="AA85" s="1321"/>
      <c r="AB85" s="1321"/>
      <c r="AC85" s="1321"/>
      <c r="AD85" s="1321"/>
      <c r="AE85" s="1321"/>
      <c r="AF85" s="1321"/>
      <c r="AG85" s="1321"/>
      <c r="AH85" s="1321"/>
      <c r="AI85" s="1321"/>
      <c r="AJ85" s="1321"/>
      <c r="AK85" s="1321"/>
      <c r="AL85" s="1321"/>
      <c r="AM85" s="1321"/>
      <c r="AN85" s="1321"/>
      <c r="AO85" s="1321"/>
      <c r="AP85" s="1321"/>
      <c r="AQ85" s="1321"/>
      <c r="AR85" s="552"/>
      <c r="AS85" s="552"/>
      <c r="AT85" s="555"/>
    </row>
    <row r="86" spans="13:46" customFormat="1" ht="16.350000000000001" customHeight="1">
      <c r="M86" s="548"/>
      <c r="N86" s="552"/>
      <c r="O86" s="552"/>
      <c r="P86" s="556"/>
      <c r="Q86" s="556"/>
      <c r="R86" s="556"/>
      <c r="S86" s="556"/>
      <c r="T86" s="556"/>
      <c r="U86" s="556"/>
      <c r="V86" s="556"/>
      <c r="W86" s="556"/>
      <c r="X86" s="556"/>
      <c r="Y86" s="556"/>
      <c r="Z86" s="556"/>
      <c r="AA86" s="556"/>
      <c r="AB86" s="556"/>
      <c r="AC86" s="556"/>
      <c r="AD86" s="556"/>
      <c r="AE86" s="556"/>
      <c r="AF86" s="552"/>
      <c r="AG86" s="552"/>
      <c r="AH86" s="552"/>
      <c r="AI86" s="552"/>
      <c r="AJ86" s="552"/>
      <c r="AK86" s="552"/>
      <c r="AL86" s="552"/>
      <c r="AM86" s="552"/>
      <c r="AN86" s="552"/>
      <c r="AO86" s="552"/>
      <c r="AP86" s="552"/>
      <c r="AQ86" s="552"/>
      <c r="AR86" s="552"/>
      <c r="AS86" s="552"/>
      <c r="AT86" s="555"/>
    </row>
    <row r="87" spans="13:46" customFormat="1" ht="16.350000000000001" customHeight="1">
      <c r="M87" s="548"/>
      <c r="N87" s="552"/>
      <c r="O87" s="552"/>
      <c r="P87" s="1305" t="s">
        <v>1603</v>
      </c>
      <c r="Q87" s="1305"/>
      <c r="R87" s="1305"/>
      <c r="S87" s="1305"/>
      <c r="T87" s="1305"/>
      <c r="U87" s="1305"/>
      <c r="V87" s="1305"/>
      <c r="W87" s="1305"/>
      <c r="X87" s="1305"/>
      <c r="Y87" s="1305"/>
      <c r="Z87" s="1305"/>
      <c r="AA87" s="1305"/>
      <c r="AB87" s="1305"/>
      <c r="AC87" s="1305"/>
      <c r="AD87" s="1305"/>
      <c r="AE87" s="553"/>
      <c r="AF87" s="552"/>
      <c r="AG87" s="552"/>
      <c r="AH87" s="552"/>
      <c r="AI87" s="552"/>
      <c r="AJ87" s="552"/>
      <c r="AK87" s="552"/>
      <c r="AL87" s="552"/>
      <c r="AM87" s="552"/>
      <c r="AN87" s="552"/>
      <c r="AO87" s="552"/>
      <c r="AP87" s="552"/>
      <c r="AQ87" s="552"/>
      <c r="AR87" s="552"/>
      <c r="AS87" s="552"/>
      <c r="AT87" s="555"/>
    </row>
    <row r="88" spans="13:46" customFormat="1" ht="16.350000000000001" customHeight="1">
      <c r="M88" s="548"/>
      <c r="N88" s="552"/>
      <c r="O88" s="552"/>
      <c r="P88" s="1323" t="s">
        <v>1604</v>
      </c>
      <c r="Q88" s="1323"/>
      <c r="R88" s="1323"/>
      <c r="S88" s="1323"/>
      <c r="T88" s="1323"/>
      <c r="U88" s="1323"/>
      <c r="V88" s="1323"/>
      <c r="W88" s="1323"/>
      <c r="X88" s="1323"/>
      <c r="Y88" s="1323"/>
      <c r="Z88" s="1323"/>
      <c r="AA88" s="1323"/>
      <c r="AB88" s="1323"/>
      <c r="AC88" s="1323"/>
      <c r="AD88" s="1323"/>
      <c r="AE88" s="1323"/>
      <c r="AF88" s="1323"/>
      <c r="AG88" s="1323"/>
      <c r="AH88" s="1323"/>
      <c r="AI88" s="1323"/>
      <c r="AJ88" s="1323"/>
      <c r="AK88" s="1323"/>
      <c r="AL88" s="1323"/>
      <c r="AM88" s="1323"/>
      <c r="AN88" s="1323"/>
      <c r="AO88" s="1323"/>
      <c r="AP88" s="1323"/>
      <c r="AQ88" s="1323"/>
      <c r="AR88" s="1323"/>
      <c r="AS88" s="1323"/>
      <c r="AT88" s="555"/>
    </row>
    <row r="89" spans="13:46" customFormat="1" ht="16.350000000000001" customHeight="1">
      <c r="M89" s="548"/>
      <c r="N89" s="552"/>
      <c r="O89" s="552"/>
      <c r="P89" s="1323"/>
      <c r="Q89" s="1323"/>
      <c r="R89" s="1323"/>
      <c r="S89" s="1323"/>
      <c r="T89" s="1323"/>
      <c r="U89" s="1323"/>
      <c r="V89" s="1323"/>
      <c r="W89" s="1323"/>
      <c r="X89" s="1323"/>
      <c r="Y89" s="1323"/>
      <c r="Z89" s="1323"/>
      <c r="AA89" s="1323"/>
      <c r="AB89" s="1323"/>
      <c r="AC89" s="1323"/>
      <c r="AD89" s="1323"/>
      <c r="AE89" s="1323"/>
      <c r="AF89" s="1323"/>
      <c r="AG89" s="1323"/>
      <c r="AH89" s="1323"/>
      <c r="AI89" s="1323"/>
      <c r="AJ89" s="1323"/>
      <c r="AK89" s="1323"/>
      <c r="AL89" s="1323"/>
      <c r="AM89" s="1323"/>
      <c r="AN89" s="1323"/>
      <c r="AO89" s="1323"/>
      <c r="AP89" s="1323"/>
      <c r="AQ89" s="1323"/>
      <c r="AR89" s="1323"/>
      <c r="AS89" s="1323"/>
      <c r="AT89" s="555"/>
    </row>
    <row r="90" spans="13:46" customFormat="1" ht="16.350000000000001" customHeight="1">
      <c r="M90" s="548"/>
      <c r="N90" s="552"/>
      <c r="O90" s="552"/>
      <c r="P90" s="552"/>
      <c r="Q90" s="556"/>
      <c r="R90" s="556"/>
      <c r="S90" s="556"/>
      <c r="T90" s="556"/>
      <c r="U90" s="556"/>
      <c r="V90" s="556"/>
      <c r="W90" s="556"/>
      <c r="X90" s="556"/>
      <c r="Y90" s="556"/>
      <c r="Z90" s="556"/>
      <c r="AA90" s="556"/>
      <c r="AB90" s="556"/>
      <c r="AC90" s="556"/>
      <c r="AD90" s="556"/>
      <c r="AE90" s="556"/>
      <c r="AF90" s="552"/>
      <c r="AG90" s="552"/>
      <c r="AH90" s="552"/>
      <c r="AI90" s="552"/>
      <c r="AJ90" s="552"/>
      <c r="AK90" s="552"/>
      <c r="AL90" s="552"/>
      <c r="AM90" s="552"/>
      <c r="AN90" s="552"/>
      <c r="AO90" s="552"/>
      <c r="AP90" s="552"/>
      <c r="AQ90" s="552"/>
      <c r="AR90" s="552"/>
      <c r="AS90" s="552"/>
      <c r="AT90" s="555"/>
    </row>
    <row r="91" spans="13:46" customFormat="1" ht="16.350000000000001" customHeight="1">
      <c r="M91" s="548"/>
      <c r="N91" s="552"/>
      <c r="O91" s="552"/>
      <c r="P91" s="1305" t="s">
        <v>1605</v>
      </c>
      <c r="Q91" s="1305"/>
      <c r="R91" s="1305"/>
      <c r="S91" s="1305"/>
      <c r="T91" s="1305"/>
      <c r="U91" s="1305"/>
      <c r="V91" s="1305"/>
      <c r="W91" s="1305"/>
      <c r="X91" s="1305"/>
      <c r="Y91" s="1305"/>
      <c r="Z91" s="1305"/>
      <c r="AA91" s="1305"/>
      <c r="AB91" s="1305"/>
      <c r="AC91" s="1305"/>
      <c r="AD91" s="1305"/>
      <c r="AE91" s="556"/>
      <c r="AF91" s="552"/>
      <c r="AG91" s="552"/>
      <c r="AH91" s="552"/>
      <c r="AI91" s="552"/>
      <c r="AJ91" s="552"/>
      <c r="AK91" s="552"/>
      <c r="AL91" s="552"/>
      <c r="AM91" s="552"/>
      <c r="AN91" s="552"/>
      <c r="AO91" s="552"/>
      <c r="AP91" s="552"/>
      <c r="AQ91" s="552"/>
      <c r="AR91" s="552"/>
      <c r="AS91" s="552"/>
      <c r="AT91" s="555"/>
    </row>
    <row r="92" spans="13:46" customFormat="1" ht="16.350000000000001" customHeight="1">
      <c r="M92" s="548"/>
      <c r="N92" s="552"/>
      <c r="O92" s="552"/>
      <c r="P92" s="1321" t="s">
        <v>1606</v>
      </c>
      <c r="Q92" s="1321"/>
      <c r="R92" s="1321"/>
      <c r="S92" s="1321"/>
      <c r="T92" s="1321"/>
      <c r="U92" s="1321"/>
      <c r="V92" s="1321"/>
      <c r="W92" s="1321"/>
      <c r="X92" s="1321"/>
      <c r="Y92" s="1321"/>
      <c r="Z92" s="1321"/>
      <c r="AA92" s="1321"/>
      <c r="AB92" s="1321"/>
      <c r="AC92" s="1321"/>
      <c r="AD92" s="1321"/>
      <c r="AE92" s="1321"/>
      <c r="AF92" s="1321"/>
      <c r="AG92" s="1321"/>
      <c r="AH92" s="1321"/>
      <c r="AI92" s="1321"/>
      <c r="AJ92" s="1321"/>
      <c r="AK92" s="1321"/>
      <c r="AL92" s="1321"/>
      <c r="AM92" s="1321"/>
      <c r="AN92" s="1321"/>
      <c r="AO92" s="1321"/>
      <c r="AP92" s="1321"/>
      <c r="AQ92" s="1321"/>
      <c r="AR92" s="1321"/>
      <c r="AS92" s="552"/>
      <c r="AT92" s="555"/>
    </row>
    <row r="93" spans="13:46" customFormat="1" ht="16.350000000000001" customHeight="1" thickBot="1">
      <c r="M93" s="557"/>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c r="AO93" s="558"/>
      <c r="AP93" s="558"/>
      <c r="AQ93" s="558"/>
      <c r="AR93" s="558"/>
      <c r="AS93" s="558"/>
      <c r="AT93" s="559"/>
    </row>
    <row r="94" spans="13:46" customFormat="1" ht="15.75" thickTop="1"/>
    <row r="95" spans="13:46" customFormat="1" hidden="1"/>
    <row r="96" spans="13:46" customFormat="1" hidden="1"/>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row r="131" customFormat="1" hidden="1"/>
    <row r="132" customFormat="1" hidden="1"/>
    <row r="133" customFormat="1" hidden="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customFormat="1" hidden="1"/>
    <row r="178" customFormat="1" hidden="1"/>
    <row r="179" customFormat="1" hidden="1"/>
    <row r="180" customFormat="1" hidden="1"/>
    <row r="181" customFormat="1" hidden="1"/>
    <row r="182" customFormat="1" hidden="1"/>
    <row r="183" customFormat="1" hidden="1"/>
    <row r="184" customFormat="1" hidden="1"/>
    <row r="185" customFormat="1" hidden="1"/>
    <row r="186" customFormat="1" hidden="1"/>
    <row r="187" customFormat="1" hidden="1"/>
    <row r="188" customFormat="1" hidden="1"/>
    <row r="189" customFormat="1" hidden="1"/>
    <row r="190" customFormat="1" hidden="1"/>
    <row r="191" customFormat="1" hidden="1"/>
    <row r="192" customFormat="1" hidden="1"/>
    <row r="193" spans="1:59" customFormat="1" hidden="1"/>
    <row r="194" spans="1:59" customFormat="1" hidden="1"/>
    <row r="195" spans="1:59" customFormat="1" hidden="1"/>
    <row r="196" spans="1:59" customFormat="1" hidden="1"/>
    <row r="197" spans="1:59" customFormat="1" hidden="1"/>
    <row r="198" spans="1:59" customFormat="1" hidden="1"/>
    <row r="199" spans="1:59" customFormat="1" hidden="1"/>
    <row r="200" spans="1:59" ht="14.45"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22"/>
    </row>
    <row r="201" spans="1:59">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22"/>
    </row>
    <row r="202" spans="1:59">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22"/>
    </row>
  </sheetData>
  <sheetProtection algorithmName="SHA-512" hashValue="8Wn19diFYF4TB2Nh4Av16QwPPsWGlieJDeqoKAAuskLH8csjtgE9WtSkxSO4UvgUx9Xqg64142lponfGEzDz5Q==" saltValue="zc0HFhFlHADywOALBbe45g==" spinCount="100000" sheet="1" objects="1" scenarios="1" selectLockedCells="1"/>
  <mergeCells count="43">
    <mergeCell ref="AN1:AQ3"/>
    <mergeCell ref="AR1:AU3"/>
    <mergeCell ref="AV1:AY3"/>
    <mergeCell ref="AZ1:BE3"/>
    <mergeCell ref="BF1:BI3"/>
    <mergeCell ref="BG5:BI7"/>
    <mergeCell ref="BG8:BI8"/>
    <mergeCell ref="Y14:AG17"/>
    <mergeCell ref="O14:V17"/>
    <mergeCell ref="Q55:AC61"/>
    <mergeCell ref="AH15:AI15"/>
    <mergeCell ref="P92:AR92"/>
    <mergeCell ref="Q29:AC30"/>
    <mergeCell ref="L39:O39"/>
    <mergeCell ref="AP39:AT39"/>
    <mergeCell ref="AP74:AT74"/>
    <mergeCell ref="P85:AQ85"/>
    <mergeCell ref="L67:O67"/>
    <mergeCell ref="Q68:AC70"/>
    <mergeCell ref="AP67:AT67"/>
    <mergeCell ref="L54:O54"/>
    <mergeCell ref="AP54:AT54"/>
    <mergeCell ref="P91:AD91"/>
    <mergeCell ref="P87:AD87"/>
    <mergeCell ref="L74:O74"/>
    <mergeCell ref="P88:AS89"/>
    <mergeCell ref="Q62:AC63"/>
    <mergeCell ref="R200:AR201"/>
    <mergeCell ref="F1:I3"/>
    <mergeCell ref="J1:M3"/>
    <mergeCell ref="BJ9:BM9"/>
    <mergeCell ref="P84:AD84"/>
    <mergeCell ref="L23:O23"/>
    <mergeCell ref="AP23:AT23"/>
    <mergeCell ref="Q44:AC47"/>
    <mergeCell ref="F9:AZ10"/>
    <mergeCell ref="AB4:AG4"/>
    <mergeCell ref="AT4:AW4"/>
    <mergeCell ref="AX4:BB4"/>
    <mergeCell ref="BC4:BF4"/>
    <mergeCell ref="Q76:Y76"/>
    <mergeCell ref="AJ14:AR17"/>
    <mergeCell ref="W15:X15"/>
  </mergeCells>
  <conditionalFormatting sqref="M35">
    <cfRule type="expression" dxfId="183" priority="3">
      <formula>$M$35="Required"</formula>
    </cfRule>
  </conditionalFormatting>
  <conditionalFormatting sqref="M48">
    <cfRule type="expression" dxfId="182" priority="2">
      <formula>$M$35="Required"</formula>
    </cfRule>
  </conditionalFormatting>
  <conditionalFormatting sqref="BA8:BF8">
    <cfRule type="expression" dxfId="181" priority="1">
      <formula>IF($AO$8=PROJSTATMEASURE,FALSE,TRUE)</formula>
    </cfRule>
  </conditionalFormatting>
  <hyperlinks>
    <hyperlink ref="J1:M3" location="'M01-S02'!J1" tooltip="Instructions" display="'M01-S02'!J1" xr:uid="{FF62D57B-8ACF-48A6-B08F-F709FE4E71E8}"/>
    <hyperlink ref="AV1:AY3" location="'M05-S05'!AL1" tooltip=" " display="'M05-S05'!AL1" xr:uid="{183CB924-9013-4FED-82B7-2301ADBDEF12}"/>
    <hyperlink ref="BF1:BI3" location="'M01-S03'!AP1" tooltip="Contact" display="'M01-S03'!AP1" xr:uid="{B1E9B314-7E67-4DE5-ADCC-80904F2BB7DA}"/>
    <hyperlink ref="AR1:AU3" location="'M05-S04'!AH1" tooltip=" " display="'M05-S04'!AH1" xr:uid="{2427B4C5-1E51-4DF0-B13E-840DE71D1ACE}"/>
    <hyperlink ref="AN1:AQ3" location="'M05-S05'!AL1" tooltip=" " display="'M05-S05'!AL1" xr:uid="{B791D89D-83AF-4072-AFC4-7FED1849D228}"/>
  </hyperlinks>
  <printOptions horizontalCentered="1"/>
  <pageMargins left="0" right="0" top="0.25" bottom="0.25" header="0.25" footer="0.25"/>
  <pageSetup scale="51"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fitToPage="1"/>
  </sheetPr>
  <dimension ref="A1:BS202"/>
  <sheetViews>
    <sheetView showGridLines="0" showRowColHeaders="0" zoomScale="90" zoomScaleNormal="90" workbookViewId="0">
      <selection activeCell="AW55" sqref="AW55"/>
    </sheetView>
  </sheetViews>
  <sheetFormatPr defaultColWidth="0" defaultRowHeight="15" customHeight="1" zeroHeight="1"/>
  <cols>
    <col min="1" max="58" width="4.5703125" style="183" customWidth="1"/>
    <col min="59" max="59" width="4.5703125" style="177" customWidth="1"/>
    <col min="60" max="124" width="4.5703125" style="177" hidden="1" customWidth="1"/>
    <col min="125" max="16384" width="4.5703125" style="177" hidden="1"/>
  </cols>
  <sheetData>
    <row r="1" spans="1:59" ht="16.350000000000001" customHeight="1" thickBot="1">
      <c r="A1" s="60"/>
      <c r="B1" s="239"/>
      <c r="C1" s="239"/>
      <c r="D1" s="239"/>
      <c r="E1" s="239"/>
      <c r="F1" s="1366" t="str">
        <f>M1S1</f>
        <v>WELCOME</v>
      </c>
      <c r="G1" s="1366"/>
      <c r="H1" s="1366"/>
      <c r="I1" s="1366"/>
      <c r="J1" s="1368" t="str">
        <f>M1S2</f>
        <v>INSTRUCTIONS</v>
      </c>
      <c r="K1" s="1368"/>
      <c r="L1" s="1368"/>
      <c r="M1" s="1368"/>
      <c r="N1" s="240"/>
      <c r="O1" s="240"/>
      <c r="P1" s="240"/>
      <c r="Q1" s="240"/>
      <c r="R1" s="240"/>
      <c r="S1" s="240"/>
      <c r="T1" s="241"/>
      <c r="U1" s="242" t="s">
        <v>118</v>
      </c>
      <c r="V1" s="242"/>
      <c r="W1" s="242"/>
      <c r="X1" s="242"/>
      <c r="Y1" s="240"/>
      <c r="Z1" s="240"/>
      <c r="AA1" s="240"/>
      <c r="AB1" s="240"/>
      <c r="AC1" s="240"/>
      <c r="AD1" s="240"/>
      <c r="AE1" s="240"/>
      <c r="AF1" s="240"/>
      <c r="AG1" s="177"/>
      <c r="AH1" s="177"/>
      <c r="AI1" s="177"/>
      <c r="AJ1" s="177"/>
      <c r="AK1" s="177"/>
      <c r="AL1" s="734" t="str">
        <f>IF(ACTIVEINSPECT="Yes","Complete "&amp;M5S4,"")</f>
        <v/>
      </c>
      <c r="AM1" s="734"/>
      <c r="AN1" s="734"/>
      <c r="AO1" s="734"/>
      <c r="AP1" s="1370" t="str">
        <f>IF(ACTIVEOFFER="Yes","Sign "&amp;M5S6,"")</f>
        <v>Sign OBR: Repayment Agreement</v>
      </c>
      <c r="AQ1" s="1370"/>
      <c r="AR1" s="1370"/>
      <c r="AS1" s="1370"/>
      <c r="AT1" s="734" t="str">
        <f>IF(ACTIVECOMPL="Yes","Sign "&amp;M5S5,"")</f>
        <v xml:space="preserve">Sign Project Completion Certification </v>
      </c>
      <c r="AU1" s="734"/>
      <c r="AV1" s="734"/>
      <c r="AW1" s="734"/>
      <c r="AX1" s="1193" t="str">
        <f>M1S4</f>
        <v>INCENTIVE RATES &amp; REQUIREMENTS</v>
      </c>
      <c r="AY1" s="1193"/>
      <c r="AZ1" s="1193"/>
      <c r="BA1" s="1193"/>
      <c r="BB1" s="1193"/>
      <c r="BC1" s="1193"/>
      <c r="BD1" s="1375" t="s">
        <v>1607</v>
      </c>
      <c r="BE1" s="1375"/>
      <c r="BF1" s="1375"/>
      <c r="BG1" s="1375"/>
    </row>
    <row r="2" spans="1:59" ht="16.350000000000001" customHeight="1" thickBot="1">
      <c r="A2" s="177"/>
      <c r="B2" s="239"/>
      <c r="C2" s="239"/>
      <c r="D2" s="239"/>
      <c r="E2" s="239"/>
      <c r="F2" s="1366"/>
      <c r="G2" s="1366"/>
      <c r="H2" s="1366"/>
      <c r="I2" s="1366"/>
      <c r="J2" s="1368"/>
      <c r="K2" s="1368"/>
      <c r="L2" s="1368"/>
      <c r="M2" s="1368"/>
      <c r="N2" s="240"/>
      <c r="O2" s="240"/>
      <c r="P2" s="240"/>
      <c r="Q2" s="240"/>
      <c r="R2" s="240"/>
      <c r="S2" s="240"/>
      <c r="T2" s="241"/>
      <c r="U2" s="242"/>
      <c r="V2" s="242"/>
      <c r="W2" s="242"/>
      <c r="X2" s="242"/>
      <c r="Y2" s="240"/>
      <c r="Z2" s="240"/>
      <c r="AA2" s="240"/>
      <c r="AB2" s="240"/>
      <c r="AC2" s="240"/>
      <c r="AD2" s="240"/>
      <c r="AE2" s="240"/>
      <c r="AF2" s="240"/>
      <c r="AG2" s="177"/>
      <c r="AH2" s="177"/>
      <c r="AI2" s="177"/>
      <c r="AJ2" s="177"/>
      <c r="AK2" s="177"/>
      <c r="AL2" s="734"/>
      <c r="AM2" s="734"/>
      <c r="AN2" s="734"/>
      <c r="AO2" s="734"/>
      <c r="AP2" s="1370"/>
      <c r="AQ2" s="1370"/>
      <c r="AR2" s="1370"/>
      <c r="AS2" s="1370"/>
      <c r="AT2" s="734"/>
      <c r="AU2" s="734"/>
      <c r="AV2" s="734"/>
      <c r="AW2" s="734"/>
      <c r="AX2" s="1193"/>
      <c r="AY2" s="1193"/>
      <c r="AZ2" s="1193"/>
      <c r="BA2" s="1193"/>
      <c r="BB2" s="1193"/>
      <c r="BC2" s="1193"/>
      <c r="BD2" s="1375"/>
      <c r="BE2" s="1375"/>
      <c r="BF2" s="1375"/>
      <c r="BG2" s="1375"/>
    </row>
    <row r="3" spans="1:59" ht="16.350000000000001" customHeight="1" thickBot="1">
      <c r="A3" s="243"/>
      <c r="B3" s="244"/>
      <c r="C3" s="244"/>
      <c r="D3" s="244"/>
      <c r="E3" s="244"/>
      <c r="F3" s="1367"/>
      <c r="G3" s="1367"/>
      <c r="H3" s="1367"/>
      <c r="I3" s="1367"/>
      <c r="J3" s="1369"/>
      <c r="K3" s="1369"/>
      <c r="L3" s="1369"/>
      <c r="M3" s="1369"/>
      <c r="N3" s="245"/>
      <c r="O3" s="245"/>
      <c r="P3" s="245"/>
      <c r="Q3" s="245"/>
      <c r="R3" s="245"/>
      <c r="S3" s="245"/>
      <c r="T3" s="245"/>
      <c r="U3" s="246"/>
      <c r="V3" s="246"/>
      <c r="W3" s="246"/>
      <c r="X3" s="246"/>
      <c r="Y3" s="243"/>
      <c r="Z3" s="243"/>
      <c r="AA3" s="243"/>
      <c r="AB3" s="243"/>
      <c r="AC3" s="243"/>
      <c r="AD3" s="243"/>
      <c r="AE3" s="243"/>
      <c r="AF3" s="243"/>
      <c r="AG3" s="243"/>
      <c r="AH3" s="243"/>
      <c r="AI3" s="243"/>
      <c r="AJ3" s="243"/>
      <c r="AK3" s="243"/>
      <c r="AL3" s="734"/>
      <c r="AM3" s="734"/>
      <c r="AN3" s="734"/>
      <c r="AO3" s="734"/>
      <c r="AP3" s="735"/>
      <c r="AQ3" s="735"/>
      <c r="AR3" s="735"/>
      <c r="AS3" s="735"/>
      <c r="AT3" s="735"/>
      <c r="AU3" s="735"/>
      <c r="AV3" s="735"/>
      <c r="AW3" s="735"/>
      <c r="AX3" s="1371"/>
      <c r="AY3" s="1371"/>
      <c r="AZ3" s="1371"/>
      <c r="BA3" s="1371"/>
      <c r="BB3" s="1371"/>
      <c r="BC3" s="1371"/>
      <c r="BD3" s="1376"/>
      <c r="BE3" s="1376"/>
      <c r="BF3" s="1376"/>
      <c r="BG3" s="1376"/>
    </row>
    <row r="4" spans="1:59" ht="16.350000000000001" customHeight="1">
      <c r="A4" s="155"/>
      <c r="B4" s="155"/>
      <c r="C4" s="155"/>
      <c r="D4" s="155"/>
      <c r="E4" s="155"/>
      <c r="F4" s="155"/>
      <c r="G4" s="155"/>
      <c r="H4" s="155"/>
      <c r="I4" s="155"/>
      <c r="J4" s="155"/>
      <c r="K4" s="155"/>
      <c r="L4" s="156"/>
      <c r="M4" s="157"/>
      <c r="N4" s="155"/>
      <c r="O4" s="155"/>
      <c r="P4" s="155"/>
      <c r="Q4" s="155"/>
      <c r="R4" s="155"/>
      <c r="S4" s="155" t="s">
        <v>707</v>
      </c>
      <c r="T4" s="211" t="str">
        <f>M05S07F07</f>
        <v>Custom</v>
      </c>
      <c r="U4" s="203"/>
      <c r="V4" s="203"/>
      <c r="W4" s="203"/>
      <c r="X4" s="155"/>
      <c r="Y4" s="155"/>
      <c r="Z4" s="155"/>
      <c r="AA4" s="155" t="s">
        <v>708</v>
      </c>
      <c r="AB4" s="1372" t="str">
        <f>IF(M02S02F02="","[Project Name]",LEFT(M02S02F02,25))</f>
        <v>[Project Name]</v>
      </c>
      <c r="AC4" s="1372"/>
      <c r="AD4" s="1372"/>
      <c r="AE4" s="1372"/>
      <c r="AF4" s="1372"/>
      <c r="AG4" s="1372"/>
      <c r="AH4" s="155"/>
      <c r="AI4" s="155" t="s">
        <v>709</v>
      </c>
      <c r="AJ4" s="156" t="str">
        <f>IF(M02S02F27="Yes",Status_Final,Status_Pre)</f>
        <v>Draft Pre-Application</v>
      </c>
      <c r="AK4" s="157"/>
      <c r="AL4" s="155"/>
      <c r="AM4" s="155"/>
      <c r="AN4" s="157"/>
      <c r="AO4" s="157"/>
      <c r="AP4" s="155"/>
      <c r="AQ4" s="155"/>
      <c r="AR4" s="155"/>
      <c r="AS4" s="155" t="s">
        <v>710</v>
      </c>
      <c r="AT4" s="1373">
        <f>Incent_Total_Cap_All</f>
        <v>0</v>
      </c>
      <c r="AU4" s="1373"/>
      <c r="AV4" s="1373"/>
      <c r="AW4" s="1373"/>
      <c r="AX4" s="1374" t="s">
        <v>711</v>
      </c>
      <c r="AY4" s="1374"/>
      <c r="AZ4" s="1374"/>
      <c r="BA4" s="1374"/>
      <c r="BB4" s="1374"/>
      <c r="BC4" s="1373" t="str">
        <f>OBR_Amount_Requested</f>
        <v/>
      </c>
      <c r="BD4" s="1373"/>
      <c r="BE4" s="1373"/>
      <c r="BF4" s="1373"/>
      <c r="BG4" s="157"/>
    </row>
    <row r="5" spans="1:59" ht="16.350000000000001" customHeight="1">
      <c r="A5"/>
      <c r="B5" s="158"/>
      <c r="C5" s="158"/>
      <c r="D5" s="158"/>
      <c r="E5" s="158"/>
      <c r="F5" s="158"/>
      <c r="G5" s="158"/>
      <c r="H5" s="158"/>
      <c r="I5" s="158"/>
      <c r="J5" s="158"/>
      <c r="K5" s="158"/>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s="177"/>
      <c r="BB5" s="177"/>
      <c r="BC5" s="1352">
        <f ca="1">PROGRESSSTATUS</f>
        <v>0</v>
      </c>
      <c r="BD5" s="1352"/>
      <c r="BE5" s="1352"/>
      <c r="BF5" s="177"/>
    </row>
    <row r="6" spans="1:59" ht="16.350000000000001" customHeight="1">
      <c r="A6"/>
      <c r="B6" s="158"/>
      <c r="C6" s="158"/>
      <c r="D6" s="158"/>
      <c r="E6" s="158"/>
      <c r="F6" s="158"/>
      <c r="G6" s="158"/>
      <c r="H6" s="158"/>
      <c r="I6" s="158"/>
      <c r="J6" s="158"/>
      <c r="K6" s="158"/>
      <c r="L6"/>
      <c r="M6"/>
      <c r="N6"/>
      <c r="O6"/>
      <c r="P6"/>
      <c r="Q6"/>
      <c r="R6"/>
      <c r="S6"/>
      <c r="T6"/>
      <c r="U6"/>
      <c r="V6"/>
      <c r="W6"/>
      <c r="X6"/>
      <c r="Y6"/>
      <c r="Z6"/>
      <c r="AA6"/>
      <c r="AB6"/>
      <c r="AC6"/>
      <c r="AD6"/>
      <c r="AE6"/>
      <c r="AF6"/>
      <c r="AG6"/>
      <c r="AH6"/>
      <c r="AI6"/>
      <c r="AJ6"/>
      <c r="AK6"/>
      <c r="AL6"/>
      <c r="AM6"/>
      <c r="AN6"/>
      <c r="AO6"/>
      <c r="AP6"/>
      <c r="AQ6"/>
      <c r="AR6"/>
      <c r="AS6"/>
      <c r="AT6"/>
      <c r="AU6"/>
      <c r="AV6"/>
      <c r="AW6"/>
      <c r="AX6"/>
      <c r="AY6"/>
      <c r="AZ6" s="159"/>
      <c r="BA6" s="177"/>
      <c r="BB6" s="177"/>
      <c r="BC6" s="1352"/>
      <c r="BD6" s="1352"/>
      <c r="BE6" s="1352"/>
      <c r="BF6" s="177"/>
    </row>
    <row r="7" spans="1:59" ht="16.350000000000001" customHeight="1">
      <c r="A7"/>
      <c r="B7" s="193"/>
      <c r="C7" s="193"/>
      <c r="D7" s="193"/>
      <c r="E7" s="193"/>
      <c r="F7" s="193"/>
      <c r="G7" s="193"/>
      <c r="H7" s="193"/>
      <c r="I7" s="193"/>
      <c r="J7" s="193"/>
      <c r="K7" s="19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s="177"/>
      <c r="BB7" s="177"/>
      <c r="BC7" s="1352"/>
      <c r="BD7" s="1352"/>
      <c r="BE7" s="1352"/>
      <c r="BF7" s="177"/>
    </row>
    <row r="8" spans="1:59" ht="16.350000000000001" customHeight="1" thickBot="1">
      <c r="A8" s="19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54"/>
      <c r="AO8" s="154"/>
      <c r="AP8" s="154"/>
      <c r="AQ8" s="154"/>
      <c r="AR8" s="154"/>
      <c r="AS8" s="154"/>
      <c r="AT8" s="154"/>
      <c r="AU8" s="154"/>
      <c r="AV8" s="154"/>
      <c r="AW8" s="195"/>
      <c r="AX8" s="195"/>
      <c r="AY8" s="195"/>
      <c r="AZ8" s="195"/>
      <c r="BA8" s="196"/>
      <c r="BB8" s="196"/>
      <c r="BC8" s="1353" t="s">
        <v>712</v>
      </c>
      <c r="BD8" s="1353"/>
      <c r="BE8" s="1353"/>
      <c r="BF8" s="196"/>
      <c r="BG8" s="196"/>
    </row>
    <row r="9" spans="1:59" ht="14.25" customHeight="1">
      <c r="A9" s="177"/>
      <c r="B9" s="177"/>
      <c r="C9" s="177"/>
      <c r="D9" s="240"/>
      <c r="E9" s="240"/>
      <c r="F9" s="1250" t="str">
        <f>M5S3</f>
        <v>Project Summary</v>
      </c>
      <c r="G9" s="1250"/>
      <c r="H9" s="1250"/>
      <c r="I9" s="1250"/>
      <c r="J9" s="1250"/>
      <c r="K9" s="1250"/>
      <c r="L9" s="1250"/>
      <c r="M9" s="1250"/>
      <c r="N9" s="1250"/>
      <c r="O9" s="1250"/>
      <c r="P9" s="1250"/>
      <c r="Q9" s="1250"/>
      <c r="R9" s="1250"/>
      <c r="S9" s="1250"/>
      <c r="T9" s="1250"/>
      <c r="U9" s="1250"/>
      <c r="V9" s="1250"/>
      <c r="W9" s="1250"/>
      <c r="X9" s="1250"/>
      <c r="Y9" s="1250"/>
      <c r="Z9" s="1250"/>
      <c r="AA9" s="1250"/>
      <c r="AB9" s="1250"/>
      <c r="AC9" s="1250"/>
      <c r="AD9" s="1250"/>
      <c r="AE9" s="1250"/>
      <c r="AF9" s="1250"/>
      <c r="AG9" s="1250"/>
      <c r="AH9" s="1250"/>
      <c r="AI9" s="1250"/>
      <c r="AJ9" s="1250"/>
      <c r="AK9" s="1250"/>
      <c r="AL9" s="1250"/>
      <c r="AM9" s="1250"/>
      <c r="AN9" s="1250"/>
      <c r="AO9" s="1250"/>
      <c r="AP9" s="1250"/>
      <c r="AQ9" s="1250"/>
      <c r="AR9" s="1250"/>
      <c r="AS9" s="1250"/>
      <c r="AT9" s="1250"/>
      <c r="AU9" s="1250"/>
      <c r="AV9" s="1250"/>
      <c r="AW9" s="1250"/>
      <c r="AX9" s="1250"/>
      <c r="AY9" s="1250"/>
      <c r="AZ9" s="177"/>
      <c r="BA9" s="177"/>
      <c r="BB9" s="177"/>
      <c r="BC9" s="177"/>
      <c r="BD9" s="177"/>
      <c r="BE9" s="177"/>
      <c r="BF9" s="177"/>
    </row>
    <row r="10" spans="1:59" ht="18.75" customHeight="1">
      <c r="A10" s="177"/>
      <c r="B10" s="177"/>
      <c r="C10" s="177"/>
      <c r="D10" s="240"/>
      <c r="E10" s="240"/>
      <c r="F10" s="1250"/>
      <c r="G10" s="1250"/>
      <c r="H10" s="1250"/>
      <c r="I10" s="1250"/>
      <c r="J10" s="1250"/>
      <c r="K10" s="1250"/>
      <c r="L10" s="1250"/>
      <c r="M10" s="1250"/>
      <c r="N10" s="1250"/>
      <c r="O10" s="1250"/>
      <c r="P10" s="1250"/>
      <c r="Q10" s="1250"/>
      <c r="R10" s="1250"/>
      <c r="S10" s="1250"/>
      <c r="T10" s="1250"/>
      <c r="U10" s="1250"/>
      <c r="V10" s="1250"/>
      <c r="W10" s="1250"/>
      <c r="X10" s="1250"/>
      <c r="Y10" s="1250"/>
      <c r="Z10" s="1250"/>
      <c r="AA10" s="1250"/>
      <c r="AB10" s="1250"/>
      <c r="AC10" s="1250"/>
      <c r="AD10" s="1250"/>
      <c r="AE10" s="1250"/>
      <c r="AF10" s="1250"/>
      <c r="AG10" s="1250"/>
      <c r="AH10" s="1250"/>
      <c r="AI10" s="1250"/>
      <c r="AJ10" s="1250"/>
      <c r="AK10" s="1250"/>
      <c r="AL10" s="1250"/>
      <c r="AM10" s="1250"/>
      <c r="AN10" s="1250"/>
      <c r="AO10" s="1250"/>
      <c r="AP10" s="1250"/>
      <c r="AQ10" s="1250"/>
      <c r="AR10" s="1250"/>
      <c r="AS10" s="1250"/>
      <c r="AT10" s="1250"/>
      <c r="AU10" s="1250"/>
      <c r="AV10" s="1250"/>
      <c r="AW10" s="1250"/>
      <c r="AX10" s="1250"/>
      <c r="AY10" s="1250"/>
      <c r="AZ10" s="177"/>
      <c r="BA10" s="177"/>
      <c r="BB10" s="177"/>
      <c r="BC10" s="177"/>
      <c r="BD10" s="177"/>
      <c r="BE10" s="177"/>
      <c r="BF10" s="177"/>
    </row>
    <row r="11" spans="1:59" ht="18.75" customHeight="1">
      <c r="A11" s="177"/>
      <c r="B11" s="177"/>
      <c r="C11" s="177"/>
      <c r="D11" s="180"/>
      <c r="E11" s="180"/>
      <c r="F11" s="180"/>
      <c r="G11" s="180"/>
      <c r="H11" s="180"/>
      <c r="I11" s="180"/>
      <c r="J11" s="180"/>
      <c r="K11" s="180"/>
      <c r="L11" s="177"/>
      <c r="M11" s="240"/>
      <c r="N11" s="240"/>
      <c r="O11" s="1344" t="s">
        <v>1493</v>
      </c>
      <c r="P11" s="1344"/>
      <c r="Q11" s="1344"/>
      <c r="R11" s="1344"/>
      <c r="S11" s="1344"/>
      <c r="T11" s="1344"/>
      <c r="U11" s="1344"/>
      <c r="V11" s="1106" t="s">
        <v>1608</v>
      </c>
      <c r="W11" s="1106"/>
      <c r="X11" s="1106"/>
      <c r="Y11" s="1106"/>
      <c r="Z11" s="1106"/>
      <c r="AA11" s="1106"/>
      <c r="AB11" s="1106"/>
      <c r="AC11" s="1106"/>
      <c r="AD11" s="1106"/>
      <c r="AE11" s="1106"/>
      <c r="AF11" s="1106"/>
      <c r="AG11" s="1106"/>
      <c r="AH11" s="1106"/>
      <c r="AI11" s="1106"/>
      <c r="AJ11" s="1106"/>
      <c r="AK11" s="1106"/>
      <c r="AL11" s="1106"/>
      <c r="AM11" s="1106"/>
      <c r="AN11" s="1106"/>
      <c r="AO11" s="1106"/>
      <c r="AP11" s="344"/>
      <c r="AQ11" s="344"/>
      <c r="AR11" s="177"/>
      <c r="AS11" s="177"/>
      <c r="AT11" s="177"/>
      <c r="AU11" s="177"/>
      <c r="AV11" s="177"/>
      <c r="AW11" s="177"/>
      <c r="AX11" s="177"/>
      <c r="AY11" s="177"/>
      <c r="AZ11" s="177"/>
      <c r="BA11" s="177"/>
      <c r="BB11" s="177"/>
      <c r="BC11" s="177"/>
      <c r="BD11" s="177"/>
      <c r="BE11" s="177"/>
      <c r="BF11" s="177"/>
    </row>
    <row r="12" spans="1:59" ht="16.350000000000001" customHeight="1">
      <c r="A12" s="177"/>
      <c r="B12" s="177"/>
      <c r="C12" s="177"/>
      <c r="D12" s="177"/>
      <c r="E12" s="177"/>
      <c r="F12" s="177"/>
      <c r="G12" s="177"/>
      <c r="H12" s="177"/>
      <c r="I12" s="177"/>
      <c r="J12" s="177"/>
      <c r="K12" s="177"/>
      <c r="L12" s="177"/>
      <c r="M12" s="240"/>
      <c r="N12" s="240"/>
      <c r="O12" s="1344"/>
      <c r="P12" s="1344"/>
      <c r="Q12" s="1344"/>
      <c r="R12" s="1344"/>
      <c r="S12" s="1344"/>
      <c r="T12" s="1344"/>
      <c r="U12" s="1344"/>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344"/>
      <c r="AQ12" s="344"/>
      <c r="AR12" s="60"/>
      <c r="AS12" s="177"/>
      <c r="AT12" s="177"/>
      <c r="AU12" s="177"/>
      <c r="AV12" s="177"/>
      <c r="AW12" s="177"/>
      <c r="AX12" s="177"/>
      <c r="AY12" s="177"/>
      <c r="AZ12" s="177"/>
      <c r="BA12" s="177"/>
      <c r="BB12" s="177"/>
      <c r="BC12" s="177"/>
      <c r="BD12" s="177"/>
      <c r="BE12" s="177"/>
      <c r="BF12" s="177"/>
    </row>
    <row r="13" spans="1:59" ht="16.350000000000001" customHeight="1">
      <c r="A13" s="177"/>
      <c r="B13" s="177"/>
      <c r="C13" s="177"/>
      <c r="D13" s="177"/>
      <c r="E13" s="177"/>
      <c r="F13" s="177"/>
      <c r="G13" s="177"/>
      <c r="H13" s="177"/>
      <c r="I13" s="177"/>
      <c r="J13" s="177"/>
      <c r="K13" s="177"/>
      <c r="L13" s="177"/>
      <c r="M13" s="240"/>
      <c r="N13" s="240"/>
      <c r="O13" s="1344"/>
      <c r="P13" s="1344"/>
      <c r="Q13" s="1344"/>
      <c r="R13" s="1344"/>
      <c r="S13" s="1344"/>
      <c r="T13" s="1344"/>
      <c r="U13" s="1344"/>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389"/>
      <c r="AQ13" s="389"/>
      <c r="AR13" s="60"/>
      <c r="AS13" s="177"/>
      <c r="AT13" s="177"/>
      <c r="AU13" s="177"/>
      <c r="AV13" s="177"/>
      <c r="AW13" s="177"/>
      <c r="AX13" s="177"/>
      <c r="AY13" s="177"/>
      <c r="AZ13" s="177"/>
      <c r="BA13" s="177"/>
      <c r="BB13" s="177"/>
      <c r="BC13" s="177"/>
      <c r="BD13" s="177"/>
      <c r="BE13" s="177"/>
      <c r="BF13" s="177"/>
    </row>
    <row r="14" spans="1:59" ht="16.350000000000001" customHeight="1">
      <c r="A14" s="177"/>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177"/>
      <c r="AW14" s="177"/>
      <c r="AX14" s="177"/>
      <c r="AY14" s="177"/>
      <c r="AZ14" s="177"/>
      <c r="BA14" s="177"/>
      <c r="BB14" s="177"/>
      <c r="BC14" s="177"/>
      <c r="BD14" s="177"/>
      <c r="BE14" s="177"/>
      <c r="BF14" s="177"/>
    </row>
    <row r="15" spans="1:59" ht="16.350000000000001" customHeight="1">
      <c r="A15" s="177"/>
      <c r="B15" s="177"/>
      <c r="C15" s="177"/>
      <c r="D15" s="177"/>
      <c r="E15" s="177"/>
      <c r="F15" s="177"/>
      <c r="G15" s="177"/>
      <c r="H15" s="177"/>
      <c r="I15" s="177"/>
      <c r="J15" s="177"/>
      <c r="K15" s="177"/>
      <c r="L15" s="177"/>
      <c r="M15" s="177"/>
      <c r="N15" s="177"/>
      <c r="O15" s="400"/>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2"/>
      <c r="AR15" s="177"/>
      <c r="AS15" s="177"/>
      <c r="AT15" s="177"/>
      <c r="AU15" s="177"/>
      <c r="AV15" s="177"/>
      <c r="AW15" s="177"/>
      <c r="AX15" s="60"/>
      <c r="AY15" s="177"/>
      <c r="AZ15" s="177"/>
      <c r="BA15" s="177"/>
      <c r="BB15" s="177"/>
      <c r="BC15" s="177"/>
      <c r="BD15" s="177"/>
      <c r="BE15" s="177"/>
      <c r="BF15" s="177"/>
    </row>
    <row r="16" spans="1:59" ht="16.350000000000001" customHeight="1">
      <c r="A16" s="177"/>
      <c r="B16" s="177"/>
      <c r="C16" s="177"/>
      <c r="D16" s="177"/>
      <c r="E16" s="177"/>
      <c r="F16" s="177"/>
      <c r="G16" s="177"/>
      <c r="H16" s="177"/>
      <c r="I16" s="177"/>
      <c r="J16" s="177"/>
      <c r="K16" s="177"/>
      <c r="L16" s="177"/>
      <c r="M16" s="177"/>
      <c r="N16" s="177"/>
      <c r="O16" s="369"/>
      <c r="P16" s="1347" t="s">
        <v>1609</v>
      </c>
      <c r="Q16" s="1347"/>
      <c r="R16" s="1347"/>
      <c r="S16" s="1347"/>
      <c r="T16" s="1347"/>
      <c r="U16" s="1347"/>
      <c r="V16" s="1347"/>
      <c r="W16" s="1347"/>
      <c r="X16" s="1347"/>
      <c r="Y16" s="1347"/>
      <c r="Z16" s="1347"/>
      <c r="AA16" s="1347"/>
      <c r="AB16" s="1347"/>
      <c r="AC16" s="1347"/>
      <c r="AD16" s="1347"/>
      <c r="AE16" s="1347"/>
      <c r="AF16" s="1347"/>
      <c r="AG16" s="1347"/>
      <c r="AH16" s="1347"/>
      <c r="AI16" s="403"/>
      <c r="AJ16" s="404"/>
      <c r="AK16" s="404"/>
      <c r="AL16" s="405"/>
      <c r="AM16" s="405"/>
      <c r="AN16" s="405"/>
      <c r="AO16" s="405"/>
      <c r="AP16" s="406"/>
      <c r="AQ16" s="407"/>
      <c r="AR16" s="408"/>
      <c r="AS16" s="177"/>
      <c r="AT16" s="177"/>
      <c r="AU16" s="177"/>
      <c r="AV16" s="177"/>
      <c r="AW16" s="177"/>
      <c r="AX16" s="60"/>
      <c r="AY16" s="177"/>
      <c r="AZ16" s="177"/>
      <c r="BA16" s="177"/>
      <c r="BB16" s="177"/>
      <c r="BC16" s="177"/>
      <c r="BD16" s="177"/>
      <c r="BE16" s="177"/>
      <c r="BF16" s="177"/>
    </row>
    <row r="17" spans="1:61" ht="16.350000000000001" customHeight="1">
      <c r="A17" s="177"/>
      <c r="B17" s="177"/>
      <c r="C17" s="177"/>
      <c r="D17" s="177"/>
      <c r="E17" s="60"/>
      <c r="F17" s="177"/>
      <c r="G17" s="177"/>
      <c r="H17" s="177"/>
      <c r="I17" s="177"/>
      <c r="J17" s="177"/>
      <c r="K17" s="177"/>
      <c r="L17" s="177"/>
      <c r="M17" s="177"/>
      <c r="N17" s="177"/>
      <c r="O17" s="369"/>
      <c r="P17" s="1347"/>
      <c r="Q17" s="1347"/>
      <c r="R17" s="1347"/>
      <c r="S17" s="1347"/>
      <c r="T17" s="1347"/>
      <c r="U17" s="1347"/>
      <c r="V17" s="1347"/>
      <c r="W17" s="1347"/>
      <c r="X17" s="1347"/>
      <c r="Y17" s="1347"/>
      <c r="Z17" s="1347"/>
      <c r="AA17" s="1347"/>
      <c r="AB17" s="1347"/>
      <c r="AC17" s="1347"/>
      <c r="AD17" s="1347"/>
      <c r="AE17" s="1347"/>
      <c r="AF17" s="1347"/>
      <c r="AG17" s="1347"/>
      <c r="AH17" s="1347"/>
      <c r="AI17" s="409"/>
      <c r="AJ17" s="410"/>
      <c r="AK17" s="410"/>
      <c r="AL17" s="411"/>
      <c r="AM17" s="411"/>
      <c r="AN17" s="411"/>
      <c r="AO17" s="411"/>
      <c r="AP17" s="412"/>
      <c r="AQ17" s="407"/>
      <c r="AR17" s="408"/>
      <c r="AS17" s="177"/>
      <c r="AT17" s="177"/>
      <c r="AU17" s="177"/>
      <c r="AV17" s="177"/>
      <c r="AW17" s="177"/>
      <c r="AX17" s="177"/>
      <c r="AY17" s="177"/>
      <c r="AZ17" s="177"/>
      <c r="BA17" s="177"/>
      <c r="BB17" s="177"/>
      <c r="BC17" s="177"/>
      <c r="BD17" s="177"/>
      <c r="BE17"/>
      <c r="BF17"/>
      <c r="BG17"/>
      <c r="BH17"/>
    </row>
    <row r="18" spans="1:61" ht="16.350000000000001" customHeight="1">
      <c r="A18" s="177"/>
      <c r="B18" s="177"/>
      <c r="C18" s="177"/>
      <c r="D18" s="177"/>
      <c r="E18" s="60"/>
      <c r="F18" s="177"/>
      <c r="G18" s="177"/>
      <c r="H18" s="177"/>
      <c r="I18" s="177"/>
      <c r="J18" s="177"/>
      <c r="K18" s="177"/>
      <c r="L18" s="177"/>
      <c r="M18" s="177"/>
      <c r="N18" s="177"/>
      <c r="O18" s="369"/>
      <c r="P18" s="1347"/>
      <c r="Q18" s="1347"/>
      <c r="R18" s="1347"/>
      <c r="S18" s="1347"/>
      <c r="T18" s="1347"/>
      <c r="U18" s="1347"/>
      <c r="V18" s="1347"/>
      <c r="W18" s="1347"/>
      <c r="X18" s="1347"/>
      <c r="Y18" s="1347"/>
      <c r="Z18" s="1347"/>
      <c r="AA18" s="1347"/>
      <c r="AB18" s="1347"/>
      <c r="AC18" s="1347"/>
      <c r="AD18" s="1347"/>
      <c r="AE18" s="1347"/>
      <c r="AF18" s="1347"/>
      <c r="AG18" s="1347"/>
      <c r="AH18" s="1347"/>
      <c r="AI18" s="409"/>
      <c r="AJ18" s="410"/>
      <c r="AK18" s="410"/>
      <c r="AL18" s="411"/>
      <c r="AM18" s="411"/>
      <c r="AN18" s="411"/>
      <c r="AO18" s="411"/>
      <c r="AP18" s="412"/>
      <c r="AQ18" s="407"/>
      <c r="AR18" s="408"/>
      <c r="AS18" s="177"/>
      <c r="AT18" s="177"/>
      <c r="AU18" s="177"/>
      <c r="AV18" s="177"/>
      <c r="AW18" s="177"/>
      <c r="AX18" s="177"/>
      <c r="AY18" s="177"/>
      <c r="AZ18" s="177"/>
      <c r="BA18" s="177"/>
      <c r="BB18" s="177"/>
      <c r="BC18" s="177"/>
      <c r="BD18" s="177"/>
      <c r="BE18"/>
      <c r="BF18"/>
      <c r="BG18"/>
      <c r="BH18"/>
    </row>
    <row r="19" spans="1:61" ht="16.350000000000001" customHeight="1">
      <c r="A19" s="177"/>
      <c r="B19" s="177"/>
      <c r="C19" s="177"/>
      <c r="D19" s="177"/>
      <c r="E19" s="60"/>
      <c r="F19" s="177"/>
      <c r="G19" s="177"/>
      <c r="H19" s="177"/>
      <c r="I19" s="177"/>
      <c r="J19" s="177"/>
      <c r="K19" s="177"/>
      <c r="L19" s="177"/>
      <c r="M19" s="177"/>
      <c r="N19" s="177"/>
      <c r="O19" s="369"/>
      <c r="P19" s="1347"/>
      <c r="Q19" s="1347"/>
      <c r="R19" s="1347"/>
      <c r="S19" s="1347"/>
      <c r="T19" s="1347"/>
      <c r="U19" s="1347"/>
      <c r="V19" s="1347"/>
      <c r="W19" s="1347"/>
      <c r="X19" s="1347"/>
      <c r="Y19" s="1347"/>
      <c r="Z19" s="1347"/>
      <c r="AA19" s="1347"/>
      <c r="AB19" s="1347"/>
      <c r="AC19" s="1347"/>
      <c r="AD19" s="1347"/>
      <c r="AE19" s="1347"/>
      <c r="AF19" s="1347"/>
      <c r="AG19" s="1347"/>
      <c r="AH19" s="1347"/>
      <c r="AI19" s="413"/>
      <c r="AJ19" s="414"/>
      <c r="AK19" s="414"/>
      <c r="AL19" s="415"/>
      <c r="AM19" s="415"/>
      <c r="AN19" s="415"/>
      <c r="AO19" s="415"/>
      <c r="AP19" s="416"/>
      <c r="AQ19" s="407"/>
      <c r="AR19" s="408"/>
      <c r="AS19" s="177"/>
      <c r="AT19" s="177"/>
      <c r="AU19" s="240"/>
      <c r="AV19" s="240"/>
      <c r="AW19" s="240"/>
      <c r="AX19" s="240"/>
      <c r="AY19" s="240"/>
      <c r="AZ19" s="240"/>
      <c r="BA19" s="240"/>
      <c r="BB19" s="240"/>
      <c r="BC19" s="240"/>
      <c r="BD19" s="240"/>
      <c r="BE19" s="240"/>
      <c r="BF19" s="240"/>
      <c r="BG19" s="240"/>
      <c r="BH19" s="240"/>
      <c r="BI19" s="240"/>
    </row>
    <row r="20" spans="1:61" ht="16.350000000000001" customHeight="1">
      <c r="A20" s="177"/>
      <c r="B20" s="177"/>
      <c r="C20" s="177"/>
      <c r="D20" s="177"/>
      <c r="E20" s="60"/>
      <c r="F20" s="177"/>
      <c r="G20" s="177"/>
      <c r="H20" s="177"/>
      <c r="I20" s="177"/>
      <c r="J20" s="177"/>
      <c r="K20" s="177"/>
      <c r="L20" s="177"/>
      <c r="M20" s="177"/>
      <c r="N20" s="177"/>
      <c r="O20" s="369"/>
      <c r="P20" s="1354" t="str">
        <f>IF(M02S03F01="","",M02S03F01)</f>
        <v/>
      </c>
      <c r="Q20" s="1354"/>
      <c r="R20" s="1354"/>
      <c r="S20" s="1354"/>
      <c r="T20" s="1354"/>
      <c r="U20" s="1354"/>
      <c r="V20" s="1354"/>
      <c r="W20" s="1354"/>
      <c r="X20" s="1354"/>
      <c r="Y20" s="1354"/>
      <c r="Z20" s="1354"/>
      <c r="AA20" s="1354"/>
      <c r="AB20" s="1354"/>
      <c r="AC20" s="1354"/>
      <c r="AD20" s="1354"/>
      <c r="AE20" s="1354"/>
      <c r="AF20" s="1354"/>
      <c r="AG20" s="1354"/>
      <c r="AH20" s="1354"/>
      <c r="AI20" s="1354"/>
      <c r="AJ20" s="1354"/>
      <c r="AK20" s="1354"/>
      <c r="AL20" s="1354"/>
      <c r="AM20" s="1354"/>
      <c r="AN20" s="1354"/>
      <c r="AO20" s="1354"/>
      <c r="AP20" s="1354"/>
      <c r="AQ20" s="417"/>
      <c r="AR20" s="177"/>
      <c r="AS20" s="177"/>
      <c r="AT20" s="177"/>
      <c r="AU20" s="240"/>
      <c r="AV20" s="240"/>
      <c r="AW20" s="240"/>
      <c r="AX20" s="240"/>
      <c r="AY20" s="240"/>
      <c r="AZ20" s="240"/>
      <c r="BA20" s="240"/>
      <c r="BB20" s="240"/>
      <c r="BC20" s="240"/>
      <c r="BD20" s="240"/>
      <c r="BE20" s="240"/>
      <c r="BF20" s="240"/>
      <c r="BG20" s="240"/>
      <c r="BH20" s="240"/>
      <c r="BI20" s="240"/>
    </row>
    <row r="21" spans="1:61" ht="16.350000000000001" customHeight="1">
      <c r="A21" s="177"/>
      <c r="B21" s="177"/>
      <c r="C21" s="177"/>
      <c r="D21" s="177"/>
      <c r="E21" s="60"/>
      <c r="F21" s="177"/>
      <c r="G21" s="177"/>
      <c r="H21" s="177"/>
      <c r="I21" s="177"/>
      <c r="J21" s="177"/>
      <c r="K21" s="177"/>
      <c r="L21" s="177"/>
      <c r="M21" s="177"/>
      <c r="N21" s="177"/>
      <c r="O21" s="369"/>
      <c r="P21" s="1354"/>
      <c r="Q21" s="1354"/>
      <c r="R21" s="1354"/>
      <c r="S21" s="1354"/>
      <c r="T21" s="1354"/>
      <c r="U21" s="1354"/>
      <c r="V21" s="1354"/>
      <c r="W21" s="1354"/>
      <c r="X21" s="1354"/>
      <c r="Y21" s="1354"/>
      <c r="Z21" s="1354"/>
      <c r="AA21" s="1354"/>
      <c r="AB21" s="1354"/>
      <c r="AC21" s="1354"/>
      <c r="AD21" s="1354"/>
      <c r="AE21" s="1354"/>
      <c r="AF21" s="1354"/>
      <c r="AG21" s="1354"/>
      <c r="AH21" s="1354"/>
      <c r="AI21" s="1354"/>
      <c r="AJ21" s="1354"/>
      <c r="AK21" s="1354"/>
      <c r="AL21" s="1354"/>
      <c r="AM21" s="1354"/>
      <c r="AN21" s="1354"/>
      <c r="AO21" s="1354"/>
      <c r="AP21" s="1354"/>
      <c r="AQ21" s="417"/>
      <c r="AR21" s="177"/>
      <c r="AS21" s="177"/>
      <c r="AT21" s="177"/>
      <c r="AU21" s="177"/>
      <c r="AV21" s="177"/>
      <c r="AW21" s="177"/>
      <c r="AX21" s="177"/>
      <c r="AY21" s="177"/>
      <c r="AZ21" s="177"/>
      <c r="BA21" s="177"/>
      <c r="BB21" s="177"/>
      <c r="BC21" s="240"/>
      <c r="BD21" s="240"/>
      <c r="BE21" s="240"/>
      <c r="BF21" s="240"/>
      <c r="BG21" s="240"/>
      <c r="BH21" s="240"/>
      <c r="BI21" s="240"/>
    </row>
    <row r="22" spans="1:61" ht="16.350000000000001" customHeight="1">
      <c r="A22" s="177"/>
      <c r="B22" s="177"/>
      <c r="C22" s="177"/>
      <c r="D22" s="177"/>
      <c r="E22" s="60"/>
      <c r="F22" s="177"/>
      <c r="G22" s="177"/>
      <c r="H22" s="177"/>
      <c r="I22" s="177"/>
      <c r="J22" s="177"/>
      <c r="K22" s="177"/>
      <c r="L22" s="177"/>
      <c r="M22" s="177"/>
      <c r="N22" s="177"/>
      <c r="O22" s="369"/>
      <c r="P22" s="418" t="s">
        <v>1610</v>
      </c>
      <c r="Q22" s="60"/>
      <c r="R22" s="60"/>
      <c r="S22" s="60"/>
      <c r="T22" s="60"/>
      <c r="U22" s="1330" t="str">
        <f>IF(M02S02F25="","",M02S02F25)</f>
        <v/>
      </c>
      <c r="V22" s="1330"/>
      <c r="W22" s="1330"/>
      <c r="X22" s="1330"/>
      <c r="Y22" s="1330"/>
      <c r="Z22" s="1330"/>
      <c r="AA22" s="1330"/>
      <c r="AB22" s="1330"/>
      <c r="AC22" s="1330"/>
      <c r="AD22" s="1330"/>
      <c r="AE22" s="419" t="s">
        <v>1611</v>
      </c>
      <c r="AF22" s="177"/>
      <c r="AG22" s="420"/>
      <c r="AH22" s="1330" t="str">
        <f>IF(M02S04F02="","",M02S04F02)</f>
        <v/>
      </c>
      <c r="AI22" s="1330"/>
      <c r="AJ22" s="1330"/>
      <c r="AK22" s="1330"/>
      <c r="AL22" s="1330"/>
      <c r="AM22" s="1330"/>
      <c r="AN22" s="1330"/>
      <c r="AO22" s="1330"/>
      <c r="AP22" s="1330"/>
      <c r="AQ22" s="417"/>
      <c r="AR22" s="177"/>
      <c r="AS22" s="177"/>
      <c r="AT22" s="177"/>
      <c r="AU22" s="177"/>
      <c r="AV22" s="177"/>
      <c r="AW22" s="177"/>
      <c r="AX22" s="177"/>
      <c r="AY22" s="177"/>
      <c r="AZ22" s="177"/>
      <c r="BA22" s="177"/>
      <c r="BB22" s="177"/>
      <c r="BC22" s="240"/>
      <c r="BD22" s="240"/>
      <c r="BE22" s="240"/>
      <c r="BF22" s="240"/>
      <c r="BG22" s="240"/>
      <c r="BH22" s="240"/>
      <c r="BI22" s="240"/>
    </row>
    <row r="23" spans="1:61" ht="16.350000000000001" customHeight="1">
      <c r="A23" s="177"/>
      <c r="B23" s="177"/>
      <c r="C23" s="177"/>
      <c r="D23" s="177"/>
      <c r="E23" s="60"/>
      <c r="F23" s="177"/>
      <c r="G23" s="177"/>
      <c r="H23" s="177"/>
      <c r="I23" s="177"/>
      <c r="J23" s="177"/>
      <c r="K23" s="177"/>
      <c r="L23" s="177"/>
      <c r="M23" s="177"/>
      <c r="N23" s="177"/>
      <c r="O23" s="369"/>
      <c r="P23" s="418" t="s">
        <v>1612</v>
      </c>
      <c r="Q23" s="199"/>
      <c r="R23" s="199"/>
      <c r="S23" s="177"/>
      <c r="T23" s="177"/>
      <c r="U23" s="1330" t="str">
        <f>IF(M02S02F03="","",M02S02F03)</f>
        <v/>
      </c>
      <c r="V23" s="1330"/>
      <c r="W23" s="1330"/>
      <c r="X23" s="1330"/>
      <c r="Y23" s="1330"/>
      <c r="Z23" s="1330"/>
      <c r="AA23" s="1330"/>
      <c r="AB23" s="1330"/>
      <c r="AC23" s="1330"/>
      <c r="AD23" s="1330"/>
      <c r="AE23" s="419" t="s">
        <v>1613</v>
      </c>
      <c r="AF23" s="177"/>
      <c r="AG23" s="199"/>
      <c r="AH23" s="1330" t="str">
        <f>IF(M02S04F03="","",M02S04F03)</f>
        <v/>
      </c>
      <c r="AI23" s="1330"/>
      <c r="AJ23" s="1330"/>
      <c r="AK23" s="1330"/>
      <c r="AL23" s="1330"/>
      <c r="AM23" s="1330"/>
      <c r="AN23" s="1330"/>
      <c r="AO23" s="1330"/>
      <c r="AP23" s="1330"/>
      <c r="AQ23" s="417"/>
      <c r="AR23" s="177"/>
      <c r="AS23" s="177"/>
      <c r="AT23" s="177"/>
      <c r="AU23" s="177"/>
      <c r="AV23" s="177"/>
      <c r="AW23" s="177"/>
      <c r="AX23" s="177"/>
      <c r="AY23" s="177"/>
      <c r="AZ23" s="177"/>
      <c r="BA23" s="177"/>
      <c r="BB23" s="177"/>
      <c r="BC23" s="240"/>
      <c r="BD23" s="240"/>
      <c r="BE23" s="240"/>
      <c r="BF23" s="240"/>
      <c r="BG23" s="240"/>
      <c r="BH23" s="240"/>
      <c r="BI23" s="240"/>
    </row>
    <row r="24" spans="1:61" ht="16.350000000000001" customHeight="1">
      <c r="A24" s="177"/>
      <c r="B24" s="177"/>
      <c r="C24" s="177"/>
      <c r="D24" s="177"/>
      <c r="E24" s="60"/>
      <c r="F24" s="177"/>
      <c r="G24" s="177"/>
      <c r="H24" s="177"/>
      <c r="I24" s="177"/>
      <c r="J24" s="177"/>
      <c r="K24" s="177"/>
      <c r="L24" s="177"/>
      <c r="M24" s="177"/>
      <c r="N24" s="177"/>
      <c r="O24" s="369"/>
      <c r="P24" s="418" t="s">
        <v>1612</v>
      </c>
      <c r="Q24" s="199"/>
      <c r="R24" s="199"/>
      <c r="S24" s="177"/>
      <c r="T24" s="177"/>
      <c r="U24" s="1330" t="str">
        <f>IF(OR(M02S02F06="",M02S02F07="",M02S02F08=""),"",CONCATENATE(M02S02F06, ", ", M02S02F07, " ", TEXT(M02S02F08,"00000") ))</f>
        <v/>
      </c>
      <c r="V24" s="1330"/>
      <c r="W24" s="1330"/>
      <c r="X24" s="1330"/>
      <c r="Y24" s="1330"/>
      <c r="Z24" s="1330"/>
      <c r="AA24" s="1330"/>
      <c r="AB24" s="1330"/>
      <c r="AC24" s="1330"/>
      <c r="AD24" s="1330"/>
      <c r="AE24" s="419" t="s">
        <v>1613</v>
      </c>
      <c r="AF24" s="177"/>
      <c r="AG24" s="199"/>
      <c r="AH24" s="1330" t="str">
        <f>IF(OR(M02S04F05="",M02S04F06="",M02S04F07=""),"",CONCATENATE(M02S04F05, ", ", M02S04F06, " ", TEXT(M02S04F07,"00000") ))</f>
        <v/>
      </c>
      <c r="AI24" s="1330"/>
      <c r="AJ24" s="1330"/>
      <c r="AK24" s="1330"/>
      <c r="AL24" s="1330"/>
      <c r="AM24" s="1330"/>
      <c r="AN24" s="1330"/>
      <c r="AO24" s="1330"/>
      <c r="AP24" s="1330"/>
      <c r="AQ24" s="417"/>
      <c r="AR24" s="177"/>
      <c r="AS24" s="177"/>
      <c r="AT24" s="177"/>
      <c r="AU24" s="177"/>
      <c r="AV24" s="177"/>
      <c r="AW24" s="177"/>
      <c r="AX24" s="177"/>
      <c r="AY24" s="177"/>
      <c r="AZ24" s="177"/>
      <c r="BA24" s="177"/>
      <c r="BB24" s="177"/>
      <c r="BC24" s="177"/>
      <c r="BD24" s="177"/>
      <c r="BE24" s="177"/>
      <c r="BF24" s="177"/>
    </row>
    <row r="25" spans="1:61" ht="16.350000000000001" customHeight="1">
      <c r="A25" s="177"/>
      <c r="B25" s="177"/>
      <c r="C25" s="177"/>
      <c r="D25" s="177"/>
      <c r="E25" s="60"/>
      <c r="F25" s="177"/>
      <c r="G25" s="177"/>
      <c r="H25" s="177"/>
      <c r="I25" s="177"/>
      <c r="J25" s="177"/>
      <c r="K25" s="177"/>
      <c r="L25" s="177"/>
      <c r="M25" s="177"/>
      <c r="N25" s="177"/>
      <c r="O25" s="369"/>
      <c r="P25" s="418" t="s">
        <v>1614</v>
      </c>
      <c r="Q25" s="177"/>
      <c r="R25" s="177"/>
      <c r="S25" s="177"/>
      <c r="T25" s="177"/>
      <c r="U25" s="1330" t="str">
        <f>PROPER(M02S03F03&amp;" "&amp;M02S03F04)</f>
        <v xml:space="preserve"> </v>
      </c>
      <c r="V25" s="1330"/>
      <c r="W25" s="1330"/>
      <c r="X25" s="1330"/>
      <c r="Y25" s="1330"/>
      <c r="Z25" s="1330"/>
      <c r="AA25" s="1330"/>
      <c r="AB25" s="1330"/>
      <c r="AC25" s="1330"/>
      <c r="AD25" s="1330"/>
      <c r="AE25" s="419" t="s">
        <v>1614</v>
      </c>
      <c r="AF25" s="177"/>
      <c r="AG25" s="199"/>
      <c r="AH25" s="1330" t="str">
        <f>PROPER(M02S04F08&amp;" "&amp;M02S04F09)</f>
        <v xml:space="preserve"> </v>
      </c>
      <c r="AI25" s="1330"/>
      <c r="AJ25" s="1330"/>
      <c r="AK25" s="1330"/>
      <c r="AL25" s="1330"/>
      <c r="AM25" s="1330"/>
      <c r="AN25" s="1330"/>
      <c r="AO25" s="1330"/>
      <c r="AP25" s="1330"/>
      <c r="AQ25" s="417"/>
      <c r="AR25" s="177"/>
      <c r="AS25" s="177"/>
      <c r="AT25" s="177"/>
      <c r="AU25" s="177"/>
      <c r="AV25" s="177"/>
      <c r="AW25" s="177"/>
      <c r="AX25" s="177"/>
      <c r="AY25" s="177"/>
      <c r="AZ25" s="177"/>
      <c r="BA25" s="177"/>
      <c r="BB25" s="177"/>
      <c r="BC25" s="177"/>
      <c r="BD25" s="177"/>
      <c r="BE25" s="177"/>
      <c r="BF25" s="177"/>
    </row>
    <row r="26" spans="1:61" ht="16.350000000000001" customHeight="1">
      <c r="A26" s="177"/>
      <c r="B26" s="177"/>
      <c r="C26" s="177"/>
      <c r="D26" s="177"/>
      <c r="E26" s="60"/>
      <c r="F26" s="177"/>
      <c r="G26" s="177"/>
      <c r="H26" s="177"/>
      <c r="I26" s="177"/>
      <c r="J26" s="177"/>
      <c r="K26" s="177"/>
      <c r="L26" s="177"/>
      <c r="M26" s="177"/>
      <c r="N26" s="177"/>
      <c r="O26" s="369"/>
      <c r="P26" s="418" t="s">
        <v>1615</v>
      </c>
      <c r="Q26" s="177"/>
      <c r="R26" s="177"/>
      <c r="S26" s="177"/>
      <c r="T26" s="177"/>
      <c r="U26" s="1343" t="str">
        <f>IF(M02S03F07="","",M02S03F07)</f>
        <v/>
      </c>
      <c r="V26" s="1343"/>
      <c r="W26" s="1343"/>
      <c r="X26" s="1343"/>
      <c r="Y26" s="1343"/>
      <c r="Z26" s="1343"/>
      <c r="AA26" s="1343"/>
      <c r="AB26" s="1343"/>
      <c r="AC26" s="1343"/>
      <c r="AD26" s="1343"/>
      <c r="AE26" s="419" t="s">
        <v>160</v>
      </c>
      <c r="AF26" s="177"/>
      <c r="AG26" s="199"/>
      <c r="AH26" s="1343" t="str">
        <f>IF(M02S04F11="","",M02S04F11)</f>
        <v/>
      </c>
      <c r="AI26" s="1343"/>
      <c r="AJ26" s="1343"/>
      <c r="AK26" s="1343"/>
      <c r="AL26" s="1343"/>
      <c r="AM26" s="1343"/>
      <c r="AN26" s="1343"/>
      <c r="AO26" s="1343"/>
      <c r="AP26" s="1343"/>
      <c r="AQ26" s="417"/>
      <c r="AR26" s="177"/>
      <c r="AS26" s="177"/>
      <c r="AT26" s="177"/>
      <c r="AU26" s="177"/>
      <c r="AV26" s="177"/>
      <c r="AW26" s="177"/>
      <c r="AX26" s="177"/>
      <c r="AY26" s="177"/>
      <c r="AZ26" s="177"/>
      <c r="BA26" s="177"/>
      <c r="BB26" s="177"/>
      <c r="BC26" s="177"/>
      <c r="BD26" s="177"/>
      <c r="BE26" s="177"/>
      <c r="BF26" s="177"/>
    </row>
    <row r="27" spans="1:61" ht="16.350000000000001" customHeight="1">
      <c r="A27" s="177"/>
      <c r="B27" s="177"/>
      <c r="C27" s="177"/>
      <c r="D27" s="177"/>
      <c r="E27" s="60"/>
      <c r="F27" s="177"/>
      <c r="G27" s="177"/>
      <c r="H27" s="177"/>
      <c r="I27" s="177"/>
      <c r="J27" s="177"/>
      <c r="K27" s="177"/>
      <c r="L27" s="177"/>
      <c r="M27" s="177"/>
      <c r="N27" s="177"/>
      <c r="O27" s="369"/>
      <c r="P27" s="418" t="s">
        <v>1616</v>
      </c>
      <c r="Q27" s="177"/>
      <c r="R27" s="177"/>
      <c r="S27" s="177"/>
      <c r="T27" s="177"/>
      <c r="U27" s="1330" t="str">
        <f>IF(M02S03F08="","",M02S03F08)</f>
        <v/>
      </c>
      <c r="V27" s="1330"/>
      <c r="W27" s="1330"/>
      <c r="X27" s="1330"/>
      <c r="Y27" s="1330"/>
      <c r="Z27" s="1330"/>
      <c r="AA27" s="1330"/>
      <c r="AB27" s="1330"/>
      <c r="AC27" s="1330"/>
      <c r="AD27" s="1330"/>
      <c r="AE27" s="419" t="s">
        <v>161</v>
      </c>
      <c r="AF27" s="60"/>
      <c r="AG27" s="60"/>
      <c r="AH27" s="1343" t="str">
        <f>IF(M02S04F12="","",M02S04F12)</f>
        <v/>
      </c>
      <c r="AI27" s="1343"/>
      <c r="AJ27" s="1343"/>
      <c r="AK27" s="1343"/>
      <c r="AL27" s="1343"/>
      <c r="AM27" s="1343"/>
      <c r="AN27" s="1343"/>
      <c r="AO27" s="1343"/>
      <c r="AP27" s="1343"/>
      <c r="AQ27" s="417"/>
      <c r="AR27" s="177"/>
      <c r="AS27" s="177"/>
      <c r="AT27" s="177"/>
      <c r="AU27" s="240"/>
      <c r="AV27" s="240"/>
      <c r="AW27" s="240"/>
      <c r="AX27" s="240"/>
      <c r="AY27" s="240"/>
      <c r="AZ27" s="240"/>
      <c r="BA27" s="240"/>
      <c r="BB27" s="240"/>
      <c r="BC27" s="240"/>
      <c r="BD27" s="240"/>
      <c r="BE27" s="240"/>
      <c r="BF27" s="240"/>
      <c r="BG27" s="240"/>
      <c r="BH27" s="240"/>
      <c r="BI27" s="240"/>
    </row>
    <row r="28" spans="1:61" ht="16.350000000000001" customHeight="1" thickBot="1">
      <c r="A28" s="177"/>
      <c r="B28" s="177"/>
      <c r="C28" s="177"/>
      <c r="D28" s="177"/>
      <c r="E28" s="60"/>
      <c r="F28" s="177"/>
      <c r="G28" s="177"/>
      <c r="H28" s="177"/>
      <c r="I28" s="177"/>
      <c r="J28" s="177"/>
      <c r="K28" s="177"/>
      <c r="L28" s="177"/>
      <c r="M28" s="177"/>
      <c r="N28" s="177"/>
      <c r="O28" s="369"/>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417"/>
      <c r="AR28" s="177"/>
      <c r="AS28" s="177"/>
      <c r="AT28" s="177"/>
      <c r="AU28" s="240"/>
      <c r="AV28" s="240"/>
      <c r="AW28" s="240"/>
      <c r="AX28" s="240"/>
      <c r="AY28" s="240"/>
      <c r="AZ28" s="240"/>
      <c r="BA28" s="240"/>
      <c r="BB28" s="240"/>
      <c r="BC28" s="240"/>
      <c r="BD28" s="240"/>
      <c r="BE28" s="240"/>
      <c r="BF28" s="240"/>
      <c r="BG28" s="240"/>
      <c r="BH28" s="240"/>
      <c r="BI28" s="240"/>
    </row>
    <row r="29" spans="1:61" ht="16.350000000000001" customHeight="1">
      <c r="A29" s="177"/>
      <c r="B29" s="177"/>
      <c r="C29" s="177"/>
      <c r="D29" s="177"/>
      <c r="E29" s="60"/>
      <c r="F29" s="177"/>
      <c r="G29" s="177"/>
      <c r="H29" s="177"/>
      <c r="I29" s="177"/>
      <c r="J29" s="177"/>
      <c r="K29" s="177"/>
      <c r="L29" s="177"/>
      <c r="M29" s="177"/>
      <c r="N29" s="177"/>
      <c r="O29" s="369"/>
      <c r="P29" s="421"/>
      <c r="Q29" s="422"/>
      <c r="R29" s="422"/>
      <c r="S29" s="422"/>
      <c r="T29" s="422"/>
      <c r="U29" s="422"/>
      <c r="V29" s="422"/>
      <c r="W29" s="422"/>
      <c r="X29" s="422"/>
      <c r="Y29" s="422"/>
      <c r="Z29" s="422"/>
      <c r="AA29" s="422"/>
      <c r="AB29" s="422"/>
      <c r="AC29" s="422"/>
      <c r="AD29" s="422"/>
      <c r="AE29" s="422"/>
      <c r="AF29" s="422"/>
      <c r="AG29" s="422"/>
      <c r="AH29" s="422"/>
      <c r="AI29" s="423"/>
      <c r="AJ29" s="424"/>
      <c r="AK29" s="425"/>
      <c r="AL29" s="425"/>
      <c r="AM29" s="425"/>
      <c r="AN29" s="425"/>
      <c r="AO29" s="425"/>
      <c r="AP29" s="426"/>
      <c r="AQ29" s="417"/>
      <c r="AR29" s="177"/>
      <c r="AS29" s="177"/>
      <c r="AT29" s="177"/>
      <c r="AU29" s="177"/>
      <c r="AV29" s="177"/>
      <c r="AW29" s="177"/>
      <c r="AX29" s="177"/>
      <c r="AY29" s="177"/>
      <c r="AZ29" s="177"/>
      <c r="BA29" s="177"/>
      <c r="BB29" s="177"/>
      <c r="BC29" s="177"/>
      <c r="BD29" s="177"/>
      <c r="BE29" s="177"/>
      <c r="BF29" s="177"/>
    </row>
    <row r="30" spans="1:61" ht="16.350000000000001" customHeight="1" thickBot="1">
      <c r="A30" s="177"/>
      <c r="B30" s="177"/>
      <c r="C30" s="177"/>
      <c r="D30" s="177"/>
      <c r="E30" s="60"/>
      <c r="F30" s="177"/>
      <c r="G30" s="177"/>
      <c r="H30" s="177"/>
      <c r="I30" s="177"/>
      <c r="J30" s="177"/>
      <c r="K30" s="177"/>
      <c r="L30" s="177"/>
      <c r="M30" s="177"/>
      <c r="N30" s="177"/>
      <c r="O30" s="369"/>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c r="AQ30" s="417"/>
      <c r="AR30" s="177"/>
      <c r="AS30" s="177"/>
      <c r="AT30" s="177"/>
      <c r="AU30" s="177"/>
      <c r="AV30" s="177"/>
      <c r="AW30" s="177"/>
      <c r="AX30" s="177"/>
      <c r="AY30" s="177"/>
      <c r="AZ30" s="177"/>
      <c r="BA30" s="177"/>
      <c r="BB30" s="177"/>
      <c r="BC30" s="177"/>
      <c r="BD30" s="177"/>
      <c r="BE30" s="177"/>
      <c r="BF30" s="177"/>
    </row>
    <row r="31" spans="1:61" ht="16.350000000000001" customHeight="1">
      <c r="A31" s="177"/>
      <c r="B31" s="177"/>
      <c r="C31" s="177"/>
      <c r="D31" s="177"/>
      <c r="E31" s="60"/>
      <c r="F31" s="177"/>
      <c r="G31" s="177"/>
      <c r="H31" s="177"/>
      <c r="I31" s="177"/>
      <c r="J31" s="177"/>
      <c r="K31" s="177"/>
      <c r="L31" s="177"/>
      <c r="M31" s="177"/>
      <c r="N31" s="177"/>
      <c r="O31" s="369"/>
      <c r="P31" s="1345" t="s">
        <v>312</v>
      </c>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417"/>
      <c r="AR31" s="177"/>
      <c r="AS31" s="177"/>
      <c r="AT31" s="177"/>
      <c r="AU31" s="177"/>
      <c r="AV31" s="177"/>
      <c r="AW31" s="177"/>
      <c r="AX31" s="177"/>
      <c r="AY31" s="177"/>
      <c r="AZ31" s="177"/>
      <c r="BA31" s="177"/>
      <c r="BB31" s="177"/>
      <c r="BC31" s="177"/>
      <c r="BD31" s="177"/>
      <c r="BE31" s="177"/>
      <c r="BF31" s="177"/>
    </row>
    <row r="32" spans="1:61" ht="16.350000000000001" customHeight="1">
      <c r="A32" s="177"/>
      <c r="B32" s="177"/>
      <c r="C32" s="177"/>
      <c r="D32" s="177"/>
      <c r="E32" s="60"/>
      <c r="F32" s="177"/>
      <c r="G32" s="177"/>
      <c r="H32" s="177"/>
      <c r="I32" s="177"/>
      <c r="J32" s="177"/>
      <c r="K32" s="177"/>
      <c r="L32" s="177"/>
      <c r="M32" s="177"/>
      <c r="N32" s="177"/>
      <c r="O32" s="369"/>
      <c r="P32" s="1346"/>
      <c r="Q32" s="1346"/>
      <c r="R32" s="1346"/>
      <c r="S32" s="1346"/>
      <c r="T32" s="1346"/>
      <c r="U32" s="1346"/>
      <c r="V32" s="1346"/>
      <c r="W32" s="1346"/>
      <c r="X32" s="1346"/>
      <c r="Y32" s="1346"/>
      <c r="Z32" s="1346"/>
      <c r="AA32" s="1346"/>
      <c r="AB32" s="1346"/>
      <c r="AC32" s="1346"/>
      <c r="AD32" s="1346"/>
      <c r="AE32" s="1346"/>
      <c r="AF32" s="1346"/>
      <c r="AG32" s="1346"/>
      <c r="AH32" s="1346"/>
      <c r="AI32" s="1346"/>
      <c r="AJ32" s="1346"/>
      <c r="AK32" s="1346"/>
      <c r="AL32" s="1346"/>
      <c r="AM32" s="1346"/>
      <c r="AN32" s="1346"/>
      <c r="AO32" s="1346"/>
      <c r="AP32" s="1346"/>
      <c r="AQ32" s="417"/>
      <c r="AR32" s="177"/>
      <c r="AS32" s="177"/>
      <c r="AT32" s="177"/>
      <c r="AU32" s="177"/>
      <c r="AV32" s="177"/>
      <c r="AW32" s="177"/>
      <c r="AX32" s="177"/>
      <c r="AY32" s="177"/>
      <c r="AZ32" s="240"/>
      <c r="BA32" s="240"/>
      <c r="BB32" s="240"/>
      <c r="BC32" s="240"/>
      <c r="BD32" s="240"/>
      <c r="BE32" s="240"/>
      <c r="BF32" s="240"/>
      <c r="BG32" s="240"/>
      <c r="BH32" s="240"/>
      <c r="BI32" s="240"/>
    </row>
    <row r="33" spans="1:61" ht="16.350000000000001" customHeight="1">
      <c r="A33" s="177"/>
      <c r="B33" s="177"/>
      <c r="C33" s="177"/>
      <c r="D33" s="177"/>
      <c r="E33" s="60"/>
      <c r="F33" s="177"/>
      <c r="G33" s="177"/>
      <c r="H33" s="177"/>
      <c r="I33" s="177"/>
      <c r="J33" s="177"/>
      <c r="K33" s="177"/>
      <c r="L33" s="177"/>
      <c r="M33" s="177"/>
      <c r="N33" s="177"/>
      <c r="O33" s="369"/>
      <c r="P33" s="60"/>
      <c r="Q33" s="177"/>
      <c r="R33" s="60"/>
      <c r="S33" s="177"/>
      <c r="T33" s="177"/>
      <c r="U33" s="177"/>
      <c r="V33" s="177"/>
      <c r="W33" s="177"/>
      <c r="X33" s="60"/>
      <c r="Y33" s="60"/>
      <c r="Z33" s="60"/>
      <c r="AA33" s="60"/>
      <c r="AB33" s="60"/>
      <c r="AC33" s="60"/>
      <c r="AD33" s="60"/>
      <c r="AE33" s="60"/>
      <c r="AF33" s="60"/>
      <c r="AG33" s="60"/>
      <c r="AH33" s="427"/>
      <c r="AI33" s="427"/>
      <c r="AJ33" s="177"/>
      <c r="AK33" s="177"/>
      <c r="AL33" s="427"/>
      <c r="AM33" s="427"/>
      <c r="AN33" s="427"/>
      <c r="AO33" s="427"/>
      <c r="AP33" s="60"/>
      <c r="AQ33" s="417"/>
      <c r="AR33" s="177"/>
      <c r="AS33" s="177"/>
      <c r="AT33" s="177"/>
      <c r="AU33" s="177"/>
      <c r="AV33" s="177"/>
      <c r="AW33" s="177"/>
      <c r="AX33" s="177"/>
      <c r="AY33" s="177"/>
      <c r="AZ33" s="240"/>
      <c r="BA33" s="240"/>
      <c r="BB33" s="240"/>
      <c r="BC33" s="240"/>
      <c r="BD33" s="240"/>
      <c r="BE33" s="240"/>
      <c r="BF33" s="240"/>
      <c r="BG33" s="240"/>
      <c r="BH33" s="240"/>
      <c r="BI33" s="240"/>
    </row>
    <row r="34" spans="1:61" ht="16.350000000000001" customHeight="1">
      <c r="A34" s="177"/>
      <c r="B34" s="177"/>
      <c r="C34" s="177"/>
      <c r="D34" s="177"/>
      <c r="E34" s="60"/>
      <c r="F34" s="177"/>
      <c r="G34" s="177"/>
      <c r="H34" s="177"/>
      <c r="I34" s="177"/>
      <c r="J34" s="177"/>
      <c r="K34" s="177"/>
      <c r="L34" s="177"/>
      <c r="M34" s="177"/>
      <c r="N34" s="177"/>
      <c r="O34" s="369"/>
      <c r="P34" s="177"/>
      <c r="Q34" s="428"/>
      <c r="R34" s="428"/>
      <c r="S34" s="428"/>
      <c r="T34" s="428"/>
      <c r="U34" s="428"/>
      <c r="V34" s="428"/>
      <c r="W34" s="428"/>
      <c r="X34" s="428"/>
      <c r="Y34" s="428"/>
      <c r="Z34" s="428"/>
      <c r="AA34" s="60"/>
      <c r="AB34" s="60"/>
      <c r="AC34" s="60"/>
      <c r="AD34" s="60"/>
      <c r="AE34" s="60"/>
      <c r="AF34" s="428"/>
      <c r="AG34" s="428"/>
      <c r="AH34" s="428"/>
      <c r="AI34" s="428"/>
      <c r="AJ34" s="428"/>
      <c r="AK34" s="428"/>
      <c r="AL34" s="428"/>
      <c r="AM34" s="428"/>
      <c r="AN34" s="428"/>
      <c r="AO34" s="428"/>
      <c r="AP34" s="177"/>
      <c r="AQ34" s="417"/>
      <c r="AR34" s="177"/>
      <c r="AS34" s="177"/>
      <c r="AT34" s="177"/>
      <c r="AU34" s="177"/>
      <c r="AV34" s="177"/>
      <c r="AW34" s="177"/>
      <c r="AX34" s="177"/>
      <c r="AY34" s="177"/>
      <c r="AZ34" s="240"/>
      <c r="BA34" s="240"/>
      <c r="BB34" s="240"/>
      <c r="BC34" s="240"/>
      <c r="BD34" s="240"/>
      <c r="BE34" s="240"/>
      <c r="BF34" s="240"/>
      <c r="BG34" s="240"/>
      <c r="BH34" s="240"/>
      <c r="BI34" s="240"/>
    </row>
    <row r="35" spans="1:61" ht="16.350000000000001" customHeight="1">
      <c r="A35" s="177"/>
      <c r="B35" s="177"/>
      <c r="C35" s="177"/>
      <c r="D35" s="177"/>
      <c r="E35" s="60"/>
      <c r="F35" s="177"/>
      <c r="G35" s="177"/>
      <c r="H35" s="177"/>
      <c r="I35" s="177"/>
      <c r="J35" s="177"/>
      <c r="K35" s="177"/>
      <c r="L35" s="177"/>
      <c r="M35" s="177"/>
      <c r="N35" s="177"/>
      <c r="O35" s="369"/>
      <c r="P35" s="177"/>
      <c r="Q35" s="428"/>
      <c r="R35" s="428"/>
      <c r="S35" s="428"/>
      <c r="T35" s="428"/>
      <c r="U35" s="428"/>
      <c r="V35" s="428"/>
      <c r="W35" s="428"/>
      <c r="X35" s="428"/>
      <c r="Y35" s="428"/>
      <c r="Z35" s="428"/>
      <c r="AA35" s="60"/>
      <c r="AB35" s="60"/>
      <c r="AC35" s="60"/>
      <c r="AD35" s="60"/>
      <c r="AE35" s="60"/>
      <c r="AF35" s="428"/>
      <c r="AG35" s="428"/>
      <c r="AH35" s="428"/>
      <c r="AI35" s="428"/>
      <c r="AJ35" s="428"/>
      <c r="AK35" s="428"/>
      <c r="AL35" s="428"/>
      <c r="AM35" s="428"/>
      <c r="AN35" s="428"/>
      <c r="AO35" s="428"/>
      <c r="AP35" s="177"/>
      <c r="AQ35" s="417"/>
      <c r="AR35" s="177"/>
      <c r="AS35" s="177"/>
      <c r="AT35" s="177"/>
      <c r="AU35" s="177"/>
      <c r="AV35" s="177"/>
      <c r="AW35" s="177"/>
      <c r="AX35" s="177"/>
      <c r="AY35" s="177"/>
      <c r="AZ35" s="240"/>
      <c r="BA35" s="240"/>
      <c r="BB35" s="240"/>
      <c r="BC35" s="240"/>
      <c r="BD35" s="240"/>
      <c r="BE35" s="240"/>
      <c r="BF35" s="240"/>
      <c r="BG35" s="240"/>
      <c r="BH35" s="240"/>
      <c r="BI35" s="240"/>
    </row>
    <row r="36" spans="1:61" ht="16.350000000000001" customHeight="1">
      <c r="A36" s="177"/>
      <c r="B36" s="177"/>
      <c r="C36" s="177"/>
      <c r="D36" s="177"/>
      <c r="E36" s="60"/>
      <c r="F36" s="177"/>
      <c r="G36" s="177"/>
      <c r="H36" s="177"/>
      <c r="I36" s="177"/>
      <c r="J36" s="177"/>
      <c r="K36" s="177"/>
      <c r="L36" s="177"/>
      <c r="M36" s="177"/>
      <c r="N36" s="177"/>
      <c r="O36" s="369"/>
      <c r="P36" s="177"/>
      <c r="Q36" s="429"/>
      <c r="R36" s="429"/>
      <c r="S36" s="429"/>
      <c r="T36" s="429"/>
      <c r="U36" s="429"/>
      <c r="V36" s="429"/>
      <c r="W36" s="429"/>
      <c r="X36" s="429"/>
      <c r="Y36" s="429"/>
      <c r="Z36" s="429"/>
      <c r="AA36" s="60"/>
      <c r="AB36" s="60"/>
      <c r="AC36" s="60"/>
      <c r="AD36" s="60"/>
      <c r="AE36" s="60"/>
      <c r="AF36" s="429"/>
      <c r="AG36" s="429"/>
      <c r="AH36" s="429"/>
      <c r="AI36" s="429"/>
      <c r="AJ36" s="429"/>
      <c r="AK36" s="429"/>
      <c r="AL36" s="429"/>
      <c r="AM36" s="429"/>
      <c r="AN36" s="429"/>
      <c r="AO36" s="429"/>
      <c r="AP36" s="177"/>
      <c r="AQ36" s="417"/>
      <c r="AR36" s="177"/>
      <c r="AS36" s="177"/>
      <c r="AT36" s="177"/>
      <c r="AU36" s="177"/>
      <c r="AV36" s="177"/>
      <c r="AW36" s="177"/>
      <c r="AX36" s="177"/>
      <c r="AY36" s="177"/>
      <c r="AZ36" s="240"/>
      <c r="BA36" s="240"/>
      <c r="BB36" s="240"/>
      <c r="BC36" s="240"/>
      <c r="BD36" s="240"/>
      <c r="BE36" s="240"/>
      <c r="BF36" s="240"/>
      <c r="BG36" s="240"/>
      <c r="BH36" s="240"/>
      <c r="BI36" s="240"/>
    </row>
    <row r="37" spans="1:61" ht="16.350000000000001" customHeight="1">
      <c r="A37" s="177"/>
      <c r="B37" s="177"/>
      <c r="C37" s="177"/>
      <c r="D37" s="177"/>
      <c r="E37" s="60"/>
      <c r="F37" s="177"/>
      <c r="G37" s="177"/>
      <c r="H37" s="177"/>
      <c r="I37" s="177"/>
      <c r="J37" s="177"/>
      <c r="K37" s="177"/>
      <c r="L37" s="177"/>
      <c r="M37" s="177"/>
      <c r="N37" s="177"/>
      <c r="O37" s="369"/>
      <c r="P37" s="177"/>
      <c r="Q37" s="429"/>
      <c r="R37" s="429"/>
      <c r="S37" s="429"/>
      <c r="T37" s="429"/>
      <c r="U37" s="429"/>
      <c r="V37" s="429"/>
      <c r="W37" s="429"/>
      <c r="X37" s="429"/>
      <c r="Y37" s="429"/>
      <c r="Z37" s="429"/>
      <c r="AA37" s="60"/>
      <c r="AB37" s="60"/>
      <c r="AC37" s="60"/>
      <c r="AD37" s="60"/>
      <c r="AE37" s="60"/>
      <c r="AF37" s="429"/>
      <c r="AG37" s="429"/>
      <c r="AH37" s="429"/>
      <c r="AI37" s="429"/>
      <c r="AJ37" s="429"/>
      <c r="AK37" s="429"/>
      <c r="AL37" s="429"/>
      <c r="AM37" s="429"/>
      <c r="AN37" s="429"/>
      <c r="AO37" s="429"/>
      <c r="AP37" s="177"/>
      <c r="AQ37" s="417"/>
      <c r="AR37" s="177"/>
      <c r="AS37" s="177"/>
      <c r="AT37" s="177"/>
      <c r="AU37" s="177"/>
      <c r="AV37" s="177"/>
      <c r="AW37" s="177"/>
      <c r="AX37" s="177"/>
      <c r="AY37" s="177"/>
      <c r="AZ37" s="240"/>
      <c r="BA37" s="240"/>
      <c r="BB37" s="240"/>
      <c r="BC37" s="240"/>
      <c r="BD37" s="240"/>
      <c r="BE37" s="240"/>
      <c r="BF37" s="240"/>
      <c r="BG37" s="240"/>
      <c r="BH37" s="240"/>
      <c r="BI37" s="240"/>
    </row>
    <row r="38" spans="1:61" ht="16.350000000000001" customHeight="1">
      <c r="A38" s="177"/>
      <c r="B38" s="177"/>
      <c r="C38" s="177"/>
      <c r="D38" s="177"/>
      <c r="E38" s="60"/>
      <c r="F38" s="177"/>
      <c r="G38" s="177"/>
      <c r="H38" s="177"/>
      <c r="I38" s="177"/>
      <c r="J38" s="177"/>
      <c r="K38" s="177"/>
      <c r="L38" s="177"/>
      <c r="M38" s="177"/>
      <c r="N38" s="177"/>
      <c r="O38" s="369"/>
      <c r="P38" s="177"/>
      <c r="Q38" s="177"/>
      <c r="R38" s="177"/>
      <c r="S38" s="177"/>
      <c r="T38" s="177"/>
      <c r="U38" s="177"/>
      <c r="V38" s="177"/>
      <c r="W38" s="177"/>
      <c r="X38" s="177"/>
      <c r="Y38" s="177"/>
      <c r="Z38" s="177"/>
      <c r="AA38" s="60"/>
      <c r="AB38" s="60"/>
      <c r="AC38" s="60"/>
      <c r="AD38" s="60"/>
      <c r="AE38" s="60"/>
      <c r="AF38" s="60"/>
      <c r="AG38" s="177"/>
      <c r="AH38" s="177"/>
      <c r="AI38" s="177"/>
      <c r="AJ38" s="177"/>
      <c r="AK38" s="177"/>
      <c r="AL38" s="177"/>
      <c r="AM38" s="177"/>
      <c r="AN38" s="177"/>
      <c r="AO38" s="177"/>
      <c r="AP38" s="177"/>
      <c r="AQ38" s="417"/>
      <c r="AR38" s="177"/>
      <c r="AS38" s="177"/>
      <c r="AT38" s="177"/>
      <c r="AU38" s="177"/>
      <c r="AV38" s="177"/>
      <c r="AW38" s="177"/>
      <c r="AX38" s="177"/>
      <c r="AY38" s="177"/>
      <c r="AZ38" s="177"/>
      <c r="BA38" s="177"/>
      <c r="BB38" s="177"/>
      <c r="BC38" s="177"/>
      <c r="BD38" s="177"/>
      <c r="BE38" s="177"/>
      <c r="BF38" s="177"/>
    </row>
    <row r="39" spans="1:61" ht="16.350000000000001" customHeight="1">
      <c r="A39" s="177"/>
      <c r="B39" s="177"/>
      <c r="C39" s="177"/>
      <c r="D39" s="177"/>
      <c r="E39" s="60"/>
      <c r="F39" s="177"/>
      <c r="G39" s="177"/>
      <c r="H39" s="177"/>
      <c r="I39" s="177"/>
      <c r="J39" s="177"/>
      <c r="K39" s="177"/>
      <c r="L39" s="177"/>
      <c r="M39" s="177"/>
      <c r="N39" s="177"/>
      <c r="O39" s="369"/>
      <c r="P39" s="177"/>
      <c r="Q39" s="177"/>
      <c r="R39" s="177"/>
      <c r="S39" s="177"/>
      <c r="T39" s="177"/>
      <c r="U39" s="177"/>
      <c r="V39" s="177"/>
      <c r="W39" s="177"/>
      <c r="X39" s="177"/>
      <c r="Y39" s="177"/>
      <c r="Z39" s="177"/>
      <c r="AA39" s="60"/>
      <c r="AB39" s="60"/>
      <c r="AC39" s="60"/>
      <c r="AD39" s="60"/>
      <c r="AE39" s="60"/>
      <c r="AF39" s="60"/>
      <c r="AG39" s="177"/>
      <c r="AH39" s="177"/>
      <c r="AI39" s="177"/>
      <c r="AJ39" s="177"/>
      <c r="AK39" s="177"/>
      <c r="AL39" s="177"/>
      <c r="AM39" s="177"/>
      <c r="AN39" s="177"/>
      <c r="AO39" s="177"/>
      <c r="AP39" s="177"/>
      <c r="AQ39" s="417"/>
      <c r="AR39" s="177"/>
      <c r="AS39" s="177"/>
      <c r="AT39" s="177"/>
      <c r="AU39" s="177"/>
      <c r="AV39" s="177"/>
      <c r="AW39" s="177"/>
      <c r="AX39" s="177"/>
      <c r="AY39" s="177"/>
      <c r="AZ39" s="177"/>
      <c r="BA39" s="177"/>
      <c r="BB39" s="177"/>
      <c r="BC39" s="177"/>
      <c r="BD39" s="177"/>
      <c r="BE39" s="177"/>
      <c r="BF39" s="177"/>
    </row>
    <row r="40" spans="1:61" ht="16.350000000000001" customHeight="1" thickBot="1">
      <c r="A40" s="177"/>
      <c r="B40" s="177"/>
      <c r="C40" s="177"/>
      <c r="D40" s="177"/>
      <c r="E40" s="60"/>
      <c r="F40" s="177"/>
      <c r="G40" s="177"/>
      <c r="H40" s="177"/>
      <c r="I40" s="177"/>
      <c r="J40" s="177"/>
      <c r="K40" s="177"/>
      <c r="L40" s="177"/>
      <c r="M40" s="177"/>
      <c r="N40" s="177"/>
      <c r="O40" s="369"/>
      <c r="P40" s="60"/>
      <c r="Q40" s="60"/>
      <c r="R40" s="60"/>
      <c r="S40" s="240"/>
      <c r="T40" s="240"/>
      <c r="U40" s="240"/>
      <c r="V40" s="240"/>
      <c r="W40" s="240"/>
      <c r="X40" s="240"/>
      <c r="Y40" s="240"/>
      <c r="Z40" s="240"/>
      <c r="AA40" s="240"/>
      <c r="AB40" s="240"/>
      <c r="AC40" s="240"/>
      <c r="AD40" s="240"/>
      <c r="AE40" s="240"/>
      <c r="AF40" s="240"/>
      <c r="AG40" s="240"/>
      <c r="AH40" s="240"/>
      <c r="AI40" s="240"/>
      <c r="AJ40" s="240"/>
      <c r="AK40" s="240"/>
      <c r="AL40" s="240"/>
      <c r="AM40" s="427"/>
      <c r="AN40" s="427"/>
      <c r="AO40" s="427"/>
      <c r="AP40" s="60"/>
      <c r="AQ40" s="417"/>
      <c r="AR40" s="177"/>
      <c r="AS40" s="177"/>
      <c r="AT40" s="177"/>
      <c r="AU40" s="177"/>
      <c r="AV40" s="177"/>
      <c r="AW40" s="177"/>
      <c r="AX40" s="177"/>
      <c r="AY40" s="177"/>
      <c r="AZ40" s="177"/>
      <c r="BA40" s="177"/>
      <c r="BB40" s="177"/>
      <c r="BC40" s="177"/>
      <c r="BD40" s="177"/>
      <c r="BE40" s="177"/>
      <c r="BF40" s="177"/>
    </row>
    <row r="41" spans="1:61" ht="16.350000000000001" customHeight="1" thickBot="1">
      <c r="A41" s="177"/>
      <c r="B41" s="177"/>
      <c r="C41" s="177"/>
      <c r="D41" s="177"/>
      <c r="E41" s="60"/>
      <c r="F41" s="177"/>
      <c r="G41" s="177"/>
      <c r="H41" s="177"/>
      <c r="I41" s="177"/>
      <c r="J41" s="177"/>
      <c r="K41" s="177"/>
      <c r="L41" s="177"/>
      <c r="M41" s="177"/>
      <c r="N41" s="177"/>
      <c r="O41" s="369"/>
      <c r="P41" s="60"/>
      <c r="Q41" s="60"/>
      <c r="R41" s="60"/>
      <c r="S41" s="1336" t="s">
        <v>1617</v>
      </c>
      <c r="T41" s="1337"/>
      <c r="U41" s="1337"/>
      <c r="V41" s="1337"/>
      <c r="W41" s="1337"/>
      <c r="X41" s="1337"/>
      <c r="Y41" s="1337"/>
      <c r="Z41" s="1337"/>
      <c r="AA41" s="1337"/>
      <c r="AB41" s="1337"/>
      <c r="AC41" s="1338"/>
      <c r="AD41" s="1331" t="str">
        <f>IF(Incent_Total_Cap_All=0,"---",Incent_Total_Cap_All)</f>
        <v>---</v>
      </c>
      <c r="AE41" s="1331"/>
      <c r="AF41" s="1331"/>
      <c r="AG41" s="1331"/>
      <c r="AH41" s="1331"/>
      <c r="AI41" s="1331"/>
      <c r="AJ41" s="1331"/>
      <c r="AK41" s="1331"/>
      <c r="AL41" s="1331"/>
      <c r="AM41" s="177"/>
      <c r="AN41" s="177"/>
      <c r="AO41" s="177"/>
      <c r="AP41" s="430"/>
      <c r="AQ41" s="417"/>
      <c r="AR41" s="177"/>
      <c r="AS41" s="177"/>
      <c r="AT41" s="177"/>
      <c r="AU41" s="177"/>
      <c r="AV41" s="177"/>
      <c r="AW41" s="177"/>
      <c r="AX41" s="177"/>
      <c r="AY41" s="177"/>
      <c r="AZ41" s="177"/>
      <c r="BA41" s="177"/>
      <c r="BB41" s="177"/>
      <c r="BC41" s="177"/>
      <c r="BD41" s="177"/>
      <c r="BE41" s="177"/>
      <c r="BF41" s="177"/>
    </row>
    <row r="42" spans="1:61" ht="16.350000000000001" customHeight="1" thickBot="1">
      <c r="A42" s="177"/>
      <c r="B42" s="177"/>
      <c r="C42" s="177"/>
      <c r="D42" s="177"/>
      <c r="E42" s="60"/>
      <c r="F42" s="177"/>
      <c r="G42" s="177"/>
      <c r="H42" s="177"/>
      <c r="I42" s="177"/>
      <c r="J42" s="177"/>
      <c r="K42" s="177"/>
      <c r="L42" s="177"/>
      <c r="M42" s="177"/>
      <c r="N42" s="177"/>
      <c r="O42" s="369"/>
      <c r="P42" s="60"/>
      <c r="Q42" s="431"/>
      <c r="R42" s="431"/>
      <c r="S42" s="1336"/>
      <c r="T42" s="1337"/>
      <c r="U42" s="1337"/>
      <c r="V42" s="1337"/>
      <c r="W42" s="1337"/>
      <c r="X42" s="1337"/>
      <c r="Y42" s="1337"/>
      <c r="Z42" s="1337"/>
      <c r="AA42" s="1337"/>
      <c r="AB42" s="1337"/>
      <c r="AC42" s="1338"/>
      <c r="AD42" s="1332"/>
      <c r="AE42" s="1332"/>
      <c r="AF42" s="1332"/>
      <c r="AG42" s="1332"/>
      <c r="AH42" s="1332"/>
      <c r="AI42" s="1332"/>
      <c r="AJ42" s="1332"/>
      <c r="AK42" s="1332"/>
      <c r="AL42" s="1332"/>
      <c r="AM42" s="177"/>
      <c r="AN42" s="177"/>
      <c r="AO42" s="177"/>
      <c r="AP42" s="430"/>
      <c r="AQ42" s="417"/>
      <c r="AR42" s="177"/>
      <c r="AS42" s="177"/>
      <c r="AT42" s="177"/>
      <c r="AU42" s="177"/>
      <c r="AV42" s="177"/>
      <c r="AW42" s="177"/>
      <c r="AX42" s="177"/>
      <c r="AY42" s="177"/>
      <c r="AZ42" s="177"/>
      <c r="BA42" s="177"/>
      <c r="BB42" s="177"/>
      <c r="BC42" s="177"/>
      <c r="BD42" s="177"/>
      <c r="BE42" s="177"/>
      <c r="BF42" s="177"/>
    </row>
    <row r="43" spans="1:61" ht="18.75" customHeight="1" thickBot="1">
      <c r="A43" s="177"/>
      <c r="B43" s="177"/>
      <c r="C43" s="177"/>
      <c r="D43" s="177"/>
      <c r="E43" s="60"/>
      <c r="F43" s="177"/>
      <c r="G43" s="177"/>
      <c r="H43" s="177"/>
      <c r="I43" s="177"/>
      <c r="J43" s="177"/>
      <c r="K43" s="177"/>
      <c r="L43" s="177"/>
      <c r="M43" s="177"/>
      <c r="N43" s="177"/>
      <c r="O43" s="369"/>
      <c r="P43" s="60"/>
      <c r="Q43" s="431"/>
      <c r="R43" s="431"/>
      <c r="S43" s="1333" t="s">
        <v>1618</v>
      </c>
      <c r="T43" s="1334"/>
      <c r="U43" s="1334"/>
      <c r="V43" s="1334"/>
      <c r="W43" s="1334"/>
      <c r="X43" s="1334"/>
      <c r="Y43" s="1334"/>
      <c r="Z43" s="1334"/>
      <c r="AA43" s="1334"/>
      <c r="AB43" s="1334"/>
      <c r="AC43" s="1335"/>
      <c r="AD43" s="1331" t="str">
        <f>IF(Cost_Total_All=0,"",Cost_Total_All)</f>
        <v/>
      </c>
      <c r="AE43" s="1331"/>
      <c r="AF43" s="1331"/>
      <c r="AG43" s="1331"/>
      <c r="AH43" s="1331"/>
      <c r="AI43" s="1331"/>
      <c r="AJ43" s="1331"/>
      <c r="AK43" s="1331"/>
      <c r="AL43" s="1331"/>
      <c r="AM43" s="177"/>
      <c r="AN43" s="177"/>
      <c r="AO43" s="177"/>
      <c r="AP43" s="430"/>
      <c r="AQ43" s="417"/>
      <c r="AR43" s="177"/>
      <c r="AS43" s="177"/>
      <c r="AT43" s="177"/>
      <c r="AU43" s="177"/>
      <c r="AV43" s="177"/>
      <c r="AW43" s="177"/>
      <c r="AX43" s="177"/>
      <c r="AY43" s="177"/>
      <c r="AZ43" s="177"/>
      <c r="BA43" s="177"/>
      <c r="BB43" s="177"/>
      <c r="BC43" s="177"/>
      <c r="BD43" s="177"/>
      <c r="BE43" s="177"/>
      <c r="BF43" s="177"/>
    </row>
    <row r="44" spans="1:61" ht="16.350000000000001" customHeight="1" thickBot="1">
      <c r="A44" s="177"/>
      <c r="B44" s="177"/>
      <c r="C44" s="177"/>
      <c r="D44" s="177"/>
      <c r="E44" s="177"/>
      <c r="F44" s="177"/>
      <c r="G44" s="177"/>
      <c r="H44" s="177"/>
      <c r="I44" s="177"/>
      <c r="J44" s="177"/>
      <c r="K44" s="177"/>
      <c r="L44" s="177"/>
      <c r="M44" s="177"/>
      <c r="N44" s="177"/>
      <c r="O44" s="369"/>
      <c r="P44" s="60"/>
      <c r="Q44" s="431"/>
      <c r="R44" s="431"/>
      <c r="S44" s="1333"/>
      <c r="T44" s="1334"/>
      <c r="U44" s="1334"/>
      <c r="V44" s="1334"/>
      <c r="W44" s="1334"/>
      <c r="X44" s="1334"/>
      <c r="Y44" s="1334"/>
      <c r="Z44" s="1334"/>
      <c r="AA44" s="1334"/>
      <c r="AB44" s="1334"/>
      <c r="AC44" s="1335"/>
      <c r="AD44" s="1332"/>
      <c r="AE44" s="1332"/>
      <c r="AF44" s="1332"/>
      <c r="AG44" s="1332"/>
      <c r="AH44" s="1332"/>
      <c r="AI44" s="1332"/>
      <c r="AJ44" s="1332"/>
      <c r="AK44" s="1332"/>
      <c r="AL44" s="1332"/>
      <c r="AM44" s="177"/>
      <c r="AN44" s="177"/>
      <c r="AO44" s="177"/>
      <c r="AP44" s="430"/>
      <c r="AQ44" s="417"/>
      <c r="AR44" s="177"/>
      <c r="AS44" s="177"/>
      <c r="AT44" s="177"/>
      <c r="AU44" s="177"/>
      <c r="AV44" s="177"/>
      <c r="AW44" s="177"/>
      <c r="AX44" s="177"/>
      <c r="AY44" s="177"/>
      <c r="AZ44" s="177"/>
      <c r="BA44" s="177"/>
      <c r="BB44" s="177"/>
      <c r="BC44" s="177"/>
      <c r="BD44" s="177"/>
      <c r="BE44" s="177"/>
      <c r="BF44" s="177"/>
    </row>
    <row r="45" spans="1:61" ht="16.350000000000001" customHeight="1" thickBot="1">
      <c r="A45" s="177"/>
      <c r="B45" s="177"/>
      <c r="C45" s="177"/>
      <c r="D45" s="177"/>
      <c r="E45" s="177"/>
      <c r="F45" s="177"/>
      <c r="G45" s="177"/>
      <c r="H45" s="177"/>
      <c r="I45" s="177"/>
      <c r="J45" s="177"/>
      <c r="K45" s="177"/>
      <c r="L45" s="177"/>
      <c r="M45" s="177"/>
      <c r="N45" s="177"/>
      <c r="O45" s="369"/>
      <c r="P45" s="60"/>
      <c r="Q45" s="431"/>
      <c r="R45" s="431"/>
      <c r="S45" s="1348" t="s">
        <v>1619</v>
      </c>
      <c r="T45" s="1349"/>
      <c r="U45" s="1349"/>
      <c r="V45" s="1349"/>
      <c r="W45" s="1349"/>
      <c r="X45" s="1349"/>
      <c r="Y45" s="1349"/>
      <c r="Z45" s="1349"/>
      <c r="AA45" s="1349"/>
      <c r="AB45" s="1349"/>
      <c r="AC45" s="1350"/>
      <c r="AD45" s="1364" t="str">
        <f>IF(Cost_Total_All-Incent_Total_Cap_All=0,"",IF('M01-S01'!P57&lt;&gt;"","---",Cost_Total_All-Incent_Total_Cap_All))</f>
        <v/>
      </c>
      <c r="AE45" s="1364"/>
      <c r="AF45" s="1364"/>
      <c r="AG45" s="1364"/>
      <c r="AH45" s="1364"/>
      <c r="AI45" s="1364"/>
      <c r="AJ45" s="1364"/>
      <c r="AK45" s="1364"/>
      <c r="AL45" s="1364"/>
      <c r="AM45" s="177"/>
      <c r="AN45" s="177"/>
      <c r="AO45" s="177"/>
      <c r="AP45" s="430"/>
      <c r="AQ45" s="417"/>
      <c r="AR45" s="177"/>
      <c r="AS45" s="177"/>
      <c r="AT45" s="177"/>
      <c r="AU45" s="177"/>
      <c r="AV45" s="177"/>
      <c r="AW45" s="177"/>
      <c r="AX45" s="177"/>
      <c r="AY45" s="177"/>
      <c r="AZ45" s="177"/>
      <c r="BA45" s="177"/>
      <c r="BB45" s="177"/>
      <c r="BC45" s="177"/>
      <c r="BD45" s="177"/>
      <c r="BE45" s="177"/>
      <c r="BF45" s="177"/>
    </row>
    <row r="46" spans="1:61" ht="16.350000000000001" customHeight="1" thickBot="1">
      <c r="A46" s="177"/>
      <c r="B46" s="177"/>
      <c r="C46" s="177"/>
      <c r="D46" s="177"/>
      <c r="E46" s="177"/>
      <c r="F46" s="177"/>
      <c r="G46" s="177"/>
      <c r="H46" s="177"/>
      <c r="I46" s="177"/>
      <c r="J46" s="177"/>
      <c r="K46" s="177"/>
      <c r="L46" s="177"/>
      <c r="M46" s="177"/>
      <c r="N46" s="177"/>
      <c r="O46" s="369"/>
      <c r="P46" s="240"/>
      <c r="Q46" s="240"/>
      <c r="R46" s="240"/>
      <c r="S46" s="1348"/>
      <c r="T46" s="1349"/>
      <c r="U46" s="1349"/>
      <c r="V46" s="1349"/>
      <c r="W46" s="1349"/>
      <c r="X46" s="1349"/>
      <c r="Y46" s="1349"/>
      <c r="Z46" s="1349"/>
      <c r="AA46" s="1349"/>
      <c r="AB46" s="1349"/>
      <c r="AC46" s="1350"/>
      <c r="AD46" s="1365"/>
      <c r="AE46" s="1365"/>
      <c r="AF46" s="1365"/>
      <c r="AG46" s="1365"/>
      <c r="AH46" s="1365"/>
      <c r="AI46" s="1365"/>
      <c r="AJ46" s="1365"/>
      <c r="AK46" s="1365"/>
      <c r="AL46" s="1365"/>
      <c r="AM46" s="240"/>
      <c r="AN46" s="240"/>
      <c r="AO46" s="240"/>
      <c r="AP46" s="240"/>
      <c r="AQ46" s="417"/>
      <c r="AR46" s="177"/>
      <c r="AS46" s="177"/>
      <c r="AT46" s="177"/>
      <c r="AU46" s="177"/>
      <c r="AV46" s="177"/>
      <c r="AW46" s="177"/>
      <c r="AX46" s="177"/>
      <c r="AY46" s="177"/>
      <c r="AZ46" s="177"/>
      <c r="BA46" s="177"/>
      <c r="BB46" s="177"/>
      <c r="BC46" s="177"/>
      <c r="BD46" s="177"/>
      <c r="BE46" s="177"/>
      <c r="BF46" s="177"/>
    </row>
    <row r="47" spans="1:61" ht="16.350000000000001" customHeight="1">
      <c r="A47" s="177"/>
      <c r="B47" s="177"/>
      <c r="C47" s="177"/>
      <c r="D47" s="177"/>
      <c r="E47" s="177"/>
      <c r="F47" s="177"/>
      <c r="G47" s="177"/>
      <c r="H47" s="177"/>
      <c r="I47" s="177"/>
      <c r="J47" s="177"/>
      <c r="K47" s="177"/>
      <c r="L47" s="177"/>
      <c r="M47" s="177"/>
      <c r="N47" s="177"/>
      <c r="O47" s="369"/>
      <c r="P47" s="240"/>
      <c r="Q47" s="240"/>
      <c r="R47" s="240"/>
      <c r="S47" s="240"/>
      <c r="T47" s="240"/>
      <c r="U47" s="240"/>
      <c r="V47" s="240"/>
      <c r="W47" s="240"/>
      <c r="X47" s="240"/>
      <c r="Y47" s="240"/>
      <c r="Z47" s="240"/>
      <c r="AA47" s="240"/>
      <c r="AB47" s="240"/>
      <c r="AC47" s="240"/>
      <c r="AD47" s="240"/>
      <c r="AE47" s="240"/>
      <c r="AF47" s="240"/>
      <c r="AG47" s="240"/>
      <c r="AH47" s="240"/>
      <c r="AI47" s="240"/>
      <c r="AJ47" s="240"/>
      <c r="AK47" s="240"/>
      <c r="AL47" s="240"/>
      <c r="AM47" s="240"/>
      <c r="AN47" s="240"/>
      <c r="AO47" s="240"/>
      <c r="AP47" s="240"/>
      <c r="AQ47" s="417"/>
      <c r="AR47" s="177"/>
      <c r="AS47" s="177"/>
      <c r="AT47" s="177"/>
      <c r="AU47" s="177"/>
      <c r="AV47" s="177"/>
      <c r="AW47" s="177"/>
      <c r="AX47" s="177"/>
      <c r="AY47" s="177"/>
      <c r="AZ47" s="177"/>
      <c r="BA47" s="177"/>
      <c r="BB47" s="177"/>
      <c r="BC47" s="177"/>
      <c r="BD47" s="177"/>
      <c r="BE47" s="177"/>
      <c r="BF47" s="177"/>
    </row>
    <row r="48" spans="1:61" ht="16.350000000000001" customHeight="1" thickBot="1">
      <c r="A48" s="177"/>
      <c r="B48" s="177"/>
      <c r="C48" s="177"/>
      <c r="D48" s="177"/>
      <c r="E48" s="177"/>
      <c r="F48" s="177"/>
      <c r="G48" s="177"/>
      <c r="H48" s="177"/>
      <c r="I48" s="177"/>
      <c r="J48" s="177"/>
      <c r="K48" s="177"/>
      <c r="L48" s="177"/>
      <c r="M48" s="177"/>
      <c r="N48" s="177"/>
      <c r="O48" s="369"/>
      <c r="P48" s="60"/>
      <c r="Q48" s="431"/>
      <c r="R48" s="431"/>
      <c r="S48" s="240"/>
      <c r="T48" s="240"/>
      <c r="U48" s="240"/>
      <c r="V48" s="240"/>
      <c r="W48" s="240"/>
      <c r="X48" s="240"/>
      <c r="Y48" s="240"/>
      <c r="Z48" s="240"/>
      <c r="AA48" s="240"/>
      <c r="AB48" s="240"/>
      <c r="AC48" s="240"/>
      <c r="AD48" s="240"/>
      <c r="AE48" s="240"/>
      <c r="AF48" s="240"/>
      <c r="AG48" s="240"/>
      <c r="AH48" s="240"/>
      <c r="AI48" s="240"/>
      <c r="AJ48" s="240"/>
      <c r="AK48" s="240"/>
      <c r="AL48" s="240"/>
      <c r="AM48" s="177"/>
      <c r="AN48" s="177"/>
      <c r="AO48" s="177"/>
      <c r="AP48" s="430"/>
      <c r="AQ48" s="417"/>
      <c r="AR48" s="177"/>
      <c r="AS48" s="177"/>
      <c r="AT48" s="177"/>
      <c r="AU48" s="177"/>
      <c r="AV48" s="177"/>
      <c r="AW48" s="177"/>
      <c r="AX48" s="177"/>
      <c r="AY48" s="177"/>
      <c r="AZ48" s="177"/>
      <c r="BA48" s="177"/>
      <c r="BB48" s="177"/>
      <c r="BC48" s="177"/>
      <c r="BD48" s="177"/>
      <c r="BE48" s="177"/>
      <c r="BF48" s="177"/>
    </row>
    <row r="49" spans="1:71" ht="16.350000000000001" customHeight="1">
      <c r="A49" s="177"/>
      <c r="B49" s="177"/>
      <c r="C49" s="177"/>
      <c r="D49" s="177"/>
      <c r="E49" s="177"/>
      <c r="F49" s="177"/>
      <c r="G49" s="177"/>
      <c r="H49" s="177"/>
      <c r="I49" s="177"/>
      <c r="J49" s="177"/>
      <c r="K49" s="177"/>
      <c r="L49" s="177"/>
      <c r="M49" s="177"/>
      <c r="N49" s="177"/>
      <c r="O49" s="369"/>
      <c r="P49" s="1345" t="s">
        <v>1620</v>
      </c>
      <c r="Q49" s="1345"/>
      <c r="R49" s="1345"/>
      <c r="S49" s="1345"/>
      <c r="T49" s="1345"/>
      <c r="U49" s="1345"/>
      <c r="V49" s="1345"/>
      <c r="W49" s="1345"/>
      <c r="X49" s="1345"/>
      <c r="Y49" s="1345"/>
      <c r="Z49" s="1345"/>
      <c r="AA49" s="1345"/>
      <c r="AB49" s="1345"/>
      <c r="AC49" s="1345"/>
      <c r="AD49" s="1345"/>
      <c r="AE49" s="1345"/>
      <c r="AF49" s="1345"/>
      <c r="AG49" s="1345"/>
      <c r="AH49" s="1345"/>
      <c r="AI49" s="1345"/>
      <c r="AJ49" s="1345"/>
      <c r="AK49" s="1345"/>
      <c r="AL49" s="1345"/>
      <c r="AM49" s="1345"/>
      <c r="AN49" s="1345"/>
      <c r="AO49" s="1345"/>
      <c r="AP49" s="1345"/>
      <c r="AQ49" s="417"/>
      <c r="AR49" s="177"/>
      <c r="AS49" s="177"/>
      <c r="AT49" s="177"/>
      <c r="AU49" s="177"/>
      <c r="AV49" s="177"/>
      <c r="AW49" s="177"/>
      <c r="AX49" s="177"/>
      <c r="AY49" s="177"/>
      <c r="AZ49" s="177"/>
      <c r="BA49" s="177"/>
      <c r="BB49" s="177"/>
      <c r="BC49" s="177"/>
      <c r="BD49" s="177"/>
      <c r="BE49" s="177"/>
      <c r="BF49" s="177"/>
    </row>
    <row r="50" spans="1:71" ht="16.350000000000001" customHeight="1">
      <c r="A50" s="177"/>
      <c r="B50" s="177"/>
      <c r="C50" s="177"/>
      <c r="D50" s="177"/>
      <c r="E50" s="177"/>
      <c r="F50" s="177"/>
      <c r="G50" s="177"/>
      <c r="H50" s="177"/>
      <c r="I50" s="177"/>
      <c r="J50" s="177"/>
      <c r="K50" s="177"/>
      <c r="L50" s="177"/>
      <c r="M50" s="177"/>
      <c r="N50" s="177"/>
      <c r="O50" s="369"/>
      <c r="P50" s="1346"/>
      <c r="Q50" s="1346"/>
      <c r="R50" s="1346"/>
      <c r="S50" s="1346"/>
      <c r="T50" s="1346"/>
      <c r="U50" s="1346"/>
      <c r="V50" s="1346"/>
      <c r="W50" s="1346"/>
      <c r="X50" s="1346"/>
      <c r="Y50" s="1346"/>
      <c r="Z50" s="1346"/>
      <c r="AA50" s="1346"/>
      <c r="AB50" s="1346"/>
      <c r="AC50" s="1346"/>
      <c r="AD50" s="1346"/>
      <c r="AE50" s="1346"/>
      <c r="AF50" s="1346"/>
      <c r="AG50" s="1346"/>
      <c r="AH50" s="1346"/>
      <c r="AI50" s="1346"/>
      <c r="AJ50" s="1346"/>
      <c r="AK50" s="1346"/>
      <c r="AL50" s="1346"/>
      <c r="AM50" s="1346"/>
      <c r="AN50" s="1346"/>
      <c r="AO50" s="1346"/>
      <c r="AP50" s="1346"/>
      <c r="AQ50" s="417"/>
      <c r="AR50" s="177"/>
      <c r="AS50" s="177"/>
      <c r="AT50" s="177"/>
      <c r="AU50" s="177"/>
      <c r="AV50" s="177"/>
      <c r="AW50" s="177"/>
      <c r="AX50" s="177"/>
      <c r="AY50" s="177"/>
      <c r="AZ50" s="177"/>
      <c r="BA50" s="177"/>
      <c r="BB50" s="177"/>
      <c r="BC50" s="177"/>
      <c r="BD50" s="177"/>
      <c r="BE50" s="177"/>
      <c r="BF50" s="177"/>
    </row>
    <row r="51" spans="1:71" ht="16.350000000000001" customHeight="1">
      <c r="A51" s="177"/>
      <c r="B51" s="177"/>
      <c r="C51" s="177"/>
      <c r="D51" s="177"/>
      <c r="E51" s="177"/>
      <c r="F51" s="177"/>
      <c r="G51" s="177"/>
      <c r="H51" s="177"/>
      <c r="I51" s="177"/>
      <c r="J51" s="177"/>
      <c r="K51" s="177"/>
      <c r="L51" s="177"/>
      <c r="M51" s="177"/>
      <c r="N51" s="177"/>
      <c r="O51" s="369"/>
      <c r="P51" s="240"/>
      <c r="Q51" s="240"/>
      <c r="R51" s="240"/>
      <c r="S51" s="240"/>
      <c r="T51" s="240"/>
      <c r="U51" s="240"/>
      <c r="V51" s="240"/>
      <c r="W51" s="240"/>
      <c r="X51" s="240"/>
      <c r="Y51" s="240"/>
      <c r="Z51" s="240"/>
      <c r="AA51" s="240"/>
      <c r="AB51" s="240"/>
      <c r="AC51" s="240"/>
      <c r="AD51" s="240"/>
      <c r="AE51" s="240"/>
      <c r="AF51" s="240"/>
      <c r="AG51" s="240"/>
      <c r="AH51" s="240"/>
      <c r="AI51" s="240"/>
      <c r="AJ51" s="240"/>
      <c r="AK51" s="240"/>
      <c r="AL51" s="240"/>
      <c r="AM51" s="240"/>
      <c r="AN51" s="240"/>
      <c r="AO51" s="240"/>
      <c r="AP51" s="240"/>
      <c r="AQ51" s="417"/>
      <c r="AR51" s="177"/>
      <c r="AS51" s="177"/>
      <c r="AT51" s="177"/>
      <c r="AU51" s="177"/>
      <c r="AV51" s="177"/>
      <c r="AW51" s="177"/>
      <c r="AX51" s="177"/>
      <c r="AY51" s="177"/>
      <c r="AZ51" s="177"/>
      <c r="BA51" s="177"/>
      <c r="BB51" s="177"/>
      <c r="BC51" s="177"/>
      <c r="BD51" s="177"/>
      <c r="BE51" s="177"/>
      <c r="BF51" s="177"/>
    </row>
    <row r="52" spans="1:71" ht="16.350000000000001" customHeight="1">
      <c r="A52" s="177"/>
      <c r="B52" s="177"/>
      <c r="C52" s="177"/>
      <c r="D52" s="177"/>
      <c r="E52" s="177"/>
      <c r="F52" s="177"/>
      <c r="G52" s="177"/>
      <c r="H52" s="177"/>
      <c r="I52" s="177"/>
      <c r="J52" s="177"/>
      <c r="K52" s="177"/>
      <c r="L52" s="177"/>
      <c r="M52" s="177"/>
      <c r="N52" s="177"/>
      <c r="O52" s="369"/>
      <c r="P52" s="1329" t="s">
        <v>1621</v>
      </c>
      <c r="Q52" s="1329"/>
      <c r="R52" s="1329"/>
      <c r="S52" s="1329"/>
      <c r="T52" s="1329"/>
      <c r="U52" s="1329"/>
      <c r="V52" s="1329"/>
      <c r="W52" s="1329"/>
      <c r="X52" s="1329"/>
      <c r="Y52" s="1329"/>
      <c r="Z52" s="1329"/>
      <c r="AA52" s="1329"/>
      <c r="AB52" s="177"/>
      <c r="AC52" s="177"/>
      <c r="AD52" s="177"/>
      <c r="AE52" s="177"/>
      <c r="AF52" s="177"/>
      <c r="AG52" s="177"/>
      <c r="AH52" s="177"/>
      <c r="AI52" s="177"/>
      <c r="AJ52" s="177"/>
      <c r="AK52" s="177"/>
      <c r="AL52" s="177"/>
      <c r="AM52" s="177"/>
      <c r="AN52" s="177"/>
      <c r="AO52" s="177"/>
      <c r="AP52" s="177"/>
      <c r="AQ52" s="417"/>
      <c r="AR52" s="177"/>
      <c r="AS52" s="177"/>
      <c r="AT52" s="177"/>
      <c r="AU52" s="177"/>
      <c r="AV52" s="177"/>
      <c r="AW52" s="177"/>
      <c r="AX52" s="177"/>
      <c r="AY52" s="177"/>
      <c r="AZ52" s="177"/>
      <c r="BA52" s="177"/>
      <c r="BB52" s="177"/>
      <c r="BC52" s="177"/>
      <c r="BD52" s="177"/>
      <c r="BE52" s="177"/>
      <c r="BF52" s="177"/>
      <c r="BQ52" s="432" t="s">
        <v>1622</v>
      </c>
    </row>
    <row r="53" spans="1:71" ht="16.350000000000001" customHeight="1">
      <c r="A53" s="177"/>
      <c r="B53" s="177"/>
      <c r="C53" s="177"/>
      <c r="D53" s="177"/>
      <c r="E53" s="177"/>
      <c r="F53" s="177"/>
      <c r="G53" s="177"/>
      <c r="H53" s="177"/>
      <c r="I53" s="177"/>
      <c r="J53" s="177"/>
      <c r="K53" s="177"/>
      <c r="L53" s="177"/>
      <c r="M53" s="177"/>
      <c r="N53" s="177"/>
      <c r="O53" s="369"/>
      <c r="P53" s="1329"/>
      <c r="Q53" s="1329"/>
      <c r="R53" s="1329"/>
      <c r="S53" s="1329"/>
      <c r="T53" s="1329"/>
      <c r="U53" s="1329"/>
      <c r="V53" s="1329"/>
      <c r="W53" s="1329"/>
      <c r="X53" s="1329"/>
      <c r="Y53" s="1329"/>
      <c r="Z53" s="1329"/>
      <c r="AA53" s="1329"/>
      <c r="AB53" s="177"/>
      <c r="AC53" s="177"/>
      <c r="AD53" s="177"/>
      <c r="AE53" s="177"/>
      <c r="AF53" s="177"/>
      <c r="AG53" s="177"/>
      <c r="AH53" s="177"/>
      <c r="AI53" s="177"/>
      <c r="AJ53" s="177"/>
      <c r="AK53" s="177"/>
      <c r="AL53" s="177"/>
      <c r="AM53" s="177"/>
      <c r="AN53" s="177"/>
      <c r="AO53" s="177"/>
      <c r="AP53" s="177"/>
      <c r="AQ53" s="417"/>
      <c r="AR53" s="177"/>
      <c r="AS53" s="177"/>
      <c r="AT53" s="177"/>
      <c r="AU53" s="177"/>
      <c r="AV53" s="177"/>
      <c r="AW53" s="177"/>
      <c r="AX53" s="177"/>
      <c r="AY53" s="177"/>
      <c r="AZ53" s="177"/>
      <c r="BA53" s="177"/>
      <c r="BB53" s="177"/>
      <c r="BC53" s="177"/>
      <c r="BD53" s="177"/>
      <c r="BE53" s="177"/>
      <c r="BF53" s="177"/>
      <c r="BQ53" s="177" t="s">
        <v>1623</v>
      </c>
      <c r="BS53" s="324">
        <f>1562.4*0.0004536*0.001</f>
        <v>7.0870464000000015E-4</v>
      </c>
    </row>
    <row r="54" spans="1:71" ht="16.350000000000001" customHeight="1">
      <c r="A54" s="177"/>
      <c r="B54" s="177"/>
      <c r="C54" s="177"/>
      <c r="D54" s="177"/>
      <c r="E54" s="177"/>
      <c r="F54" s="177"/>
      <c r="G54" s="177"/>
      <c r="H54" s="177"/>
      <c r="I54" s="177"/>
      <c r="J54" s="177"/>
      <c r="K54" s="177"/>
      <c r="L54" s="177"/>
      <c r="M54" s="177"/>
      <c r="N54" s="177"/>
      <c r="O54" s="369"/>
      <c r="P54" s="1328">
        <f>kWh_Customer_Total_All</f>
        <v>0</v>
      </c>
      <c r="Q54" s="1328"/>
      <c r="R54" s="1328"/>
      <c r="S54" s="1328"/>
      <c r="T54" s="1328"/>
      <c r="U54" s="1328"/>
      <c r="V54" s="1328"/>
      <c r="W54" s="1328"/>
      <c r="X54" s="1328"/>
      <c r="Y54" s="1328"/>
      <c r="Z54" s="1328"/>
      <c r="AA54" s="1328"/>
      <c r="AB54" s="177"/>
      <c r="AC54" s="177"/>
      <c r="AD54" s="177"/>
      <c r="AE54" s="177"/>
      <c r="AF54" s="177"/>
      <c r="AG54" s="177"/>
      <c r="AH54" s="177"/>
      <c r="AI54" s="177"/>
      <c r="AJ54" s="177"/>
      <c r="AK54" s="177"/>
      <c r="AL54" s="177"/>
      <c r="AM54" s="177"/>
      <c r="AN54" s="177"/>
      <c r="AO54" s="177"/>
      <c r="AP54" s="177"/>
      <c r="AQ54" s="417"/>
      <c r="AR54" s="177"/>
      <c r="AS54" s="177"/>
      <c r="AT54" s="177"/>
      <c r="AU54" s="177"/>
      <c r="AV54" s="177"/>
      <c r="AW54" s="177"/>
      <c r="AX54" s="177"/>
      <c r="AY54" s="177"/>
      <c r="AZ54" s="177"/>
      <c r="BA54" s="177"/>
      <c r="BB54" s="177"/>
      <c r="BC54" s="177"/>
      <c r="BD54" s="177"/>
      <c r="BE54" s="177"/>
      <c r="BF54" s="177"/>
      <c r="BQ54" s="177" t="s">
        <v>1624</v>
      </c>
      <c r="BS54" s="433">
        <f>kWh_Customer_Total_All</f>
        <v>0</v>
      </c>
    </row>
    <row r="55" spans="1:71" ht="16.350000000000001" customHeight="1">
      <c r="A55" s="177"/>
      <c r="B55" s="177"/>
      <c r="C55" s="177"/>
      <c r="D55" s="177"/>
      <c r="E55" s="177"/>
      <c r="F55" s="177"/>
      <c r="G55" s="177"/>
      <c r="H55" s="177"/>
      <c r="I55" s="177"/>
      <c r="J55" s="177"/>
      <c r="K55" s="177"/>
      <c r="L55" s="177"/>
      <c r="M55" s="177"/>
      <c r="N55" s="177"/>
      <c r="O55" s="369"/>
      <c r="P55" s="1328"/>
      <c r="Q55" s="1328"/>
      <c r="R55" s="1328"/>
      <c r="S55" s="1328"/>
      <c r="T55" s="1328"/>
      <c r="U55" s="1328"/>
      <c r="V55" s="1328"/>
      <c r="W55" s="1328"/>
      <c r="X55" s="1328"/>
      <c r="Y55" s="1328"/>
      <c r="Z55" s="1328"/>
      <c r="AA55" s="1328"/>
      <c r="AB55" s="177"/>
      <c r="AC55" s="177"/>
      <c r="AD55" s="177"/>
      <c r="AE55" s="177"/>
      <c r="AF55" s="177"/>
      <c r="AG55" s="177"/>
      <c r="AH55" s="177"/>
      <c r="AI55" s="177"/>
      <c r="AJ55" s="177"/>
      <c r="AK55" s="177"/>
      <c r="AL55" s="177"/>
      <c r="AM55" s="177"/>
      <c r="AN55" s="177"/>
      <c r="AO55" s="177"/>
      <c r="AP55" s="177"/>
      <c r="AQ55" s="417"/>
      <c r="AR55" s="177"/>
      <c r="AS55" s="177"/>
      <c r="AT55" s="177"/>
      <c r="AU55" s="177"/>
      <c r="AV55" s="177"/>
      <c r="AW55" s="177"/>
      <c r="AX55" s="177"/>
      <c r="AY55" s="177"/>
      <c r="AZ55" s="177"/>
      <c r="BA55" s="177"/>
      <c r="BB55" s="177"/>
      <c r="BC55" s="177"/>
      <c r="BD55" s="177"/>
      <c r="BE55" s="177"/>
      <c r="BF55" s="177"/>
      <c r="BQ55" s="177" t="s">
        <v>1625</v>
      </c>
      <c r="BS55" s="434">
        <f>0.1*14.43*44/12*1/1000</f>
        <v>5.2910000000000006E-3</v>
      </c>
    </row>
    <row r="56" spans="1:71" ht="16.350000000000001" customHeight="1">
      <c r="A56" s="177"/>
      <c r="B56" s="177"/>
      <c r="C56" s="177"/>
      <c r="D56" s="177"/>
      <c r="E56" s="177"/>
      <c r="F56" s="310"/>
      <c r="G56" s="310"/>
      <c r="H56" s="310"/>
      <c r="I56" s="310"/>
      <c r="J56" s="310"/>
      <c r="K56" s="310"/>
      <c r="L56" s="310"/>
      <c r="M56" s="310"/>
      <c r="N56" s="177"/>
      <c r="O56" s="369"/>
      <c r="P56" s="1327">
        <f>Thm_Customer_Total_All</f>
        <v>0</v>
      </c>
      <c r="Q56" s="1327"/>
      <c r="R56" s="1327"/>
      <c r="S56" s="1327"/>
      <c r="T56" s="1327"/>
      <c r="U56" s="1327"/>
      <c r="V56" s="1327"/>
      <c r="W56" s="1327"/>
      <c r="X56" s="1327"/>
      <c r="Y56" s="1327"/>
      <c r="Z56" s="1327"/>
      <c r="AA56" s="1327"/>
      <c r="AB56" s="177"/>
      <c r="AC56" s="177"/>
      <c r="AD56" s="177"/>
      <c r="AE56" s="177"/>
      <c r="AF56" s="177"/>
      <c r="AG56" s="177"/>
      <c r="AH56" s="177"/>
      <c r="AI56" s="177"/>
      <c r="AJ56" s="177"/>
      <c r="AK56" s="177"/>
      <c r="AL56" s="177"/>
      <c r="AM56" s="177"/>
      <c r="AN56" s="177"/>
      <c r="AO56" s="177"/>
      <c r="AP56" s="177"/>
      <c r="AQ56" s="417"/>
      <c r="AR56" s="177"/>
      <c r="AS56" s="177"/>
      <c r="AT56" s="177"/>
      <c r="AU56" s="177"/>
      <c r="AV56" s="177"/>
      <c r="AW56" s="177"/>
      <c r="AX56" s="177"/>
      <c r="AY56" s="177"/>
      <c r="AZ56" s="177"/>
      <c r="BA56" s="177"/>
      <c r="BB56" s="177"/>
      <c r="BC56" s="177"/>
      <c r="BD56" s="177"/>
      <c r="BE56" s="177"/>
      <c r="BF56" s="177"/>
      <c r="BQ56" s="177" t="s">
        <v>1626</v>
      </c>
      <c r="BS56" s="433">
        <f>Thm_Customer_Total_All</f>
        <v>0</v>
      </c>
    </row>
    <row r="57" spans="1:71" ht="16.350000000000001" customHeight="1">
      <c r="A57" s="177"/>
      <c r="B57" s="177"/>
      <c r="C57" s="177"/>
      <c r="D57" s="177"/>
      <c r="E57" s="177"/>
      <c r="F57" s="310"/>
      <c r="G57" s="310"/>
      <c r="H57" s="310"/>
      <c r="I57" s="310"/>
      <c r="J57" s="310"/>
      <c r="K57" s="310"/>
      <c r="L57" s="310"/>
      <c r="M57" s="310"/>
      <c r="N57" s="177"/>
      <c r="O57" s="369"/>
      <c r="P57" s="1327"/>
      <c r="Q57" s="1327"/>
      <c r="R57" s="1327"/>
      <c r="S57" s="1327"/>
      <c r="T57" s="1327"/>
      <c r="U57" s="1327"/>
      <c r="V57" s="1327"/>
      <c r="W57" s="1327"/>
      <c r="X57" s="1327"/>
      <c r="Y57" s="1327"/>
      <c r="Z57" s="1327"/>
      <c r="AA57" s="1327"/>
      <c r="AB57" s="177"/>
      <c r="AC57" s="177"/>
      <c r="AD57" s="177"/>
      <c r="AE57" s="177"/>
      <c r="AF57" s="177"/>
      <c r="AG57" s="177"/>
      <c r="AH57" s="177"/>
      <c r="AI57" s="177"/>
      <c r="AJ57" s="177"/>
      <c r="AK57" s="177"/>
      <c r="AL57" s="177"/>
      <c r="AM57" s="177"/>
      <c r="AN57" s="177"/>
      <c r="AO57" s="177"/>
      <c r="AP57" s="177"/>
      <c r="AQ57" s="417"/>
      <c r="AR57" s="177"/>
      <c r="AS57" s="177"/>
      <c r="AT57" s="177"/>
      <c r="AU57" s="177"/>
      <c r="AV57" s="177"/>
      <c r="AW57" s="177"/>
      <c r="AX57" s="177"/>
      <c r="AY57" s="177"/>
      <c r="AZ57" s="177"/>
      <c r="BA57" s="177"/>
      <c r="BB57" s="177"/>
      <c r="BC57" s="177"/>
      <c r="BD57" s="177"/>
      <c r="BE57" s="177"/>
      <c r="BF57" s="177"/>
      <c r="BQ57" s="310" t="s">
        <v>1627</v>
      </c>
      <c r="BS57" s="177">
        <f>BS53*BS54+BS55*BS56</f>
        <v>0</v>
      </c>
    </row>
    <row r="58" spans="1:71" ht="16.350000000000001" customHeight="1">
      <c r="A58" s="177"/>
      <c r="B58" s="177"/>
      <c r="C58" s="177"/>
      <c r="D58" s="177"/>
      <c r="E58" s="177"/>
      <c r="F58" s="310"/>
      <c r="G58" s="310"/>
      <c r="H58" s="310"/>
      <c r="I58" s="310"/>
      <c r="J58" s="310"/>
      <c r="K58" s="310"/>
      <c r="L58" s="310"/>
      <c r="M58" s="310"/>
      <c r="N58" s="177"/>
      <c r="O58" s="369"/>
      <c r="P58" s="177"/>
      <c r="Q58" s="435"/>
      <c r="R58" s="435"/>
      <c r="S58" s="435"/>
      <c r="T58" s="435"/>
      <c r="U58" s="435"/>
      <c r="V58" s="435"/>
      <c r="W58" s="435"/>
      <c r="X58" s="435"/>
      <c r="Y58" s="435"/>
      <c r="Z58" s="435"/>
      <c r="AA58" s="436"/>
      <c r="AB58" s="436"/>
      <c r="AC58" s="436"/>
      <c r="AD58" s="436"/>
      <c r="AE58" s="436"/>
      <c r="AF58" s="436"/>
      <c r="AG58" s="435"/>
      <c r="AH58" s="435"/>
      <c r="AI58" s="435"/>
      <c r="AJ58" s="435"/>
      <c r="AK58" s="435"/>
      <c r="AL58" s="435"/>
      <c r="AM58" s="435"/>
      <c r="AN58" s="435"/>
      <c r="AO58" s="435"/>
      <c r="AP58" s="435"/>
      <c r="AQ58" s="417"/>
      <c r="AR58" s="177"/>
      <c r="AS58" s="177"/>
      <c r="AT58" s="177"/>
      <c r="AU58" s="177"/>
      <c r="AV58" s="177"/>
      <c r="AW58" s="177"/>
      <c r="AX58" s="177"/>
      <c r="AY58" s="177"/>
      <c r="AZ58" s="177"/>
      <c r="BA58" s="177"/>
      <c r="BB58" s="177"/>
      <c r="BC58" s="177"/>
      <c r="BD58" s="177"/>
      <c r="BE58" s="177"/>
      <c r="BF58" s="177"/>
      <c r="BQ58" s="177" t="s">
        <v>1628</v>
      </c>
      <c r="BS58" s="177">
        <v>4.67</v>
      </c>
    </row>
    <row r="59" spans="1:71" ht="16.350000000000001" customHeight="1">
      <c r="A59" s="177"/>
      <c r="B59" s="177"/>
      <c r="C59" s="177"/>
      <c r="D59" s="177"/>
      <c r="E59" s="177"/>
      <c r="F59" s="310"/>
      <c r="G59" s="310"/>
      <c r="H59" s="310"/>
      <c r="I59" s="310"/>
      <c r="J59" s="310"/>
      <c r="K59" s="310"/>
      <c r="L59" s="310"/>
      <c r="M59" s="310"/>
      <c r="N59" s="177"/>
      <c r="O59" s="369"/>
      <c r="P59" s="437"/>
      <c r="Q59" s="437"/>
      <c r="R59" s="437"/>
      <c r="S59" s="437"/>
      <c r="T59" s="437"/>
      <c r="U59" s="437"/>
      <c r="V59" s="437"/>
      <c r="W59" s="437"/>
      <c r="X59" s="437"/>
      <c r="Y59" s="437"/>
      <c r="Z59" s="1342" t="s">
        <v>1629</v>
      </c>
      <c r="AA59" s="1342"/>
      <c r="AB59" s="1342"/>
      <c r="AC59" s="1342"/>
      <c r="AD59" s="1342"/>
      <c r="AE59" s="1342"/>
      <c r="AF59" s="1342"/>
      <c r="AG59" s="437"/>
      <c r="AH59" s="437"/>
      <c r="AI59" s="437"/>
      <c r="AJ59" s="437"/>
      <c r="AK59" s="437"/>
      <c r="AL59" s="437"/>
      <c r="AM59" s="437"/>
      <c r="AN59" s="437"/>
      <c r="AO59" s="437"/>
      <c r="AP59" s="437"/>
      <c r="AQ59" s="417"/>
      <c r="AR59" s="177"/>
      <c r="AS59" s="177"/>
      <c r="AT59" s="177"/>
      <c r="AU59" s="177"/>
      <c r="AV59" s="177"/>
      <c r="AW59" s="177"/>
      <c r="AX59" s="177"/>
      <c r="AY59" s="177"/>
      <c r="AZ59" s="177"/>
      <c r="BA59" s="177"/>
      <c r="BB59" s="177"/>
      <c r="BC59" s="177"/>
      <c r="BD59" s="177"/>
      <c r="BE59" s="177"/>
      <c r="BF59" s="177"/>
      <c r="BQ59" s="177" t="s">
        <v>1630</v>
      </c>
      <c r="BS59" s="177">
        <f>6.672/12</f>
        <v>0.55599999999999994</v>
      </c>
    </row>
    <row r="60" spans="1:71" ht="16.350000000000001" customHeight="1">
      <c r="A60" s="177"/>
      <c r="B60" s="177"/>
      <c r="C60" s="177"/>
      <c r="D60" s="177"/>
      <c r="E60" s="177"/>
      <c r="F60" s="310"/>
      <c r="G60" s="310"/>
      <c r="H60" s="310"/>
      <c r="I60" s="310"/>
      <c r="J60" s="310"/>
      <c r="K60" s="310"/>
      <c r="L60" s="310"/>
      <c r="M60" s="310"/>
      <c r="N60" s="177"/>
      <c r="O60" s="369"/>
      <c r="P60" s="177"/>
      <c r="Q60" s="177"/>
      <c r="R60" s="177"/>
      <c r="S60" s="177"/>
      <c r="T60" s="177"/>
      <c r="U60" s="177"/>
      <c r="V60" s="177"/>
      <c r="W60" s="177"/>
      <c r="X60" s="177"/>
      <c r="Y60" s="177"/>
      <c r="Z60" s="1342"/>
      <c r="AA60" s="1342"/>
      <c r="AB60" s="1342"/>
      <c r="AC60" s="1342"/>
      <c r="AD60" s="1342"/>
      <c r="AE60" s="1342"/>
      <c r="AF60" s="1342"/>
      <c r="AG60" s="177"/>
      <c r="AH60" s="177"/>
      <c r="AI60" s="177"/>
      <c r="AJ60" s="177"/>
      <c r="AK60" s="177"/>
      <c r="AL60" s="177"/>
      <c r="AM60" s="177"/>
      <c r="AN60" s="177"/>
      <c r="AO60" s="177"/>
      <c r="AP60" s="177"/>
      <c r="AQ60" s="417"/>
      <c r="AR60" s="177"/>
      <c r="AS60" s="177"/>
      <c r="AT60" s="177"/>
      <c r="AU60" s="177"/>
      <c r="AV60" s="177"/>
      <c r="AW60" s="177"/>
      <c r="AX60" s="177"/>
      <c r="AY60" s="177"/>
      <c r="AZ60" s="177"/>
      <c r="BA60" s="177"/>
      <c r="BB60" s="177"/>
      <c r="BC60" s="177"/>
      <c r="BD60" s="177"/>
      <c r="BE60" s="177"/>
      <c r="BF60" s="177"/>
      <c r="BQ60" s="177" t="s">
        <v>1631</v>
      </c>
      <c r="BS60" s="438">
        <v>2.87</v>
      </c>
    </row>
    <row r="61" spans="1:71" ht="16.350000000000001" customHeight="1">
      <c r="A61" s="177"/>
      <c r="B61" s="177"/>
      <c r="C61" s="177"/>
      <c r="D61" s="177"/>
      <c r="E61" s="177"/>
      <c r="F61" s="310"/>
      <c r="G61" s="310"/>
      <c r="H61" s="310"/>
      <c r="I61" s="310"/>
      <c r="J61" s="310"/>
      <c r="K61" s="310"/>
      <c r="L61" s="310"/>
      <c r="M61" s="310"/>
      <c r="N61" s="177"/>
      <c r="O61" s="369"/>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417"/>
      <c r="AR61" s="177"/>
      <c r="AS61" s="177"/>
      <c r="AT61" s="177"/>
      <c r="AU61" s="177"/>
      <c r="AV61" s="177"/>
      <c r="AW61" s="177"/>
      <c r="AX61" s="177"/>
      <c r="AY61" s="177"/>
      <c r="AZ61" s="177"/>
      <c r="BA61" s="177"/>
      <c r="BB61" s="177"/>
      <c r="BC61" s="177"/>
      <c r="BD61" s="177"/>
      <c r="BE61" s="177"/>
      <c r="BF61" s="177"/>
      <c r="BQ61" s="432" t="s">
        <v>1632</v>
      </c>
    </row>
    <row r="62" spans="1:71" ht="16.350000000000001" customHeight="1">
      <c r="A62" s="177"/>
      <c r="B62" s="177"/>
      <c r="C62" s="177"/>
      <c r="D62" s="177"/>
      <c r="E62" s="177"/>
      <c r="F62" s="310"/>
      <c r="G62" s="177"/>
      <c r="H62" s="177"/>
      <c r="I62" s="177"/>
      <c r="J62" s="177"/>
      <c r="K62" s="177"/>
      <c r="L62" s="177"/>
      <c r="M62" s="177"/>
      <c r="N62" s="177"/>
      <c r="O62" s="369"/>
      <c r="P62" s="177"/>
      <c r="Q62" s="177"/>
      <c r="R62" s="177"/>
      <c r="S62" s="1341">
        <f>$BS$57/$BS$58</f>
        <v>0</v>
      </c>
      <c r="T62" s="1341"/>
      <c r="U62" s="1341"/>
      <c r="V62" s="1341"/>
      <c r="W62" s="1341"/>
      <c r="X62" s="1341"/>
      <c r="Y62" s="439"/>
      <c r="Z62" s="439"/>
      <c r="AA62" s="177"/>
      <c r="AB62" s="1341">
        <f>($BS$57/$BS$59)</f>
        <v>0</v>
      </c>
      <c r="AC62" s="1341"/>
      <c r="AD62" s="1341"/>
      <c r="AE62" s="1341"/>
      <c r="AF62" s="1341"/>
      <c r="AG62" s="1341"/>
      <c r="AH62" s="440"/>
      <c r="AI62" s="440"/>
      <c r="AJ62" s="440"/>
      <c r="AK62" s="1341">
        <f>$BS$57/$BS$60</f>
        <v>0</v>
      </c>
      <c r="AL62" s="1341"/>
      <c r="AM62" s="1341"/>
      <c r="AN62" s="1341"/>
      <c r="AO62" s="1341"/>
      <c r="AP62" s="1341"/>
      <c r="AQ62" s="417"/>
      <c r="AR62" s="177"/>
      <c r="AS62" s="177"/>
      <c r="AT62" s="177"/>
      <c r="AU62" s="177"/>
      <c r="AV62" s="177"/>
      <c r="AW62" s="177"/>
      <c r="AX62" s="177"/>
      <c r="AY62" s="177"/>
      <c r="AZ62" s="177"/>
      <c r="BA62" s="177"/>
      <c r="BB62" s="177"/>
      <c r="BC62" s="177"/>
      <c r="BD62" s="177"/>
      <c r="BE62" s="177"/>
      <c r="BF62" s="177"/>
    </row>
    <row r="63" spans="1:71" ht="16.350000000000001" customHeight="1">
      <c r="A63" s="177"/>
      <c r="B63" s="177"/>
      <c r="C63" s="177"/>
      <c r="D63" s="177"/>
      <c r="E63" s="177"/>
      <c r="F63" s="310"/>
      <c r="G63" s="177"/>
      <c r="H63" s="177"/>
      <c r="I63" s="177"/>
      <c r="J63" s="177"/>
      <c r="K63" s="177"/>
      <c r="L63" s="177"/>
      <c r="M63" s="177"/>
      <c r="N63" s="177"/>
      <c r="O63" s="369"/>
      <c r="P63" s="177"/>
      <c r="Q63" s="177"/>
      <c r="R63" s="177"/>
      <c r="S63" s="1351" t="s">
        <v>1633</v>
      </c>
      <c r="T63" s="1351"/>
      <c r="U63" s="1351"/>
      <c r="V63" s="1351"/>
      <c r="W63" s="1351"/>
      <c r="X63" s="1351"/>
      <c r="Y63" s="441"/>
      <c r="Z63" s="441"/>
      <c r="AA63" s="177"/>
      <c r="AB63" s="1340" t="s">
        <v>1634</v>
      </c>
      <c r="AC63" s="1340"/>
      <c r="AD63" s="1340"/>
      <c r="AE63" s="1340"/>
      <c r="AF63" s="1340"/>
      <c r="AG63" s="1340"/>
      <c r="AH63" s="442"/>
      <c r="AI63" s="442"/>
      <c r="AJ63" s="442"/>
      <c r="AK63" s="1340" t="s">
        <v>1635</v>
      </c>
      <c r="AL63" s="1340"/>
      <c r="AM63" s="1340"/>
      <c r="AN63" s="1340"/>
      <c r="AO63" s="1340"/>
      <c r="AP63" s="1340"/>
      <c r="AQ63" s="417"/>
      <c r="AR63" s="177"/>
      <c r="AS63" s="177"/>
      <c r="AT63" s="177"/>
      <c r="AU63" s="177"/>
      <c r="AV63" s="177"/>
      <c r="AW63" s="177"/>
      <c r="AX63" s="177"/>
      <c r="AY63" s="177"/>
      <c r="AZ63" s="177"/>
      <c r="BA63" s="177"/>
      <c r="BB63" s="177"/>
      <c r="BC63" s="177"/>
      <c r="BD63" s="177"/>
      <c r="BE63" s="177"/>
      <c r="BF63" s="177"/>
    </row>
    <row r="64" spans="1:71" ht="16.350000000000001" customHeight="1">
      <c r="A64" s="177"/>
      <c r="B64" s="177"/>
      <c r="C64" s="177"/>
      <c r="D64" s="177"/>
      <c r="E64" s="177"/>
      <c r="F64" s="310"/>
      <c r="G64" s="177"/>
      <c r="H64" s="177"/>
      <c r="I64" s="177"/>
      <c r="J64" s="177"/>
      <c r="K64" s="177"/>
      <c r="L64" s="177"/>
      <c r="M64" s="177"/>
      <c r="N64" s="177"/>
      <c r="O64" s="369"/>
      <c r="P64" s="177"/>
      <c r="Q64" s="177"/>
      <c r="R64" s="177"/>
      <c r="S64" s="1351" t="s">
        <v>1636</v>
      </c>
      <c r="T64" s="1351"/>
      <c r="U64" s="1351"/>
      <c r="V64" s="1351"/>
      <c r="W64" s="1351"/>
      <c r="X64" s="1351"/>
      <c r="Y64" s="441"/>
      <c r="Z64" s="441"/>
      <c r="AA64" s="177"/>
      <c r="AB64" s="1363" t="s">
        <v>1637</v>
      </c>
      <c r="AC64" s="1363"/>
      <c r="AD64" s="1363"/>
      <c r="AE64" s="1363"/>
      <c r="AF64" s="1363"/>
      <c r="AG64" s="1363"/>
      <c r="AH64" s="177"/>
      <c r="AI64" s="177"/>
      <c r="AJ64" s="177"/>
      <c r="AK64" s="1339" t="s">
        <v>1638</v>
      </c>
      <c r="AL64" s="1339"/>
      <c r="AM64" s="1339"/>
      <c r="AN64" s="1339"/>
      <c r="AO64" s="1339"/>
      <c r="AP64" s="1339"/>
      <c r="AQ64" s="417"/>
      <c r="AR64" s="439"/>
      <c r="AS64" s="177"/>
      <c r="AT64" s="177"/>
      <c r="AU64" s="177"/>
      <c r="AV64" s="177"/>
      <c r="AW64" s="177"/>
      <c r="AX64" s="177"/>
      <c r="AY64" s="177"/>
      <c r="AZ64" s="177"/>
      <c r="BA64" s="177"/>
      <c r="BB64" s="177"/>
      <c r="BC64" s="177"/>
      <c r="BD64" s="177"/>
      <c r="BE64" s="177"/>
      <c r="BF64" s="177"/>
    </row>
    <row r="65" spans="1:68" ht="16.350000000000001" customHeight="1">
      <c r="A65" s="177"/>
      <c r="B65" s="177"/>
      <c r="C65" s="177"/>
      <c r="D65" s="177"/>
      <c r="E65" s="177"/>
      <c r="F65" s="310"/>
      <c r="G65" s="177"/>
      <c r="H65" s="177"/>
      <c r="I65" s="177"/>
      <c r="J65" s="177"/>
      <c r="K65" s="177"/>
      <c r="L65" s="177"/>
      <c r="M65" s="177"/>
      <c r="N65" s="177"/>
      <c r="O65" s="369"/>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417"/>
      <c r="AR65" s="443"/>
      <c r="AS65" s="177"/>
      <c r="AT65" s="177"/>
      <c r="AU65" s="177"/>
      <c r="AV65" s="177"/>
      <c r="AW65" s="177"/>
      <c r="AX65" s="177"/>
      <c r="AY65" s="177"/>
      <c r="AZ65" s="177"/>
      <c r="BA65" s="177"/>
      <c r="BB65" s="177"/>
      <c r="BC65" s="177"/>
      <c r="BD65" s="177"/>
      <c r="BE65" s="177"/>
      <c r="BF65" s="177"/>
      <c r="BP65" s="177" t="s">
        <v>1639</v>
      </c>
    </row>
    <row r="66" spans="1:68" ht="16.350000000000001" customHeight="1">
      <c r="A66" s="177"/>
      <c r="B66" s="177"/>
      <c r="C66" s="177"/>
      <c r="D66" s="177"/>
      <c r="E66" s="177"/>
      <c r="F66" s="310"/>
      <c r="G66" s="177"/>
      <c r="H66" s="177"/>
      <c r="I66" s="177"/>
      <c r="J66" s="177"/>
      <c r="K66" s="177"/>
      <c r="L66" s="177"/>
      <c r="M66" s="177"/>
      <c r="N66" s="177"/>
      <c r="O66" s="369"/>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417"/>
      <c r="AR66" s="177"/>
      <c r="AS66" s="177"/>
      <c r="AT66" s="177"/>
      <c r="AU66" s="177"/>
      <c r="AV66" s="177"/>
      <c r="AW66" s="177"/>
      <c r="AX66" s="177"/>
      <c r="AY66" s="177"/>
      <c r="AZ66" s="177"/>
      <c r="BA66" s="177"/>
      <c r="BB66" s="177"/>
      <c r="BC66" s="177"/>
      <c r="BD66" s="177"/>
      <c r="BE66" s="177"/>
      <c r="BF66" s="177"/>
    </row>
    <row r="67" spans="1:68" ht="16.350000000000001" customHeight="1" thickBot="1">
      <c r="A67" s="177"/>
      <c r="B67" s="177"/>
      <c r="C67" s="177"/>
      <c r="D67" s="177"/>
      <c r="E67" s="177"/>
      <c r="F67" s="310"/>
      <c r="G67" s="177"/>
      <c r="H67" s="177"/>
      <c r="I67" s="177"/>
      <c r="J67" s="177"/>
      <c r="K67" s="177"/>
      <c r="L67" s="177"/>
      <c r="M67" s="177"/>
      <c r="N67" s="177"/>
      <c r="O67" s="369"/>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417"/>
      <c r="AR67" s="177"/>
      <c r="AS67" s="177"/>
      <c r="AT67" s="177"/>
      <c r="AU67" s="177"/>
      <c r="AV67" s="177"/>
      <c r="AW67" s="177"/>
      <c r="AX67" s="177"/>
      <c r="AY67" s="177"/>
      <c r="AZ67" s="177"/>
      <c r="BA67" s="177"/>
      <c r="BB67" s="177"/>
      <c r="BC67" s="177"/>
      <c r="BD67" s="177"/>
      <c r="BE67" s="177"/>
      <c r="BF67" s="177"/>
    </row>
    <row r="68" spans="1:68" ht="16.350000000000001" customHeight="1">
      <c r="A68" s="177"/>
      <c r="B68" s="177"/>
      <c r="C68" s="177"/>
      <c r="D68" s="177"/>
      <c r="E68" s="177"/>
      <c r="F68" s="310"/>
      <c r="G68" s="177"/>
      <c r="H68" s="177"/>
      <c r="I68" s="177"/>
      <c r="J68" s="177"/>
      <c r="K68" s="177"/>
      <c r="L68" s="177"/>
      <c r="M68" s="177"/>
      <c r="N68" s="177"/>
      <c r="O68" s="369"/>
      <c r="P68" s="1345" t="s">
        <v>1640</v>
      </c>
      <c r="Q68" s="1345"/>
      <c r="R68" s="1345"/>
      <c r="S68" s="1345"/>
      <c r="T68" s="1345"/>
      <c r="U68" s="1345"/>
      <c r="V68" s="1345"/>
      <c r="W68" s="1345"/>
      <c r="X68" s="1345"/>
      <c r="Y68" s="1345"/>
      <c r="Z68" s="1345"/>
      <c r="AA68" s="1345"/>
      <c r="AB68" s="1345"/>
      <c r="AC68" s="1345"/>
      <c r="AD68" s="1345"/>
      <c r="AE68" s="1345"/>
      <c r="AF68" s="1345"/>
      <c r="AG68" s="1345"/>
      <c r="AH68" s="1345"/>
      <c r="AI68" s="1345"/>
      <c r="AJ68" s="1345"/>
      <c r="AK68" s="1345"/>
      <c r="AL68" s="1345"/>
      <c r="AM68" s="1345"/>
      <c r="AN68" s="1345"/>
      <c r="AO68" s="1345"/>
      <c r="AP68" s="1345"/>
      <c r="AQ68" s="417"/>
      <c r="AR68" s="177"/>
      <c r="AS68" s="177"/>
      <c r="AT68" s="177"/>
      <c r="AU68" s="177"/>
      <c r="AV68" s="177"/>
      <c r="AW68" s="177"/>
      <c r="AX68" s="177"/>
      <c r="AY68" s="177"/>
      <c r="AZ68" s="177"/>
      <c r="BA68" s="177"/>
      <c r="BB68" s="177"/>
      <c r="BC68" s="177"/>
      <c r="BD68" s="177"/>
      <c r="BE68" s="177"/>
      <c r="BF68" s="177"/>
    </row>
    <row r="69" spans="1:68" ht="16.350000000000001" customHeight="1">
      <c r="A69" s="177"/>
      <c r="B69" s="177"/>
      <c r="C69" s="177"/>
      <c r="D69" s="177"/>
      <c r="E69" s="177"/>
      <c r="F69" s="310"/>
      <c r="G69" s="177"/>
      <c r="H69" s="177"/>
      <c r="I69" s="177"/>
      <c r="J69" s="177"/>
      <c r="K69" s="177"/>
      <c r="L69" s="177"/>
      <c r="M69" s="177"/>
      <c r="N69" s="177"/>
      <c r="O69" s="369"/>
      <c r="P69" s="1346"/>
      <c r="Q69" s="1346"/>
      <c r="R69" s="1346"/>
      <c r="S69" s="1346"/>
      <c r="T69" s="1346"/>
      <c r="U69" s="1346"/>
      <c r="V69" s="1346"/>
      <c r="W69" s="1346"/>
      <c r="X69" s="1346"/>
      <c r="Y69" s="1346"/>
      <c r="Z69" s="1346"/>
      <c r="AA69" s="1346"/>
      <c r="AB69" s="1346"/>
      <c r="AC69" s="1346"/>
      <c r="AD69" s="1346"/>
      <c r="AE69" s="1346"/>
      <c r="AF69" s="1346"/>
      <c r="AG69" s="1346"/>
      <c r="AH69" s="1346"/>
      <c r="AI69" s="1346"/>
      <c r="AJ69" s="1346"/>
      <c r="AK69" s="1346"/>
      <c r="AL69" s="1346"/>
      <c r="AM69" s="1346"/>
      <c r="AN69" s="1346"/>
      <c r="AO69" s="1346"/>
      <c r="AP69" s="1346"/>
      <c r="AQ69" s="417"/>
      <c r="AR69" s="177"/>
      <c r="AS69" s="177"/>
      <c r="AT69" s="177"/>
      <c r="AU69" s="177"/>
      <c r="AV69" s="177"/>
      <c r="AW69" s="177"/>
      <c r="AX69" s="177"/>
      <c r="AY69" s="177"/>
      <c r="AZ69" s="177"/>
      <c r="BA69" s="177"/>
      <c r="BB69" s="177"/>
      <c r="BC69" s="177"/>
      <c r="BD69" s="177"/>
      <c r="BE69" s="177"/>
      <c r="BF69" s="177"/>
    </row>
    <row r="70" spans="1:68" ht="16.350000000000001" customHeight="1">
      <c r="A70" s="177"/>
      <c r="B70" s="177"/>
      <c r="C70" s="177"/>
      <c r="D70" s="177"/>
      <c r="E70" s="177"/>
      <c r="F70" s="310"/>
      <c r="G70" s="310"/>
      <c r="H70" s="310"/>
      <c r="I70" s="310"/>
      <c r="J70" s="310"/>
      <c r="K70" s="310"/>
      <c r="L70" s="310"/>
      <c r="M70" s="310"/>
      <c r="N70" s="177"/>
      <c r="O70" s="369"/>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314"/>
      <c r="AO70" s="60"/>
      <c r="AP70" s="60"/>
      <c r="AQ70" s="417"/>
      <c r="AR70" s="177"/>
      <c r="AS70" s="177"/>
      <c r="AT70" s="177"/>
      <c r="AU70" s="177"/>
      <c r="AV70" s="177"/>
      <c r="AW70" s="177"/>
      <c r="AX70" s="177"/>
      <c r="AY70" s="177"/>
      <c r="AZ70" s="177"/>
      <c r="BA70" s="177"/>
      <c r="BB70" s="177"/>
      <c r="BC70" s="177"/>
      <c r="BD70" s="177"/>
      <c r="BE70" s="177"/>
      <c r="BF70" s="177"/>
    </row>
    <row r="71" spans="1:68" ht="16.350000000000001" customHeight="1">
      <c r="A71" s="177"/>
      <c r="B71" s="177"/>
      <c r="C71" s="177"/>
      <c r="D71" s="177"/>
      <c r="E71" s="177"/>
      <c r="F71" s="310"/>
      <c r="G71" s="310"/>
      <c r="H71" s="310"/>
      <c r="I71" s="310"/>
      <c r="J71" s="310"/>
      <c r="K71" s="310"/>
      <c r="L71" s="310"/>
      <c r="M71" s="310"/>
      <c r="N71" s="177"/>
      <c r="O71" s="369"/>
      <c r="P71" s="1355" t="s">
        <v>1641</v>
      </c>
      <c r="Q71" s="1355"/>
      <c r="R71" s="1355"/>
      <c r="S71" s="1355"/>
      <c r="T71" s="1355"/>
      <c r="U71" s="1355"/>
      <c r="V71" s="1355"/>
      <c r="W71" s="1355"/>
      <c r="X71" s="1355"/>
      <c r="Y71" s="1355"/>
      <c r="Z71" s="1355"/>
      <c r="AA71" s="1355"/>
      <c r="AB71" s="1355"/>
      <c r="AC71" s="60"/>
      <c r="AD71" s="177"/>
      <c r="AE71" s="444" t="s">
        <v>1642</v>
      </c>
      <c r="AF71" s="445"/>
      <c r="AG71" s="446" t="s">
        <v>158</v>
      </c>
      <c r="AH71" s="430"/>
      <c r="AI71" s="445"/>
      <c r="AJ71" s="445"/>
      <c r="AK71" s="445"/>
      <c r="AL71" s="445"/>
      <c r="AM71" s="445"/>
      <c r="AN71" s="445"/>
      <c r="AO71" s="445"/>
      <c r="AP71" s="445"/>
      <c r="AQ71" s="417"/>
      <c r="AR71" s="177"/>
      <c r="AS71" s="177"/>
      <c r="AT71" s="177"/>
      <c r="AU71" s="177"/>
      <c r="AV71" s="177"/>
      <c r="AW71" s="177"/>
      <c r="AX71" s="177"/>
      <c r="AY71" s="177"/>
      <c r="AZ71" s="177"/>
      <c r="BA71" s="177"/>
      <c r="BB71" s="177"/>
      <c r="BC71" s="177"/>
      <c r="BD71" s="177"/>
      <c r="BE71" s="177"/>
      <c r="BF71" s="177"/>
    </row>
    <row r="72" spans="1:68" ht="16.350000000000001" customHeight="1">
      <c r="A72" s="177"/>
      <c r="B72" s="177"/>
      <c r="C72" s="177"/>
      <c r="D72" s="177"/>
      <c r="E72" s="177"/>
      <c r="F72" s="310"/>
      <c r="G72" s="310"/>
      <c r="H72" s="310"/>
      <c r="I72" s="310"/>
      <c r="J72" s="310"/>
      <c r="K72" s="310"/>
      <c r="L72" s="310"/>
      <c r="M72" s="310"/>
      <c r="N72" s="177"/>
      <c r="O72" s="369"/>
      <c r="P72" s="1362" t="s">
        <v>159</v>
      </c>
      <c r="Q72" s="1362"/>
      <c r="R72" s="1362"/>
      <c r="S72" s="1362"/>
      <c r="T72" s="1362"/>
      <c r="U72" s="1362"/>
      <c r="V72" s="1362"/>
      <c r="W72" s="1362"/>
      <c r="X72" s="1362"/>
      <c r="Y72" s="1362"/>
      <c r="Z72" s="1362"/>
      <c r="AA72" s="1362"/>
      <c r="AB72" s="1362"/>
      <c r="AC72" s="60"/>
      <c r="AD72" s="177"/>
      <c r="AE72" s="444" t="s">
        <v>160</v>
      </c>
      <c r="AF72" s="447"/>
      <c r="AG72" s="448" t="str">
        <f>FOOT2</f>
        <v>1-844-300-PSEG (7734)</v>
      </c>
      <c r="AH72" s="447"/>
      <c r="AI72" s="447"/>
      <c r="AJ72" s="449"/>
      <c r="AK72" s="449"/>
      <c r="AL72" s="447"/>
      <c r="AM72" s="447"/>
      <c r="AN72" s="447"/>
      <c r="AO72" s="447"/>
      <c r="AP72" s="338"/>
      <c r="AQ72" s="417"/>
      <c r="AR72" s="177"/>
      <c r="AS72" s="177"/>
      <c r="AT72" s="177"/>
      <c r="AU72" s="177"/>
      <c r="AV72" s="177"/>
      <c r="AW72" s="177"/>
      <c r="AX72" s="177"/>
      <c r="AY72" s="177"/>
      <c r="AZ72" s="177"/>
      <c r="BA72" s="177"/>
      <c r="BB72" s="177"/>
      <c r="BC72" s="177"/>
      <c r="BD72" s="177"/>
      <c r="BE72" s="177"/>
      <c r="BF72" s="177"/>
    </row>
    <row r="73" spans="1:68" ht="16.350000000000001" customHeight="1">
      <c r="A73" s="177"/>
      <c r="B73" s="177"/>
      <c r="C73" s="177"/>
      <c r="D73" s="177"/>
      <c r="E73" s="177"/>
      <c r="F73" s="310"/>
      <c r="G73" s="310"/>
      <c r="H73" s="310"/>
      <c r="I73" s="310"/>
      <c r="J73" s="310"/>
      <c r="K73" s="310"/>
      <c r="L73" s="310"/>
      <c r="M73" s="310"/>
      <c r="N73" s="177"/>
      <c r="O73" s="369"/>
      <c r="P73" s="1362"/>
      <c r="Q73" s="1362"/>
      <c r="R73" s="1362"/>
      <c r="S73" s="1362"/>
      <c r="T73" s="1362"/>
      <c r="U73" s="1362"/>
      <c r="V73" s="1362"/>
      <c r="W73" s="1362"/>
      <c r="X73" s="1362"/>
      <c r="Y73" s="1362"/>
      <c r="Z73" s="1362"/>
      <c r="AA73" s="1362"/>
      <c r="AB73" s="1362"/>
      <c r="AC73" s="60"/>
      <c r="AD73" s="177"/>
      <c r="AE73" s="444" t="s">
        <v>161</v>
      </c>
      <c r="AF73" s="447"/>
      <c r="AG73" s="450" t="str">
        <f>FOOT3</f>
        <v>PSEGenergysaver@TRCcompanies.com</v>
      </c>
      <c r="AH73" s="447"/>
      <c r="AI73" s="447"/>
      <c r="AJ73" s="449"/>
      <c r="AK73" s="449"/>
      <c r="AL73" s="451"/>
      <c r="AM73" s="447"/>
      <c r="AN73" s="447"/>
      <c r="AO73" s="447"/>
      <c r="AP73" s="338"/>
      <c r="AQ73" s="417"/>
      <c r="AR73" s="177"/>
      <c r="AS73" s="177"/>
      <c r="AT73" s="177"/>
      <c r="AU73" s="177"/>
      <c r="AV73" s="177"/>
      <c r="AW73" s="177"/>
      <c r="AX73" s="177"/>
      <c r="AY73" s="177"/>
      <c r="AZ73" s="177"/>
      <c r="BA73" s="177"/>
      <c r="BB73" s="177"/>
      <c r="BC73" s="177"/>
      <c r="BD73" s="177"/>
      <c r="BE73" s="177"/>
      <c r="BF73" s="177"/>
    </row>
    <row r="74" spans="1:68" ht="16.350000000000001" customHeight="1">
      <c r="A74" s="177"/>
      <c r="B74" s="177"/>
      <c r="C74" s="177"/>
      <c r="D74" s="177"/>
      <c r="E74" s="177"/>
      <c r="F74" s="310"/>
      <c r="G74" s="310"/>
      <c r="H74" s="310"/>
      <c r="I74" s="310"/>
      <c r="J74" s="310"/>
      <c r="K74" s="310"/>
      <c r="L74" s="310"/>
      <c r="M74" s="310"/>
      <c r="N74" s="177"/>
      <c r="O74" s="369"/>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417"/>
      <c r="AR74" s="177"/>
      <c r="AS74" s="177"/>
      <c r="AT74" s="177"/>
      <c r="AU74" s="177"/>
      <c r="AV74" s="177"/>
      <c r="AW74" s="177"/>
      <c r="AX74" s="177"/>
      <c r="AY74" s="177"/>
      <c r="AZ74" s="177"/>
      <c r="BA74" s="177"/>
      <c r="BB74" s="177"/>
      <c r="BC74" s="177"/>
      <c r="BD74" s="177"/>
      <c r="BE74" s="177"/>
      <c r="BF74" s="177"/>
    </row>
    <row r="75" spans="1:68" ht="16.350000000000001" customHeight="1">
      <c r="A75" s="177"/>
      <c r="B75" s="177"/>
      <c r="C75" s="177"/>
      <c r="D75" s="177"/>
      <c r="E75" s="177"/>
      <c r="F75" s="310"/>
      <c r="G75" s="310"/>
      <c r="H75" s="310"/>
      <c r="I75" s="310"/>
      <c r="J75" s="310"/>
      <c r="K75" s="310"/>
      <c r="L75" s="310"/>
      <c r="M75" s="310"/>
      <c r="N75" s="177"/>
      <c r="O75" s="369"/>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417"/>
      <c r="AR75" s="177"/>
      <c r="AS75" s="177"/>
      <c r="AT75" s="177"/>
      <c r="AU75" s="177"/>
      <c r="AV75" s="177"/>
      <c r="AW75" s="177"/>
      <c r="AX75" s="177"/>
      <c r="AY75" s="177"/>
      <c r="AZ75" s="177"/>
      <c r="BA75" s="177"/>
      <c r="BB75" s="177"/>
      <c r="BC75" s="177"/>
      <c r="BD75" s="177"/>
      <c r="BE75" s="177"/>
      <c r="BF75" s="177"/>
    </row>
    <row r="76" spans="1:68" ht="16.350000000000001" customHeight="1">
      <c r="A76" s="177"/>
      <c r="B76" s="177"/>
      <c r="C76" s="177"/>
      <c r="D76" s="177"/>
      <c r="E76" s="177"/>
      <c r="F76" s="310"/>
      <c r="G76" s="310"/>
      <c r="H76" s="310"/>
      <c r="I76" s="310"/>
      <c r="J76" s="310"/>
      <c r="K76" s="310"/>
      <c r="L76" s="310"/>
      <c r="M76" s="310"/>
      <c r="N76" s="177"/>
      <c r="O76" s="369"/>
      <c r="P76" s="1356" t="str">
        <f>FOOT1</f>
        <v>PSE&amp;G C&amp;I Energy Efficiency Program</v>
      </c>
      <c r="Q76" s="1357"/>
      <c r="R76" s="1357"/>
      <c r="S76" s="1357"/>
      <c r="T76" s="1357"/>
      <c r="U76" s="1357"/>
      <c r="V76" s="1357"/>
      <c r="W76" s="1357"/>
      <c r="X76" s="1357"/>
      <c r="Y76" s="1357"/>
      <c r="Z76" s="1357"/>
      <c r="AA76" s="1357"/>
      <c r="AB76" s="1357"/>
      <c r="AC76" s="1357"/>
      <c r="AD76" s="1357"/>
      <c r="AE76" s="1357"/>
      <c r="AF76" s="1357"/>
      <c r="AG76" s="1357"/>
      <c r="AH76" s="1357"/>
      <c r="AI76" s="1357"/>
      <c r="AJ76" s="1357"/>
      <c r="AK76" s="1357"/>
      <c r="AL76" s="1357"/>
      <c r="AM76" s="1357"/>
      <c r="AN76" s="1357"/>
      <c r="AO76" s="1357"/>
      <c r="AP76" s="1358"/>
      <c r="AQ76" s="417"/>
      <c r="AR76" s="177"/>
      <c r="AS76" s="177"/>
      <c r="AT76" s="177"/>
      <c r="AU76" s="177"/>
      <c r="AV76" s="177"/>
      <c r="AW76" s="177"/>
      <c r="AX76" s="177"/>
      <c r="AY76" s="177"/>
      <c r="AZ76" s="177"/>
      <c r="BA76" s="177"/>
      <c r="BB76" s="177"/>
      <c r="BC76" s="177"/>
      <c r="BD76" s="177"/>
      <c r="BE76" s="177"/>
      <c r="BF76" s="177"/>
    </row>
    <row r="77" spans="1:68" ht="16.350000000000001" customHeight="1">
      <c r="A77" s="177"/>
      <c r="B77" s="177"/>
      <c r="C77" s="177"/>
      <c r="D77" s="177"/>
      <c r="E77" s="177"/>
      <c r="F77" s="310"/>
      <c r="G77" s="310"/>
      <c r="H77" s="310"/>
      <c r="I77" s="310"/>
      <c r="J77" s="310"/>
      <c r="K77" s="310"/>
      <c r="L77" s="310"/>
      <c r="M77" s="310"/>
      <c r="N77" s="177"/>
      <c r="O77" s="369"/>
      <c r="P77" s="1359"/>
      <c r="Q77" s="1360"/>
      <c r="R77" s="1360"/>
      <c r="S77" s="1360"/>
      <c r="T77" s="1360"/>
      <c r="U77" s="1360"/>
      <c r="V77" s="1360"/>
      <c r="W77" s="1360"/>
      <c r="X77" s="1360"/>
      <c r="Y77" s="1360"/>
      <c r="Z77" s="1360"/>
      <c r="AA77" s="1360"/>
      <c r="AB77" s="1360"/>
      <c r="AC77" s="1360"/>
      <c r="AD77" s="1360"/>
      <c r="AE77" s="1360"/>
      <c r="AF77" s="1360"/>
      <c r="AG77" s="1360"/>
      <c r="AH77" s="1360"/>
      <c r="AI77" s="1360"/>
      <c r="AJ77" s="1360"/>
      <c r="AK77" s="1360"/>
      <c r="AL77" s="1360"/>
      <c r="AM77" s="1360"/>
      <c r="AN77" s="1360"/>
      <c r="AO77" s="1360"/>
      <c r="AP77" s="1361"/>
      <c r="AQ77" s="417"/>
      <c r="AR77" s="177"/>
      <c r="AS77" s="177"/>
      <c r="AT77" s="177"/>
      <c r="AU77" s="177"/>
      <c r="AV77" s="177"/>
      <c r="AW77" s="177"/>
      <c r="AX77" s="177"/>
      <c r="AY77" s="177"/>
      <c r="AZ77" s="177"/>
      <c r="BA77" s="177"/>
      <c r="BB77" s="177"/>
      <c r="BC77" s="177"/>
      <c r="BD77" s="177"/>
      <c r="BE77" s="177"/>
      <c r="BF77" s="177"/>
    </row>
    <row r="78" spans="1:68" ht="16.350000000000001" customHeight="1">
      <c r="A78" s="177"/>
      <c r="B78" s="177"/>
      <c r="C78" s="177"/>
      <c r="D78" s="177"/>
      <c r="E78" s="177"/>
      <c r="F78" s="310"/>
      <c r="G78" s="310"/>
      <c r="H78" s="310"/>
      <c r="I78" s="310"/>
      <c r="J78" s="310"/>
      <c r="K78" s="310"/>
      <c r="L78" s="310"/>
      <c r="M78" s="310"/>
      <c r="N78" s="177"/>
      <c r="O78" s="379"/>
      <c r="P78" s="380"/>
      <c r="Q78" s="380"/>
      <c r="R78" s="380"/>
      <c r="S78" s="380"/>
      <c r="T78" s="380"/>
      <c r="U78" s="380"/>
      <c r="V78" s="380"/>
      <c r="W78" s="380"/>
      <c r="X78" s="380"/>
      <c r="Y78" s="380"/>
      <c r="Z78" s="380"/>
      <c r="AA78" s="380"/>
      <c r="AB78" s="380"/>
      <c r="AC78" s="380"/>
      <c r="AD78" s="380"/>
      <c r="AE78" s="380"/>
      <c r="AF78" s="380"/>
      <c r="AG78" s="380"/>
      <c r="AH78" s="380"/>
      <c r="AI78" s="380"/>
      <c r="AJ78" s="380"/>
      <c r="AK78" s="380"/>
      <c r="AL78" s="380"/>
      <c r="AM78" s="380"/>
      <c r="AN78" s="380"/>
      <c r="AO78" s="380"/>
      <c r="AP78" s="380"/>
      <c r="AQ78" s="381"/>
      <c r="AR78" s="177"/>
      <c r="AS78" s="177"/>
      <c r="AT78" s="177"/>
      <c r="AU78" s="177"/>
      <c r="AV78" s="177"/>
      <c r="AW78" s="177"/>
      <c r="AX78" s="177"/>
      <c r="AY78" s="177"/>
      <c r="AZ78" s="177"/>
      <c r="BA78" s="177"/>
      <c r="BB78" s="177"/>
      <c r="BC78" s="177"/>
      <c r="BD78" s="177"/>
      <c r="BE78" s="177"/>
      <c r="BF78" s="177"/>
    </row>
    <row r="79" spans="1:68" ht="16.350000000000001" customHeight="1">
      <c r="A79" s="177"/>
      <c r="B79" s="177"/>
      <c r="C79" s="310"/>
      <c r="D79" s="310"/>
      <c r="E79" s="310"/>
      <c r="F79" s="310"/>
      <c r="G79" s="310"/>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c r="BB79" s="177"/>
      <c r="BC79" s="177"/>
      <c r="BD79" s="177"/>
      <c r="BE79" s="177"/>
      <c r="BF79" s="177"/>
    </row>
    <row r="80" spans="1:68" ht="15" customHeight="1">
      <c r="A80" s="177"/>
      <c r="B80" s="177"/>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177"/>
      <c r="AO80" s="177"/>
      <c r="AP80" s="177"/>
      <c r="AQ80" s="177"/>
      <c r="AR80" s="177"/>
      <c r="AS80" s="177"/>
      <c r="AT80" s="177"/>
      <c r="AU80" s="177"/>
      <c r="AV80" s="177"/>
      <c r="AW80" s="177"/>
      <c r="AX80" s="177"/>
      <c r="AY80" s="177"/>
      <c r="AZ80" s="177"/>
      <c r="BA80" s="177"/>
      <c r="BB80" s="177"/>
      <c r="BC80" s="177"/>
      <c r="BD80" s="177"/>
      <c r="BE80" s="177"/>
      <c r="BF80" s="177"/>
    </row>
    <row r="81" spans="3:39" s="177" customFormat="1" ht="15" hidden="1" customHeight="1">
      <c r="C81" s="310"/>
      <c r="D81" s="310"/>
      <c r="E81" s="310"/>
      <c r="F81" s="310"/>
      <c r="G81" s="310"/>
      <c r="I81" s="310"/>
      <c r="AK81" s="310"/>
      <c r="AM81" s="310"/>
    </row>
    <row r="82" spans="3:39" s="177" customFormat="1" ht="15" hidden="1" customHeight="1">
      <c r="C82" s="310"/>
      <c r="D82" s="310"/>
      <c r="E82" s="310"/>
      <c r="F82" s="310"/>
      <c r="G82" s="310"/>
      <c r="I82" s="310"/>
      <c r="AK82" s="310"/>
      <c r="AM82" s="310"/>
    </row>
    <row r="83" spans="3:39" s="177" customFormat="1" ht="15" hidden="1" customHeight="1">
      <c r="C83" s="310"/>
      <c r="D83" s="310"/>
      <c r="E83" s="310"/>
      <c r="F83" s="310"/>
      <c r="G83" s="310"/>
    </row>
    <row r="84" spans="3:39" s="177" customFormat="1" ht="15" hidden="1" customHeight="1">
      <c r="C84" s="310"/>
      <c r="D84" s="310"/>
      <c r="E84" s="310"/>
      <c r="F84" s="310"/>
      <c r="G84" s="310"/>
    </row>
    <row r="85" spans="3:39" s="177" customFormat="1" ht="15" hidden="1" customHeight="1">
      <c r="C85" s="310"/>
      <c r="D85" s="310"/>
      <c r="E85" s="310"/>
      <c r="F85" s="310"/>
      <c r="G85" s="310"/>
    </row>
    <row r="86" spans="3:39" s="177" customFormat="1" ht="15" hidden="1" customHeight="1">
      <c r="C86" s="310"/>
      <c r="D86" s="310"/>
      <c r="E86" s="310"/>
      <c r="F86" s="310"/>
      <c r="G86" s="310"/>
    </row>
    <row r="87" spans="3:39" s="177" customFormat="1" ht="15" hidden="1" customHeight="1">
      <c r="C87" s="310"/>
      <c r="D87" s="310"/>
      <c r="E87" s="310"/>
      <c r="F87" s="310"/>
      <c r="G87" s="310"/>
    </row>
    <row r="88" spans="3:39" s="177" customFormat="1" ht="15" hidden="1" customHeight="1">
      <c r="C88" s="310"/>
      <c r="D88" s="310"/>
      <c r="E88" s="310"/>
      <c r="F88" s="310"/>
      <c r="G88" s="310"/>
    </row>
    <row r="89" spans="3:39" s="177" customFormat="1" ht="15" hidden="1" customHeight="1">
      <c r="C89" s="310"/>
      <c r="D89" s="310"/>
      <c r="E89" s="310"/>
      <c r="F89" s="310"/>
      <c r="G89" s="310"/>
    </row>
    <row r="90" spans="3:39" s="177" customFormat="1" ht="15" hidden="1" customHeight="1">
      <c r="C90" s="310"/>
      <c r="D90" s="310"/>
      <c r="E90" s="310"/>
      <c r="F90" s="310"/>
      <c r="G90" s="310"/>
      <c r="H90" s="310"/>
    </row>
    <row r="91" spans="3:39" s="177" customFormat="1" ht="15" hidden="1" customHeight="1">
      <c r="C91" s="310"/>
      <c r="D91" s="310"/>
      <c r="E91" s="310"/>
      <c r="F91" s="310"/>
      <c r="G91" s="310"/>
      <c r="H91" s="310"/>
    </row>
    <row r="92" spans="3:39" s="177" customFormat="1" ht="15" hidden="1" customHeight="1"/>
    <row r="93" spans="3:39" s="177" customFormat="1" ht="15" hidden="1" customHeight="1"/>
    <row r="94" spans="3:39" s="177" customFormat="1" ht="15" hidden="1" customHeight="1"/>
    <row r="95" spans="3:39" s="177" customFormat="1" ht="15" hidden="1" customHeight="1"/>
    <row r="96" spans="3:39" s="177" customFormat="1" ht="15" hidden="1" customHeight="1"/>
    <row r="97" s="177" customFormat="1" ht="15" hidden="1" customHeight="1"/>
    <row r="98" s="177" customFormat="1" ht="15" hidden="1" customHeight="1"/>
    <row r="99" s="177" customFormat="1" ht="15" hidden="1" customHeight="1"/>
    <row r="100" s="177" customFormat="1" ht="15" hidden="1" customHeight="1"/>
    <row r="101" s="177" customFormat="1" ht="15" hidden="1" customHeight="1"/>
    <row r="102" s="177" customFormat="1" ht="15" hidden="1" customHeight="1"/>
    <row r="103" s="177" customFormat="1" ht="15" hidden="1" customHeight="1"/>
    <row r="104" s="177" customFormat="1" ht="15" hidden="1" customHeight="1"/>
    <row r="105" s="177" customFormat="1" ht="15" hidden="1" customHeight="1"/>
    <row r="106" s="177" customFormat="1" ht="15" hidden="1" customHeight="1"/>
    <row r="107" s="177" customFormat="1" ht="15" hidden="1" customHeight="1"/>
    <row r="108" s="177" customFormat="1" ht="15" hidden="1" customHeight="1"/>
    <row r="109" s="177" customFormat="1" ht="15" hidden="1" customHeight="1"/>
    <row r="110" s="177" customFormat="1" ht="15" hidden="1" customHeight="1"/>
    <row r="111" s="177" customFormat="1" ht="15" hidden="1" customHeight="1"/>
    <row r="112" s="177" customFormat="1" ht="15" hidden="1" customHeight="1"/>
    <row r="113" s="177" customFormat="1" ht="15" hidden="1" customHeight="1"/>
    <row r="114" s="177" customFormat="1" ht="15" hidden="1" customHeight="1"/>
    <row r="115" s="177" customFormat="1" ht="15" hidden="1" customHeight="1"/>
    <row r="116" s="177" customFormat="1" ht="15" hidden="1" customHeight="1"/>
    <row r="117" s="177" customFormat="1" ht="15" hidden="1" customHeight="1"/>
    <row r="118" s="177" customFormat="1" ht="15" hidden="1" customHeight="1"/>
    <row r="119" s="177" customFormat="1" ht="15" hidden="1" customHeight="1"/>
    <row r="120" s="177" customFormat="1" ht="15" hidden="1" customHeight="1"/>
    <row r="121" s="177" customFormat="1" ht="15" hidden="1" customHeight="1"/>
    <row r="122" s="177" customFormat="1" ht="15" hidden="1" customHeight="1"/>
    <row r="123" s="177" customFormat="1" ht="15" hidden="1" customHeight="1"/>
    <row r="124" s="177" customFormat="1" ht="15" hidden="1" customHeight="1"/>
    <row r="125" s="177" customFormat="1" ht="15" hidden="1" customHeight="1"/>
    <row r="126" s="177" customFormat="1" ht="15" hidden="1" customHeight="1"/>
    <row r="127" s="177" customFormat="1" ht="15" hidden="1" customHeight="1"/>
    <row r="128" s="177" customFormat="1" ht="15" hidden="1" customHeight="1"/>
    <row r="129" s="177" customFormat="1" ht="15" hidden="1" customHeight="1"/>
    <row r="130" s="177" customFormat="1" ht="15" hidden="1" customHeight="1"/>
    <row r="131" s="177" customFormat="1" ht="15" hidden="1" customHeight="1"/>
    <row r="132" s="177" customFormat="1" ht="15" hidden="1" customHeight="1"/>
    <row r="133" s="177" customFormat="1" ht="15" hidden="1" customHeight="1"/>
    <row r="134" s="177" customFormat="1" ht="15" hidden="1" customHeight="1"/>
    <row r="135" s="177" customFormat="1" ht="15" hidden="1" customHeight="1"/>
    <row r="136" s="177" customFormat="1" ht="15" hidden="1" customHeight="1"/>
    <row r="137" s="177" customFormat="1" ht="15" hidden="1" customHeight="1"/>
    <row r="138" s="177" customFormat="1" ht="15" hidden="1" customHeight="1"/>
    <row r="139" s="177" customFormat="1" ht="15" hidden="1" customHeight="1"/>
    <row r="140" s="177" customFormat="1" ht="15" hidden="1" customHeight="1"/>
    <row r="141" s="177" customFormat="1" ht="15" hidden="1" customHeight="1"/>
    <row r="142" s="177" customFormat="1" ht="15" hidden="1" customHeight="1"/>
    <row r="143" s="177" customFormat="1" ht="15" hidden="1" customHeight="1"/>
    <row r="144" s="177" customFormat="1" ht="15" hidden="1" customHeight="1"/>
    <row r="145" s="177" customFormat="1" ht="15" hidden="1" customHeight="1"/>
    <row r="146" s="177" customFormat="1" ht="15" hidden="1" customHeight="1"/>
    <row r="147" s="177" customFormat="1" ht="15" hidden="1" customHeight="1"/>
    <row r="148" s="177" customFormat="1" ht="15" hidden="1" customHeight="1"/>
    <row r="149" s="177" customFormat="1" ht="15" hidden="1" customHeight="1"/>
    <row r="150" s="177" customFormat="1" ht="15" hidden="1" customHeight="1"/>
    <row r="151" s="177" customFormat="1" ht="15" hidden="1" customHeight="1"/>
    <row r="152" s="177" customFormat="1" ht="15" hidden="1" customHeight="1"/>
    <row r="153" s="177" customFormat="1" ht="15" hidden="1" customHeight="1"/>
    <row r="154" s="177" customFormat="1" ht="15" hidden="1" customHeight="1"/>
    <row r="155" s="177" customFormat="1" ht="15" hidden="1" customHeight="1"/>
    <row r="156" s="177" customFormat="1" ht="15" hidden="1" customHeight="1"/>
    <row r="157" s="177" customFormat="1" ht="15" hidden="1" customHeight="1"/>
    <row r="158" s="177" customFormat="1" ht="15" hidden="1" customHeight="1"/>
    <row r="159" s="177" customFormat="1" ht="15" hidden="1" customHeight="1"/>
    <row r="160" s="177" customFormat="1" ht="15" hidden="1" customHeight="1"/>
    <row r="161" spans="3:15" s="177" customFormat="1" ht="15" hidden="1" customHeight="1"/>
    <row r="162" spans="3:15" s="177" customFormat="1" ht="15" hidden="1" customHeight="1"/>
    <row r="163" spans="3:15" s="177" customFormat="1" ht="15" hidden="1" customHeight="1"/>
    <row r="164" spans="3:15" s="177" customFormat="1" ht="15" hidden="1" customHeight="1"/>
    <row r="165" spans="3:15" s="177" customFormat="1" ht="15" hidden="1" customHeight="1"/>
    <row r="166" spans="3:15" s="177" customFormat="1" ht="15" hidden="1" customHeight="1"/>
    <row r="167" spans="3:15" s="177" customFormat="1" ht="15" hidden="1" customHeight="1"/>
    <row r="168" spans="3:15" s="177" customFormat="1" ht="15" hidden="1" customHeight="1"/>
    <row r="169" spans="3:15" s="177" customFormat="1" ht="15" hidden="1" customHeight="1"/>
    <row r="170" spans="3:15" s="177" customFormat="1" ht="15" hidden="1" customHeight="1"/>
    <row r="171" spans="3:15" s="177" customFormat="1" ht="15" hidden="1" customHeight="1"/>
    <row r="172" spans="3:15" s="177" customFormat="1" ht="15" hidden="1" customHeight="1"/>
    <row r="173" spans="3:15" s="177" customFormat="1" ht="15" hidden="1" customHeight="1">
      <c r="C173" s="310"/>
      <c r="D173" s="310"/>
      <c r="E173" s="310"/>
      <c r="F173" s="310"/>
      <c r="G173" s="310"/>
      <c r="H173" s="310"/>
      <c r="J173" s="310"/>
      <c r="K173" s="310"/>
      <c r="L173" s="310"/>
      <c r="M173" s="310"/>
      <c r="N173" s="310"/>
      <c r="O173" s="310"/>
    </row>
    <row r="174" spans="3:15" s="177" customFormat="1" ht="15" hidden="1" customHeight="1">
      <c r="C174" s="310"/>
      <c r="D174" s="310"/>
      <c r="E174" s="310"/>
      <c r="F174" s="310"/>
      <c r="G174" s="310"/>
      <c r="H174" s="310"/>
      <c r="J174" s="310"/>
      <c r="K174" s="310"/>
      <c r="L174" s="310"/>
      <c r="M174" s="310"/>
      <c r="N174" s="310"/>
      <c r="O174" s="310"/>
    </row>
    <row r="175" spans="3:15" s="177" customFormat="1" ht="15" hidden="1" customHeight="1">
      <c r="C175" s="310"/>
      <c r="D175" s="310"/>
      <c r="E175" s="310"/>
      <c r="F175" s="310"/>
      <c r="G175" s="310"/>
      <c r="H175" s="310"/>
      <c r="J175" s="310"/>
      <c r="K175" s="310"/>
      <c r="L175" s="310"/>
      <c r="M175" s="310"/>
      <c r="N175" s="310"/>
      <c r="O175" s="310"/>
    </row>
    <row r="176" spans="3:15" s="177" customFormat="1" ht="15" hidden="1" customHeight="1">
      <c r="C176" s="310"/>
      <c r="D176" s="310"/>
      <c r="E176" s="310"/>
      <c r="F176" s="310"/>
      <c r="G176" s="310"/>
      <c r="H176" s="310"/>
      <c r="J176" s="310"/>
      <c r="K176" s="310"/>
      <c r="L176" s="310"/>
      <c r="M176" s="310"/>
      <c r="N176" s="310"/>
      <c r="O176" s="310"/>
    </row>
    <row r="177" spans="3:15" s="177" customFormat="1" ht="15" hidden="1" customHeight="1">
      <c r="C177" s="310"/>
      <c r="D177" s="310"/>
      <c r="E177" s="310"/>
      <c r="F177" s="310"/>
      <c r="G177" s="310"/>
      <c r="H177" s="310"/>
      <c r="J177" s="310"/>
      <c r="K177" s="310"/>
      <c r="L177" s="310"/>
      <c r="M177" s="310"/>
      <c r="N177" s="310"/>
      <c r="O177" s="310"/>
    </row>
    <row r="178" spans="3:15" s="177" customFormat="1" ht="15" hidden="1" customHeight="1">
      <c r="C178" s="310"/>
      <c r="D178" s="310"/>
      <c r="E178" s="310"/>
      <c r="F178" s="310"/>
      <c r="G178" s="310"/>
      <c r="H178" s="310"/>
      <c r="J178" s="310"/>
      <c r="K178" s="310"/>
      <c r="L178" s="310"/>
      <c r="M178" s="310"/>
      <c r="N178" s="310"/>
      <c r="O178" s="310"/>
    </row>
    <row r="179" spans="3:15" s="177" customFormat="1" ht="15" hidden="1" customHeight="1">
      <c r="C179" s="310"/>
      <c r="D179" s="310"/>
      <c r="E179" s="310"/>
      <c r="F179" s="310"/>
      <c r="G179" s="310"/>
      <c r="H179" s="310"/>
      <c r="J179" s="310"/>
      <c r="K179" s="310"/>
      <c r="L179" s="310"/>
      <c r="M179" s="310"/>
      <c r="N179" s="310"/>
      <c r="O179" s="310"/>
    </row>
    <row r="180" spans="3:15" s="177" customFormat="1" ht="15" hidden="1" customHeight="1">
      <c r="C180" s="310"/>
      <c r="D180" s="310"/>
      <c r="E180" s="310"/>
      <c r="F180" s="310"/>
      <c r="G180" s="310"/>
      <c r="H180" s="310"/>
      <c r="J180" s="310"/>
      <c r="K180" s="310"/>
      <c r="L180" s="310"/>
      <c r="M180" s="310"/>
      <c r="N180" s="310"/>
      <c r="O180" s="310"/>
    </row>
    <row r="181" spans="3:15" s="177" customFormat="1" ht="15" hidden="1" customHeight="1">
      <c r="C181" s="310"/>
      <c r="D181" s="310"/>
      <c r="E181" s="310"/>
      <c r="F181" s="310"/>
      <c r="G181" s="310"/>
      <c r="H181" s="310"/>
      <c r="J181" s="310"/>
      <c r="K181" s="310"/>
      <c r="L181" s="310"/>
      <c r="M181" s="310"/>
      <c r="N181" s="310"/>
      <c r="O181" s="310"/>
    </row>
    <row r="182" spans="3:15" s="177" customFormat="1" ht="15" hidden="1" customHeight="1">
      <c r="C182" s="310"/>
      <c r="D182" s="310"/>
      <c r="E182" s="310"/>
      <c r="F182" s="310"/>
      <c r="G182" s="310"/>
      <c r="H182" s="310"/>
      <c r="J182" s="310"/>
      <c r="K182" s="310"/>
      <c r="L182" s="310"/>
      <c r="M182" s="310"/>
      <c r="N182" s="310"/>
      <c r="O182" s="310"/>
    </row>
    <row r="183" spans="3:15" s="177" customFormat="1" ht="15" hidden="1" customHeight="1">
      <c r="C183" s="310"/>
      <c r="D183" s="310"/>
      <c r="E183" s="310"/>
      <c r="F183" s="310"/>
      <c r="G183" s="310"/>
      <c r="H183" s="310"/>
      <c r="J183" s="310"/>
      <c r="K183" s="310"/>
      <c r="L183" s="310"/>
      <c r="M183" s="310"/>
      <c r="N183" s="310"/>
      <c r="O183" s="310"/>
    </row>
    <row r="184" spans="3:15" s="177" customFormat="1" ht="15" hidden="1" customHeight="1">
      <c r="C184" s="310"/>
      <c r="D184" s="310"/>
      <c r="E184" s="310"/>
      <c r="F184" s="310"/>
      <c r="G184" s="310"/>
      <c r="H184" s="310"/>
      <c r="J184" s="310"/>
      <c r="K184" s="310"/>
      <c r="L184" s="310"/>
      <c r="M184" s="310"/>
      <c r="N184" s="310"/>
      <c r="O184" s="310"/>
    </row>
    <row r="185" spans="3:15" s="177" customFormat="1" ht="15" hidden="1" customHeight="1">
      <c r="C185" s="310"/>
      <c r="D185" s="310"/>
      <c r="E185" s="310"/>
      <c r="F185" s="310"/>
      <c r="G185" s="310"/>
      <c r="H185" s="310"/>
      <c r="J185" s="310"/>
      <c r="K185" s="310"/>
      <c r="L185" s="310"/>
      <c r="M185" s="310"/>
      <c r="N185" s="310"/>
      <c r="O185" s="310"/>
    </row>
    <row r="186" spans="3:15" s="177" customFormat="1" ht="15" hidden="1" customHeight="1">
      <c r="C186" s="310"/>
      <c r="D186" s="310"/>
      <c r="E186" s="310"/>
      <c r="F186" s="310"/>
      <c r="G186" s="310"/>
      <c r="H186" s="310"/>
      <c r="J186" s="310"/>
      <c r="K186" s="310"/>
      <c r="L186" s="310"/>
      <c r="M186" s="310"/>
      <c r="N186" s="310"/>
      <c r="O186" s="310"/>
    </row>
    <row r="187" spans="3:15" s="177" customFormat="1" ht="15" hidden="1" customHeight="1">
      <c r="C187" s="310"/>
      <c r="D187" s="310"/>
      <c r="E187" s="310"/>
      <c r="F187" s="310"/>
      <c r="G187" s="310"/>
      <c r="H187" s="310"/>
      <c r="J187" s="310"/>
      <c r="K187" s="310"/>
      <c r="L187" s="310"/>
      <c r="M187" s="310"/>
      <c r="N187" s="310"/>
      <c r="O187" s="310"/>
    </row>
    <row r="188" spans="3:15" s="177" customFormat="1" ht="15" hidden="1" customHeight="1">
      <c r="C188" s="310"/>
      <c r="D188" s="310"/>
      <c r="E188" s="310"/>
      <c r="F188" s="310"/>
      <c r="G188" s="310"/>
      <c r="H188" s="310"/>
      <c r="J188" s="310"/>
      <c r="K188" s="310"/>
      <c r="L188" s="310"/>
      <c r="M188" s="310"/>
      <c r="N188" s="310"/>
      <c r="O188" s="310"/>
    </row>
    <row r="189" spans="3:15" s="177" customFormat="1" ht="15" hidden="1" customHeight="1">
      <c r="C189" s="310"/>
      <c r="D189" s="310"/>
      <c r="E189" s="310"/>
      <c r="F189" s="310"/>
      <c r="G189" s="310"/>
      <c r="H189" s="310"/>
      <c r="J189" s="310"/>
      <c r="K189" s="310"/>
      <c r="L189" s="310"/>
      <c r="M189" s="310"/>
      <c r="N189" s="310"/>
      <c r="O189" s="310"/>
    </row>
    <row r="190" spans="3:15" s="177" customFormat="1" ht="15" hidden="1" customHeight="1">
      <c r="C190" s="310"/>
      <c r="D190" s="310"/>
      <c r="E190" s="310"/>
      <c r="F190" s="310"/>
      <c r="G190" s="310"/>
      <c r="H190" s="310"/>
      <c r="J190" s="310"/>
      <c r="K190" s="310"/>
      <c r="L190" s="310"/>
      <c r="M190" s="310"/>
      <c r="N190" s="310"/>
      <c r="O190" s="310"/>
    </row>
    <row r="191" spans="3:15" s="177" customFormat="1" ht="15" hidden="1" customHeight="1">
      <c r="C191" s="310"/>
      <c r="D191" s="310"/>
      <c r="E191" s="310"/>
      <c r="F191" s="310"/>
      <c r="G191" s="310"/>
      <c r="H191" s="310"/>
      <c r="J191" s="310"/>
      <c r="K191" s="310"/>
      <c r="L191" s="310"/>
      <c r="M191" s="310"/>
      <c r="N191" s="310"/>
      <c r="O191" s="310"/>
    </row>
    <row r="192" spans="3:15" s="177" customFormat="1" ht="15" hidden="1" customHeight="1">
      <c r="C192" s="310"/>
      <c r="D192" s="310"/>
      <c r="E192" s="310"/>
      <c r="F192" s="310"/>
      <c r="G192" s="310"/>
      <c r="H192" s="310"/>
      <c r="J192" s="310"/>
      <c r="K192" s="310"/>
      <c r="L192" s="310"/>
      <c r="M192" s="310"/>
      <c r="N192" s="310"/>
      <c r="O192" s="310"/>
    </row>
    <row r="193" spans="1:59" ht="15" hidden="1" customHeight="1">
      <c r="A193" s="177"/>
      <c r="B193" s="177"/>
      <c r="C193" s="310"/>
      <c r="D193" s="310"/>
      <c r="E193" s="310"/>
      <c r="F193" s="310"/>
      <c r="G193" s="310"/>
      <c r="H193" s="310"/>
      <c r="I193" s="177"/>
      <c r="J193" s="310"/>
      <c r="K193" s="310"/>
      <c r="L193" s="310"/>
      <c r="M193" s="310"/>
      <c r="N193" s="310"/>
      <c r="O193" s="310"/>
      <c r="P193" s="177"/>
      <c r="Q193" s="177"/>
      <c r="R193" s="177"/>
      <c r="S193" s="177"/>
      <c r="T193" s="177"/>
      <c r="U193" s="177"/>
      <c r="V193" s="177"/>
      <c r="W193" s="177"/>
      <c r="X193" s="177"/>
      <c r="Y193" s="177"/>
      <c r="Z193" s="177"/>
      <c r="AA193" s="177"/>
      <c r="AB193" s="177"/>
      <c r="AC193" s="177"/>
      <c r="AD193" s="177"/>
      <c r="AE193" s="177"/>
      <c r="AF193" s="177"/>
      <c r="AG193" s="177"/>
      <c r="AH193" s="177"/>
      <c r="AI193" s="177"/>
      <c r="AJ193" s="177"/>
      <c r="AK193" s="177"/>
      <c r="AL193" s="177"/>
      <c r="AM193" s="177"/>
      <c r="AN193" s="177"/>
      <c r="AO193" s="177"/>
      <c r="AP193" s="177"/>
      <c r="AQ193" s="177"/>
      <c r="AR193" s="177"/>
      <c r="AS193" s="177"/>
      <c r="AT193" s="177"/>
      <c r="AU193" s="177"/>
      <c r="AV193" s="177"/>
      <c r="AW193" s="177"/>
      <c r="AX193" s="177"/>
      <c r="AY193" s="177"/>
      <c r="AZ193" s="177"/>
      <c r="BA193" s="177"/>
      <c r="BB193" s="177"/>
      <c r="BC193" s="177"/>
      <c r="BD193" s="177"/>
      <c r="BE193" s="177"/>
      <c r="BF193" s="177"/>
    </row>
    <row r="194" spans="1:59" ht="15" hidden="1" customHeight="1">
      <c r="A194" s="177"/>
      <c r="B194" s="177"/>
      <c r="C194" s="310"/>
      <c r="D194" s="310"/>
      <c r="E194" s="310"/>
      <c r="F194" s="310"/>
      <c r="G194" s="310"/>
      <c r="H194" s="310"/>
      <c r="I194" s="177"/>
      <c r="J194" s="310"/>
      <c r="K194" s="310"/>
      <c r="L194" s="310"/>
      <c r="M194" s="310"/>
      <c r="N194" s="310"/>
      <c r="O194" s="310"/>
      <c r="P194" s="177"/>
      <c r="Q194" s="177"/>
      <c r="R194" s="177"/>
      <c r="S194" s="177"/>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c r="AR194" s="177"/>
      <c r="AS194" s="177"/>
      <c r="AT194" s="177"/>
      <c r="AU194" s="177"/>
      <c r="AV194" s="177"/>
      <c r="AW194" s="177"/>
      <c r="AX194" s="177"/>
      <c r="AY194" s="177"/>
      <c r="AZ194" s="177"/>
      <c r="BA194" s="177"/>
      <c r="BB194" s="177"/>
      <c r="BC194" s="177"/>
      <c r="BD194" s="177"/>
      <c r="BE194" s="177"/>
      <c r="BF194" s="177"/>
    </row>
    <row r="195" spans="1:59" ht="15" hidden="1" customHeight="1">
      <c r="A195" s="177"/>
      <c r="B195" s="177"/>
      <c r="C195" s="310"/>
      <c r="D195" s="310"/>
      <c r="E195" s="310"/>
      <c r="F195" s="310"/>
      <c r="G195" s="310"/>
      <c r="H195" s="310"/>
      <c r="I195" s="177"/>
      <c r="J195" s="310"/>
      <c r="K195" s="310"/>
      <c r="L195" s="310"/>
      <c r="M195" s="310"/>
      <c r="N195" s="310"/>
      <c r="O195" s="310"/>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77"/>
      <c r="AN195" s="177"/>
      <c r="AO195" s="177"/>
      <c r="AP195" s="177"/>
      <c r="AQ195" s="177"/>
      <c r="AR195" s="177"/>
      <c r="AS195" s="177"/>
      <c r="AT195" s="177"/>
      <c r="AU195" s="177"/>
      <c r="AV195" s="177"/>
      <c r="AW195" s="177"/>
      <c r="AX195" s="177"/>
      <c r="AY195" s="177"/>
      <c r="AZ195" s="177"/>
      <c r="BA195" s="177"/>
      <c r="BB195" s="177"/>
      <c r="BC195" s="177"/>
      <c r="BD195" s="177"/>
      <c r="BE195" s="177"/>
      <c r="BF195" s="177"/>
    </row>
    <row r="196" spans="1:59" ht="15" hidden="1" customHeight="1">
      <c r="A196" s="177"/>
      <c r="B196" s="177"/>
      <c r="C196" s="310"/>
      <c r="D196" s="310"/>
      <c r="E196" s="310"/>
      <c r="F196" s="310"/>
      <c r="G196" s="310"/>
      <c r="H196" s="310"/>
      <c r="I196" s="177"/>
      <c r="J196" s="310"/>
      <c r="K196" s="310"/>
      <c r="L196" s="310"/>
      <c r="M196" s="879"/>
      <c r="N196" s="879"/>
      <c r="O196" s="879"/>
      <c r="P196" s="879"/>
      <c r="Q196" s="879"/>
      <c r="R196" s="879"/>
      <c r="S196" s="879"/>
      <c r="T196" s="879"/>
      <c r="U196" s="879"/>
      <c r="V196" s="879"/>
      <c r="W196" s="879"/>
      <c r="X196" s="879"/>
      <c r="Y196" s="879"/>
      <c r="Z196" s="879"/>
      <c r="AA196" s="879"/>
      <c r="AB196" s="879"/>
      <c r="AC196" s="879"/>
      <c r="AD196" s="879"/>
      <c r="AE196" s="879"/>
      <c r="AF196" s="879"/>
      <c r="AG196" s="879"/>
      <c r="AH196" s="879"/>
      <c r="AI196" s="879"/>
      <c r="AJ196" s="879"/>
      <c r="AK196" s="879"/>
      <c r="AL196" s="879"/>
      <c r="AM196" s="879"/>
      <c r="AN196" s="879"/>
      <c r="AO196" s="879"/>
      <c r="AP196" s="879"/>
      <c r="AQ196" s="879"/>
      <c r="AR196" s="879"/>
      <c r="AS196" s="879"/>
      <c r="AT196" s="879"/>
      <c r="AU196" s="879"/>
      <c r="AV196" s="177"/>
      <c r="AW196" s="177"/>
      <c r="AX196" s="177"/>
      <c r="AY196" s="177"/>
      <c r="AZ196" s="177"/>
      <c r="BA196" s="177"/>
      <c r="BB196" s="177"/>
      <c r="BC196" s="177"/>
      <c r="BD196" s="177"/>
      <c r="BE196" s="177"/>
      <c r="BF196" s="177"/>
    </row>
    <row r="197" spans="1:59" ht="15" hidden="1" customHeight="1">
      <c r="A197" s="177"/>
      <c r="B197" s="177"/>
      <c r="C197" s="310"/>
      <c r="D197" s="310"/>
      <c r="E197" s="310"/>
      <c r="F197" s="310"/>
      <c r="G197" s="310"/>
      <c r="H197" s="310"/>
      <c r="I197" s="177"/>
      <c r="J197" s="310"/>
      <c r="K197" s="310"/>
      <c r="L197" s="310"/>
      <c r="M197" s="879"/>
      <c r="N197" s="879"/>
      <c r="O197" s="879"/>
      <c r="P197" s="879"/>
      <c r="Q197" s="879"/>
      <c r="R197" s="879"/>
      <c r="S197" s="879"/>
      <c r="T197" s="879"/>
      <c r="U197" s="879"/>
      <c r="V197" s="879"/>
      <c r="W197" s="879"/>
      <c r="X197" s="879"/>
      <c r="Y197" s="879"/>
      <c r="Z197" s="879"/>
      <c r="AA197" s="879"/>
      <c r="AB197" s="879"/>
      <c r="AC197" s="879"/>
      <c r="AD197" s="879"/>
      <c r="AE197" s="879"/>
      <c r="AF197" s="879"/>
      <c r="AG197" s="879"/>
      <c r="AH197" s="879"/>
      <c r="AI197" s="879"/>
      <c r="AJ197" s="879"/>
      <c r="AK197" s="879"/>
      <c r="AL197" s="879"/>
      <c r="AM197" s="879"/>
      <c r="AN197" s="879"/>
      <c r="AO197" s="879"/>
      <c r="AP197" s="879"/>
      <c r="AQ197" s="879"/>
      <c r="AR197" s="879"/>
      <c r="AS197" s="879"/>
      <c r="AT197" s="879"/>
      <c r="AU197" s="879"/>
      <c r="AV197" s="177"/>
      <c r="AW197" s="177"/>
      <c r="AX197" s="177"/>
      <c r="AY197" s="177"/>
      <c r="AZ197" s="177"/>
      <c r="BA197" s="177"/>
      <c r="BB197" s="177"/>
      <c r="BC197" s="177"/>
      <c r="BD197" s="177"/>
      <c r="BE197" s="177"/>
      <c r="BF197" s="177"/>
    </row>
    <row r="198" spans="1:59" ht="15" hidden="1" customHeight="1">
      <c r="A198" s="177"/>
      <c r="B198" s="177"/>
      <c r="C198" s="310"/>
      <c r="D198" s="310"/>
      <c r="E198" s="310"/>
      <c r="F198" s="310"/>
      <c r="G198" s="310"/>
      <c r="H198" s="310"/>
      <c r="I198" s="177"/>
      <c r="J198" s="310"/>
      <c r="K198" s="310"/>
      <c r="L198" s="310"/>
      <c r="M198" s="879"/>
      <c r="N198" s="879"/>
      <c r="O198" s="879"/>
      <c r="P198" s="879"/>
      <c r="Q198" s="879"/>
      <c r="R198" s="879"/>
      <c r="S198" s="879"/>
      <c r="T198" s="879"/>
      <c r="U198" s="879"/>
      <c r="V198" s="879"/>
      <c r="W198" s="879"/>
      <c r="X198" s="879"/>
      <c r="Y198" s="879"/>
      <c r="Z198" s="879"/>
      <c r="AA198" s="879"/>
      <c r="AB198" s="879"/>
      <c r="AC198" s="879"/>
      <c r="AD198" s="879"/>
      <c r="AE198" s="879"/>
      <c r="AF198" s="879"/>
      <c r="AG198" s="879"/>
      <c r="AH198" s="879"/>
      <c r="AI198" s="879"/>
      <c r="AJ198" s="879"/>
      <c r="AK198" s="879"/>
      <c r="AL198" s="879"/>
      <c r="AM198" s="879"/>
      <c r="AN198" s="879"/>
      <c r="AO198" s="879"/>
      <c r="AP198" s="879"/>
      <c r="AQ198" s="879"/>
      <c r="AR198" s="879"/>
      <c r="AS198" s="879"/>
      <c r="AT198" s="879"/>
      <c r="AU198" s="879"/>
      <c r="AV198" s="879"/>
      <c r="AW198" s="177"/>
      <c r="AX198" s="177"/>
      <c r="AY198" s="177"/>
      <c r="AZ198" s="177"/>
      <c r="BA198" s="177"/>
      <c r="BB198" s="177"/>
      <c r="BC198" s="177"/>
      <c r="BD198" s="177"/>
      <c r="BE198" s="177"/>
      <c r="BF198" s="177"/>
    </row>
    <row r="199" spans="1:59" ht="15" hidden="1" customHeight="1">
      <c r="A199" s="177"/>
      <c r="B199" s="177"/>
      <c r="C199" s="310"/>
      <c r="D199" s="310"/>
      <c r="E199" s="310"/>
      <c r="F199" s="310"/>
      <c r="G199" s="310"/>
      <c r="H199" s="310"/>
      <c r="I199" s="177"/>
      <c r="J199" s="310"/>
      <c r="K199" s="310"/>
      <c r="L199" s="310"/>
      <c r="M199" s="310"/>
      <c r="N199" s="310"/>
      <c r="O199" s="310"/>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row>
    <row r="200" spans="1:59" ht="15" customHeight="1">
      <c r="A200" s="182"/>
      <c r="B200" s="183" t="str">
        <f>FOOT1</f>
        <v>PSE&amp;G C&amp;I Energy Efficiency Program</v>
      </c>
      <c r="C200" s="182"/>
      <c r="D200" s="182"/>
      <c r="E200" s="182"/>
      <c r="BF200" s="184" t="str">
        <f>FOOT4</f>
        <v>Engineered Solutions Tier 2 Advance Custom Incentive Application</v>
      </c>
      <c r="BG200" s="183"/>
    </row>
    <row r="201" spans="1:59" ht="16.350000000000001" customHeight="1">
      <c r="A201" s="182"/>
      <c r="B201" s="183" t="str">
        <f>FOOT2</f>
        <v>1-844-300-PSEG (7734)</v>
      </c>
      <c r="C201" s="182"/>
      <c r="D201" s="182"/>
      <c r="E201" s="182"/>
      <c r="BF201" s="184"/>
      <c r="BG201" s="183"/>
    </row>
    <row r="202" spans="1:59" ht="16.350000000000001" customHeight="1">
      <c r="A202" s="182"/>
      <c r="B202" s="183" t="str">
        <f>FOOT3</f>
        <v>PSEGenergysaver@TRCcompanies.com</v>
      </c>
      <c r="C202" s="182"/>
      <c r="D202" s="182"/>
      <c r="E202" s="182"/>
      <c r="AD202" s="185" t="str">
        <f>VERSION</f>
        <v>V1.0          Effective Date 1/1/25</v>
      </c>
      <c r="BF202" s="184" t="str">
        <f>FOOT6</f>
        <v>This is a TRC tool</v>
      </c>
      <c r="BG202" s="183"/>
    </row>
  </sheetData>
  <sheetProtection algorithmName="SHA-512" hashValue="gUBuJ61edj3AltwkD6nx33ZnjJEGDui3O+M33mqMhlNajwvmhVtV2pWRBgOU/SiItaowR7E09lU+3FWdb6Yafg==" saltValue="7tpyRSfgjLx1VhDCs0D1+A==" spinCount="100000" sheet="1" objects="1" scenarios="1" selectLockedCells="1"/>
  <mergeCells count="57">
    <mergeCell ref="AB4:AG4"/>
    <mergeCell ref="AT4:AW4"/>
    <mergeCell ref="AX4:BB4"/>
    <mergeCell ref="BC4:BF4"/>
    <mergeCell ref="BD1:BG3"/>
    <mergeCell ref="AL1:AO3"/>
    <mergeCell ref="F1:I3"/>
    <mergeCell ref="J1:M3"/>
    <mergeCell ref="AP1:AS3"/>
    <mergeCell ref="AT1:AW3"/>
    <mergeCell ref="AX1:BC3"/>
    <mergeCell ref="BC5:BE7"/>
    <mergeCell ref="BC8:BE8"/>
    <mergeCell ref="M196:AU197"/>
    <mergeCell ref="AH27:AP27"/>
    <mergeCell ref="AH22:AP22"/>
    <mergeCell ref="U22:AD22"/>
    <mergeCell ref="P20:AP21"/>
    <mergeCell ref="U23:AD23"/>
    <mergeCell ref="U25:AD25"/>
    <mergeCell ref="P71:AB71"/>
    <mergeCell ref="P76:AP77"/>
    <mergeCell ref="P72:AB73"/>
    <mergeCell ref="AB64:AG64"/>
    <mergeCell ref="S62:X62"/>
    <mergeCell ref="AD43:AL44"/>
    <mergeCell ref="AD45:AL46"/>
    <mergeCell ref="M198:AV198"/>
    <mergeCell ref="V11:AO13"/>
    <mergeCell ref="U26:AD26"/>
    <mergeCell ref="U27:AD27"/>
    <mergeCell ref="AH23:AP23"/>
    <mergeCell ref="AH25:AP25"/>
    <mergeCell ref="AH26:AP26"/>
    <mergeCell ref="O11:U13"/>
    <mergeCell ref="P31:AP32"/>
    <mergeCell ref="P16:AH19"/>
    <mergeCell ref="S45:AC46"/>
    <mergeCell ref="P68:AP69"/>
    <mergeCell ref="P49:AP50"/>
    <mergeCell ref="S63:X63"/>
    <mergeCell ref="S64:X64"/>
    <mergeCell ref="AK62:AP62"/>
    <mergeCell ref="AK64:AP64"/>
    <mergeCell ref="AK63:AP63"/>
    <mergeCell ref="AB62:AG62"/>
    <mergeCell ref="AB63:AG63"/>
    <mergeCell ref="Z59:AF60"/>
    <mergeCell ref="P56:AA57"/>
    <mergeCell ref="P54:AA55"/>
    <mergeCell ref="P52:AA53"/>
    <mergeCell ref="U24:AD24"/>
    <mergeCell ref="F9:AY10"/>
    <mergeCell ref="AH24:AP24"/>
    <mergeCell ref="AD41:AL42"/>
    <mergeCell ref="S43:AC44"/>
    <mergeCell ref="S41:AC42"/>
  </mergeCells>
  <conditionalFormatting sqref="AW8:BB8">
    <cfRule type="expression" dxfId="177" priority="1">
      <formula>IF($AO$8=PROJSTATMEASURE,FALSE,TRUE)</formula>
    </cfRule>
  </conditionalFormatting>
  <conditionalFormatting sqref="BF8:BG8">
    <cfRule type="expression" dxfId="176" priority="2">
      <formula>IF($AO$8=PROJSTATMEASURE,FALSE,TRUE)</formula>
    </cfRule>
  </conditionalFormatting>
  <hyperlinks>
    <hyperlink ref="AG73" r:id="rId1" display="businessrebates@evergy.com" xr:uid="{00000000-0004-0000-1000-000001000000}"/>
    <hyperlink ref="BQ61" r:id="rId2" xr:uid="{BB4D2701-8032-4B82-A432-61780740EEE8}"/>
    <hyperlink ref="BQ52" r:id="rId3" xr:uid="{8AE24C3C-3A48-4A3C-B6D7-5A49715A57CD}"/>
    <hyperlink ref="J1:M3" location="'M01-S02'!J1" tooltip="Instructions" display="'M01-S02'!J1" xr:uid="{4B404908-4C95-4711-A9A6-8467DE5B15C8}"/>
    <hyperlink ref="AT1:AW3" location="'M05-S05'!AL1" tooltip=" " display="'M05-S05'!AL1" xr:uid="{8BB0E7F9-FB4C-40D6-93A4-3AF831313B47}"/>
    <hyperlink ref="BD1:BG3" location="'M01-S03'!AP1" tooltip="Contact" display="'M01-S03'!AP1" xr:uid="{E1079673-ADC7-4A3B-99BF-094A07747566}"/>
    <hyperlink ref="AG71" r:id="rId4" xr:uid="{4A33F8E8-0A02-4727-BA4F-6EEFC89AA367}"/>
    <hyperlink ref="AP1:AS3" location="'M05-S04'!AH1" tooltip=" " display="'M05-S04'!AH1" xr:uid="{B4D1A1BB-9D7E-4D9A-9120-BC5E491C12F5}"/>
    <hyperlink ref="AL1:AO3" location="'M05-S05'!AL1" tooltip=" " display="'M05-S05'!AL1" xr:uid="{A694A708-3967-43BB-8B52-BCE355ED6649}"/>
  </hyperlinks>
  <printOptions horizontalCentered="1" verticalCentered="1"/>
  <pageMargins left="0" right="0" top="0.1" bottom="0.1" header="0.1" footer="0.1"/>
  <pageSetup scale="79" orientation="portrait" r:id="rId5"/>
  <colBreaks count="1" manualBreakCount="1">
    <brk id="36" max="1048575" man="1"/>
  </colBreaks>
  <drawing r:id="rId6"/>
  <extLst>
    <ext xmlns:x14="http://schemas.microsoft.com/office/spreadsheetml/2009/9/main" uri="{78C0D931-6437-407d-A8EE-F0AAD7539E65}">
      <x14:conditionalFormattings>
        <x14:conditionalFormatting xmlns:xm="http://schemas.microsoft.com/office/excel/2006/main">
          <x14:cfRule type="expression" priority="802" id="{A92D400A-BA73-45BD-B0FB-AEEA08936BE3}">
            <xm:f>'M01-S01'!I57-TODAY()&gt;=7</xm:f>
            <x14:dxf>
              <font>
                <b val="0"/>
                <i val="0"/>
                <color theme="1"/>
              </font>
            </x14:dxf>
          </x14:cfRule>
          <x14:cfRule type="expression" priority="803" id="{DF5BE1B5-151F-4191-9DDE-9812A30F0259}">
            <xm:f>AND('M01-S01'!I57-TODAY()&lt;7,'M01-S01'!I57-TODAY()&gt;2)</xm:f>
            <x14:dxf>
              <font>
                <b/>
                <i val="0"/>
                <color rgb="FFFF0000"/>
              </font>
            </x14:dxf>
          </x14:cfRule>
          <x14:cfRule type="expression" priority="805" id="{F6DAAC88-B8D6-415B-B7A9-77BF6AEEEEE1}">
            <xm:f>AND('M01-S01'!I57-TODAY()&lt;=2,'M01-S01'!I57-TODAY()&gt;=0)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V11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B30F8-6270-468A-B437-1EB5DE6E067A}">
  <sheetPr codeName="Sheet32">
    <pageSetUpPr fitToPage="1"/>
  </sheetPr>
  <dimension ref="A1:BL210"/>
  <sheetViews>
    <sheetView showGridLines="0" showRowColHeaders="0" zoomScale="90" zoomScaleNormal="90" workbookViewId="0">
      <selection activeCell="X62" sqref="X62:AO62"/>
    </sheetView>
  </sheetViews>
  <sheetFormatPr defaultColWidth="0" defaultRowHeight="0" customHeight="1" zeroHeight="1"/>
  <cols>
    <col min="1" max="58" width="4.5703125" style="183" customWidth="1"/>
    <col min="59" max="59" width="4.5703125" style="177" customWidth="1"/>
    <col min="60" max="61" width="4.42578125" style="177" customWidth="1"/>
    <col min="62" max="64" width="4.42578125" style="177" hidden="1" customWidth="1"/>
    <col min="65" max="16384" width="4.5703125" style="177" hidden="1"/>
  </cols>
  <sheetData>
    <row r="1" spans="1:61" ht="16.350000000000001" customHeight="1">
      <c r="A1" s="60"/>
      <c r="B1" s="239"/>
      <c r="C1" s="239"/>
      <c r="D1" s="239"/>
      <c r="E1" s="239"/>
      <c r="F1" s="750" t="str">
        <f>M1S1</f>
        <v>WELCOME</v>
      </c>
      <c r="G1" s="750"/>
      <c r="H1" s="750"/>
      <c r="I1" s="750"/>
      <c r="J1" s="727" t="str">
        <f>M1S2</f>
        <v>INSTRUCTIONS</v>
      </c>
      <c r="K1" s="727"/>
      <c r="L1" s="727"/>
      <c r="M1" s="727"/>
      <c r="N1" s="1368"/>
      <c r="O1" s="1368"/>
      <c r="P1" s="1368"/>
      <c r="Q1" s="1368"/>
      <c r="R1" s="240"/>
      <c r="S1" s="240"/>
      <c r="T1" s="241"/>
      <c r="U1" s="242" t="s">
        <v>118</v>
      </c>
      <c r="V1" s="242"/>
      <c r="W1" s="242"/>
      <c r="X1" s="242"/>
      <c r="Y1" s="240"/>
      <c r="Z1" s="240"/>
      <c r="AA1" s="240"/>
      <c r="AB1" s="240"/>
      <c r="AC1" s="240"/>
      <c r="AD1" s="240"/>
      <c r="AE1"/>
      <c r="AF1"/>
      <c r="AG1"/>
      <c r="AH1"/>
      <c r="AI1"/>
      <c r="AJ1"/>
      <c r="AK1"/>
      <c r="AL1"/>
      <c r="AM1"/>
      <c r="AN1" s="734" t="str">
        <f>IF(ACTIVEINSPECT="Yes","Complete "&amp;M5S4,"")</f>
        <v/>
      </c>
      <c r="AO1" s="734"/>
      <c r="AP1" s="734"/>
      <c r="AQ1" s="734"/>
      <c r="AR1" s="730" t="str">
        <f>IF(ACTIVEOFFER="Yes","Sign "&amp;M5S6,"")</f>
        <v>Sign OBR: Repayment Agreement</v>
      </c>
      <c r="AS1" s="730"/>
      <c r="AT1" s="730"/>
      <c r="AU1" s="730"/>
      <c r="AV1" s="730" t="str">
        <f>IF(ACTIVECOMPL="Yes","Sign "&amp;M5S5,"")</f>
        <v xml:space="preserve">Sign Project Completion Certification </v>
      </c>
      <c r="AW1" s="730"/>
      <c r="AX1" s="730"/>
      <c r="AY1" s="730"/>
      <c r="AZ1" s="732" t="str">
        <f>M1S4</f>
        <v>INCENTIVE RATES &amp; REQUIREMENTS</v>
      </c>
      <c r="BA1" s="732"/>
      <c r="BB1" s="732"/>
      <c r="BC1" s="732"/>
      <c r="BD1" s="732"/>
      <c r="BE1" s="732"/>
      <c r="BF1" s="722" t="s">
        <v>119</v>
      </c>
      <c r="BG1" s="723"/>
      <c r="BH1" s="723"/>
      <c r="BI1" s="723"/>
    </row>
    <row r="2" spans="1:61" ht="16.350000000000001" customHeight="1">
      <c r="A2" s="177"/>
      <c r="B2" s="239"/>
      <c r="C2" s="239"/>
      <c r="D2" s="239"/>
      <c r="E2" s="239"/>
      <c r="F2" s="750"/>
      <c r="G2" s="750"/>
      <c r="H2" s="750"/>
      <c r="I2" s="750"/>
      <c r="J2" s="728"/>
      <c r="K2" s="728"/>
      <c r="L2" s="728"/>
      <c r="M2" s="728"/>
      <c r="N2" s="1385"/>
      <c r="O2" s="1385"/>
      <c r="P2" s="1385"/>
      <c r="Q2" s="1385"/>
      <c r="R2" s="240"/>
      <c r="S2" s="240"/>
      <c r="T2" s="241"/>
      <c r="U2" s="242"/>
      <c r="V2" s="242"/>
      <c r="W2" s="242"/>
      <c r="X2" s="242"/>
      <c r="Y2" s="240"/>
      <c r="Z2" s="240"/>
      <c r="AA2" s="240"/>
      <c r="AB2" s="240"/>
      <c r="AC2" s="240"/>
      <c r="AD2" s="240"/>
      <c r="AE2"/>
      <c r="AF2"/>
      <c r="AG2"/>
      <c r="AH2"/>
      <c r="AI2"/>
      <c r="AJ2"/>
      <c r="AK2"/>
      <c r="AL2"/>
      <c r="AM2"/>
      <c r="AN2" s="734"/>
      <c r="AO2" s="734"/>
      <c r="AP2" s="734"/>
      <c r="AQ2" s="734"/>
      <c r="AR2" s="730"/>
      <c r="AS2" s="730"/>
      <c r="AT2" s="730"/>
      <c r="AU2" s="730"/>
      <c r="AV2" s="730"/>
      <c r="AW2" s="730"/>
      <c r="AX2" s="730"/>
      <c r="AY2" s="730"/>
      <c r="AZ2" s="732"/>
      <c r="BA2" s="732"/>
      <c r="BB2" s="732"/>
      <c r="BC2" s="732"/>
      <c r="BD2" s="732"/>
      <c r="BE2" s="732"/>
      <c r="BF2" s="723"/>
      <c r="BG2" s="723"/>
      <c r="BH2" s="723"/>
      <c r="BI2" s="723"/>
    </row>
    <row r="3" spans="1:61" ht="16.350000000000001" customHeight="1" thickBot="1">
      <c r="A3" s="626"/>
      <c r="B3" s="648"/>
      <c r="C3" s="648"/>
      <c r="D3" s="648"/>
      <c r="E3" s="648"/>
      <c r="F3" s="875"/>
      <c r="G3" s="875"/>
      <c r="H3" s="875"/>
      <c r="I3" s="875"/>
      <c r="J3" s="876"/>
      <c r="K3" s="876"/>
      <c r="L3" s="876"/>
      <c r="M3" s="876"/>
      <c r="N3" s="1386"/>
      <c r="O3" s="1386"/>
      <c r="P3" s="1386"/>
      <c r="Q3" s="1386"/>
      <c r="R3" s="642"/>
      <c r="S3" s="642"/>
      <c r="T3" s="642"/>
      <c r="U3" s="643"/>
      <c r="V3" s="643"/>
      <c r="W3" s="643"/>
      <c r="X3" s="643"/>
      <c r="Y3" s="626"/>
      <c r="Z3" s="626"/>
      <c r="AA3" s="626"/>
      <c r="AB3" s="626"/>
      <c r="AC3" s="626"/>
      <c r="AD3" s="626"/>
      <c r="AE3" s="614"/>
      <c r="AF3" s="614"/>
      <c r="AG3" s="614"/>
      <c r="AH3" s="614"/>
      <c r="AI3" s="614"/>
      <c r="AJ3" s="614"/>
      <c r="AK3" s="614"/>
      <c r="AL3" s="614"/>
      <c r="AM3" s="614"/>
      <c r="AN3" s="1388"/>
      <c r="AO3" s="1388"/>
      <c r="AP3" s="1388"/>
      <c r="AQ3" s="1388"/>
      <c r="AR3" s="869"/>
      <c r="AS3" s="869"/>
      <c r="AT3" s="869"/>
      <c r="AU3" s="869"/>
      <c r="AV3" s="869"/>
      <c r="AW3" s="869"/>
      <c r="AX3" s="869"/>
      <c r="AY3" s="869"/>
      <c r="AZ3" s="1009"/>
      <c r="BA3" s="1009"/>
      <c r="BB3" s="1009"/>
      <c r="BC3" s="1009"/>
      <c r="BD3" s="1009"/>
      <c r="BE3" s="1009"/>
      <c r="BF3" s="871"/>
      <c r="BG3" s="871"/>
      <c r="BH3" s="871"/>
      <c r="BI3" s="871"/>
    </row>
    <row r="4" spans="1:61" ht="16.350000000000001" customHeight="1">
      <c r="A4" s="632"/>
      <c r="B4" s="632"/>
      <c r="C4" s="632"/>
      <c r="D4" s="632"/>
      <c r="E4" s="632"/>
      <c r="F4" s="632"/>
      <c r="G4" s="632"/>
      <c r="H4" s="632"/>
      <c r="I4" s="632"/>
      <c r="J4" s="632"/>
      <c r="K4" s="632"/>
      <c r="L4" s="633"/>
      <c r="M4" s="498"/>
      <c r="N4" s="632"/>
      <c r="O4" s="632"/>
      <c r="P4" s="632"/>
      <c r="Q4" s="632"/>
      <c r="R4" s="632"/>
      <c r="S4" s="632" t="s">
        <v>707</v>
      </c>
      <c r="T4" s="635" t="str">
        <f>M05S07F07</f>
        <v>Custom</v>
      </c>
      <c r="U4" s="636"/>
      <c r="V4" s="636"/>
      <c r="W4" s="636"/>
      <c r="X4" s="632"/>
      <c r="Y4" s="632"/>
      <c r="Z4" s="632"/>
      <c r="AA4" s="632" t="s">
        <v>708</v>
      </c>
      <c r="AB4" s="874" t="str">
        <f>IF(M02S02F02="","[Project Name]",LEFT(M02S02F02,25))</f>
        <v>[Project Name]</v>
      </c>
      <c r="AC4" s="874"/>
      <c r="AD4" s="874"/>
      <c r="AE4" s="874"/>
      <c r="AF4" s="874"/>
      <c r="AG4" s="874"/>
      <c r="AH4" s="632"/>
      <c r="AI4" s="632" t="s">
        <v>709</v>
      </c>
      <c r="AJ4" s="637" t="str">
        <f>IF(M02S02F27="Yes",Status_Final,Status_Pre)</f>
        <v>Draft Pre-Application</v>
      </c>
      <c r="AK4" s="498"/>
      <c r="AL4" s="632"/>
      <c r="AM4" s="632"/>
      <c r="AN4" s="617"/>
      <c r="AO4" s="617"/>
      <c r="AP4" s="615"/>
      <c r="AQ4" s="615"/>
      <c r="AR4" s="632"/>
      <c r="AS4" s="632" t="s">
        <v>710</v>
      </c>
      <c r="AT4" s="872">
        <f>Incent_Total_Cap_All</f>
        <v>0</v>
      </c>
      <c r="AU4" s="872"/>
      <c r="AV4" s="872"/>
      <c r="AW4" s="872"/>
      <c r="AX4" s="1389" t="s">
        <v>711</v>
      </c>
      <c r="AY4" s="1389"/>
      <c r="AZ4" s="1389"/>
      <c r="BA4" s="1389"/>
      <c r="BB4" s="1389"/>
      <c r="BC4" s="872" t="str">
        <f>OBR_Amount_Requested</f>
        <v/>
      </c>
      <c r="BD4" s="872"/>
      <c r="BE4" s="872"/>
      <c r="BF4" s="872"/>
      <c r="BG4" s="498"/>
      <c r="BH4" s="644"/>
      <c r="BI4" s="644"/>
    </row>
    <row r="5" spans="1:61"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row>
    <row r="6" spans="1:61"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61"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61" s="626"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BA8" s="625"/>
      <c r="BB8" s="625"/>
      <c r="BC8" s="625"/>
      <c r="BD8" s="625"/>
      <c r="BE8" s="625"/>
      <c r="BF8" s="625"/>
      <c r="BG8" s="867" t="s">
        <v>712</v>
      </c>
      <c r="BH8" s="867"/>
      <c r="BI8" s="867"/>
    </row>
    <row r="9" spans="1:61" ht="16.350000000000001" customHeight="1">
      <c r="A9" s="177"/>
      <c r="B9" s="177"/>
      <c r="C9" s="177"/>
      <c r="D9" s="177"/>
      <c r="E9" s="177"/>
      <c r="F9" s="388"/>
      <c r="G9" s="388"/>
      <c r="H9" s="388"/>
      <c r="I9" s="388"/>
      <c r="J9" s="388"/>
      <c r="K9" s="388"/>
      <c r="L9" s="388"/>
      <c r="M9" s="388"/>
      <c r="N9" s="388"/>
      <c r="O9" s="878" t="str">
        <f>M5S4</f>
        <v>Inspection Report</v>
      </c>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388"/>
      <c r="AS9" s="388"/>
      <c r="AT9" s="388"/>
      <c r="AU9" s="388"/>
      <c r="AV9" s="388"/>
      <c r="AW9" s="388"/>
      <c r="AX9" s="388"/>
      <c r="AY9" s="177"/>
      <c r="AZ9" s="177"/>
      <c r="BA9" s="177"/>
      <c r="BB9" s="177"/>
      <c r="BC9" s="177"/>
      <c r="BD9" s="177"/>
      <c r="BE9" s="177"/>
      <c r="BF9" s="177"/>
    </row>
    <row r="10" spans="1:61" ht="16.350000000000001" customHeight="1">
      <c r="A10" s="177"/>
      <c r="B10" s="177"/>
      <c r="C10" s="177"/>
      <c r="D10" s="177"/>
      <c r="E10" s="177"/>
      <c r="F10" s="388"/>
      <c r="G10" s="388"/>
      <c r="H10" s="388"/>
      <c r="I10" s="388"/>
      <c r="J10" s="388"/>
      <c r="K10" s="388"/>
      <c r="L10" s="388"/>
      <c r="M10" s="388"/>
      <c r="N10" s="38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388"/>
      <c r="AS10" s="388"/>
      <c r="AT10" s="388"/>
      <c r="AU10" s="388"/>
      <c r="AV10" s="388"/>
      <c r="AW10" s="388"/>
      <c r="AX10" s="388"/>
      <c r="AY10" s="177"/>
      <c r="AZ10" s="177"/>
      <c r="BA10" s="177"/>
      <c r="BB10" s="177"/>
      <c r="BC10" s="177"/>
      <c r="BD10" s="177"/>
      <c r="BE10" s="177"/>
      <c r="BF10" s="177"/>
    </row>
    <row r="11" spans="1:61" ht="16.350000000000001" customHeight="1">
      <c r="A11" s="177"/>
      <c r="B11" s="177"/>
      <c r="C11" s="177"/>
      <c r="D11" s="177"/>
      <c r="E11" s="177"/>
      <c r="F11" s="177"/>
      <c r="G11" s="177"/>
      <c r="H11" s="177"/>
      <c r="I11" s="177"/>
      <c r="J11" s="177"/>
      <c r="K11" s="1387"/>
      <c r="L11" s="1387"/>
      <c r="M11" s="1387"/>
      <c r="N11" s="1387"/>
      <c r="O11" s="1387"/>
      <c r="P11" s="1387"/>
      <c r="Q11" s="1387"/>
      <c r="R11" s="1387"/>
      <c r="S11" s="1387"/>
      <c r="T11" s="1387"/>
      <c r="U11" s="1387"/>
      <c r="V11" s="1387"/>
      <c r="W11" s="1387"/>
      <c r="X11" s="1387"/>
      <c r="Y11" s="1387"/>
      <c r="Z11" s="1387"/>
      <c r="AA11" s="1387"/>
      <c r="AB11" s="1387"/>
      <c r="AC11" s="1387"/>
      <c r="AD11" s="1387"/>
      <c r="AE11" s="1387"/>
      <c r="AF11" s="1387"/>
      <c r="AG11" s="1387"/>
      <c r="AH11" s="1387"/>
      <c r="AI11" s="1387"/>
      <c r="AJ11" s="1387"/>
      <c r="AK11" s="1387"/>
      <c r="AL11" s="1387"/>
      <c r="AM11" s="1387"/>
      <c r="AN11" s="1387"/>
      <c r="AO11" s="1387"/>
      <c r="AP11" s="1387"/>
      <c r="AQ11" s="1387"/>
      <c r="AR11" s="1387"/>
      <c r="AS11" s="1387"/>
      <c r="AT11" s="1387"/>
      <c r="AU11" s="1387"/>
      <c r="AV11" s="177"/>
      <c r="AW11" s="177"/>
      <c r="AX11" s="177"/>
      <c r="AY11" s="177"/>
      <c r="AZ11" s="177"/>
      <c r="BA11" s="177"/>
      <c r="BB11" s="177"/>
      <c r="BC11" s="177"/>
      <c r="BD11" s="177"/>
      <c r="BE11" s="177"/>
      <c r="BF11" s="177"/>
    </row>
    <row r="12" spans="1:61" ht="16.350000000000001" customHeight="1">
      <c r="A12" s="177"/>
      <c r="B12" s="177"/>
      <c r="C12" s="177"/>
      <c r="D12" s="177"/>
      <c r="E12" s="177"/>
      <c r="F12" s="177"/>
      <c r="G12" s="177"/>
      <c r="H12" s="177"/>
      <c r="I12" s="177"/>
      <c r="J12" s="17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c r="AT12" s="1387"/>
      <c r="AU12" s="1387"/>
      <c r="AV12" s="177"/>
      <c r="AW12" s="177"/>
      <c r="AX12" s="177"/>
      <c r="AY12" s="177"/>
      <c r="AZ12" s="177"/>
      <c r="BA12" s="177"/>
      <c r="BB12" s="177"/>
      <c r="BC12" s="177"/>
      <c r="BD12" s="177"/>
      <c r="BE12" s="177"/>
      <c r="BF12" s="177"/>
    </row>
    <row r="13" spans="1:61" ht="16.350000000000001" customHeight="1">
      <c r="A13" s="177"/>
      <c r="B13" s="177"/>
      <c r="C13" s="177"/>
      <c r="D13" s="177"/>
      <c r="E13" s="177"/>
      <c r="F13" s="177"/>
      <c r="G13" s="177"/>
      <c r="H13" s="177"/>
      <c r="I13" s="177"/>
      <c r="J13" s="177"/>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177"/>
      <c r="AW13" s="177"/>
      <c r="AX13" s="177"/>
      <c r="AY13" s="177"/>
      <c r="AZ13" s="177"/>
      <c r="BA13" s="177"/>
      <c r="BB13" s="177"/>
      <c r="BC13" s="177"/>
      <c r="BD13" s="177"/>
      <c r="BE13" s="177"/>
      <c r="BF13" s="177"/>
    </row>
    <row r="14" spans="1:61" ht="16.350000000000001" customHeight="1">
      <c r="A14" s="177"/>
      <c r="B14" s="177"/>
      <c r="C14" s="177"/>
      <c r="D14" s="177"/>
      <c r="E14" s="177"/>
      <c r="F14" s="177"/>
      <c r="G14" s="177"/>
      <c r="H14" s="177"/>
      <c r="I14" s="177"/>
      <c r="J14" s="177"/>
      <c r="K14" s="177"/>
      <c r="L14" s="177"/>
      <c r="M14" s="177"/>
      <c r="N14" s="240"/>
      <c r="O14" s="365"/>
      <c r="P14" s="366"/>
      <c r="Q14" s="366"/>
      <c r="R14" s="366"/>
      <c r="S14" s="366"/>
      <c r="T14" s="366"/>
      <c r="U14" s="366"/>
      <c r="V14" s="366"/>
      <c r="W14" s="366"/>
      <c r="X14" s="366"/>
      <c r="Y14" s="366"/>
      <c r="Z14" s="366"/>
      <c r="AA14" s="366"/>
      <c r="AB14" s="367"/>
      <c r="AC14" s="367"/>
      <c r="AD14" s="367"/>
      <c r="AE14" s="367"/>
      <c r="AF14" s="367"/>
      <c r="AG14" s="367"/>
      <c r="AH14" s="366"/>
      <c r="AI14" s="366"/>
      <c r="AJ14" s="366"/>
      <c r="AK14" s="366"/>
      <c r="AL14" s="366"/>
      <c r="AM14" s="366"/>
      <c r="AN14" s="366"/>
      <c r="AO14" s="366"/>
      <c r="AP14" s="366"/>
      <c r="AQ14" s="368"/>
      <c r="AR14" s="177"/>
      <c r="AS14" s="177"/>
      <c r="AT14" s="177"/>
      <c r="AU14" s="177"/>
      <c r="AV14" s="177"/>
      <c r="AW14" s="177"/>
      <c r="AX14" s="177"/>
      <c r="AY14" s="177"/>
      <c r="AZ14" s="177"/>
      <c r="BA14" s="177"/>
      <c r="BB14" s="177"/>
      <c r="BC14" s="177"/>
      <c r="BD14" s="177"/>
      <c r="BE14" s="177"/>
      <c r="BF14" s="177"/>
    </row>
    <row r="15" spans="1:61" ht="16.350000000000001" customHeight="1">
      <c r="A15" s="177"/>
      <c r="B15" s="177"/>
      <c r="C15" s="177"/>
      <c r="D15" s="177"/>
      <c r="E15" s="177"/>
      <c r="F15" s="177"/>
      <c r="G15" s="177"/>
      <c r="H15" s="177"/>
      <c r="I15" s="177"/>
      <c r="J15" s="177"/>
      <c r="K15" s="177"/>
      <c r="L15" s="177"/>
      <c r="M15" s="177"/>
      <c r="N15" s="240"/>
      <c r="O15" s="369"/>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260"/>
      <c r="AR15" s="177"/>
      <c r="AS15" s="177"/>
      <c r="AT15" s="177"/>
      <c r="AU15" s="177"/>
      <c r="AV15" s="177"/>
      <c r="AW15" s="177"/>
      <c r="AX15" s="177"/>
      <c r="AY15" s="177"/>
      <c r="AZ15" s="177"/>
      <c r="BA15" s="177"/>
      <c r="BB15" s="177"/>
      <c r="BC15" s="177"/>
      <c r="BD15" s="177"/>
      <c r="BE15" s="177"/>
      <c r="BF15" s="177"/>
    </row>
    <row r="16" spans="1:61" ht="16.350000000000001" customHeight="1">
      <c r="A16" s="177"/>
      <c r="B16" s="177"/>
      <c r="C16" s="177"/>
      <c r="D16" s="177"/>
      <c r="E16" s="177"/>
      <c r="F16" s="177"/>
      <c r="G16" s="177"/>
      <c r="H16" s="177"/>
      <c r="I16" s="177"/>
      <c r="J16" s="177"/>
      <c r="K16" s="177"/>
      <c r="L16" s="177"/>
      <c r="M16" s="177"/>
      <c r="N16" s="240"/>
      <c r="O16" s="369"/>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260"/>
      <c r="AR16" s="177"/>
      <c r="AS16" s="177"/>
      <c r="AT16" s="177"/>
      <c r="AU16" s="177"/>
      <c r="AV16" s="177"/>
      <c r="AW16" s="177"/>
      <c r="AX16" s="177"/>
      <c r="AY16" s="177"/>
      <c r="AZ16" s="177"/>
      <c r="BA16" s="177"/>
      <c r="BB16" s="177"/>
      <c r="BC16" s="177"/>
      <c r="BD16" s="177"/>
      <c r="BE16" s="177"/>
      <c r="BF16" s="177"/>
    </row>
    <row r="17" spans="1:58" ht="16.350000000000001" customHeight="1">
      <c r="A17" s="177"/>
      <c r="B17" s="177"/>
      <c r="C17" s="177"/>
      <c r="D17" s="177"/>
      <c r="E17" s="177"/>
      <c r="F17" s="177"/>
      <c r="G17" s="177"/>
      <c r="H17" s="177"/>
      <c r="I17" s="177"/>
      <c r="J17" s="177"/>
      <c r="K17" s="177"/>
      <c r="L17" s="177"/>
      <c r="M17" s="177"/>
      <c r="N17" s="240"/>
      <c r="O17" s="369"/>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523"/>
      <c r="AN17" s="523"/>
      <c r="AO17" s="523"/>
      <c r="AP17" s="523"/>
      <c r="AQ17" s="260"/>
      <c r="AR17" s="177"/>
      <c r="AS17" s="177"/>
      <c r="AT17" s="177"/>
      <c r="AU17" s="177"/>
      <c r="AV17" s="177"/>
      <c r="AW17" s="177"/>
      <c r="AX17" s="177"/>
      <c r="AY17" s="177"/>
      <c r="AZ17" s="177"/>
      <c r="BA17" s="177"/>
      <c r="BB17" s="177"/>
      <c r="BC17" s="177"/>
      <c r="BD17" s="177"/>
      <c r="BE17" s="177"/>
      <c r="BF17" s="177"/>
    </row>
    <row r="18" spans="1:58" ht="16.350000000000001" customHeight="1">
      <c r="A18" s="177"/>
      <c r="B18" s="177"/>
      <c r="C18" s="177"/>
      <c r="D18" s="177"/>
      <c r="E18" s="177"/>
      <c r="F18" s="177"/>
      <c r="G18" s="177"/>
      <c r="H18" s="177"/>
      <c r="I18" s="177"/>
      <c r="J18" s="177"/>
      <c r="K18" s="177"/>
      <c r="L18" s="177"/>
      <c r="M18" s="177"/>
      <c r="N18" s="240"/>
      <c r="O18" s="369"/>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523"/>
      <c r="AN18" s="523"/>
      <c r="AO18" s="523"/>
      <c r="AP18" s="523"/>
      <c r="AQ18" s="260"/>
      <c r="AR18" s="177"/>
      <c r="AS18" s="177"/>
      <c r="AT18" s="177"/>
      <c r="AU18" s="177"/>
      <c r="AV18" s="177"/>
      <c r="AW18" s="177"/>
      <c r="AX18" s="177"/>
      <c r="AY18" s="177"/>
      <c r="AZ18" s="177"/>
      <c r="BA18" s="177"/>
      <c r="BB18" s="177"/>
      <c r="BC18" s="177"/>
      <c r="BD18" s="177"/>
      <c r="BE18" s="177"/>
      <c r="BF18" s="177"/>
    </row>
    <row r="19" spans="1:58" s="177" customFormat="1" ht="16.350000000000001" customHeight="1">
      <c r="O19" s="369"/>
      <c r="P19" s="1130" t="str">
        <f>M5S4</f>
        <v>Inspection Report</v>
      </c>
      <c r="Q19" s="1130"/>
      <c r="R19" s="1130"/>
      <c r="S19" s="1130"/>
      <c r="T19" s="1130"/>
      <c r="U19" s="1130"/>
      <c r="V19" s="1130"/>
      <c r="W19" s="1130"/>
      <c r="X19" s="1130"/>
      <c r="Y19" s="1130"/>
      <c r="Z19" s="1130"/>
      <c r="AA19" s="1130"/>
      <c r="AB19" s="1130"/>
      <c r="AC19" s="1130"/>
      <c r="AD19" s="524"/>
      <c r="AE19" s="524"/>
      <c r="AF19" s="524"/>
      <c r="AG19" s="524"/>
      <c r="AH19" s="524"/>
      <c r="AI19" s="1135" t="str">
        <f>CONCATENATE("Project # ",PROJID)</f>
        <v xml:space="preserve">Project # </v>
      </c>
      <c r="AJ19" s="1135"/>
      <c r="AK19" s="1135"/>
      <c r="AL19" s="1135"/>
      <c r="AM19" s="1135"/>
      <c r="AN19" s="1135"/>
      <c r="AO19" s="1135"/>
      <c r="AP19" s="1135"/>
      <c r="AQ19" s="260"/>
    </row>
    <row r="20" spans="1:58" ht="16.350000000000001" customHeight="1">
      <c r="A20" s="177"/>
      <c r="B20" s="177"/>
      <c r="C20" s="177"/>
      <c r="D20" s="177"/>
      <c r="E20" s="177"/>
      <c r="F20" s="177"/>
      <c r="G20" s="177"/>
      <c r="H20" s="177"/>
      <c r="I20" s="177"/>
      <c r="J20" s="177"/>
      <c r="K20" s="177"/>
      <c r="L20" s="177"/>
      <c r="M20" s="177"/>
      <c r="N20" s="240"/>
      <c r="O20" s="369"/>
      <c r="P20" s="1130"/>
      <c r="Q20" s="1130"/>
      <c r="R20" s="1130"/>
      <c r="S20" s="1130"/>
      <c r="T20" s="1130"/>
      <c r="U20" s="1130"/>
      <c r="V20" s="1130"/>
      <c r="W20" s="1130"/>
      <c r="X20" s="1130"/>
      <c r="Y20" s="1130"/>
      <c r="Z20" s="1130"/>
      <c r="AA20" s="1130"/>
      <c r="AB20" s="1130"/>
      <c r="AC20" s="1130"/>
      <c r="AD20" s="524"/>
      <c r="AE20" s="524"/>
      <c r="AF20" s="524"/>
      <c r="AG20" s="524"/>
      <c r="AH20" s="524"/>
      <c r="AI20" s="1135"/>
      <c r="AJ20" s="1135"/>
      <c r="AK20" s="1135"/>
      <c r="AL20" s="1135"/>
      <c r="AM20" s="1135"/>
      <c r="AN20" s="1135"/>
      <c r="AO20" s="1135"/>
      <c r="AP20" s="1135"/>
      <c r="AQ20" s="260"/>
      <c r="AR20" s="177"/>
      <c r="AS20" s="177"/>
      <c r="AT20" s="177"/>
      <c r="AU20" s="177"/>
      <c r="AV20" s="177"/>
      <c r="AW20" s="177"/>
      <c r="AX20" s="177"/>
      <c r="AY20" s="177"/>
      <c r="AZ20" s="177"/>
      <c r="BA20" s="177"/>
      <c r="BB20" s="177"/>
      <c r="BC20" s="177"/>
      <c r="BD20" s="177"/>
      <c r="BE20" s="177"/>
      <c r="BF20" s="177"/>
    </row>
    <row r="21" spans="1:58" ht="16.350000000000001" customHeight="1">
      <c r="A21" s="177"/>
      <c r="B21" s="177"/>
      <c r="C21" s="177"/>
      <c r="D21" s="177"/>
      <c r="E21" s="177"/>
      <c r="F21" s="177"/>
      <c r="G21" s="177"/>
      <c r="H21" s="177"/>
      <c r="I21" s="177"/>
      <c r="J21" s="177"/>
      <c r="K21" s="177"/>
      <c r="L21" s="177"/>
      <c r="M21" s="177"/>
      <c r="N21" s="240"/>
      <c r="O21" s="369"/>
      <c r="P21" s="1130"/>
      <c r="Q21" s="1130"/>
      <c r="R21" s="1130"/>
      <c r="S21" s="1130"/>
      <c r="T21" s="1130"/>
      <c r="U21" s="1130"/>
      <c r="V21" s="1130"/>
      <c r="W21" s="1130"/>
      <c r="X21" s="1130"/>
      <c r="Y21" s="1130"/>
      <c r="Z21" s="1130"/>
      <c r="AA21" s="1130"/>
      <c r="AB21" s="1130"/>
      <c r="AC21" s="1130"/>
      <c r="AD21" s="524"/>
      <c r="AE21" s="524"/>
      <c r="AF21" s="524"/>
      <c r="AG21" s="524"/>
      <c r="AH21" s="524"/>
      <c r="AI21" s="1135"/>
      <c r="AJ21" s="1135"/>
      <c r="AK21" s="1135"/>
      <c r="AL21" s="1135"/>
      <c r="AM21" s="1135"/>
      <c r="AN21" s="1135"/>
      <c r="AO21" s="1135"/>
      <c r="AP21" s="1135"/>
      <c r="AQ21" s="260"/>
      <c r="AR21" s="177"/>
      <c r="AS21" s="177"/>
      <c r="AT21" s="177"/>
      <c r="AU21" s="177"/>
      <c r="AV21" s="177"/>
      <c r="AW21" s="177"/>
      <c r="AX21" s="177"/>
      <c r="AY21" s="177"/>
      <c r="AZ21" s="177"/>
      <c r="BA21" s="177"/>
      <c r="BB21" s="177"/>
      <c r="BC21" s="177"/>
      <c r="BD21" s="177"/>
      <c r="BE21" s="177"/>
      <c r="BF21" s="177"/>
    </row>
    <row r="22" spans="1:58" s="177" customFormat="1" ht="16.350000000000001" customHeight="1">
      <c r="O22" s="369"/>
      <c r="P22" s="1116">
        <f>M02S03F01</f>
        <v>0</v>
      </c>
      <c r="Q22" s="1116"/>
      <c r="R22" s="1116"/>
      <c r="S22" s="1116"/>
      <c r="T22" s="1116"/>
      <c r="U22" s="1116"/>
      <c r="V22" s="1116"/>
      <c r="W22" s="1116"/>
      <c r="X22" s="1116"/>
      <c r="Y22" s="1116"/>
      <c r="Z22" s="1116"/>
      <c r="AA22" s="1116"/>
      <c r="AB22" s="1116"/>
      <c r="AC22" s="1116"/>
      <c r="AD22" s="1117">
        <f>M02S02F25</f>
        <v>0</v>
      </c>
      <c r="AE22" s="1117"/>
      <c r="AF22" s="1117"/>
      <c r="AG22" s="1117"/>
      <c r="AH22" s="1117"/>
      <c r="AI22" s="1117"/>
      <c r="AJ22" s="1117"/>
      <c r="AK22" s="1117"/>
      <c r="AL22" s="1117"/>
      <c r="AM22" s="1117"/>
      <c r="AN22" s="1117"/>
      <c r="AO22" s="1117"/>
      <c r="AP22" s="1117"/>
      <c r="AQ22" s="260"/>
    </row>
    <row r="23" spans="1:58" ht="16.350000000000001" customHeight="1">
      <c r="A23" s="177"/>
      <c r="B23" s="177"/>
      <c r="C23" s="177"/>
      <c r="D23" s="177"/>
      <c r="E23" s="177"/>
      <c r="F23" s="177"/>
      <c r="G23" s="177"/>
      <c r="H23" s="177"/>
      <c r="I23" s="177"/>
      <c r="J23" s="177"/>
      <c r="K23" s="177"/>
      <c r="L23" s="177"/>
      <c r="M23" s="177"/>
      <c r="N23" s="240"/>
      <c r="O23" s="369"/>
      <c r="P23" s="1116"/>
      <c r="Q23" s="1116"/>
      <c r="R23" s="1116"/>
      <c r="S23" s="1116"/>
      <c r="T23" s="1116"/>
      <c r="U23" s="1116"/>
      <c r="V23" s="1116"/>
      <c r="W23" s="1116"/>
      <c r="X23" s="1116"/>
      <c r="Y23" s="1116"/>
      <c r="Z23" s="1116"/>
      <c r="AA23" s="1116"/>
      <c r="AB23" s="1116"/>
      <c r="AC23" s="1116"/>
      <c r="AD23" s="1117"/>
      <c r="AE23" s="1117"/>
      <c r="AF23" s="1117"/>
      <c r="AG23" s="1117"/>
      <c r="AH23" s="1117"/>
      <c r="AI23" s="1117"/>
      <c r="AJ23" s="1117"/>
      <c r="AK23" s="1117"/>
      <c r="AL23" s="1117"/>
      <c r="AM23" s="1117"/>
      <c r="AN23" s="1117"/>
      <c r="AO23" s="1117"/>
      <c r="AP23" s="1117"/>
      <c r="AQ23" s="260"/>
      <c r="AR23" s="177"/>
      <c r="AS23" s="177"/>
      <c r="AT23" s="177"/>
      <c r="AU23" s="177"/>
      <c r="AV23" s="177" t="s">
        <v>118</v>
      </c>
      <c r="AW23" s="177"/>
      <c r="AX23" s="177"/>
      <c r="AY23" s="177"/>
      <c r="AZ23" s="177"/>
      <c r="BA23" s="177"/>
      <c r="BB23" s="177"/>
      <c r="BC23" s="177"/>
      <c r="BD23" s="177"/>
      <c r="BE23" s="177"/>
      <c r="BF23" s="177"/>
    </row>
    <row r="24" spans="1:58" ht="16.350000000000001" customHeight="1">
      <c r="A24" s="177"/>
      <c r="B24" s="177"/>
      <c r="C24" s="177"/>
      <c r="D24" s="177"/>
      <c r="E24" s="177"/>
      <c r="F24" s="177"/>
      <c r="G24" s="177"/>
      <c r="H24" s="177"/>
      <c r="I24" s="177"/>
      <c r="J24" s="177"/>
      <c r="K24" s="177"/>
      <c r="L24" s="177"/>
      <c r="M24" s="177"/>
      <c r="N24" s="240"/>
      <c r="O24" s="36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260"/>
      <c r="AR24" s="177"/>
      <c r="AS24" s="177"/>
      <c r="AT24" s="177"/>
      <c r="AU24" s="177"/>
      <c r="AV24" s="177"/>
      <c r="AW24" s="177"/>
      <c r="AX24" s="177"/>
      <c r="AY24" s="177"/>
      <c r="AZ24" s="177"/>
      <c r="BA24" s="177"/>
      <c r="BB24" s="177"/>
      <c r="BC24" s="177"/>
      <c r="BD24" s="177"/>
      <c r="BE24" s="177"/>
      <c r="BF24" s="177"/>
    </row>
    <row r="25" spans="1:58" s="177" customFormat="1" ht="16.350000000000001" customHeight="1">
      <c r="O25" s="369"/>
      <c r="P25" s="1118" t="s">
        <v>247</v>
      </c>
      <c r="Q25" s="1118"/>
      <c r="R25" s="1118"/>
      <c r="S25" s="1118"/>
      <c r="T25" s="1118"/>
      <c r="U25" s="526"/>
      <c r="V25" s="1119" t="s">
        <v>1498</v>
      </c>
      <c r="W25" s="1119"/>
      <c r="X25" s="1119"/>
      <c r="Y25" s="1119"/>
      <c r="Z25" s="1119"/>
      <c r="AA25" s="1119"/>
      <c r="AB25" s="507"/>
      <c r="AC25" s="1119" t="s">
        <v>1499</v>
      </c>
      <c r="AD25" s="1119"/>
      <c r="AE25" s="1119"/>
      <c r="AF25" s="1119"/>
      <c r="AG25" s="1119"/>
      <c r="AH25" s="1119"/>
      <c r="AI25" s="1119"/>
      <c r="AJ25" s="1107" t="s">
        <v>1500</v>
      </c>
      <c r="AK25" s="1107"/>
      <c r="AL25" s="1107"/>
      <c r="AM25" s="1107"/>
      <c r="AN25" s="1107"/>
      <c r="AO25" s="1107"/>
      <c r="AP25" s="1107"/>
      <c r="AQ25" s="260"/>
    </row>
    <row r="26" spans="1:58" s="177" customFormat="1" ht="16.350000000000001" customHeight="1">
      <c r="O26" s="369"/>
      <c r="P26" s="1118"/>
      <c r="Q26" s="1118"/>
      <c r="R26" s="1118"/>
      <c r="S26" s="1118"/>
      <c r="T26" s="1118"/>
      <c r="U26" s="526"/>
      <c r="V26" s="1115">
        <f>M02S02F02</f>
        <v>0</v>
      </c>
      <c r="W26" s="1115"/>
      <c r="X26" s="1115"/>
      <c r="Y26" s="1115"/>
      <c r="Z26" s="1115"/>
      <c r="AA26" s="1115"/>
      <c r="AB26" s="508"/>
      <c r="AC26" s="1115" t="str">
        <f>M02S02F13</f>
        <v/>
      </c>
      <c r="AD26" s="1115"/>
      <c r="AE26" s="1115"/>
      <c r="AF26" s="1115"/>
      <c r="AG26" s="1115"/>
      <c r="AH26" s="1115"/>
      <c r="AI26" s="1115"/>
      <c r="AJ26" s="1115" t="str">
        <f>M02S02F15</f>
        <v/>
      </c>
      <c r="AK26" s="1115"/>
      <c r="AL26" s="1115"/>
      <c r="AM26" s="1115"/>
      <c r="AN26" s="1115"/>
      <c r="AO26" s="1115"/>
      <c r="AP26" s="1115"/>
      <c r="AQ26" s="260"/>
    </row>
    <row r="27" spans="1:58" s="177" customFormat="1" ht="16.350000000000001" customHeight="1">
      <c r="O27" s="369"/>
      <c r="P27" s="1118"/>
      <c r="Q27" s="1118"/>
      <c r="R27" s="1118"/>
      <c r="S27" s="1118"/>
      <c r="T27" s="1118"/>
      <c r="U27" s="526"/>
      <c r="V27" s="1115">
        <f>M02S02F03</f>
        <v>0</v>
      </c>
      <c r="W27" s="1115"/>
      <c r="X27" s="1115"/>
      <c r="Y27" s="1115"/>
      <c r="Z27" s="1115"/>
      <c r="AA27" s="1115"/>
      <c r="AB27" s="508"/>
      <c r="AC27" s="1119" t="s">
        <v>1504</v>
      </c>
      <c r="AD27" s="1119"/>
      <c r="AE27" s="1119"/>
      <c r="AF27" s="1119"/>
      <c r="AG27" s="1119"/>
      <c r="AH27" s="1119"/>
      <c r="AI27" s="1119"/>
      <c r="AJ27" s="1107" t="s">
        <v>1505</v>
      </c>
      <c r="AK27" s="1107"/>
      <c r="AL27" s="1107"/>
      <c r="AM27" s="1107"/>
      <c r="AN27" s="1107"/>
      <c r="AO27" s="1107"/>
      <c r="AP27" s="1107"/>
      <c r="AQ27" s="260"/>
    </row>
    <row r="28" spans="1:58" s="177" customFormat="1" ht="16.350000000000001" customHeight="1">
      <c r="O28" s="369"/>
      <c r="P28" s="1118"/>
      <c r="Q28" s="1118"/>
      <c r="R28" s="1118"/>
      <c r="S28" s="1118"/>
      <c r="T28" s="1118"/>
      <c r="U28" s="526"/>
      <c r="V28" s="1115" t="str">
        <f>CONCATENATE(M02S02F06,", ",M02S02F07," ",TEXT(M02S02F08,"00000"))</f>
        <v>, NJ 00000</v>
      </c>
      <c r="W28" s="1115"/>
      <c r="X28" s="1115"/>
      <c r="Y28" s="1115"/>
      <c r="Z28" s="1115"/>
      <c r="AA28" s="1115"/>
      <c r="AB28" s="508"/>
      <c r="AC28" s="1120">
        <f>M02S02F14</f>
        <v>0</v>
      </c>
      <c r="AD28" s="1120"/>
      <c r="AE28" s="1120"/>
      <c r="AF28" s="1120"/>
      <c r="AG28" s="1120"/>
      <c r="AH28" s="1120"/>
      <c r="AI28" s="1120"/>
      <c r="AJ28" s="1120">
        <f>M02S02F16</f>
        <v>0</v>
      </c>
      <c r="AK28" s="1120"/>
      <c r="AL28" s="1120"/>
      <c r="AM28" s="1120"/>
      <c r="AN28" s="1120"/>
      <c r="AO28" s="1120"/>
      <c r="AP28" s="1120"/>
      <c r="AQ28" s="260"/>
    </row>
    <row r="29" spans="1:58" ht="16.350000000000001" customHeight="1">
      <c r="A29" s="177"/>
      <c r="B29" s="177"/>
      <c r="C29" s="177"/>
      <c r="D29" s="177"/>
      <c r="E29" s="177"/>
      <c r="F29" s="177"/>
      <c r="G29" s="177"/>
      <c r="H29" s="177"/>
      <c r="I29" s="177"/>
      <c r="J29" s="177"/>
      <c r="K29" s="177"/>
      <c r="L29" s="177"/>
      <c r="M29" s="177"/>
      <c r="N29" s="240"/>
      <c r="O29" s="369"/>
      <c r="P29" s="199"/>
      <c r="Q29" s="199"/>
      <c r="R29" s="199"/>
      <c r="S29" s="199"/>
      <c r="T29" s="199"/>
      <c r="U29" s="199"/>
      <c r="V29" s="371"/>
      <c r="W29" s="371"/>
      <c r="X29" s="371"/>
      <c r="Y29" s="371"/>
      <c r="Z29" s="371"/>
      <c r="AA29" s="371"/>
      <c r="AB29" s="371"/>
      <c r="AC29" s="371"/>
      <c r="AD29" s="371"/>
      <c r="AE29" s="371"/>
      <c r="AF29" s="371"/>
      <c r="AG29" s="371"/>
      <c r="AH29" s="371"/>
      <c r="AI29" s="371"/>
      <c r="AJ29" s="371"/>
      <c r="AK29" s="371"/>
      <c r="AL29" s="371"/>
      <c r="AM29" s="371"/>
      <c r="AN29" s="371"/>
      <c r="AO29" s="371"/>
      <c r="AP29" s="371"/>
      <c r="AQ29" s="260"/>
      <c r="AR29" s="177"/>
      <c r="AS29" s="177"/>
      <c r="AT29" s="177"/>
      <c r="AU29" s="177"/>
      <c r="AV29" s="177"/>
      <c r="AW29" s="177"/>
      <c r="AX29" s="177"/>
      <c r="AY29" s="177"/>
      <c r="AZ29" s="177"/>
      <c r="BA29" s="177"/>
      <c r="BB29" s="177"/>
      <c r="BC29" s="177"/>
      <c r="BD29" s="177"/>
      <c r="BE29" s="177"/>
      <c r="BF29" s="177"/>
    </row>
    <row r="30" spans="1:58" ht="16.350000000000001" customHeight="1">
      <c r="A30" s="177"/>
      <c r="B30" s="177"/>
      <c r="C30" s="177"/>
      <c r="D30" s="177"/>
      <c r="E30" s="177"/>
      <c r="F30" s="177"/>
      <c r="G30" s="177"/>
      <c r="H30" s="177"/>
      <c r="I30" s="177"/>
      <c r="J30" s="177"/>
      <c r="K30" s="177"/>
      <c r="L30" s="177"/>
      <c r="M30" s="177"/>
      <c r="N30" s="240"/>
      <c r="O30" s="369"/>
      <c r="P30" s="1118" t="s">
        <v>1334</v>
      </c>
      <c r="Q30" s="1118"/>
      <c r="R30" s="1118"/>
      <c r="S30" s="1118"/>
      <c r="T30" s="1118"/>
      <c r="U30" s="526"/>
      <c r="V30" s="1119" t="s">
        <v>1643</v>
      </c>
      <c r="W30" s="1119"/>
      <c r="X30" s="1119"/>
      <c r="Y30" s="1119"/>
      <c r="Z30" s="1119"/>
      <c r="AA30" s="1119"/>
      <c r="AB30" s="507"/>
      <c r="AC30" s="1107" t="s">
        <v>1644</v>
      </c>
      <c r="AD30" s="1107"/>
      <c r="AE30" s="1107"/>
      <c r="AF30" s="1107"/>
      <c r="AG30" s="1107"/>
      <c r="AH30" s="1107"/>
      <c r="AI30" s="507"/>
      <c r="AJ30" s="507"/>
      <c r="AK30" s="507"/>
      <c r="AL30" s="507"/>
      <c r="AM30" s="507"/>
      <c r="AN30" s="507"/>
      <c r="AO30" s="507"/>
      <c r="AP30" s="507"/>
      <c r="AQ30" s="260"/>
      <c r="AR30" s="177"/>
      <c r="AS30" s="177"/>
      <c r="AT30" s="177"/>
      <c r="AU30" s="177"/>
      <c r="AV30" s="177"/>
      <c r="AW30" s="177"/>
      <c r="AX30" s="177"/>
      <c r="AY30" s="177"/>
      <c r="AZ30" s="177"/>
      <c r="BA30" s="177"/>
      <c r="BB30" s="177"/>
      <c r="BC30" s="177"/>
      <c r="BD30" s="177"/>
      <c r="BE30" s="177"/>
      <c r="BF30" s="177"/>
    </row>
    <row r="31" spans="1:58" ht="16.350000000000001" customHeight="1">
      <c r="A31" s="177"/>
      <c r="B31" s="177"/>
      <c r="C31" s="177"/>
      <c r="D31" s="177"/>
      <c r="E31" s="177"/>
      <c r="F31" s="177"/>
      <c r="G31" s="177"/>
      <c r="H31" s="177"/>
      <c r="I31" s="177"/>
      <c r="J31" s="177"/>
      <c r="K31" s="177"/>
      <c r="L31" s="177"/>
      <c r="M31" s="177"/>
      <c r="N31" s="240"/>
      <c r="O31" s="369"/>
      <c r="P31" s="1118"/>
      <c r="Q31" s="1118"/>
      <c r="R31" s="1118"/>
      <c r="S31" s="1118"/>
      <c r="T31" s="1118"/>
      <c r="U31" s="526"/>
      <c r="V31" s="1115" t="str">
        <f>PROPER(M02S03F13&amp;" "&amp;M02S03F14)</f>
        <v xml:space="preserve"> </v>
      </c>
      <c r="W31" s="1115"/>
      <c r="X31" s="1115"/>
      <c r="Y31" s="1115"/>
      <c r="Z31" s="1115"/>
      <c r="AA31" s="1115"/>
      <c r="AB31" s="508"/>
      <c r="AC31" s="1115" t="str">
        <f>CONCATENATE(M02S03F03," ",M02S03F04)</f>
        <v xml:space="preserve"> </v>
      </c>
      <c r="AD31" s="1115"/>
      <c r="AE31" s="1115"/>
      <c r="AF31" s="1115"/>
      <c r="AG31" s="1115"/>
      <c r="AH31" s="1115"/>
      <c r="AI31" s="508"/>
      <c r="AJ31" s="508"/>
      <c r="AK31" s="508"/>
      <c r="AL31" s="508"/>
      <c r="AM31" s="508"/>
      <c r="AN31" s="508"/>
      <c r="AO31" s="508"/>
      <c r="AP31" s="508"/>
      <c r="AQ31" s="260"/>
      <c r="AR31" s="177"/>
      <c r="AS31" s="177"/>
      <c r="AT31" s="177"/>
      <c r="AU31" s="177"/>
      <c r="AV31" s="177"/>
      <c r="AW31" s="177"/>
      <c r="AX31" s="177"/>
      <c r="AY31" s="177"/>
      <c r="AZ31" s="177"/>
      <c r="BA31" s="177"/>
      <c r="BB31" s="177"/>
      <c r="BC31" s="177"/>
      <c r="BD31" s="177"/>
      <c r="BE31" s="177"/>
      <c r="BF31" s="177"/>
    </row>
    <row r="32" spans="1:58" ht="16.350000000000001" customHeight="1">
      <c r="A32" s="177"/>
      <c r="B32" s="177"/>
      <c r="C32" s="177"/>
      <c r="D32" s="177"/>
      <c r="E32" s="177"/>
      <c r="F32" s="177"/>
      <c r="G32" s="177"/>
      <c r="H32" s="177"/>
      <c r="I32" s="177"/>
      <c r="J32" s="177"/>
      <c r="K32" s="177"/>
      <c r="L32" s="177"/>
      <c r="M32" s="177"/>
      <c r="N32" s="240"/>
      <c r="O32" s="369"/>
      <c r="P32" s="1118"/>
      <c r="Q32" s="1118"/>
      <c r="R32" s="1118"/>
      <c r="S32" s="1118"/>
      <c r="T32" s="1118"/>
      <c r="U32" s="526"/>
      <c r="V32" s="1384" t="str">
        <f>M02S03F15</f>
        <v/>
      </c>
      <c r="W32" s="1384"/>
      <c r="X32" s="1384"/>
      <c r="Y32" s="1384"/>
      <c r="Z32" s="1384"/>
      <c r="AA32" s="1384"/>
      <c r="AB32" s="508"/>
      <c r="AC32" s="1384">
        <f>M02S03F06</f>
        <v>0</v>
      </c>
      <c r="AD32" s="1384"/>
      <c r="AE32" s="1384"/>
      <c r="AF32" s="1384"/>
      <c r="AG32" s="1384"/>
      <c r="AH32" s="1384"/>
      <c r="AI32" s="527"/>
      <c r="AJ32" s="527"/>
      <c r="AK32" s="527"/>
      <c r="AL32" s="527"/>
      <c r="AM32" s="527"/>
      <c r="AN32" s="527"/>
      <c r="AO32" s="527"/>
      <c r="AP32" s="527"/>
      <c r="AQ32" s="260"/>
      <c r="AR32" s="177"/>
      <c r="AS32" s="177"/>
      <c r="AT32" s="177"/>
      <c r="AU32" s="177"/>
      <c r="AV32" s="177"/>
      <c r="AW32" s="177"/>
      <c r="AX32" s="177"/>
      <c r="AY32" s="177"/>
      <c r="AZ32" s="177"/>
      <c r="BA32" s="177"/>
      <c r="BB32" s="177"/>
      <c r="BC32" s="177"/>
      <c r="BD32" s="177"/>
      <c r="BE32" s="177"/>
      <c r="BF32" s="177"/>
    </row>
    <row r="33" spans="1:58" ht="16.350000000000001" customHeight="1">
      <c r="A33" s="177"/>
      <c r="B33" s="177"/>
      <c r="C33" s="177"/>
      <c r="D33" s="177"/>
      <c r="E33" s="177"/>
      <c r="F33" s="177"/>
      <c r="G33" s="177"/>
      <c r="H33" s="177"/>
      <c r="I33" s="177"/>
      <c r="J33" s="177"/>
      <c r="K33" s="177"/>
      <c r="L33" s="177"/>
      <c r="M33" s="177"/>
      <c r="N33" s="240"/>
      <c r="O33" s="369"/>
      <c r="P33" s="1118"/>
      <c r="Q33" s="1118"/>
      <c r="R33" s="1118"/>
      <c r="S33" s="1118"/>
      <c r="T33" s="1118"/>
      <c r="U33" s="526"/>
      <c r="V33" s="1115" t="str">
        <f>TEXT(M02S03F16,"(###) ###-####")</f>
        <v/>
      </c>
      <c r="W33" s="1115"/>
      <c r="X33" s="1115"/>
      <c r="Y33" s="1115"/>
      <c r="Z33" s="1115"/>
      <c r="AA33" s="1115"/>
      <c r="AB33" s="508"/>
      <c r="AC33" s="1115" t="str">
        <f>TEXT(M02S03F07,"(###) ###-####")</f>
        <v>() -</v>
      </c>
      <c r="AD33" s="1115"/>
      <c r="AE33" s="1115"/>
      <c r="AF33" s="1115"/>
      <c r="AG33" s="1115"/>
      <c r="AH33" s="1115"/>
      <c r="AI33" s="508"/>
      <c r="AJ33" s="508"/>
      <c r="AK33" s="508"/>
      <c r="AL33" s="508"/>
      <c r="AM33" s="508"/>
      <c r="AN33" s="508"/>
      <c r="AO33" s="508"/>
      <c r="AP33" s="508"/>
      <c r="AQ33" s="260"/>
      <c r="AR33" s="177"/>
      <c r="AS33" s="177"/>
      <c r="AT33" s="177"/>
      <c r="AU33" s="177"/>
      <c r="AV33" s="177"/>
      <c r="AW33" s="177"/>
      <c r="AX33" s="177"/>
      <c r="AY33" s="177"/>
      <c r="AZ33" s="177"/>
      <c r="BA33" s="177"/>
      <c r="BB33" s="177"/>
      <c r="BC33" s="177"/>
      <c r="BD33" s="177"/>
      <c r="BE33" s="177"/>
      <c r="BF33" s="177"/>
    </row>
    <row r="34" spans="1:58" ht="16.350000000000001" customHeight="1">
      <c r="A34" s="177"/>
      <c r="B34" s="177"/>
      <c r="C34" s="177"/>
      <c r="D34" s="177"/>
      <c r="E34" s="177"/>
      <c r="F34" s="177"/>
      <c r="G34" s="177"/>
      <c r="H34" s="177"/>
      <c r="I34" s="177"/>
      <c r="J34" s="177"/>
      <c r="K34" s="177"/>
      <c r="L34" s="177"/>
      <c r="M34" s="177"/>
      <c r="N34" s="240"/>
      <c r="O34" s="369"/>
      <c r="P34" s="199"/>
      <c r="Q34" s="199"/>
      <c r="R34" s="199"/>
      <c r="S34" s="199"/>
      <c r="T34" s="199"/>
      <c r="U34" s="199"/>
      <c r="V34" s="371"/>
      <c r="W34" s="371"/>
      <c r="X34" s="371"/>
      <c r="Y34" s="371"/>
      <c r="Z34" s="371"/>
      <c r="AA34" s="371"/>
      <c r="AB34" s="371"/>
      <c r="AC34" s="371"/>
      <c r="AD34" s="371"/>
      <c r="AE34" s="371"/>
      <c r="AF34" s="371"/>
      <c r="AG34" s="371"/>
      <c r="AH34" s="371"/>
      <c r="AI34" s="371"/>
      <c r="AJ34" s="371"/>
      <c r="AK34" s="371"/>
      <c r="AL34" s="371"/>
      <c r="AM34" s="371"/>
      <c r="AN34" s="371"/>
      <c r="AO34" s="371"/>
      <c r="AP34" s="371"/>
      <c r="AQ34" s="260"/>
      <c r="AR34" s="177"/>
      <c r="AS34" s="177"/>
      <c r="AT34" s="177"/>
      <c r="AU34" s="177"/>
      <c r="AV34" s="177"/>
      <c r="AW34" s="177"/>
      <c r="AX34" s="177"/>
      <c r="AY34" s="177"/>
      <c r="AZ34" s="177"/>
      <c r="BA34" s="177"/>
      <c r="BB34" s="177"/>
      <c r="BC34" s="177"/>
      <c r="BD34" s="177"/>
      <c r="BE34" s="177"/>
      <c r="BF34" s="177"/>
    </row>
    <row r="35" spans="1:58" ht="16.350000000000001" customHeight="1">
      <c r="A35" s="177"/>
      <c r="B35" s="177"/>
      <c r="C35" s="177"/>
      <c r="D35" s="177"/>
      <c r="E35" s="177"/>
      <c r="F35" s="177"/>
      <c r="G35" s="177"/>
      <c r="H35" s="177"/>
      <c r="I35" s="177"/>
      <c r="J35" s="177"/>
      <c r="K35" s="177"/>
      <c r="L35" s="177"/>
      <c r="M35" s="177"/>
      <c r="N35" s="177"/>
      <c r="O35" s="369"/>
      <c r="P35" s="1118" t="s">
        <v>1645</v>
      </c>
      <c r="Q35" s="1118"/>
      <c r="R35" s="1118"/>
      <c r="S35" s="1118"/>
      <c r="T35" s="1118"/>
      <c r="U35" s="526"/>
      <c r="V35" s="1131" t="s">
        <v>758</v>
      </c>
      <c r="W35" s="1131"/>
      <c r="X35" s="1131"/>
      <c r="Y35" s="1131"/>
      <c r="Z35" s="1131"/>
      <c r="AA35" s="1131"/>
      <c r="AB35" s="528"/>
      <c r="AC35" s="1132" t="s">
        <v>1507</v>
      </c>
      <c r="AD35" s="1132"/>
      <c r="AE35" s="1132"/>
      <c r="AF35" s="1132"/>
      <c r="AG35" s="1132"/>
      <c r="AH35" s="1132"/>
      <c r="AI35" s="528"/>
      <c r="AJ35" s="528"/>
      <c r="AK35" s="528"/>
      <c r="AL35" s="528"/>
      <c r="AM35" s="528"/>
      <c r="AN35" s="528"/>
      <c r="AO35" s="528"/>
      <c r="AP35" s="528"/>
      <c r="AQ35" s="260"/>
      <c r="AR35" s="177"/>
      <c r="AS35" s="177"/>
      <c r="AT35" s="177"/>
      <c r="AU35" s="177"/>
      <c r="AV35" s="177"/>
      <c r="AW35" s="177"/>
      <c r="AX35" s="177"/>
      <c r="AY35" s="177"/>
      <c r="AZ35" s="177"/>
      <c r="BA35" s="177"/>
      <c r="BB35" s="177"/>
      <c r="BC35" s="177"/>
      <c r="BD35" s="177"/>
      <c r="BE35" s="177"/>
      <c r="BF35" s="177"/>
    </row>
    <row r="36" spans="1:58" ht="16.350000000000001" customHeight="1">
      <c r="A36" s="177"/>
      <c r="B36" s="177"/>
      <c r="C36" s="177"/>
      <c r="D36" s="177"/>
      <c r="E36" s="177"/>
      <c r="F36" s="177"/>
      <c r="G36" s="177"/>
      <c r="H36" s="177"/>
      <c r="I36" s="177"/>
      <c r="J36" s="177"/>
      <c r="K36" s="177"/>
      <c r="L36" s="177"/>
      <c r="M36" s="177"/>
      <c r="N36" s="177"/>
      <c r="O36" s="369"/>
      <c r="P36" s="1118"/>
      <c r="Q36" s="1118"/>
      <c r="R36" s="1118"/>
      <c r="S36" s="1118"/>
      <c r="T36" s="1118"/>
      <c r="U36" s="526"/>
      <c r="V36" s="1126">
        <f>M02S04F02</f>
        <v>0</v>
      </c>
      <c r="W36" s="1126"/>
      <c r="X36" s="1126"/>
      <c r="Y36" s="1126"/>
      <c r="Z36" s="1126"/>
      <c r="AA36" s="1126"/>
      <c r="AB36" s="516"/>
      <c r="AC36" s="1126" t="str">
        <f>CONCATENATE(M02S04F08," ",M02S04F09)</f>
        <v xml:space="preserve"> </v>
      </c>
      <c r="AD36" s="1126"/>
      <c r="AE36" s="1126"/>
      <c r="AF36" s="1126"/>
      <c r="AG36" s="1126"/>
      <c r="AH36" s="1126"/>
      <c r="AI36" s="529"/>
      <c r="AJ36" s="529"/>
      <c r="AK36" s="516"/>
      <c r="AL36" s="516"/>
      <c r="AM36" s="516"/>
      <c r="AN36" s="516"/>
      <c r="AO36" s="516"/>
      <c r="AP36" s="530"/>
      <c r="AQ36" s="260"/>
      <c r="AR36" s="177"/>
      <c r="AS36" s="177"/>
      <c r="AT36" s="177"/>
      <c r="AU36" s="177"/>
      <c r="AV36" s="177"/>
      <c r="AW36" s="177"/>
      <c r="AX36" s="177"/>
      <c r="AY36" s="177"/>
      <c r="AZ36" s="177"/>
      <c r="BA36" s="177"/>
      <c r="BB36" s="177"/>
      <c r="BC36" s="177"/>
      <c r="BD36" s="177"/>
      <c r="BE36" s="177"/>
      <c r="BF36" s="177"/>
    </row>
    <row r="37" spans="1:58" ht="16.350000000000001" customHeight="1">
      <c r="A37" s="177"/>
      <c r="B37" s="177"/>
      <c r="C37" s="177"/>
      <c r="D37" s="177"/>
      <c r="E37" s="177"/>
      <c r="F37" s="177"/>
      <c r="G37" s="177"/>
      <c r="H37" s="177"/>
      <c r="I37" s="177"/>
      <c r="J37" s="177"/>
      <c r="K37" s="177"/>
      <c r="L37" s="177"/>
      <c r="M37" s="177"/>
      <c r="N37" s="177"/>
      <c r="O37" s="369"/>
      <c r="P37" s="1118"/>
      <c r="Q37" s="1118"/>
      <c r="R37" s="1118"/>
      <c r="S37" s="1118"/>
      <c r="T37" s="1118"/>
      <c r="U37" s="526"/>
      <c r="V37" s="1126">
        <f>M02S04F03</f>
        <v>0</v>
      </c>
      <c r="W37" s="1126"/>
      <c r="X37" s="1126"/>
      <c r="Y37" s="1126"/>
      <c r="Z37" s="1126"/>
      <c r="AA37" s="1126"/>
      <c r="AB37" s="516"/>
      <c r="AC37" s="1134">
        <f>M02S04F10</f>
        <v>0</v>
      </c>
      <c r="AD37" s="1134"/>
      <c r="AE37" s="1134"/>
      <c r="AF37" s="1134"/>
      <c r="AG37" s="1134"/>
      <c r="AH37" s="1134"/>
      <c r="AI37" s="529"/>
      <c r="AJ37" s="529"/>
      <c r="AK37" s="517"/>
      <c r="AL37" s="517"/>
      <c r="AM37" s="517"/>
      <c r="AN37" s="517"/>
      <c r="AO37" s="517"/>
      <c r="AP37" s="531"/>
      <c r="AQ37" s="260"/>
      <c r="AR37" s="177"/>
      <c r="AS37" s="177"/>
      <c r="AT37" s="177"/>
      <c r="AU37" s="177"/>
      <c r="AV37" s="177"/>
      <c r="AW37" s="177"/>
      <c r="AX37" s="177"/>
      <c r="AY37" s="177"/>
      <c r="AZ37" s="177"/>
      <c r="BA37" s="177"/>
      <c r="BB37" s="177"/>
      <c r="BC37" s="177"/>
      <c r="BD37" s="177"/>
      <c r="BE37" s="177"/>
      <c r="BF37" s="177"/>
    </row>
    <row r="38" spans="1:58" ht="16.350000000000001" customHeight="1">
      <c r="A38" s="177"/>
      <c r="B38" s="177"/>
      <c r="C38" s="177"/>
      <c r="D38" s="177"/>
      <c r="E38" s="177"/>
      <c r="F38" s="177"/>
      <c r="G38" s="177"/>
      <c r="H38" s="177"/>
      <c r="I38" s="177"/>
      <c r="J38" s="177"/>
      <c r="K38" s="177"/>
      <c r="L38" s="177"/>
      <c r="M38" s="177"/>
      <c r="N38" s="240"/>
      <c r="O38" s="369"/>
      <c r="P38" s="1118"/>
      <c r="Q38" s="1118"/>
      <c r="R38" s="1118"/>
      <c r="S38" s="1118"/>
      <c r="T38" s="1118"/>
      <c r="U38" s="526"/>
      <c r="V38" s="1126" t="str">
        <f>CONCATENATE(M02S04F05,", ",M02S04F06," ",TEXT(M02S04F07,"00000"))</f>
        <v>,  00000</v>
      </c>
      <c r="W38" s="1126"/>
      <c r="X38" s="1126"/>
      <c r="Y38" s="1126"/>
      <c r="Z38" s="1126"/>
      <c r="AA38" s="1126"/>
      <c r="AB38" s="516"/>
      <c r="AC38" s="1126" t="str">
        <f>TEXT(M02S04F11,"(###) ###-####")</f>
        <v>() -</v>
      </c>
      <c r="AD38" s="1126"/>
      <c r="AE38" s="1126"/>
      <c r="AF38" s="1126"/>
      <c r="AG38" s="1126"/>
      <c r="AH38" s="1126"/>
      <c r="AI38" s="529"/>
      <c r="AJ38" s="529"/>
      <c r="AK38" s="516"/>
      <c r="AL38" s="516"/>
      <c r="AM38" s="516"/>
      <c r="AN38" s="516"/>
      <c r="AO38" s="516"/>
      <c r="AP38" s="530"/>
      <c r="AQ38" s="260"/>
      <c r="AR38" s="177"/>
      <c r="AS38" s="177"/>
      <c r="AT38" s="177"/>
      <c r="AU38" s="177"/>
      <c r="AV38" s="177"/>
      <c r="AW38" s="177"/>
      <c r="AX38" s="177"/>
      <c r="AY38" s="177"/>
      <c r="AZ38" s="177"/>
      <c r="BA38" s="177"/>
      <c r="BB38" s="177"/>
      <c r="BC38" s="177"/>
      <c r="BD38" s="177"/>
      <c r="BE38" s="177"/>
      <c r="BF38" s="177"/>
    </row>
    <row r="39" spans="1:58" ht="16.350000000000001" customHeight="1">
      <c r="A39" s="177"/>
      <c r="B39" s="177"/>
      <c r="C39" s="177"/>
      <c r="D39" s="177"/>
      <c r="E39" s="177"/>
      <c r="F39" s="177"/>
      <c r="G39" s="177"/>
      <c r="H39" s="177"/>
      <c r="I39" s="177"/>
      <c r="J39" s="177"/>
      <c r="K39" s="177"/>
      <c r="L39" s="177"/>
      <c r="M39" s="177"/>
      <c r="N39" s="240"/>
      <c r="O39" s="36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260"/>
      <c r="AR39" s="177"/>
      <c r="AS39" s="177"/>
      <c r="AT39"/>
      <c r="AU39"/>
      <c r="AV39"/>
      <c r="AW39"/>
      <c r="AX39"/>
      <c r="AY39"/>
      <c r="AZ39"/>
      <c r="BA39"/>
      <c r="BB39"/>
      <c r="BC39"/>
      <c r="BD39"/>
      <c r="BE39"/>
      <c r="BF39"/>
    </row>
    <row r="40" spans="1:58" ht="16.350000000000001" customHeight="1">
      <c r="A40" s="177"/>
      <c r="B40" s="177"/>
      <c r="C40" s="177"/>
      <c r="D40" s="177"/>
      <c r="E40" s="177"/>
      <c r="F40" s="177"/>
      <c r="G40" s="177"/>
      <c r="H40" s="177"/>
      <c r="I40" s="177"/>
      <c r="J40" s="177"/>
      <c r="K40" s="177"/>
      <c r="L40" s="177"/>
      <c r="M40" s="177"/>
      <c r="N40" s="240"/>
      <c r="O40" s="369"/>
      <c r="P40" s="570"/>
      <c r="Q40" s="1383" t="s">
        <v>1646</v>
      </c>
      <c r="R40" s="1383"/>
      <c r="S40" s="1383"/>
      <c r="T40" s="1383"/>
      <c r="U40" s="1383"/>
      <c r="V40" s="1383"/>
      <c r="W40" s="1383"/>
      <c r="X40" s="1383"/>
      <c r="Y40" s="1383"/>
      <c r="Z40" s="1383"/>
      <c r="AA40" s="1383"/>
      <c r="AB40" s="1383"/>
      <c r="AC40" s="1383"/>
      <c r="AD40" s="1383"/>
      <c r="AE40" s="1383"/>
      <c r="AF40" s="1383"/>
      <c r="AG40" s="1383"/>
      <c r="AH40" s="1383"/>
      <c r="AI40" s="1383"/>
      <c r="AJ40" s="1383"/>
      <c r="AK40" s="1383"/>
      <c r="AL40" s="1383"/>
      <c r="AM40" s="1383"/>
      <c r="AN40" s="1383"/>
      <c r="AO40" s="1383"/>
      <c r="AP40" s="571"/>
      <c r="AQ40" s="260"/>
      <c r="AR40" s="177"/>
      <c r="AS40"/>
      <c r="AT40"/>
      <c r="AU40"/>
      <c r="AV40"/>
      <c r="AW40"/>
      <c r="AX40"/>
      <c r="AY40"/>
      <c r="AZ40"/>
      <c r="BA40"/>
      <c r="BB40"/>
      <c r="BC40"/>
      <c r="BD40"/>
      <c r="BE40"/>
      <c r="BF40"/>
    </row>
    <row r="41" spans="1:58" ht="16.350000000000001" customHeight="1">
      <c r="A41" s="177"/>
      <c r="B41" s="177"/>
      <c r="C41" s="177"/>
      <c r="D41" s="177"/>
      <c r="E41" s="177"/>
      <c r="F41" s="177"/>
      <c r="G41" s="177"/>
      <c r="H41" s="177"/>
      <c r="I41" s="177"/>
      <c r="J41" s="177"/>
      <c r="K41" s="177"/>
      <c r="L41" s="177"/>
      <c r="M41" s="177"/>
      <c r="N41" s="240"/>
      <c r="O41" s="369"/>
      <c r="P41" s="571"/>
      <c r="Q41" s="1383"/>
      <c r="R41" s="1383"/>
      <c r="S41" s="1383"/>
      <c r="T41" s="1383"/>
      <c r="U41" s="1383"/>
      <c r="V41" s="1383"/>
      <c r="W41" s="1383"/>
      <c r="X41" s="1383"/>
      <c r="Y41" s="1383"/>
      <c r="Z41" s="1383"/>
      <c r="AA41" s="1383"/>
      <c r="AB41" s="1383"/>
      <c r="AC41" s="1383"/>
      <c r="AD41" s="1383"/>
      <c r="AE41" s="1383"/>
      <c r="AF41" s="1383"/>
      <c r="AG41" s="1383"/>
      <c r="AH41" s="1383"/>
      <c r="AI41" s="1383"/>
      <c r="AJ41" s="1383"/>
      <c r="AK41" s="1383"/>
      <c r="AL41" s="1383"/>
      <c r="AM41" s="1383"/>
      <c r="AN41" s="1383"/>
      <c r="AO41" s="1383"/>
      <c r="AP41" s="571"/>
      <c r="AQ41" s="260"/>
      <c r="AR41" s="177"/>
      <c r="AS41"/>
      <c r="AT41"/>
      <c r="AU41"/>
      <c r="AV41"/>
      <c r="AW41"/>
      <c r="AX41"/>
      <c r="AY41"/>
      <c r="AZ41"/>
      <c r="BA41"/>
      <c r="BB41"/>
      <c r="BC41"/>
      <c r="BD41"/>
      <c r="BE41"/>
      <c r="BF41"/>
    </row>
    <row r="42" spans="1:58" ht="16.350000000000001" customHeight="1">
      <c r="A42" s="177"/>
      <c r="B42" s="177"/>
      <c r="C42" s="177"/>
      <c r="D42" s="177"/>
      <c r="E42" s="177"/>
      <c r="F42" s="177"/>
      <c r="G42" s="177"/>
      <c r="H42" s="177"/>
      <c r="I42" s="177"/>
      <c r="J42" s="177"/>
      <c r="K42" s="177"/>
      <c r="L42" s="177"/>
      <c r="M42" s="177"/>
      <c r="N42" s="240"/>
      <c r="O42" s="369"/>
      <c r="P42" s="574"/>
      <c r="Q42" s="575" t="s">
        <v>1647</v>
      </c>
      <c r="R42" s="576" t="str">
        <f>"Was the selected building type ("&amp;BuildingInfo_Building_Type&amp;") appropriate for this facility?"</f>
        <v>Was the selected building type () appropriate for this facility?</v>
      </c>
      <c r="S42" s="574"/>
      <c r="T42" s="574"/>
      <c r="U42" s="574"/>
      <c r="V42" s="574"/>
      <c r="W42" s="574"/>
      <c r="X42" s="574"/>
      <c r="Y42" s="574"/>
      <c r="Z42" s="574"/>
      <c r="AA42" s="574"/>
      <c r="AB42" s="574"/>
      <c r="AC42" s="574"/>
      <c r="AD42" s="574"/>
      <c r="AE42" s="574"/>
      <c r="AF42" s="574"/>
      <c r="AG42" s="574"/>
      <c r="AH42" s="574"/>
      <c r="AI42" s="574"/>
      <c r="AJ42" s="574"/>
      <c r="AK42" s="574"/>
      <c r="AL42" s="574"/>
      <c r="AM42" s="574"/>
      <c r="AN42" s="574"/>
      <c r="AO42" s="574"/>
      <c r="AP42" s="574"/>
      <c r="AQ42" s="260"/>
      <c r="AR42" s="177"/>
      <c r="AS42"/>
      <c r="AT42"/>
      <c r="AU42"/>
      <c r="AV42"/>
      <c r="AW42"/>
      <c r="AX42"/>
      <c r="AY42"/>
      <c r="AZ42"/>
      <c r="BA42"/>
      <c r="BB42"/>
      <c r="BC42"/>
      <c r="BD42"/>
      <c r="BE42"/>
      <c r="BF42"/>
    </row>
    <row r="43" spans="1:58" ht="16.350000000000001" customHeight="1">
      <c r="A43" s="177"/>
      <c r="B43" s="177"/>
      <c r="C43" s="177"/>
      <c r="D43" s="177"/>
      <c r="E43" s="177"/>
      <c r="F43" s="177"/>
      <c r="G43" s="177"/>
      <c r="H43" s="177"/>
      <c r="I43" s="177"/>
      <c r="J43" s="177"/>
      <c r="K43" s="177"/>
      <c r="L43" s="177"/>
      <c r="M43" s="177"/>
      <c r="N43" s="240"/>
      <c r="O43" s="369"/>
      <c r="P43" s="574"/>
      <c r="Q43" s="574"/>
      <c r="R43" s="574"/>
      <c r="S43" s="574" t="s">
        <v>883</v>
      </c>
      <c r="T43" s="574"/>
      <c r="U43" s="574"/>
      <c r="V43" s="574" t="s">
        <v>888</v>
      </c>
      <c r="W43" s="574"/>
      <c r="X43" s="574"/>
      <c r="Y43" s="574"/>
      <c r="Z43" s="574"/>
      <c r="AA43" s="574"/>
      <c r="AB43" s="574"/>
      <c r="AC43" s="574"/>
      <c r="AD43" s="574"/>
      <c r="AE43" s="574"/>
      <c r="AF43" s="574"/>
      <c r="AG43" s="574"/>
      <c r="AH43" s="574"/>
      <c r="AI43" s="574"/>
      <c r="AJ43" s="574"/>
      <c r="AK43" s="574"/>
      <c r="AL43" s="574"/>
      <c r="AM43" s="574"/>
      <c r="AN43" s="574"/>
      <c r="AO43" s="574"/>
      <c r="AP43" s="574"/>
      <c r="AQ43" s="260"/>
      <c r="AR43" s="177"/>
      <c r="AS43"/>
      <c r="AT43"/>
      <c r="AU43"/>
      <c r="AV43"/>
      <c r="AW43"/>
      <c r="AX43"/>
      <c r="AY43"/>
      <c r="AZ43"/>
      <c r="BA43"/>
      <c r="BB43"/>
      <c r="BC43"/>
      <c r="BD43"/>
      <c r="BE43"/>
      <c r="BF43"/>
    </row>
    <row r="44" spans="1:58" ht="16.350000000000001" customHeight="1">
      <c r="A44" s="177"/>
      <c r="B44" s="177"/>
      <c r="C44" s="177"/>
      <c r="D44" s="177"/>
      <c r="E44" s="177"/>
      <c r="F44" s="177"/>
      <c r="G44" s="177"/>
      <c r="H44" s="177"/>
      <c r="I44" s="177"/>
      <c r="J44" s="177"/>
      <c r="K44" s="177"/>
      <c r="L44" s="177"/>
      <c r="M44" s="177"/>
      <c r="N44" s="240"/>
      <c r="O44" s="369"/>
      <c r="P44" s="574"/>
      <c r="Q44" s="1383" t="s">
        <v>1648</v>
      </c>
      <c r="R44" s="1383"/>
      <c r="S44" s="1383"/>
      <c r="T44" s="1383"/>
      <c r="U44" s="1383"/>
      <c r="V44" s="1383"/>
      <c r="W44" s="1383"/>
      <c r="X44" s="1383"/>
      <c r="Y44" s="1383"/>
      <c r="Z44" s="1383"/>
      <c r="AA44" s="1383"/>
      <c r="AB44" s="1383"/>
      <c r="AC44" s="1383"/>
      <c r="AD44" s="1383"/>
      <c r="AE44" s="1383"/>
      <c r="AF44" s="1383"/>
      <c r="AG44" s="1383"/>
      <c r="AH44" s="1383"/>
      <c r="AI44" s="1383"/>
      <c r="AJ44" s="1383"/>
      <c r="AK44" s="1383"/>
      <c r="AL44" s="1383"/>
      <c r="AM44" s="1383"/>
      <c r="AN44" s="1383"/>
      <c r="AO44" s="1383"/>
      <c r="AP44" s="574"/>
      <c r="AQ44" s="260"/>
      <c r="AR44" s="177"/>
      <c r="AS44"/>
      <c r="AT44"/>
      <c r="AU44"/>
      <c r="AV44"/>
      <c r="AW44"/>
      <c r="AX44"/>
      <c r="AY44"/>
      <c r="AZ44"/>
      <c r="BA44"/>
      <c r="BB44"/>
      <c r="BC44"/>
      <c r="BD44"/>
      <c r="BE44"/>
      <c r="BF44"/>
    </row>
    <row r="45" spans="1:58" ht="16.350000000000001" customHeight="1">
      <c r="A45" s="177"/>
      <c r="B45" s="177"/>
      <c r="C45" s="177"/>
      <c r="D45" s="177"/>
      <c r="E45" s="177"/>
      <c r="F45" s="177"/>
      <c r="G45" s="177"/>
      <c r="H45" s="177"/>
      <c r="I45" s="177"/>
      <c r="J45" s="177"/>
      <c r="K45" s="177"/>
      <c r="L45" s="177"/>
      <c r="M45" s="177"/>
      <c r="N45" s="240"/>
      <c r="O45" s="369"/>
      <c r="P45" s="574"/>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574"/>
      <c r="AQ45" s="260"/>
      <c r="AR45" s="177"/>
      <c r="AS45"/>
      <c r="AT45"/>
      <c r="AU45"/>
      <c r="AV45"/>
      <c r="AW45"/>
      <c r="AX45"/>
      <c r="AY45"/>
      <c r="AZ45"/>
      <c r="BA45"/>
      <c r="BB45"/>
      <c r="BC45"/>
      <c r="BD45"/>
      <c r="BE45"/>
      <c r="BF45"/>
    </row>
    <row r="46" spans="1:58" ht="16.350000000000001" customHeight="1">
      <c r="A46" s="177"/>
      <c r="B46" s="177"/>
      <c r="C46" s="177"/>
      <c r="D46" s="177"/>
      <c r="E46" s="177"/>
      <c r="F46" s="177"/>
      <c r="G46" s="177"/>
      <c r="H46" s="177"/>
      <c r="I46" s="177"/>
      <c r="J46" s="177"/>
      <c r="K46" s="177"/>
      <c r="L46" s="177"/>
      <c r="M46" s="177"/>
      <c r="N46" s="240"/>
      <c r="O46" s="369"/>
      <c r="P46" s="574"/>
      <c r="Q46" s="575" t="s">
        <v>1647</v>
      </c>
      <c r="R46" s="1395" t="s">
        <v>1649</v>
      </c>
      <c r="S46" s="1395"/>
      <c r="T46" s="1395"/>
      <c r="U46" s="1395"/>
      <c r="V46" s="1395"/>
      <c r="W46" s="1395"/>
      <c r="X46" s="1395"/>
      <c r="Y46" s="1395"/>
      <c r="Z46" s="1395"/>
      <c r="AA46" s="1395"/>
      <c r="AB46" s="1395"/>
      <c r="AC46" s="1395"/>
      <c r="AD46" s="1395"/>
      <c r="AE46" s="1395"/>
      <c r="AF46" s="1395"/>
      <c r="AG46" s="1395"/>
      <c r="AH46" s="1395"/>
      <c r="AI46" s="1395"/>
      <c r="AJ46" s="1395"/>
      <c r="AK46" s="1395"/>
      <c r="AL46" s="1395"/>
      <c r="AM46" s="1395"/>
      <c r="AN46" s="1395"/>
      <c r="AO46" s="1395"/>
      <c r="AP46" s="574"/>
      <c r="AQ46" s="260"/>
      <c r="AR46" s="177"/>
      <c r="AS46" s="177"/>
      <c r="AT46"/>
      <c r="AU46"/>
      <c r="AV46"/>
      <c r="AW46"/>
      <c r="AX46"/>
      <c r="AY46"/>
      <c r="AZ46"/>
      <c r="BA46"/>
      <c r="BB46"/>
      <c r="BC46"/>
      <c r="BD46"/>
      <c r="BE46"/>
      <c r="BF46"/>
    </row>
    <row r="47" spans="1:58" ht="16.350000000000001" customHeight="1">
      <c r="A47" s="177"/>
      <c r="B47" s="177"/>
      <c r="C47" s="177"/>
      <c r="D47" s="177"/>
      <c r="E47" s="177"/>
      <c r="F47" s="177"/>
      <c r="G47" s="177"/>
      <c r="H47" s="177"/>
      <c r="I47" s="177"/>
      <c r="J47" s="177"/>
      <c r="K47" s="177"/>
      <c r="L47" s="177"/>
      <c r="M47" s="177"/>
      <c r="N47" s="240"/>
      <c r="O47" s="369"/>
      <c r="P47" s="574"/>
      <c r="Q47" s="574"/>
      <c r="R47" s="574"/>
      <c r="S47" s="574" t="s">
        <v>883</v>
      </c>
      <c r="T47" s="574"/>
      <c r="U47" s="574"/>
      <c r="V47" s="574" t="s">
        <v>888</v>
      </c>
      <c r="W47" s="574"/>
      <c r="X47" s="574"/>
      <c r="Y47" s="574"/>
      <c r="Z47" s="574"/>
      <c r="AA47" s="574"/>
      <c r="AB47" s="574"/>
      <c r="AC47" s="574"/>
      <c r="AD47" s="574"/>
      <c r="AE47" s="574"/>
      <c r="AF47" s="574"/>
      <c r="AG47" s="574"/>
      <c r="AH47" s="574"/>
      <c r="AI47" s="574"/>
      <c r="AJ47" s="574"/>
      <c r="AK47" s="574"/>
      <c r="AL47" s="574"/>
      <c r="AM47" s="574"/>
      <c r="AN47" s="574"/>
      <c r="AO47" s="574"/>
      <c r="AP47" s="574"/>
      <c r="AQ47" s="260"/>
      <c r="AR47" s="177"/>
      <c r="AS47" s="177"/>
      <c r="AT47"/>
      <c r="AU47"/>
      <c r="AV47"/>
      <c r="AW47"/>
      <c r="AX47"/>
      <c r="AY47"/>
      <c r="AZ47"/>
      <c r="BA47"/>
      <c r="BB47"/>
      <c r="BC47"/>
      <c r="BD47"/>
      <c r="BE47"/>
      <c r="BF47"/>
    </row>
    <row r="48" spans="1:58" ht="16.350000000000001" customHeight="1">
      <c r="A48" s="177"/>
      <c r="B48" s="177"/>
      <c r="C48" s="177"/>
      <c r="D48" s="177"/>
      <c r="E48" s="177"/>
      <c r="F48" s="177"/>
      <c r="G48" s="177"/>
      <c r="H48" s="177"/>
      <c r="I48" s="177"/>
      <c r="J48" s="177"/>
      <c r="K48" s="177"/>
      <c r="L48" s="177"/>
      <c r="M48" s="177"/>
      <c r="N48" s="240"/>
      <c r="O48" s="369"/>
      <c r="P48" s="574"/>
      <c r="Q48" s="574"/>
      <c r="R48" s="574"/>
      <c r="S48" s="574"/>
      <c r="T48" s="574"/>
      <c r="U48" s="574"/>
      <c r="V48" s="574"/>
      <c r="W48" s="574"/>
      <c r="X48" s="574"/>
      <c r="Y48" s="574"/>
      <c r="Z48" s="574"/>
      <c r="AA48" s="574"/>
      <c r="AB48" s="574"/>
      <c r="AC48" s="574"/>
      <c r="AD48" s="574"/>
      <c r="AE48" s="574"/>
      <c r="AF48" s="574"/>
      <c r="AG48" s="574"/>
      <c r="AH48" s="574"/>
      <c r="AI48" s="574"/>
      <c r="AJ48" s="574"/>
      <c r="AK48" s="574"/>
      <c r="AL48" s="574"/>
      <c r="AM48" s="574"/>
      <c r="AN48" s="574"/>
      <c r="AO48" s="574"/>
      <c r="AP48" s="574"/>
      <c r="AQ48" s="260"/>
      <c r="AR48" s="177"/>
      <c r="AS48" s="177"/>
      <c r="AT48"/>
      <c r="AU48"/>
      <c r="AV48"/>
      <c r="AW48"/>
      <c r="AX48"/>
      <c r="AY48"/>
      <c r="AZ48"/>
      <c r="BA48"/>
      <c r="BB48"/>
      <c r="BC48"/>
      <c r="BD48"/>
      <c r="BE48"/>
      <c r="BF48"/>
    </row>
    <row r="49" spans="1:58" ht="16.350000000000001" customHeight="1">
      <c r="A49" s="177"/>
      <c r="B49" s="177"/>
      <c r="C49" s="177"/>
      <c r="D49" s="177"/>
      <c r="E49" s="177"/>
      <c r="F49" s="177"/>
      <c r="G49" s="177"/>
      <c r="H49" s="177"/>
      <c r="I49" s="177"/>
      <c r="J49" s="177"/>
      <c r="K49" s="177"/>
      <c r="L49" s="177"/>
      <c r="M49" s="177"/>
      <c r="N49" s="240"/>
      <c r="O49" s="369"/>
      <c r="P49" s="577"/>
      <c r="Q49" s="575" t="s">
        <v>1650</v>
      </c>
      <c r="R49" s="1394" t="s">
        <v>1651</v>
      </c>
      <c r="S49" s="1394"/>
      <c r="T49" s="1394"/>
      <c r="U49" s="1394"/>
      <c r="V49" s="1394"/>
      <c r="W49" s="1394"/>
      <c r="X49" s="1394"/>
      <c r="Y49" s="1394"/>
      <c r="Z49" s="1394"/>
      <c r="AA49" s="1394"/>
      <c r="AB49" s="1394"/>
      <c r="AC49" s="1394"/>
      <c r="AD49" s="1394"/>
      <c r="AE49" s="1394"/>
      <c r="AF49" s="1394"/>
      <c r="AG49" s="1394"/>
      <c r="AH49" s="1394"/>
      <c r="AI49" s="1394"/>
      <c r="AJ49" s="1394"/>
      <c r="AK49" s="1394"/>
      <c r="AL49" s="1394"/>
      <c r="AM49" s="1394"/>
      <c r="AN49" s="1394"/>
      <c r="AO49" s="1394"/>
      <c r="AP49" s="577"/>
      <c r="AQ49" s="260"/>
      <c r="AR49" s="177"/>
      <c r="AS49" s="177"/>
      <c r="AT49"/>
      <c r="AU49"/>
      <c r="AV49"/>
      <c r="AW49"/>
      <c r="AX49"/>
      <c r="AY49"/>
      <c r="AZ49"/>
      <c r="BA49"/>
      <c r="BB49"/>
      <c r="BC49"/>
      <c r="BD49"/>
      <c r="BE49"/>
      <c r="BF49"/>
    </row>
    <row r="50" spans="1:58" ht="16.350000000000001" customHeight="1">
      <c r="A50" s="177"/>
      <c r="B50" s="177"/>
      <c r="C50" s="177"/>
      <c r="D50" s="177"/>
      <c r="E50" s="177"/>
      <c r="F50" s="177"/>
      <c r="G50" s="177"/>
      <c r="H50" s="177"/>
      <c r="I50" s="177"/>
      <c r="J50" s="177"/>
      <c r="K50" s="177"/>
      <c r="L50" s="177"/>
      <c r="M50" s="177"/>
      <c r="N50" s="240"/>
      <c r="O50" s="369"/>
      <c r="P50" s="574"/>
      <c r="Q50" s="574"/>
      <c r="R50" s="574"/>
      <c r="S50" s="574" t="s">
        <v>883</v>
      </c>
      <c r="T50" s="574"/>
      <c r="U50" s="574"/>
      <c r="V50" s="574" t="s">
        <v>888</v>
      </c>
      <c r="W50" s="574"/>
      <c r="X50" s="574"/>
      <c r="Y50" s="574"/>
      <c r="Z50" s="574"/>
      <c r="AA50" s="574"/>
      <c r="AB50" s="574"/>
      <c r="AC50" s="574"/>
      <c r="AD50" s="574"/>
      <c r="AE50" s="574"/>
      <c r="AF50" s="574"/>
      <c r="AG50" s="574"/>
      <c r="AH50" s="574"/>
      <c r="AI50" s="574"/>
      <c r="AJ50" s="574"/>
      <c r="AK50" s="574"/>
      <c r="AL50" s="574"/>
      <c r="AM50" s="574"/>
      <c r="AN50" s="574"/>
      <c r="AO50" s="574"/>
      <c r="AP50" s="577"/>
      <c r="AQ50" s="260"/>
      <c r="AR50" s="177"/>
      <c r="AS50" s="177"/>
      <c r="AT50"/>
      <c r="AU50"/>
      <c r="AV50"/>
      <c r="AW50"/>
      <c r="AX50"/>
      <c r="AY50"/>
      <c r="AZ50"/>
      <c r="BA50"/>
      <c r="BB50"/>
      <c r="BC50"/>
      <c r="BD50"/>
      <c r="BE50"/>
      <c r="BF50"/>
    </row>
    <row r="51" spans="1:58" ht="16.350000000000001" customHeight="1">
      <c r="A51" s="177"/>
      <c r="B51" s="177"/>
      <c r="C51" s="177"/>
      <c r="D51" s="177"/>
      <c r="E51" s="177"/>
      <c r="F51" s="177"/>
      <c r="G51" s="177"/>
      <c r="H51" s="177"/>
      <c r="I51" s="177"/>
      <c r="J51" s="177"/>
      <c r="K51" s="177"/>
      <c r="L51" s="177"/>
      <c r="M51" s="177"/>
      <c r="N51" s="240"/>
      <c r="O51" s="369"/>
      <c r="P51" s="577"/>
      <c r="Q51" s="577"/>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74"/>
      <c r="AO51" s="574"/>
      <c r="AP51" s="577"/>
      <c r="AQ51" s="260"/>
      <c r="AR51" s="177"/>
      <c r="AS51" s="177"/>
      <c r="AT51"/>
      <c r="AU51"/>
      <c r="AV51"/>
      <c r="AW51"/>
      <c r="AX51"/>
      <c r="AY51"/>
      <c r="AZ51"/>
      <c r="BA51"/>
      <c r="BB51"/>
      <c r="BC51"/>
      <c r="BD51"/>
      <c r="BE51"/>
      <c r="BF51"/>
    </row>
    <row r="52" spans="1:58" ht="16.350000000000001" customHeight="1">
      <c r="A52" s="177"/>
      <c r="B52" s="177"/>
      <c r="C52" s="177"/>
      <c r="D52" s="177"/>
      <c r="E52" s="177"/>
      <c r="F52" s="177"/>
      <c r="G52" s="177"/>
      <c r="H52" s="177"/>
      <c r="I52" s="177"/>
      <c r="J52" s="177"/>
      <c r="K52" s="177"/>
      <c r="L52" s="177"/>
      <c r="M52" s="177"/>
      <c r="N52" s="240"/>
      <c r="O52" s="369"/>
      <c r="P52" s="577"/>
      <c r="Q52" s="578" t="s">
        <v>1652</v>
      </c>
      <c r="R52" s="1394" t="s">
        <v>1653</v>
      </c>
      <c r="S52" s="1394"/>
      <c r="T52" s="1394"/>
      <c r="U52" s="1394"/>
      <c r="V52" s="1394"/>
      <c r="W52" s="1394"/>
      <c r="X52" s="1394"/>
      <c r="Y52" s="1394"/>
      <c r="Z52" s="1394"/>
      <c r="AA52" s="1394"/>
      <c r="AB52" s="1394"/>
      <c r="AC52" s="1394"/>
      <c r="AD52" s="1394"/>
      <c r="AE52" s="1394"/>
      <c r="AF52" s="1394"/>
      <c r="AG52" s="1394"/>
      <c r="AH52" s="1394"/>
      <c r="AI52" s="1394"/>
      <c r="AJ52" s="1394"/>
      <c r="AK52" s="1394"/>
      <c r="AL52" s="1394"/>
      <c r="AM52" s="1394"/>
      <c r="AN52" s="1394"/>
      <c r="AO52" s="1394"/>
      <c r="AP52" s="577"/>
      <c r="AQ52" s="260"/>
      <c r="AR52" s="177"/>
      <c r="AS52" s="177"/>
      <c r="AT52"/>
      <c r="AU52"/>
      <c r="AV52"/>
      <c r="AW52"/>
      <c r="AX52"/>
      <c r="AY52"/>
      <c r="AZ52"/>
      <c r="BA52"/>
      <c r="BB52"/>
      <c r="BC52"/>
      <c r="BD52"/>
      <c r="BE52"/>
      <c r="BF52"/>
    </row>
    <row r="53" spans="1:58" ht="16.350000000000001" customHeight="1">
      <c r="A53" s="177"/>
      <c r="B53" s="177"/>
      <c r="C53" s="177"/>
      <c r="D53" s="177"/>
      <c r="E53" s="177"/>
      <c r="F53" s="177"/>
      <c r="G53" s="177"/>
      <c r="H53" s="177"/>
      <c r="I53" s="177"/>
      <c r="J53" s="177"/>
      <c r="K53" s="177"/>
      <c r="L53" s="177"/>
      <c r="M53" s="177"/>
      <c r="N53" s="240"/>
      <c r="O53" s="369"/>
      <c r="P53" s="577"/>
      <c r="Q53" s="577"/>
      <c r="R53" s="574"/>
      <c r="S53" s="1394" t="s">
        <v>699</v>
      </c>
      <c r="T53" s="1394"/>
      <c r="U53" s="1394"/>
      <c r="V53" s="1394" t="s">
        <v>1023</v>
      </c>
      <c r="W53" s="1394"/>
      <c r="X53" s="1394"/>
      <c r="Y53" s="1394"/>
      <c r="Z53" s="574"/>
      <c r="AA53" s="1394" t="s">
        <v>1654</v>
      </c>
      <c r="AB53" s="1394"/>
      <c r="AC53" s="1394"/>
      <c r="AD53" s="574"/>
      <c r="AE53" s="1394" t="s">
        <v>278</v>
      </c>
      <c r="AF53" s="1394"/>
      <c r="AG53" s="1394"/>
      <c r="AH53" s="1394"/>
      <c r="AI53" s="574"/>
      <c r="AJ53" s="574"/>
      <c r="AK53" s="574"/>
      <c r="AL53" s="574"/>
      <c r="AM53" s="574"/>
      <c r="AN53" s="574"/>
      <c r="AO53" s="574"/>
      <c r="AP53" s="577"/>
      <c r="AQ53" s="260"/>
      <c r="AR53" s="177"/>
      <c r="AS53" s="177"/>
      <c r="AT53"/>
      <c r="AU53"/>
      <c r="AV53"/>
      <c r="AW53"/>
      <c r="AX53"/>
      <c r="AY53"/>
      <c r="AZ53"/>
      <c r="BA53"/>
      <c r="BB53"/>
      <c r="BC53"/>
      <c r="BD53"/>
      <c r="BE53"/>
      <c r="BF53"/>
    </row>
    <row r="54" spans="1:58" ht="16.350000000000001" customHeight="1">
      <c r="A54" s="177"/>
      <c r="B54" s="177"/>
      <c r="C54" s="177"/>
      <c r="D54" s="177"/>
      <c r="E54" s="177"/>
      <c r="F54" s="177"/>
      <c r="G54" s="177"/>
      <c r="H54" s="177"/>
      <c r="I54" s="177"/>
      <c r="J54" s="177"/>
      <c r="K54" s="177"/>
      <c r="L54" s="177"/>
      <c r="M54" s="177"/>
      <c r="N54" s="177"/>
      <c r="O54" s="369"/>
      <c r="P54" s="577"/>
      <c r="Q54" s="577"/>
      <c r="R54" s="577"/>
      <c r="S54" s="1394" t="s">
        <v>267</v>
      </c>
      <c r="T54" s="1394"/>
      <c r="U54" s="579"/>
      <c r="V54" s="1394" t="s">
        <v>89</v>
      </c>
      <c r="W54" s="1394"/>
      <c r="X54" s="1394"/>
      <c r="Y54" s="1394"/>
      <c r="Z54" s="577"/>
      <c r="AA54" s="1394" t="s">
        <v>276</v>
      </c>
      <c r="AB54" s="1394"/>
      <c r="AC54" s="1394"/>
      <c r="AD54" s="577"/>
      <c r="AE54" s="577"/>
      <c r="AF54" s="577"/>
      <c r="AG54" s="577"/>
      <c r="AH54" s="577"/>
      <c r="AI54" s="577"/>
      <c r="AJ54" s="577"/>
      <c r="AK54" s="577"/>
      <c r="AL54" s="577"/>
      <c r="AM54" s="577"/>
      <c r="AN54" s="577"/>
      <c r="AO54" s="577"/>
      <c r="AP54" s="577"/>
      <c r="AQ54" s="260"/>
      <c r="AR54" s="177"/>
      <c r="AS54" s="177"/>
      <c r="AT54"/>
      <c r="AU54"/>
      <c r="AV54"/>
      <c r="AW54"/>
      <c r="AX54"/>
      <c r="AY54"/>
      <c r="AZ54"/>
      <c r="BA54"/>
      <c r="BB54"/>
      <c r="BC54"/>
      <c r="BD54"/>
      <c r="BE54"/>
      <c r="BF54"/>
    </row>
    <row r="55" spans="1:58" ht="16.350000000000001" customHeight="1">
      <c r="A55" s="177"/>
      <c r="B55" s="177"/>
      <c r="C55" s="177"/>
      <c r="D55" s="177"/>
      <c r="E55" s="177"/>
      <c r="F55" s="177"/>
      <c r="G55" s="177"/>
      <c r="H55" s="177"/>
      <c r="I55" s="177"/>
      <c r="J55" s="177"/>
      <c r="K55" s="177"/>
      <c r="L55" s="177"/>
      <c r="M55" s="177"/>
      <c r="N55" s="240"/>
      <c r="O55" s="369"/>
      <c r="P55" s="579"/>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260"/>
      <c r="AR55" s="177"/>
      <c r="AS55" s="177"/>
      <c r="AT55"/>
      <c r="AU55"/>
      <c r="AV55"/>
      <c r="AW55"/>
      <c r="AX55"/>
      <c r="AY55"/>
      <c r="AZ55"/>
      <c r="BA55"/>
      <c r="BB55"/>
      <c r="BC55"/>
      <c r="BD55"/>
      <c r="BE55"/>
      <c r="BF55"/>
    </row>
    <row r="56" spans="1:58" ht="16.350000000000001" customHeight="1">
      <c r="A56" s="177"/>
      <c r="B56" s="177"/>
      <c r="C56" s="177"/>
      <c r="D56" s="177"/>
      <c r="E56" s="177"/>
      <c r="F56" s="177"/>
      <c r="G56" s="177"/>
      <c r="H56" s="177"/>
      <c r="I56" s="177"/>
      <c r="J56" s="177"/>
      <c r="K56" s="177"/>
      <c r="L56" s="177"/>
      <c r="M56" s="177"/>
      <c r="N56" s="240"/>
      <c r="O56" s="369"/>
      <c r="P56" s="579"/>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260"/>
      <c r="AR56" s="177"/>
      <c r="AS56" s="177"/>
      <c r="AT56"/>
      <c r="AU56"/>
      <c r="AV56"/>
      <c r="AW56"/>
      <c r="AX56"/>
      <c r="AY56"/>
      <c r="AZ56"/>
      <c r="BA56"/>
      <c r="BB56"/>
      <c r="BC56"/>
      <c r="BD56"/>
      <c r="BE56"/>
      <c r="BF56"/>
    </row>
    <row r="57" spans="1:58" ht="16.350000000000001" customHeight="1">
      <c r="A57" s="177"/>
      <c r="B57" s="177"/>
      <c r="C57" s="177"/>
      <c r="D57" s="177"/>
      <c r="E57" s="177"/>
      <c r="F57" s="177"/>
      <c r="G57" s="177"/>
      <c r="H57" s="177"/>
      <c r="I57" s="177"/>
      <c r="J57" s="177"/>
      <c r="K57" s="177"/>
      <c r="L57" s="177"/>
      <c r="M57" s="177"/>
      <c r="N57" s="177"/>
      <c r="O57" s="369"/>
      <c r="P57" s="579"/>
      <c r="Q57" s="579"/>
      <c r="R57" s="579"/>
      <c r="S57" s="579"/>
      <c r="T57" s="579"/>
      <c r="U57" s="579"/>
      <c r="V57" s="579"/>
      <c r="W57" s="579"/>
      <c r="X57" s="579"/>
      <c r="Y57" s="579"/>
      <c r="Z57" s="579"/>
      <c r="AA57" s="579"/>
      <c r="AB57" s="579"/>
      <c r="AC57" s="579"/>
      <c r="AD57" s="579"/>
      <c r="AE57" s="579"/>
      <c r="AF57" s="579"/>
      <c r="AG57" s="579"/>
      <c r="AH57" s="579"/>
      <c r="AI57" s="579"/>
      <c r="AJ57" s="579"/>
      <c r="AK57" s="579"/>
      <c r="AL57" s="579"/>
      <c r="AM57" s="579"/>
      <c r="AN57" s="579"/>
      <c r="AO57" s="579"/>
      <c r="AP57" s="579"/>
      <c r="AQ57" s="260"/>
      <c r="AR57" s="177"/>
      <c r="AS57" s="177"/>
      <c r="AT57"/>
      <c r="AU57"/>
      <c r="AV57"/>
      <c r="AW57"/>
      <c r="AX57"/>
      <c r="AY57"/>
      <c r="AZ57"/>
      <c r="BA57"/>
      <c r="BB57"/>
      <c r="BC57"/>
      <c r="BD57"/>
      <c r="BE57"/>
      <c r="BF57"/>
    </row>
    <row r="58" spans="1:58" ht="16.350000000000001" customHeight="1">
      <c r="A58" s="177"/>
      <c r="B58" s="177"/>
      <c r="C58" s="177"/>
      <c r="D58" s="177"/>
      <c r="E58" s="177"/>
      <c r="F58" s="177"/>
      <c r="G58" s="177"/>
      <c r="H58" s="177"/>
      <c r="I58" s="177"/>
      <c r="J58" s="177"/>
      <c r="K58" s="177"/>
      <c r="L58" s="177"/>
      <c r="M58" s="177"/>
      <c r="N58" s="240"/>
      <c r="O58" s="369"/>
      <c r="P58" s="579"/>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260"/>
      <c r="AR58" s="177"/>
      <c r="AS58" s="177"/>
      <c r="AT58"/>
      <c r="AU58"/>
      <c r="AV58"/>
      <c r="AW58"/>
      <c r="AX58"/>
      <c r="AY58"/>
      <c r="AZ58"/>
      <c r="BA58"/>
      <c r="BB58"/>
      <c r="BC58"/>
      <c r="BD58"/>
      <c r="BE58"/>
      <c r="BF58"/>
    </row>
    <row r="59" spans="1:58" ht="16.350000000000001" customHeight="1">
      <c r="A59" s="177"/>
      <c r="B59" s="177"/>
      <c r="C59" s="177"/>
      <c r="D59" s="177"/>
      <c r="E59" s="177"/>
      <c r="F59" s="177"/>
      <c r="G59" s="177"/>
      <c r="H59" s="177"/>
      <c r="I59" s="177"/>
      <c r="J59" s="177"/>
      <c r="K59" s="177"/>
      <c r="L59" s="177"/>
      <c r="M59" s="177"/>
      <c r="N59" s="240"/>
      <c r="O59" s="369"/>
      <c r="P59"/>
      <c r="Q59"/>
      <c r="R59"/>
      <c r="S59"/>
      <c r="T59"/>
      <c r="U59"/>
      <c r="V59"/>
      <c r="W59"/>
      <c r="X59"/>
      <c r="Y59"/>
      <c r="Z59"/>
      <c r="AA59"/>
      <c r="AB59"/>
      <c r="AC59"/>
      <c r="AD59"/>
      <c r="AE59"/>
      <c r="AF59"/>
      <c r="AG59"/>
      <c r="AH59"/>
      <c r="AI59"/>
      <c r="AJ59"/>
      <c r="AK59"/>
      <c r="AL59"/>
      <c r="AM59"/>
      <c r="AN59"/>
      <c r="AO59"/>
      <c r="AP59"/>
      <c r="AQ59" s="260"/>
      <c r="AR59" s="177"/>
      <c r="AS59" s="177"/>
      <c r="AT59"/>
      <c r="AU59"/>
      <c r="AV59"/>
      <c r="AW59"/>
      <c r="AX59"/>
      <c r="AY59"/>
      <c r="AZ59"/>
      <c r="BA59"/>
      <c r="BB59"/>
      <c r="BC59"/>
      <c r="BD59"/>
      <c r="BE59"/>
      <c r="BF59"/>
    </row>
    <row r="60" spans="1:58" ht="16.350000000000001" customHeight="1">
      <c r="A60" s="177"/>
      <c r="B60" s="177"/>
      <c r="C60" s="177"/>
      <c r="D60" s="177"/>
      <c r="E60" s="177"/>
      <c r="F60" s="177"/>
      <c r="G60" s="177"/>
      <c r="H60" s="177"/>
      <c r="I60" s="177"/>
      <c r="J60" s="177"/>
      <c r="K60" s="177"/>
      <c r="L60" s="177"/>
      <c r="M60" s="177"/>
      <c r="N60" s="240"/>
      <c r="O60" s="369"/>
      <c r="P60" s="570"/>
      <c r="Q60" s="1383" t="s">
        <v>1655</v>
      </c>
      <c r="R60" s="1383"/>
      <c r="S60" s="1383"/>
      <c r="T60" s="1383"/>
      <c r="U60" s="1383"/>
      <c r="V60" s="1383"/>
      <c r="W60" s="1383"/>
      <c r="X60" s="1383"/>
      <c r="Y60" s="1383"/>
      <c r="Z60" s="1383"/>
      <c r="AA60" s="1383"/>
      <c r="AB60" s="1383"/>
      <c r="AC60" s="1383"/>
      <c r="AD60" s="1383"/>
      <c r="AE60" s="1383"/>
      <c r="AF60" s="1383"/>
      <c r="AG60" s="1383"/>
      <c r="AH60" s="1383"/>
      <c r="AI60" s="1383"/>
      <c r="AJ60" s="1383"/>
      <c r="AK60" s="1383"/>
      <c r="AL60" s="1383"/>
      <c r="AM60" s="1383"/>
      <c r="AN60" s="1383"/>
      <c r="AO60" s="1383"/>
      <c r="AP60" s="571"/>
      <c r="AQ60" s="260"/>
      <c r="AR60" s="177"/>
      <c r="AS60"/>
      <c r="AT60"/>
      <c r="AU60"/>
      <c r="AV60"/>
      <c r="AW60"/>
      <c r="AX60"/>
      <c r="AY60"/>
      <c r="AZ60"/>
      <c r="BA60"/>
      <c r="BB60"/>
      <c r="BC60"/>
      <c r="BD60"/>
      <c r="BE60"/>
      <c r="BF60"/>
    </row>
    <row r="61" spans="1:58" ht="16.350000000000001" customHeight="1">
      <c r="A61" s="177"/>
      <c r="B61" s="177"/>
      <c r="C61" s="177"/>
      <c r="D61" s="177"/>
      <c r="E61" s="177"/>
      <c r="F61" s="177"/>
      <c r="G61" s="177"/>
      <c r="H61" s="177"/>
      <c r="I61" s="177"/>
      <c r="J61" s="177"/>
      <c r="K61" s="177"/>
      <c r="L61" s="177"/>
      <c r="M61" s="177"/>
      <c r="N61" s="240"/>
      <c r="O61" s="369"/>
      <c r="P61" s="571"/>
      <c r="Q61" s="1383"/>
      <c r="R61" s="1383"/>
      <c r="S61" s="1383"/>
      <c r="T61" s="1383"/>
      <c r="U61" s="1383"/>
      <c r="V61" s="1383"/>
      <c r="W61" s="1383"/>
      <c r="X61" s="1383"/>
      <c r="Y61" s="1383"/>
      <c r="Z61" s="1383"/>
      <c r="AA61" s="1383"/>
      <c r="AB61" s="1383"/>
      <c r="AC61" s="1383"/>
      <c r="AD61" s="1383"/>
      <c r="AE61" s="1383"/>
      <c r="AF61" s="1383"/>
      <c r="AG61" s="1383"/>
      <c r="AH61" s="1383"/>
      <c r="AI61" s="1383"/>
      <c r="AJ61" s="1383"/>
      <c r="AK61" s="1383"/>
      <c r="AL61" s="1383"/>
      <c r="AM61" s="1383"/>
      <c r="AN61" s="1383"/>
      <c r="AO61" s="1383"/>
      <c r="AP61" s="571"/>
      <c r="AQ61" s="260"/>
      <c r="AR61" s="177"/>
      <c r="AS61"/>
      <c r="AT61"/>
      <c r="AU61"/>
      <c r="AV61"/>
      <c r="AW61"/>
      <c r="AX61"/>
      <c r="AY61"/>
      <c r="AZ61"/>
      <c r="BA61"/>
      <c r="BB61"/>
      <c r="BC61"/>
      <c r="BD61"/>
      <c r="BE61"/>
      <c r="BF61"/>
    </row>
    <row r="62" spans="1:58" ht="16.350000000000001" customHeight="1">
      <c r="A62" s="177"/>
      <c r="B62" s="177"/>
      <c r="C62" s="177"/>
      <c r="D62" s="177"/>
      <c r="E62" s="177"/>
      <c r="F62" s="177"/>
      <c r="G62" s="177"/>
      <c r="H62" s="177"/>
      <c r="I62" s="177"/>
      <c r="J62" s="177"/>
      <c r="K62" s="177"/>
      <c r="L62" s="177"/>
      <c r="M62" s="177"/>
      <c r="N62" s="240"/>
      <c r="O62" s="369"/>
      <c r="P62" s="572"/>
      <c r="Q62" s="1398" t="s">
        <v>1656</v>
      </c>
      <c r="R62" s="1398"/>
      <c r="S62" s="1398"/>
      <c r="T62" s="1398"/>
      <c r="U62" s="1398"/>
      <c r="V62" s="1398"/>
      <c r="W62" s="1398"/>
      <c r="X62" s="1391"/>
      <c r="Y62" s="1391"/>
      <c r="Z62" s="1391"/>
      <c r="AA62" s="1391"/>
      <c r="AB62" s="1391"/>
      <c r="AC62" s="1391"/>
      <c r="AD62" s="1391"/>
      <c r="AE62" s="1391"/>
      <c r="AF62" s="1391"/>
      <c r="AG62" s="1391"/>
      <c r="AH62" s="1391"/>
      <c r="AI62" s="1391"/>
      <c r="AJ62" s="1391"/>
      <c r="AK62" s="1391"/>
      <c r="AL62" s="1391"/>
      <c r="AM62" s="1391"/>
      <c r="AN62" s="1391"/>
      <c r="AO62" s="1391"/>
      <c r="AP62" s="572"/>
      <c r="AQ62" s="260"/>
      <c r="AR62" s="177"/>
      <c r="AS62" s="177"/>
      <c r="AT62"/>
      <c r="AU62"/>
      <c r="AV62"/>
      <c r="AW62"/>
      <c r="AX62"/>
      <c r="AY62"/>
      <c r="AZ62"/>
      <c r="BA62"/>
      <c r="BB62"/>
      <c r="BC62"/>
      <c r="BD62"/>
      <c r="BE62"/>
      <c r="BF62"/>
    </row>
    <row r="63" spans="1:58" ht="16.350000000000001" customHeight="1">
      <c r="A63" s="177"/>
      <c r="B63" s="177"/>
      <c r="C63" s="177"/>
      <c r="D63" s="177"/>
      <c r="E63" s="177"/>
      <c r="F63" s="177"/>
      <c r="G63" s="177"/>
      <c r="H63" s="177"/>
      <c r="I63" s="177"/>
      <c r="J63" s="177"/>
      <c r="K63" s="177"/>
      <c r="L63" s="177"/>
      <c r="M63" s="177"/>
      <c r="N63" s="240"/>
      <c r="O63" s="369"/>
      <c r="P63" s="572"/>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c r="AO63" s="573"/>
      <c r="AP63" s="572"/>
      <c r="AQ63" s="260"/>
      <c r="AR63" s="177"/>
      <c r="AS63" s="177"/>
      <c r="AT63"/>
      <c r="AU63"/>
      <c r="AV63"/>
      <c r="AW63"/>
      <c r="AX63"/>
      <c r="AY63"/>
      <c r="AZ63"/>
      <c r="BA63"/>
      <c r="BB63"/>
      <c r="BC63"/>
      <c r="BD63"/>
      <c r="BE63"/>
      <c r="BF63"/>
    </row>
    <row r="64" spans="1:58" ht="16.350000000000001" customHeight="1">
      <c r="A64" s="177"/>
      <c r="B64" s="177"/>
      <c r="C64" s="177"/>
      <c r="D64" s="177"/>
      <c r="E64" s="177"/>
      <c r="F64" s="177"/>
      <c r="G64" s="177"/>
      <c r="H64" s="177"/>
      <c r="I64" s="177"/>
      <c r="J64" s="177"/>
      <c r="K64" s="177"/>
      <c r="L64" s="177"/>
      <c r="M64" s="177"/>
      <c r="N64" s="177"/>
      <c r="O64" s="369"/>
      <c r="P64" s="572"/>
      <c r="Q64" s="1396" t="s">
        <v>1657</v>
      </c>
      <c r="R64" s="1396"/>
      <c r="S64" s="1396"/>
      <c r="T64" s="1397"/>
      <c r="U64" s="1397"/>
      <c r="V64" s="1397"/>
      <c r="W64" s="1397"/>
      <c r="X64" s="1397"/>
      <c r="Y64" s="1397"/>
      <c r="Z64" s="1397"/>
      <c r="AA64" s="1397"/>
      <c r="AB64" s="1397"/>
      <c r="AC64" s="1397"/>
      <c r="AD64" s="1397"/>
      <c r="AE64" s="1397"/>
      <c r="AF64" s="1397"/>
      <c r="AG64" s="1397"/>
      <c r="AH64" s="1397"/>
      <c r="AI64" s="1397"/>
      <c r="AJ64" s="1397"/>
      <c r="AK64" s="1397"/>
      <c r="AL64" s="1397"/>
      <c r="AM64" s="1397"/>
      <c r="AN64" s="1397"/>
      <c r="AO64" s="1397"/>
      <c r="AP64" s="572"/>
      <c r="AQ64" s="260"/>
      <c r="AR64" s="177"/>
      <c r="AS64" s="177"/>
      <c r="AT64"/>
      <c r="AU64"/>
      <c r="AV64"/>
      <c r="AW64"/>
      <c r="AX64"/>
      <c r="AY64"/>
      <c r="AZ64"/>
      <c r="BA64"/>
      <c r="BB64"/>
      <c r="BC64"/>
      <c r="BD64"/>
      <c r="BE64"/>
      <c r="BF64"/>
    </row>
    <row r="65" spans="1:58" ht="16.350000000000001" customHeight="1">
      <c r="A65" s="177"/>
      <c r="B65" s="177"/>
      <c r="C65" s="177"/>
      <c r="D65" s="177"/>
      <c r="E65" s="177"/>
      <c r="F65" s="177"/>
      <c r="G65" s="177"/>
      <c r="H65" s="177"/>
      <c r="I65" s="177"/>
      <c r="J65" s="177"/>
      <c r="K65" s="177"/>
      <c r="L65" s="177"/>
      <c r="M65" s="177"/>
      <c r="N65" s="177"/>
      <c r="O65" s="369"/>
      <c r="P65" s="572"/>
      <c r="Q65" s="1396"/>
      <c r="R65" s="1396"/>
      <c r="S65" s="1396"/>
      <c r="T65" s="1397"/>
      <c r="U65" s="1397"/>
      <c r="V65" s="1397"/>
      <c r="W65" s="1397"/>
      <c r="X65" s="1397"/>
      <c r="Y65" s="1397"/>
      <c r="Z65" s="1397"/>
      <c r="AA65" s="1397"/>
      <c r="AB65" s="1397"/>
      <c r="AC65" s="1397"/>
      <c r="AD65" s="1397"/>
      <c r="AE65" s="1397"/>
      <c r="AF65" s="1397"/>
      <c r="AG65" s="1397"/>
      <c r="AH65" s="1397"/>
      <c r="AI65" s="1397"/>
      <c r="AJ65" s="1397"/>
      <c r="AK65" s="1397"/>
      <c r="AL65" s="1397"/>
      <c r="AM65" s="1397"/>
      <c r="AN65" s="1397"/>
      <c r="AO65" s="1397"/>
      <c r="AP65" s="572"/>
      <c r="AQ65" s="260"/>
      <c r="AR65" s="177"/>
      <c r="AS65" s="177"/>
      <c r="AT65"/>
      <c r="AU65"/>
      <c r="AV65"/>
      <c r="AW65"/>
      <c r="AX65"/>
      <c r="AY65"/>
      <c r="AZ65"/>
      <c r="BA65"/>
      <c r="BB65"/>
      <c r="BC65"/>
      <c r="BD65"/>
      <c r="BE65"/>
      <c r="BF65"/>
    </row>
    <row r="66" spans="1:58" ht="16.350000000000001" customHeight="1">
      <c r="A66" s="177"/>
      <c r="B66" s="177"/>
      <c r="C66" s="177"/>
      <c r="D66" s="177"/>
      <c r="E66" s="177"/>
      <c r="F66" s="177"/>
      <c r="G66" s="177"/>
      <c r="H66" s="177"/>
      <c r="I66" s="177"/>
      <c r="J66" s="177"/>
      <c r="K66" s="177"/>
      <c r="L66" s="177"/>
      <c r="M66" s="177"/>
      <c r="N66" s="177"/>
      <c r="O66" s="369"/>
      <c r="P66" s="572"/>
      <c r="Q66" s="1396"/>
      <c r="R66" s="1396"/>
      <c r="S66" s="1396"/>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572"/>
      <c r="AQ66" s="260"/>
      <c r="AR66" s="177"/>
      <c r="AS66" s="177"/>
      <c r="AT66"/>
      <c r="AU66"/>
      <c r="AV66"/>
      <c r="AW66"/>
      <c r="AX66"/>
      <c r="AY66"/>
      <c r="AZ66"/>
      <c r="BA66"/>
      <c r="BB66"/>
      <c r="BC66"/>
      <c r="BD66"/>
      <c r="BE66"/>
      <c r="BF66"/>
    </row>
    <row r="67" spans="1:58" ht="16.350000000000001" customHeight="1">
      <c r="A67" s="177"/>
      <c r="B67" s="177"/>
      <c r="C67" s="177"/>
      <c r="D67" s="177"/>
      <c r="E67" s="177"/>
      <c r="F67" s="177"/>
      <c r="G67" s="177"/>
      <c r="H67" s="177"/>
      <c r="I67" s="177"/>
      <c r="J67" s="177"/>
      <c r="K67" s="177"/>
      <c r="L67" s="177"/>
      <c r="M67" s="177"/>
      <c r="N67" s="240"/>
      <c r="O67" s="369"/>
      <c r="P67" s="572"/>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c r="AO67" s="573"/>
      <c r="AP67" s="572"/>
      <c r="AQ67" s="260"/>
      <c r="AR67"/>
      <c r="AS67"/>
      <c r="AT67"/>
      <c r="AU67"/>
      <c r="AV67"/>
      <c r="AW67"/>
      <c r="AX67"/>
      <c r="AY67"/>
      <c r="AZ67"/>
      <c r="BA67"/>
      <c r="BB67" t="s">
        <v>118</v>
      </c>
      <c r="BC67"/>
      <c r="BD67"/>
      <c r="BE67"/>
      <c r="BF67"/>
    </row>
    <row r="68" spans="1:58" ht="16.350000000000001" customHeight="1">
      <c r="A68" s="177"/>
      <c r="B68" s="177"/>
      <c r="C68" s="177"/>
      <c r="D68" s="177"/>
      <c r="E68" s="177"/>
      <c r="F68" s="177"/>
      <c r="G68" s="177"/>
      <c r="H68" s="177"/>
      <c r="I68" s="177"/>
      <c r="J68" s="177"/>
      <c r="K68" s="177"/>
      <c r="L68" s="177"/>
      <c r="M68" s="177"/>
      <c r="N68" s="240"/>
      <c r="O68" s="369"/>
      <c r="P68"/>
      <c r="Q68"/>
      <c r="R68"/>
      <c r="S68"/>
      <c r="T68"/>
      <c r="U68"/>
      <c r="V68"/>
      <c r="W68"/>
      <c r="X68"/>
      <c r="Y68"/>
      <c r="Z68"/>
      <c r="AA68"/>
      <c r="AB68"/>
      <c r="AC68"/>
      <c r="AD68"/>
      <c r="AE68"/>
      <c r="AF68"/>
      <c r="AG68"/>
      <c r="AH68"/>
      <c r="AI68"/>
      <c r="AJ68"/>
      <c r="AK68"/>
      <c r="AL68"/>
      <c r="AM68"/>
      <c r="AN68"/>
      <c r="AO68"/>
      <c r="AP68"/>
      <c r="AQ68" s="260"/>
      <c r="AR68"/>
      <c r="AS68"/>
      <c r="AT68"/>
      <c r="AU68"/>
      <c r="AV68"/>
      <c r="AW68"/>
      <c r="AX68"/>
      <c r="AY68"/>
      <c r="AZ68"/>
      <c r="BA68"/>
      <c r="BB68"/>
      <c r="BC68"/>
      <c r="BD68"/>
      <c r="BE68"/>
      <c r="BF68"/>
    </row>
    <row r="69" spans="1:58" ht="16.350000000000001" customHeight="1">
      <c r="A69" s="177"/>
      <c r="B69" s="177"/>
      <c r="C69" s="177"/>
      <c r="D69" s="177"/>
      <c r="E69" s="177"/>
      <c r="F69" s="177"/>
      <c r="G69" s="177"/>
      <c r="H69" s="177"/>
      <c r="I69" s="177"/>
      <c r="J69" s="177"/>
      <c r="K69" s="177"/>
      <c r="L69" s="177"/>
      <c r="M69" s="177"/>
      <c r="N69" s="240"/>
      <c r="O69" s="369"/>
      <c r="P69" s="570"/>
      <c r="Q69" s="1383" t="s">
        <v>1658</v>
      </c>
      <c r="R69" s="1383"/>
      <c r="S69" s="1383"/>
      <c r="T69" s="1383"/>
      <c r="U69" s="1383"/>
      <c r="V69" s="1383"/>
      <c r="W69" s="1383"/>
      <c r="X69" s="1383"/>
      <c r="Y69" s="1383"/>
      <c r="Z69" s="1383"/>
      <c r="AA69" s="1383"/>
      <c r="AB69" s="1383"/>
      <c r="AC69" s="1383"/>
      <c r="AD69" s="1383"/>
      <c r="AE69" s="1383"/>
      <c r="AF69" s="1383"/>
      <c r="AG69" s="1383"/>
      <c r="AH69" s="1383"/>
      <c r="AI69" s="1383"/>
      <c r="AJ69" s="1383"/>
      <c r="AK69" s="1383"/>
      <c r="AL69" s="1383"/>
      <c r="AM69" s="1383"/>
      <c r="AN69" s="1383"/>
      <c r="AO69" s="1383"/>
      <c r="AP69" s="574"/>
      <c r="AQ69" s="260"/>
      <c r="AR69"/>
      <c r="AS69"/>
      <c r="AT69"/>
      <c r="AU69"/>
      <c r="AV69"/>
      <c r="AW69"/>
      <c r="AX69"/>
      <c r="AY69" s="177"/>
      <c r="AZ69" s="177"/>
      <c r="BA69" s="177"/>
      <c r="BB69" s="177"/>
      <c r="BC69" s="177"/>
      <c r="BD69" s="177"/>
      <c r="BE69" s="177"/>
      <c r="BF69" s="177"/>
    </row>
    <row r="70" spans="1:58" ht="16.350000000000001" customHeight="1">
      <c r="A70" s="177"/>
      <c r="B70" s="177"/>
      <c r="C70" s="177"/>
      <c r="D70" s="177"/>
      <c r="E70" s="177"/>
      <c r="F70" s="177"/>
      <c r="G70" s="177"/>
      <c r="H70" s="177"/>
      <c r="I70" s="177"/>
      <c r="J70" s="177"/>
      <c r="K70" s="177"/>
      <c r="L70" s="177"/>
      <c r="M70" s="177"/>
      <c r="N70" s="240"/>
      <c r="O70" s="369"/>
      <c r="P70" s="570"/>
      <c r="Q70" s="1383"/>
      <c r="R70" s="1383"/>
      <c r="S70" s="1383"/>
      <c r="T70" s="1383"/>
      <c r="U70" s="1383"/>
      <c r="V70" s="1383"/>
      <c r="W70" s="1383"/>
      <c r="X70" s="1383"/>
      <c r="Y70" s="1383"/>
      <c r="Z70" s="1383"/>
      <c r="AA70" s="1383"/>
      <c r="AB70" s="1383"/>
      <c r="AC70" s="1383"/>
      <c r="AD70" s="1383"/>
      <c r="AE70" s="1383"/>
      <c r="AF70" s="1383"/>
      <c r="AG70" s="1383"/>
      <c r="AH70" s="1383"/>
      <c r="AI70" s="1383"/>
      <c r="AJ70" s="1383"/>
      <c r="AK70" s="1383"/>
      <c r="AL70" s="1383"/>
      <c r="AM70" s="1383"/>
      <c r="AN70" s="1383"/>
      <c r="AO70" s="1383"/>
      <c r="AP70" s="574"/>
      <c r="AQ70" s="260"/>
      <c r="AR70"/>
      <c r="AS70"/>
      <c r="AT70"/>
      <c r="AU70"/>
      <c r="AV70"/>
      <c r="AW70"/>
      <c r="AX70"/>
      <c r="AY70" s="177"/>
      <c r="AZ70" s="177"/>
      <c r="BA70" s="177"/>
      <c r="BB70" s="177"/>
      <c r="BC70" s="177"/>
      <c r="BD70" s="177"/>
      <c r="BE70" s="177"/>
      <c r="BF70" s="177"/>
    </row>
    <row r="71" spans="1:58" ht="16.350000000000001" customHeight="1">
      <c r="A71" s="177"/>
      <c r="B71" s="177"/>
      <c r="C71" s="177"/>
      <c r="D71" s="177"/>
      <c r="E71" s="177"/>
      <c r="F71" s="177"/>
      <c r="G71" s="177"/>
      <c r="H71" s="177"/>
      <c r="I71" s="177"/>
      <c r="J71" s="177"/>
      <c r="K71" s="177"/>
      <c r="L71" s="177"/>
      <c r="M71" s="177"/>
      <c r="N71" s="240"/>
      <c r="O71" s="369"/>
      <c r="P71" s="574"/>
      <c r="Q71" s="1391"/>
      <c r="R71" s="1391"/>
      <c r="S71" s="1391"/>
      <c r="T71" s="1391"/>
      <c r="U71" s="1391"/>
      <c r="V71" s="1391"/>
      <c r="W71" s="1391"/>
      <c r="X71" s="1391"/>
      <c r="Y71" s="1391"/>
      <c r="Z71" s="1391"/>
      <c r="AA71" s="1391"/>
      <c r="AB71" s="574"/>
      <c r="AC71" s="574"/>
      <c r="AD71" s="574"/>
      <c r="AE71" s="1391"/>
      <c r="AF71" s="1391"/>
      <c r="AG71" s="1391"/>
      <c r="AH71" s="1391"/>
      <c r="AI71" s="1391"/>
      <c r="AJ71" s="1391"/>
      <c r="AK71" s="1391"/>
      <c r="AL71" s="1391"/>
      <c r="AM71" s="1391"/>
      <c r="AN71" s="1391"/>
      <c r="AO71" s="1391"/>
      <c r="AP71" s="574"/>
      <c r="AQ71" s="260"/>
      <c r="AR71" s="177"/>
      <c r="AS71" s="177"/>
      <c r="AT71" s="177"/>
      <c r="AU71" s="177"/>
      <c r="AV71" s="177"/>
      <c r="AW71" s="177"/>
      <c r="AX71" s="177"/>
      <c r="AY71" s="177"/>
      <c r="AZ71" s="177"/>
      <c r="BA71" s="177"/>
      <c r="BB71" s="177"/>
      <c r="BC71" s="177"/>
      <c r="BD71" s="177"/>
      <c r="BE71" s="177"/>
      <c r="BF71" s="177"/>
    </row>
    <row r="72" spans="1:58" ht="16.350000000000001" customHeight="1">
      <c r="A72" s="177"/>
      <c r="B72" s="177"/>
      <c r="C72" s="177"/>
      <c r="D72" s="177"/>
      <c r="E72" s="177"/>
      <c r="F72" s="177"/>
      <c r="G72" s="177"/>
      <c r="H72" s="177"/>
      <c r="I72" s="177"/>
      <c r="J72" s="177"/>
      <c r="K72" s="177"/>
      <c r="L72" s="177"/>
      <c r="M72" s="177"/>
      <c r="N72" s="240"/>
      <c r="O72" s="369"/>
      <c r="P72" s="574"/>
      <c r="Q72" s="1393" t="s">
        <v>1659</v>
      </c>
      <c r="R72" s="1393"/>
      <c r="S72" s="1393"/>
      <c r="T72" s="1393"/>
      <c r="U72" s="1393"/>
      <c r="V72" s="1393"/>
      <c r="W72" s="1393"/>
      <c r="X72" s="1393"/>
      <c r="Y72" s="1393"/>
      <c r="Z72" s="1393"/>
      <c r="AA72" s="1393"/>
      <c r="AB72" s="574"/>
      <c r="AC72" s="574"/>
      <c r="AD72" s="574"/>
      <c r="AE72" s="1393" t="s">
        <v>1660</v>
      </c>
      <c r="AF72" s="1393"/>
      <c r="AG72" s="1393"/>
      <c r="AH72" s="1393"/>
      <c r="AI72" s="1393"/>
      <c r="AJ72" s="1393"/>
      <c r="AK72" s="1393"/>
      <c r="AL72" s="1393"/>
      <c r="AM72" s="1393"/>
      <c r="AN72" s="1393"/>
      <c r="AO72" s="1393"/>
      <c r="AP72" s="574"/>
      <c r="AQ72" s="260"/>
      <c r="AR72" s="177"/>
      <c r="AS72" s="177"/>
      <c r="AT72" s="177"/>
      <c r="AU72" s="177"/>
      <c r="AV72" s="177"/>
      <c r="AW72" s="177"/>
      <c r="AX72" s="177"/>
      <c r="AY72" s="177"/>
      <c r="AZ72" s="177"/>
      <c r="BA72" s="177"/>
      <c r="BB72" s="177"/>
      <c r="BC72" s="177"/>
      <c r="BD72" s="177"/>
      <c r="BE72" s="177"/>
      <c r="BF72" s="177"/>
    </row>
    <row r="73" spans="1:58" ht="16.350000000000001" customHeight="1">
      <c r="A73" s="177"/>
      <c r="B73" s="177"/>
      <c r="C73" s="177"/>
      <c r="D73" s="177"/>
      <c r="E73" s="177"/>
      <c r="F73" s="177"/>
      <c r="G73" s="177"/>
      <c r="H73" s="177"/>
      <c r="I73" s="177"/>
      <c r="J73" s="177"/>
      <c r="K73" s="177"/>
      <c r="L73" s="177"/>
      <c r="M73" s="177"/>
      <c r="N73" s="240"/>
      <c r="O73" s="369"/>
      <c r="P73" s="570"/>
      <c r="Q73" s="570"/>
      <c r="R73" s="570"/>
      <c r="S73" s="570"/>
      <c r="T73" s="570"/>
      <c r="U73" s="570"/>
      <c r="V73" s="570"/>
      <c r="W73" s="570"/>
      <c r="X73" s="570"/>
      <c r="Y73" s="570"/>
      <c r="Z73" s="570"/>
      <c r="AA73" s="570"/>
      <c r="AB73" s="570"/>
      <c r="AC73" s="570"/>
      <c r="AD73" s="570"/>
      <c r="AE73" s="570"/>
      <c r="AF73" s="570"/>
      <c r="AG73" s="570"/>
      <c r="AH73" s="570"/>
      <c r="AI73" s="570"/>
      <c r="AJ73" s="570"/>
      <c r="AK73" s="570"/>
      <c r="AL73" s="570"/>
      <c r="AM73" s="570"/>
      <c r="AN73" s="570"/>
      <c r="AO73" s="570"/>
      <c r="AP73" s="570"/>
      <c r="AQ73" s="260"/>
      <c r="AR73" s="177"/>
      <c r="AS73" s="177"/>
      <c r="AT73" s="177"/>
      <c r="AU73" s="177"/>
      <c r="AV73" s="177"/>
      <c r="AW73" s="177"/>
      <c r="AX73" s="177"/>
      <c r="AY73" s="177"/>
      <c r="AZ73" s="177"/>
      <c r="BA73" s="177"/>
      <c r="BB73" s="177"/>
      <c r="BC73" s="177"/>
      <c r="BD73" s="177"/>
      <c r="BE73" s="177"/>
      <c r="BF73" s="177"/>
    </row>
    <row r="74" spans="1:58" ht="16.350000000000001" customHeight="1">
      <c r="A74" s="177"/>
      <c r="B74" s="177"/>
      <c r="C74" s="177"/>
      <c r="D74" s="177"/>
      <c r="E74" s="177"/>
      <c r="F74" s="177"/>
      <c r="G74" s="177"/>
      <c r="H74" s="177"/>
      <c r="I74" s="177"/>
      <c r="J74" s="177"/>
      <c r="K74" s="177"/>
      <c r="L74" s="177"/>
      <c r="M74" s="177"/>
      <c r="N74" s="240"/>
      <c r="O74" s="369"/>
      <c r="P74" s="570"/>
      <c r="Q74" s="1391"/>
      <c r="R74" s="1391"/>
      <c r="S74" s="1391"/>
      <c r="T74" s="1391"/>
      <c r="U74" s="1391"/>
      <c r="V74" s="1391"/>
      <c r="W74" s="1391"/>
      <c r="X74" s="1391"/>
      <c r="Y74" s="1391"/>
      <c r="Z74" s="1391"/>
      <c r="AA74" s="1391"/>
      <c r="AB74" s="570"/>
      <c r="AC74" s="570"/>
      <c r="AD74" s="570"/>
      <c r="AE74" s="570"/>
      <c r="AF74" s="570"/>
      <c r="AG74" s="570"/>
      <c r="AH74" s="570"/>
      <c r="AI74" s="570"/>
      <c r="AJ74" s="570"/>
      <c r="AK74" s="570"/>
      <c r="AL74" s="570"/>
      <c r="AM74" s="570"/>
      <c r="AN74" s="570"/>
      <c r="AO74" s="570"/>
      <c r="AP74" s="570"/>
      <c r="AQ74" s="260"/>
      <c r="AR74" s="177"/>
      <c r="AS74" s="177"/>
      <c r="AT74" s="177"/>
      <c r="AU74" s="177"/>
      <c r="AV74" s="177"/>
      <c r="AW74" s="177"/>
      <c r="AX74" s="177"/>
      <c r="AY74" s="177"/>
      <c r="AZ74" s="177"/>
      <c r="BA74" s="177"/>
      <c r="BB74" s="177"/>
      <c r="BC74" s="177"/>
      <c r="BD74" s="177"/>
      <c r="BE74" s="177"/>
      <c r="BF74" s="177"/>
    </row>
    <row r="75" spans="1:58" ht="16.350000000000001" customHeight="1">
      <c r="A75" s="177"/>
      <c r="B75" s="177"/>
      <c r="C75" s="177"/>
      <c r="D75" s="177"/>
      <c r="E75" s="177"/>
      <c r="F75" s="177"/>
      <c r="G75" s="177"/>
      <c r="H75" s="177"/>
      <c r="I75" s="177"/>
      <c r="J75" s="177"/>
      <c r="K75" s="177"/>
      <c r="L75" s="177"/>
      <c r="M75" s="177"/>
      <c r="N75" s="240"/>
      <c r="O75" s="369"/>
      <c r="P75" s="570"/>
      <c r="Q75" s="1393" t="s">
        <v>1661</v>
      </c>
      <c r="R75" s="1393"/>
      <c r="S75" s="1393"/>
      <c r="T75" s="1393"/>
      <c r="U75" s="1393"/>
      <c r="V75" s="1393"/>
      <c r="W75" s="1393"/>
      <c r="X75" s="1393"/>
      <c r="Y75" s="1393"/>
      <c r="Z75" s="1393"/>
      <c r="AA75" s="1393"/>
      <c r="AB75" s="570"/>
      <c r="AC75" s="570"/>
      <c r="AD75" s="570"/>
      <c r="AE75" s="666" t="s">
        <v>1662</v>
      </c>
      <c r="AF75" s="570"/>
      <c r="AG75" s="570"/>
      <c r="AH75" s="570"/>
      <c r="AI75" s="570"/>
      <c r="AJ75" s="570"/>
      <c r="AK75" s="570"/>
      <c r="AL75" s="570"/>
      <c r="AM75" s="570"/>
      <c r="AN75" s="570"/>
      <c r="AO75" s="570"/>
      <c r="AP75" s="570"/>
      <c r="AQ75" s="260"/>
      <c r="AR75" s="177"/>
      <c r="AS75" s="177"/>
      <c r="AT75" s="177"/>
      <c r="AU75" s="177"/>
      <c r="AV75" s="177"/>
      <c r="AW75" s="177"/>
      <c r="AX75" s="177"/>
      <c r="AY75" s="177"/>
      <c r="AZ75" s="177"/>
      <c r="BA75" s="177"/>
      <c r="BB75" s="177"/>
      <c r="BC75" s="177"/>
      <c r="BD75" s="177"/>
      <c r="BE75" s="177"/>
      <c r="BF75" s="177"/>
    </row>
    <row r="76" spans="1:58" ht="16.350000000000001" customHeight="1">
      <c r="A76" s="177"/>
      <c r="B76" s="177"/>
      <c r="C76" s="177"/>
      <c r="D76" s="177"/>
      <c r="E76" s="177"/>
      <c r="F76" s="177"/>
      <c r="G76" s="177"/>
      <c r="H76" s="177"/>
      <c r="I76" s="177"/>
      <c r="J76" s="177"/>
      <c r="K76" s="177"/>
      <c r="L76" s="177"/>
      <c r="M76" s="177"/>
      <c r="N76" s="240"/>
      <c r="O76" s="369"/>
      <c r="P76" s="570"/>
      <c r="Q76" s="570"/>
      <c r="R76" s="570"/>
      <c r="S76" s="570"/>
      <c r="T76" s="570"/>
      <c r="U76" s="570"/>
      <c r="V76" s="570"/>
      <c r="W76" s="570"/>
      <c r="X76" s="570"/>
      <c r="Y76" s="570"/>
      <c r="Z76" s="570"/>
      <c r="AA76" s="570"/>
      <c r="AB76" s="570"/>
      <c r="AC76" s="570"/>
      <c r="AD76" s="570"/>
      <c r="AE76" s="570"/>
      <c r="AF76" s="570"/>
      <c r="AG76" s="570"/>
      <c r="AH76" s="570"/>
      <c r="AI76" s="570"/>
      <c r="AJ76" s="570"/>
      <c r="AK76" s="570"/>
      <c r="AL76" s="570"/>
      <c r="AM76" s="570"/>
      <c r="AN76" s="570"/>
      <c r="AO76" s="570"/>
      <c r="AP76" s="570"/>
      <c r="AQ76" s="260"/>
      <c r="AR76" s="177"/>
      <c r="AS76" s="177"/>
      <c r="AT76" s="177"/>
      <c r="AU76" s="177"/>
      <c r="AV76" s="177"/>
      <c r="AW76" s="177"/>
      <c r="AX76" s="177"/>
      <c r="AY76" s="177"/>
      <c r="AZ76" s="177"/>
      <c r="BA76" s="177"/>
      <c r="BB76" s="177"/>
      <c r="BC76" s="177"/>
      <c r="BD76" s="177"/>
      <c r="BE76" s="177"/>
      <c r="BF76" s="177"/>
    </row>
    <row r="77" spans="1:58" ht="16.350000000000001" customHeight="1">
      <c r="A77" s="177"/>
      <c r="B77" s="177"/>
      <c r="C77" s="177"/>
      <c r="D77" s="177"/>
      <c r="E77" s="177"/>
      <c r="F77" s="177"/>
      <c r="G77" s="177"/>
      <c r="H77" s="177"/>
      <c r="I77" s="177"/>
      <c r="J77" s="177"/>
      <c r="K77" s="177"/>
      <c r="L77" s="177"/>
      <c r="M77" s="177"/>
      <c r="N77" s="240"/>
      <c r="O77" s="369"/>
      <c r="P77" s="570"/>
      <c r="Q77" s="1391"/>
      <c r="R77" s="1391"/>
      <c r="S77" s="1391"/>
      <c r="T77" s="1391"/>
      <c r="U77" s="1391"/>
      <c r="V77" s="1391"/>
      <c r="W77" s="1391"/>
      <c r="X77" s="570"/>
      <c r="Y77" s="1392"/>
      <c r="Z77" s="1392"/>
      <c r="AA77" s="1392"/>
      <c r="AB77" s="570"/>
      <c r="AC77" s="570"/>
      <c r="AD77" s="570"/>
      <c r="AE77" s="1391"/>
      <c r="AF77" s="1391"/>
      <c r="AG77" s="1391"/>
      <c r="AH77" s="1391"/>
      <c r="AI77" s="1391"/>
      <c r="AJ77" s="1391"/>
      <c r="AK77" s="1391"/>
      <c r="AL77" s="570"/>
      <c r="AM77" s="1392"/>
      <c r="AN77" s="1392"/>
      <c r="AO77" s="1392"/>
      <c r="AP77" s="570"/>
      <c r="AQ77" s="260"/>
      <c r="AR77" s="177"/>
      <c r="AS77" s="177"/>
      <c r="AT77" s="177"/>
      <c r="AU77" s="177"/>
      <c r="AV77" s="177"/>
      <c r="AW77" s="177"/>
      <c r="AX77" s="177"/>
      <c r="AY77" s="177"/>
      <c r="AZ77" s="177"/>
      <c r="BA77" s="177"/>
      <c r="BB77" s="177"/>
      <c r="BC77" s="177"/>
      <c r="BD77" s="177"/>
      <c r="BE77" s="177"/>
      <c r="BF77" s="177"/>
    </row>
    <row r="78" spans="1:58" ht="16.350000000000001" customHeight="1">
      <c r="A78" s="177"/>
      <c r="B78" s="177"/>
      <c r="C78" s="177"/>
      <c r="D78" s="177"/>
      <c r="E78" s="177"/>
      <c r="F78" s="177"/>
      <c r="G78" s="177"/>
      <c r="H78" s="177"/>
      <c r="I78" s="177"/>
      <c r="J78" s="177"/>
      <c r="K78" s="177"/>
      <c r="L78" s="177"/>
      <c r="M78" s="177"/>
      <c r="N78" s="240"/>
      <c r="O78" s="369"/>
      <c r="P78" s="570"/>
      <c r="Q78" s="1390" t="s">
        <v>1663</v>
      </c>
      <c r="R78" s="1390"/>
      <c r="S78" s="1390"/>
      <c r="T78" s="1390"/>
      <c r="U78" s="1390"/>
      <c r="V78" s="1390"/>
      <c r="W78" s="1390"/>
      <c r="X78" s="570"/>
      <c r="Y78" s="1390" t="s">
        <v>1664</v>
      </c>
      <c r="Z78" s="1390"/>
      <c r="AA78" s="1390"/>
      <c r="AB78" s="570"/>
      <c r="AC78" s="570"/>
      <c r="AD78" s="570"/>
      <c r="AE78" s="1390" t="s">
        <v>1665</v>
      </c>
      <c r="AF78" s="1390"/>
      <c r="AG78" s="1390"/>
      <c r="AH78" s="1390"/>
      <c r="AI78" s="1390"/>
      <c r="AJ78" s="1390"/>
      <c r="AK78" s="1390"/>
      <c r="AL78" s="570"/>
      <c r="AM78" s="1390" t="s">
        <v>1664</v>
      </c>
      <c r="AN78" s="1390"/>
      <c r="AO78" s="1390"/>
      <c r="AP78" s="570"/>
      <c r="AQ78" s="260"/>
      <c r="AR78" s="177"/>
      <c r="AS78" s="177"/>
      <c r="AT78" s="177"/>
      <c r="AU78" s="177"/>
      <c r="AV78" s="177"/>
      <c r="AW78" s="177"/>
      <c r="AX78" s="177"/>
      <c r="AY78" s="177"/>
      <c r="AZ78" s="177"/>
      <c r="BA78" s="177"/>
      <c r="BB78" s="177"/>
      <c r="BC78" s="177"/>
      <c r="BD78" s="177"/>
      <c r="BE78" s="177"/>
      <c r="BF78" s="177"/>
    </row>
    <row r="79" spans="1:58" ht="16.350000000000001" customHeight="1">
      <c r="A79" s="177"/>
      <c r="B79" s="177"/>
      <c r="C79" s="177"/>
      <c r="D79" s="177"/>
      <c r="E79" s="177"/>
      <c r="F79" s="177"/>
      <c r="G79" s="177"/>
      <c r="H79" s="177"/>
      <c r="I79" s="177"/>
      <c r="J79" s="177"/>
      <c r="K79" s="177"/>
      <c r="L79" s="177"/>
      <c r="M79" s="177"/>
      <c r="N79" s="240"/>
      <c r="O79" s="369"/>
      <c r="P79" s="570"/>
      <c r="Q79" s="570"/>
      <c r="R79" s="570"/>
      <c r="S79" s="570"/>
      <c r="T79" s="570"/>
      <c r="U79" s="570"/>
      <c r="V79" s="570"/>
      <c r="W79" s="570"/>
      <c r="X79" s="570"/>
      <c r="Y79" s="570"/>
      <c r="Z79" s="570"/>
      <c r="AA79" s="570"/>
      <c r="AB79" s="570"/>
      <c r="AC79" s="570"/>
      <c r="AD79" s="570"/>
      <c r="AE79" s="570"/>
      <c r="AF79" s="570"/>
      <c r="AG79" s="570"/>
      <c r="AH79" s="570"/>
      <c r="AI79" s="570"/>
      <c r="AJ79" s="570"/>
      <c r="AK79" s="570"/>
      <c r="AL79" s="570"/>
      <c r="AM79" s="570"/>
      <c r="AN79" s="570"/>
      <c r="AO79" s="570"/>
      <c r="AP79" s="570"/>
      <c r="AQ79" s="260"/>
      <c r="AR79" s="177"/>
      <c r="AS79" s="177"/>
      <c r="AT79" s="177"/>
      <c r="AU79" s="177"/>
      <c r="AV79" s="177"/>
      <c r="AW79" s="177"/>
      <c r="AX79" s="177"/>
      <c r="AY79" s="177"/>
      <c r="AZ79" s="177"/>
      <c r="BA79" s="177"/>
      <c r="BB79" s="177"/>
      <c r="BC79" s="177"/>
      <c r="BD79" s="177"/>
      <c r="BE79" s="177"/>
      <c r="BF79" s="177"/>
    </row>
    <row r="80" spans="1:58" ht="16.350000000000001" customHeight="1">
      <c r="A80" s="177"/>
      <c r="B80" s="177"/>
      <c r="C80" s="177"/>
      <c r="D80" s="177"/>
      <c r="E80" s="177"/>
      <c r="F80" s="177"/>
      <c r="G80" s="177"/>
      <c r="H80" s="177"/>
      <c r="I80" s="177"/>
      <c r="J80" s="177"/>
      <c r="K80" s="177"/>
      <c r="L80" s="177"/>
      <c r="M80" s="177"/>
      <c r="N80" s="240"/>
      <c r="O80" s="369"/>
      <c r="P80" s="1125" t="str">
        <f>FOOT1&amp;"  • "&amp; FOOT2 &amp;" • "&amp;FOOT3</f>
        <v>PSE&amp;G C&amp;I Energy Efficiency Program  • 1-844-300-PSEG (7734) • PSEGenergysaver@TRCcompanies.com</v>
      </c>
      <c r="Q80" s="1125"/>
      <c r="R80" s="1125"/>
      <c r="S80" s="1125"/>
      <c r="T80" s="1125"/>
      <c r="U80" s="1125"/>
      <c r="V80" s="1125"/>
      <c r="W80" s="1125"/>
      <c r="X80" s="1125"/>
      <c r="Y80" s="1125"/>
      <c r="Z80" s="1125"/>
      <c r="AA80" s="1125"/>
      <c r="AB80" s="1125"/>
      <c r="AC80" s="1125"/>
      <c r="AD80" s="1125"/>
      <c r="AE80" s="1125"/>
      <c r="AF80" s="1125"/>
      <c r="AG80" s="1125"/>
      <c r="AH80" s="1125"/>
      <c r="AI80" s="1125"/>
      <c r="AJ80" s="1125"/>
      <c r="AK80" s="1125"/>
      <c r="AL80" s="1125"/>
      <c r="AM80" s="1125"/>
      <c r="AN80" s="1125"/>
      <c r="AO80" s="1125"/>
      <c r="AP80" s="1125"/>
      <c r="AQ80" s="260"/>
      <c r="AR80" s="177"/>
      <c r="AS80" s="177"/>
      <c r="AT80" s="177"/>
      <c r="AU80" s="177"/>
      <c r="AV80" s="177"/>
      <c r="AW80" s="177"/>
      <c r="AX80" s="177"/>
      <c r="AY80" s="177"/>
      <c r="AZ80" s="177"/>
      <c r="BA80" s="177"/>
      <c r="BB80" s="177"/>
      <c r="BC80" s="177"/>
      <c r="BD80" s="177"/>
      <c r="BE80" s="177"/>
      <c r="BF80" s="177"/>
    </row>
    <row r="81" spans="1:58" ht="16.350000000000001" customHeight="1">
      <c r="A81" s="177"/>
      <c r="B81" s="177"/>
      <c r="C81" s="177"/>
      <c r="D81" s="177"/>
      <c r="E81" s="177"/>
      <c r="F81" s="177"/>
      <c r="G81" s="177"/>
      <c r="H81" s="177"/>
      <c r="I81" s="177"/>
      <c r="J81" s="177"/>
      <c r="K81" s="177"/>
      <c r="L81" s="177"/>
      <c r="M81" s="177"/>
      <c r="N81" s="240"/>
      <c r="O81" s="369"/>
      <c r="P81" s="1125"/>
      <c r="Q81" s="1125"/>
      <c r="R81" s="1125"/>
      <c r="S81" s="1125"/>
      <c r="T81" s="1125"/>
      <c r="U81" s="1125"/>
      <c r="V81" s="1125"/>
      <c r="W81" s="1125"/>
      <c r="X81" s="1125"/>
      <c r="Y81" s="1125"/>
      <c r="Z81" s="1125"/>
      <c r="AA81" s="1125"/>
      <c r="AB81" s="1125"/>
      <c r="AC81" s="1125"/>
      <c r="AD81" s="1125"/>
      <c r="AE81" s="1125"/>
      <c r="AF81" s="1125"/>
      <c r="AG81" s="1125"/>
      <c r="AH81" s="1125"/>
      <c r="AI81" s="1125"/>
      <c r="AJ81" s="1125"/>
      <c r="AK81" s="1125"/>
      <c r="AL81" s="1125"/>
      <c r="AM81" s="1125"/>
      <c r="AN81" s="1125"/>
      <c r="AO81" s="1125"/>
      <c r="AP81" s="1125"/>
      <c r="AQ81" s="260"/>
      <c r="AR81" s="177"/>
      <c r="AS81" s="177"/>
      <c r="AT81" s="177"/>
      <c r="AU81" s="177"/>
      <c r="AV81" s="177"/>
      <c r="AW81" s="177"/>
      <c r="AX81" s="177"/>
      <c r="AY81" s="177"/>
      <c r="AZ81" s="177"/>
      <c r="BA81" s="177"/>
      <c r="BB81" s="177"/>
      <c r="BC81" s="177"/>
      <c r="BD81" s="177"/>
      <c r="BE81" s="177"/>
      <c r="BF81" s="177"/>
    </row>
    <row r="82" spans="1:58" ht="16.350000000000001" customHeight="1">
      <c r="A82" s="177"/>
      <c r="B82" s="177"/>
      <c r="C82" s="177"/>
      <c r="D82" s="177"/>
      <c r="E82" s="177"/>
      <c r="F82" s="177"/>
      <c r="G82" s="177"/>
      <c r="H82" s="177"/>
      <c r="I82" s="177"/>
      <c r="J82" s="177"/>
      <c r="K82" s="177"/>
      <c r="L82" s="177"/>
      <c r="M82" s="177"/>
      <c r="N82" s="240"/>
      <c r="O82" s="379"/>
      <c r="P82" s="459"/>
      <c r="Q82" s="460"/>
      <c r="R82" s="380"/>
      <c r="S82" s="380"/>
      <c r="T82" s="380"/>
      <c r="U82" s="380"/>
      <c r="V82" s="380"/>
      <c r="W82" s="380"/>
      <c r="X82" s="380"/>
      <c r="Y82" s="380"/>
      <c r="Z82" s="380"/>
      <c r="AA82" s="380"/>
      <c r="AB82" s="380"/>
      <c r="AC82" s="380"/>
      <c r="AD82" s="380"/>
      <c r="AE82" s="380"/>
      <c r="AF82" s="380"/>
      <c r="AG82" s="380"/>
      <c r="AH82" s="380"/>
      <c r="AI82" s="380"/>
      <c r="AJ82" s="380"/>
      <c r="AK82" s="380"/>
      <c r="AL82" s="380"/>
      <c r="AM82" s="380"/>
      <c r="AN82" s="380"/>
      <c r="AO82" s="380"/>
      <c r="AP82" s="380"/>
      <c r="AQ82" s="381"/>
      <c r="AR82" s="177"/>
      <c r="AS82" s="177"/>
      <c r="AT82" s="177"/>
      <c r="AU82" s="177"/>
      <c r="AV82" s="177"/>
      <c r="AW82" s="177"/>
      <c r="AX82" s="177"/>
      <c r="AY82" s="177"/>
      <c r="AZ82" s="177"/>
      <c r="BA82" s="177"/>
      <c r="BB82" s="177"/>
      <c r="BC82" s="177"/>
      <c r="BD82" s="177"/>
      <c r="BE82" s="177"/>
      <c r="BF82" s="177"/>
    </row>
    <row r="83" spans="1:58" s="177" customFormat="1" ht="16.350000000000001" customHeight="1"/>
    <row r="84" spans="1:58" s="177" customFormat="1" ht="16.350000000000001" customHeight="1"/>
    <row r="85" spans="1:58" s="177" customFormat="1" ht="16.350000000000001" customHeight="1"/>
    <row r="86" spans="1:58" ht="16.350000000000001" customHeight="1">
      <c r="A86" s="177"/>
      <c r="B86" s="177"/>
      <c r="C86" s="177"/>
      <c r="D86" s="177"/>
      <c r="E86" s="177"/>
      <c r="F86" s="177"/>
      <c r="G86" s="177"/>
      <c r="H86" s="177"/>
      <c r="I86" s="177"/>
      <c r="J86" s="177"/>
      <c r="K86" s="177"/>
      <c r="L86" s="177"/>
      <c r="M86" s="177"/>
      <c r="N86" s="177"/>
      <c r="O86" s="365"/>
      <c r="P86" s="366"/>
      <c r="Q86" s="366"/>
      <c r="R86" s="366"/>
      <c r="S86" s="366"/>
      <c r="T86" s="366"/>
      <c r="U86" s="366"/>
      <c r="V86" s="366"/>
      <c r="W86" s="366"/>
      <c r="X86" s="366"/>
      <c r="Y86" s="366"/>
      <c r="Z86" s="366"/>
      <c r="AA86" s="366"/>
      <c r="AB86" s="367"/>
      <c r="AC86" s="367"/>
      <c r="AD86" s="367"/>
      <c r="AE86" s="367"/>
      <c r="AF86" s="367"/>
      <c r="AG86" s="367"/>
      <c r="AH86" s="366"/>
      <c r="AI86" s="366"/>
      <c r="AJ86" s="366"/>
      <c r="AK86" s="366"/>
      <c r="AL86" s="366"/>
      <c r="AM86" s="366"/>
      <c r="AN86" s="366"/>
      <c r="AO86" s="366"/>
      <c r="AP86" s="366"/>
      <c r="AQ86" s="368"/>
      <c r="AR86" s="177"/>
      <c r="AS86" s="177"/>
      <c r="AT86" s="177"/>
      <c r="AU86" s="177"/>
      <c r="AV86" s="177"/>
      <c r="AW86" s="177"/>
      <c r="AX86" s="177"/>
      <c r="AY86" s="177"/>
      <c r="AZ86" s="177"/>
      <c r="BA86" s="177"/>
      <c r="BB86" s="177"/>
      <c r="BC86" s="177"/>
      <c r="BD86" s="177"/>
      <c r="BE86" s="177"/>
      <c r="BF86" s="177"/>
    </row>
    <row r="87" spans="1:58" ht="16.350000000000001" customHeight="1">
      <c r="A87" s="177"/>
      <c r="B87" s="177"/>
      <c r="C87" s="177"/>
      <c r="D87" s="177"/>
      <c r="E87" s="177"/>
      <c r="F87" s="177"/>
      <c r="G87" s="177"/>
      <c r="H87" s="177"/>
      <c r="I87" s="177"/>
      <c r="J87" s="177"/>
      <c r="K87" s="177"/>
      <c r="L87" s="177"/>
      <c r="M87" s="177"/>
      <c r="N87" s="177"/>
      <c r="O87" s="369"/>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M87" s="523"/>
      <c r="AN87" s="523"/>
      <c r="AO87" s="523"/>
      <c r="AP87" s="523"/>
      <c r="AQ87" s="260"/>
      <c r="AR87" s="177"/>
      <c r="AS87" s="177"/>
      <c r="AT87" s="177"/>
      <c r="AU87" s="177"/>
      <c r="AV87" s="177"/>
      <c r="AW87" s="177"/>
      <c r="AX87" s="177"/>
      <c r="AY87" s="177"/>
      <c r="AZ87" s="177"/>
      <c r="BA87" s="177"/>
      <c r="BB87" s="177"/>
      <c r="BC87" s="177"/>
      <c r="BD87" s="177"/>
      <c r="BE87" s="177"/>
      <c r="BF87" s="177"/>
    </row>
    <row r="88" spans="1:58" ht="16.350000000000001" customHeight="1">
      <c r="A88" s="177"/>
      <c r="B88" s="177"/>
      <c r="C88" s="177"/>
      <c r="D88" s="177"/>
      <c r="E88" s="177"/>
      <c r="F88" s="177"/>
      <c r="G88" s="177"/>
      <c r="H88" s="177"/>
      <c r="I88" s="177"/>
      <c r="J88" s="177"/>
      <c r="K88" s="177"/>
      <c r="L88" s="177"/>
      <c r="M88" s="177"/>
      <c r="N88" s="177"/>
      <c r="O88" s="369"/>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c r="AP88" s="523"/>
      <c r="AQ88" s="260"/>
      <c r="AR88" s="177"/>
      <c r="AS88" s="177"/>
      <c r="AT88" s="177"/>
      <c r="AU88" s="177"/>
      <c r="AV88" s="177"/>
      <c r="AW88" s="177"/>
      <c r="AX88" s="177"/>
      <c r="AY88" s="177"/>
      <c r="AZ88" s="177"/>
      <c r="BA88" s="177"/>
      <c r="BB88" s="177"/>
      <c r="BC88" s="177"/>
      <c r="BD88" s="177"/>
      <c r="BE88" s="177"/>
      <c r="BF88" s="177"/>
    </row>
    <row r="89" spans="1:58" ht="16.350000000000001" customHeight="1">
      <c r="A89" s="177"/>
      <c r="B89" s="177"/>
      <c r="C89" s="177"/>
      <c r="D89" s="177"/>
      <c r="E89" s="177"/>
      <c r="F89" s="177"/>
      <c r="G89" s="177"/>
      <c r="H89" s="177"/>
      <c r="I89" s="177"/>
      <c r="J89" s="177"/>
      <c r="K89" s="177"/>
      <c r="L89" s="177"/>
      <c r="M89" s="177"/>
      <c r="N89" s="177"/>
      <c r="O89" s="369"/>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c r="AO89" s="523"/>
      <c r="AP89" s="523"/>
      <c r="AQ89" s="260"/>
      <c r="AR89" s="177"/>
      <c r="AS89" s="177"/>
      <c r="AT89" s="177"/>
      <c r="AU89" s="177"/>
      <c r="AV89" s="177"/>
      <c r="AW89" s="177"/>
      <c r="AX89" s="177"/>
      <c r="AY89" s="177"/>
      <c r="AZ89" s="177"/>
      <c r="BA89" s="177"/>
      <c r="BB89" s="177"/>
      <c r="BC89" s="177"/>
      <c r="BD89" s="177"/>
      <c r="BE89" s="177"/>
      <c r="BF89" s="177"/>
    </row>
    <row r="90" spans="1:58" ht="16.350000000000001" customHeight="1">
      <c r="A90" s="177"/>
      <c r="B90" s="177"/>
      <c r="C90" s="177"/>
      <c r="D90" s="177"/>
      <c r="E90" s="177"/>
      <c r="F90" s="177"/>
      <c r="G90" s="177"/>
      <c r="H90" s="177"/>
      <c r="I90" s="177"/>
      <c r="J90" s="177"/>
      <c r="K90" s="177"/>
      <c r="L90" s="177"/>
      <c r="M90" s="177"/>
      <c r="N90" s="177"/>
      <c r="O90" s="369"/>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c r="AO90" s="523"/>
      <c r="AP90" s="523"/>
      <c r="AQ90" s="260"/>
      <c r="AR90" s="177"/>
      <c r="AS90" s="177"/>
      <c r="AT90" s="177"/>
      <c r="AU90" s="177"/>
      <c r="AV90" s="177"/>
      <c r="AW90" s="177"/>
      <c r="AX90" s="177"/>
      <c r="AY90" s="177"/>
      <c r="AZ90" s="177"/>
      <c r="BA90" s="177"/>
      <c r="BB90" s="177"/>
      <c r="BC90" s="177"/>
      <c r="BD90" s="177"/>
      <c r="BE90" s="177"/>
      <c r="BF90" s="177"/>
    </row>
    <row r="91" spans="1:58" s="177" customFormat="1" ht="16.350000000000001" customHeight="1">
      <c r="O91" s="369"/>
      <c r="P91" s="1130" t="s">
        <v>1666</v>
      </c>
      <c r="Q91" s="1130"/>
      <c r="R91" s="1130"/>
      <c r="S91" s="1130"/>
      <c r="T91" s="1130"/>
      <c r="U91" s="1130"/>
      <c r="V91" s="1130"/>
      <c r="W91" s="1130"/>
      <c r="X91" s="1130"/>
      <c r="Y91" s="1130"/>
      <c r="Z91" s="1130"/>
      <c r="AA91" s="1130"/>
      <c r="AB91" s="1130"/>
      <c r="AC91" s="1130"/>
      <c r="AD91" s="524"/>
      <c r="AE91" s="524"/>
      <c r="AF91" s="524"/>
      <c r="AG91" s="524"/>
      <c r="AH91" s="524"/>
      <c r="AI91" s="1135" t="str">
        <f>CONCATENATE("Project # ",PROJID)</f>
        <v xml:space="preserve">Project # </v>
      </c>
      <c r="AJ91" s="1135"/>
      <c r="AK91" s="1135"/>
      <c r="AL91" s="1135"/>
      <c r="AM91" s="1135"/>
      <c r="AN91" s="1135"/>
      <c r="AO91" s="1135"/>
      <c r="AP91" s="1135"/>
      <c r="AQ91" s="260"/>
    </row>
    <row r="92" spans="1:58" ht="16.350000000000001" customHeight="1">
      <c r="A92" s="177"/>
      <c r="B92" s="177"/>
      <c r="C92" s="177"/>
      <c r="D92" s="177"/>
      <c r="E92" s="177"/>
      <c r="F92" s="177"/>
      <c r="G92" s="177"/>
      <c r="H92" s="177"/>
      <c r="I92" s="177"/>
      <c r="J92" s="177"/>
      <c r="K92" s="177"/>
      <c r="L92" s="177"/>
      <c r="M92" s="177"/>
      <c r="N92" s="177"/>
      <c r="O92" s="369"/>
      <c r="P92" s="1130"/>
      <c r="Q92" s="1130"/>
      <c r="R92" s="1130"/>
      <c r="S92" s="1130"/>
      <c r="T92" s="1130"/>
      <c r="U92" s="1130"/>
      <c r="V92" s="1130"/>
      <c r="W92" s="1130"/>
      <c r="X92" s="1130"/>
      <c r="Y92" s="1130"/>
      <c r="Z92" s="1130"/>
      <c r="AA92" s="1130"/>
      <c r="AB92" s="1130"/>
      <c r="AC92" s="1130"/>
      <c r="AD92" s="524"/>
      <c r="AE92" s="524"/>
      <c r="AF92" s="524"/>
      <c r="AG92" s="524"/>
      <c r="AH92" s="524"/>
      <c r="AI92" s="1135"/>
      <c r="AJ92" s="1135"/>
      <c r="AK92" s="1135"/>
      <c r="AL92" s="1135"/>
      <c r="AM92" s="1135"/>
      <c r="AN92" s="1135"/>
      <c r="AO92" s="1135"/>
      <c r="AP92" s="1135"/>
      <c r="AQ92" s="260"/>
      <c r="AR92" s="177"/>
      <c r="AS92" s="177"/>
      <c r="AT92" s="177"/>
      <c r="AU92" s="177"/>
      <c r="AV92" s="177"/>
      <c r="AW92" s="177"/>
      <c r="AX92" s="177"/>
      <c r="AY92" s="177"/>
      <c r="AZ92" s="177"/>
      <c r="BA92" s="177"/>
      <c r="BB92" s="177"/>
      <c r="BC92" s="177"/>
      <c r="BD92" s="177"/>
      <c r="BE92" s="177"/>
      <c r="BF92" s="177"/>
    </row>
    <row r="93" spans="1:58" ht="16.350000000000001" customHeight="1">
      <c r="A93" s="177"/>
      <c r="B93" s="177"/>
      <c r="C93" s="177"/>
      <c r="D93" s="177"/>
      <c r="E93" s="177"/>
      <c r="F93" s="177"/>
      <c r="G93" s="177"/>
      <c r="H93" s="177"/>
      <c r="I93" s="177"/>
      <c r="J93" s="177"/>
      <c r="K93" s="177"/>
      <c r="L93" s="177"/>
      <c r="M93" s="177"/>
      <c r="N93" s="177"/>
      <c r="O93" s="369"/>
      <c r="P93" s="1130"/>
      <c r="Q93" s="1130"/>
      <c r="R93" s="1130"/>
      <c r="S93" s="1130"/>
      <c r="T93" s="1130"/>
      <c r="U93" s="1130"/>
      <c r="V93" s="1130"/>
      <c r="W93" s="1130"/>
      <c r="X93" s="1130"/>
      <c r="Y93" s="1130"/>
      <c r="Z93" s="1130"/>
      <c r="AA93" s="1130"/>
      <c r="AB93" s="1130"/>
      <c r="AC93" s="1130"/>
      <c r="AD93" s="524"/>
      <c r="AE93" s="524"/>
      <c r="AF93" s="524"/>
      <c r="AG93" s="524"/>
      <c r="AH93" s="524"/>
      <c r="AI93" s="1135"/>
      <c r="AJ93" s="1135"/>
      <c r="AK93" s="1135"/>
      <c r="AL93" s="1135"/>
      <c r="AM93" s="1135"/>
      <c r="AN93" s="1135"/>
      <c r="AO93" s="1135"/>
      <c r="AP93" s="1135"/>
      <c r="AQ93" s="260"/>
      <c r="AR93" s="177"/>
      <c r="AS93" s="177"/>
      <c r="AT93" s="177"/>
      <c r="AU93" s="177"/>
      <c r="AV93" s="177"/>
      <c r="AW93" s="177"/>
      <c r="AX93" s="177"/>
      <c r="AY93" s="177"/>
      <c r="AZ93" s="177"/>
      <c r="BA93" s="177"/>
      <c r="BB93" s="177"/>
      <c r="BC93" s="177"/>
      <c r="BD93" s="177"/>
      <c r="BE93" s="177"/>
      <c r="BF93" s="177"/>
    </row>
    <row r="94" spans="1:58" s="177" customFormat="1" ht="16.350000000000001" customHeight="1">
      <c r="O94" s="369"/>
      <c r="P94" s="1116">
        <f>M02S03F01</f>
        <v>0</v>
      </c>
      <c r="Q94" s="1116"/>
      <c r="R94" s="1116"/>
      <c r="S94" s="1116"/>
      <c r="T94" s="1116"/>
      <c r="U94" s="1116"/>
      <c r="V94" s="1116"/>
      <c r="W94" s="1116"/>
      <c r="X94" s="1116"/>
      <c r="Y94" s="1116"/>
      <c r="Z94" s="1116"/>
      <c r="AA94" s="1116"/>
      <c r="AB94" s="1116"/>
      <c r="AC94" s="1116"/>
      <c r="AD94" s="1117">
        <f>M02S02F25</f>
        <v>0</v>
      </c>
      <c r="AE94" s="1117"/>
      <c r="AF94" s="1117"/>
      <c r="AG94" s="1117"/>
      <c r="AH94" s="1117"/>
      <c r="AI94" s="1117"/>
      <c r="AJ94" s="1117"/>
      <c r="AK94" s="1117"/>
      <c r="AL94" s="1117"/>
      <c r="AM94" s="1117"/>
      <c r="AN94" s="1117"/>
      <c r="AO94" s="1117"/>
      <c r="AP94" s="1117"/>
      <c r="AQ94" s="260"/>
    </row>
    <row r="95" spans="1:58" ht="16.350000000000001" customHeight="1">
      <c r="A95" s="177"/>
      <c r="B95" s="177"/>
      <c r="C95" s="177"/>
      <c r="D95" s="177"/>
      <c r="E95" s="177"/>
      <c r="F95" s="177"/>
      <c r="G95" s="177"/>
      <c r="H95" s="177"/>
      <c r="I95" s="177"/>
      <c r="J95" s="177"/>
      <c r="K95" s="177"/>
      <c r="L95" s="177"/>
      <c r="M95" s="177"/>
      <c r="N95" s="177"/>
      <c r="O95" s="369"/>
      <c r="P95" s="1116"/>
      <c r="Q95" s="1116"/>
      <c r="R95" s="1116"/>
      <c r="S95" s="1116"/>
      <c r="T95" s="1116"/>
      <c r="U95" s="1116"/>
      <c r="V95" s="1116"/>
      <c r="W95" s="1116"/>
      <c r="X95" s="1116"/>
      <c r="Y95" s="1116"/>
      <c r="Z95" s="1116"/>
      <c r="AA95" s="1116"/>
      <c r="AB95" s="1116"/>
      <c r="AC95" s="1116"/>
      <c r="AD95" s="1117"/>
      <c r="AE95" s="1117"/>
      <c r="AF95" s="1117"/>
      <c r="AG95" s="1117"/>
      <c r="AH95" s="1117"/>
      <c r="AI95" s="1117"/>
      <c r="AJ95" s="1117"/>
      <c r="AK95" s="1117"/>
      <c r="AL95" s="1117"/>
      <c r="AM95" s="1117"/>
      <c r="AN95" s="1117"/>
      <c r="AO95" s="1117"/>
      <c r="AP95" s="1117"/>
      <c r="AQ95" s="260"/>
      <c r="AR95" s="177"/>
      <c r="AS95" s="177"/>
      <c r="AT95" s="177"/>
      <c r="AU95" s="177"/>
      <c r="AV95" s="177"/>
      <c r="AW95" s="177"/>
      <c r="AX95" s="177"/>
      <c r="AY95" s="177"/>
      <c r="AZ95" s="177"/>
      <c r="BA95" s="177"/>
      <c r="BB95" s="177"/>
      <c r="BC95" s="177"/>
      <c r="BD95" s="177"/>
      <c r="BE95" s="177"/>
      <c r="BF95" s="177"/>
    </row>
    <row r="96" spans="1:58" ht="16.350000000000001" customHeight="1">
      <c r="A96" s="177"/>
      <c r="B96" s="177"/>
      <c r="C96" s="177"/>
      <c r="D96" s="177"/>
      <c r="E96" s="177"/>
      <c r="F96" s="177"/>
      <c r="G96" s="177"/>
      <c r="H96" s="177"/>
      <c r="I96" s="177"/>
      <c r="J96" s="177"/>
      <c r="K96" s="177"/>
      <c r="L96" s="177"/>
      <c r="M96" s="177"/>
      <c r="N96" s="177"/>
      <c r="O96" s="36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260"/>
      <c r="AR96" s="177"/>
      <c r="AS96" s="177"/>
      <c r="AT96" s="177"/>
      <c r="AU96" s="177"/>
      <c r="AV96" s="177"/>
      <c r="AW96" s="177"/>
      <c r="AX96" s="177"/>
      <c r="AY96" s="177"/>
      <c r="AZ96" s="177"/>
      <c r="BA96" s="177"/>
      <c r="BB96" s="177"/>
      <c r="BC96" s="177"/>
      <c r="BD96" s="177"/>
      <c r="BE96" s="177"/>
      <c r="BF96" s="177"/>
    </row>
    <row r="97" spans="15:43" s="177" customFormat="1" ht="16.350000000000001" customHeight="1">
      <c r="O97" s="369"/>
      <c r="P97" s="1118" t="s">
        <v>247</v>
      </c>
      <c r="Q97" s="1118"/>
      <c r="R97" s="1118"/>
      <c r="S97" s="1118"/>
      <c r="T97" s="1118"/>
      <c r="U97" s="526"/>
      <c r="V97" s="1119" t="s">
        <v>1498</v>
      </c>
      <c r="W97" s="1119"/>
      <c r="X97" s="1119"/>
      <c r="Y97" s="1119"/>
      <c r="Z97" s="1119"/>
      <c r="AA97" s="1119"/>
      <c r="AB97" s="507"/>
      <c r="AC97" s="1119" t="s">
        <v>1499</v>
      </c>
      <c r="AD97" s="1119"/>
      <c r="AE97" s="1119"/>
      <c r="AF97" s="1119"/>
      <c r="AG97" s="1119"/>
      <c r="AH97" s="1119"/>
      <c r="AI97" s="1119"/>
      <c r="AJ97" s="1107" t="s">
        <v>1500</v>
      </c>
      <c r="AK97" s="1107"/>
      <c r="AL97" s="1107"/>
      <c r="AM97" s="1107"/>
      <c r="AN97" s="1107"/>
      <c r="AO97" s="1107"/>
      <c r="AP97" s="1107"/>
      <c r="AQ97" s="260"/>
    </row>
    <row r="98" spans="15:43" s="177" customFormat="1" ht="16.350000000000001" customHeight="1">
      <c r="O98" s="369"/>
      <c r="P98" s="1118"/>
      <c r="Q98" s="1118"/>
      <c r="R98" s="1118"/>
      <c r="S98" s="1118"/>
      <c r="T98" s="1118"/>
      <c r="U98" s="526"/>
      <c r="V98" s="1115">
        <f>M02S02F02</f>
        <v>0</v>
      </c>
      <c r="W98" s="1115"/>
      <c r="X98" s="1115"/>
      <c r="Y98" s="1115"/>
      <c r="Z98" s="1115"/>
      <c r="AA98" s="1115"/>
      <c r="AB98" s="508"/>
      <c r="AC98" s="1115" t="str">
        <f>M02S02F13</f>
        <v/>
      </c>
      <c r="AD98" s="1115"/>
      <c r="AE98" s="1115"/>
      <c r="AF98" s="1115"/>
      <c r="AG98" s="1115"/>
      <c r="AH98" s="1115"/>
      <c r="AI98" s="1115"/>
      <c r="AJ98" s="1115" t="str">
        <f>M02S02F15</f>
        <v/>
      </c>
      <c r="AK98" s="1115"/>
      <c r="AL98" s="1115"/>
      <c r="AM98" s="1115"/>
      <c r="AN98" s="1115"/>
      <c r="AO98" s="1115"/>
      <c r="AP98" s="1115"/>
      <c r="AQ98" s="260"/>
    </row>
    <row r="99" spans="15:43" s="177" customFormat="1" ht="16.350000000000001" customHeight="1">
      <c r="O99" s="369"/>
      <c r="P99" s="1118"/>
      <c r="Q99" s="1118"/>
      <c r="R99" s="1118"/>
      <c r="S99" s="1118"/>
      <c r="T99" s="1118"/>
      <c r="U99" s="526"/>
      <c r="V99" s="1115">
        <f>M02S02F03</f>
        <v>0</v>
      </c>
      <c r="W99" s="1115"/>
      <c r="X99" s="1115"/>
      <c r="Y99" s="1115"/>
      <c r="Z99" s="1115"/>
      <c r="AA99" s="1115"/>
      <c r="AB99" s="508"/>
      <c r="AC99" s="1119" t="s">
        <v>1504</v>
      </c>
      <c r="AD99" s="1119"/>
      <c r="AE99" s="1119"/>
      <c r="AF99" s="1119"/>
      <c r="AG99" s="1119"/>
      <c r="AH99" s="1119"/>
      <c r="AI99" s="1119"/>
      <c r="AJ99" s="1107" t="s">
        <v>1505</v>
      </c>
      <c r="AK99" s="1107"/>
      <c r="AL99" s="1107"/>
      <c r="AM99" s="1107"/>
      <c r="AN99" s="1107"/>
      <c r="AO99" s="1107"/>
      <c r="AP99" s="1107"/>
      <c r="AQ99" s="260"/>
    </row>
    <row r="100" spans="15:43" s="177" customFormat="1" ht="16.350000000000001" customHeight="1">
      <c r="O100" s="369"/>
      <c r="P100" s="1118"/>
      <c r="Q100" s="1118"/>
      <c r="R100" s="1118"/>
      <c r="S100" s="1118"/>
      <c r="T100" s="1118"/>
      <c r="U100" s="526"/>
      <c r="V100" s="1115" t="str">
        <f>CONCATENATE(M02S02F06,", ",M02S02F07," ",TEXT(M02S02F08,"00000"))</f>
        <v>, NJ 00000</v>
      </c>
      <c r="W100" s="1115"/>
      <c r="X100" s="1115"/>
      <c r="Y100" s="1115"/>
      <c r="Z100" s="1115"/>
      <c r="AA100" s="1115"/>
      <c r="AB100" s="508"/>
      <c r="AC100" s="1120">
        <f>M02S02F14</f>
        <v>0</v>
      </c>
      <c r="AD100" s="1120"/>
      <c r="AE100" s="1120"/>
      <c r="AF100" s="1120"/>
      <c r="AG100" s="1120"/>
      <c r="AH100" s="1120"/>
      <c r="AI100" s="1120"/>
      <c r="AJ100" s="1120">
        <f>M02S02F16</f>
        <v>0</v>
      </c>
      <c r="AK100" s="1120"/>
      <c r="AL100" s="1120"/>
      <c r="AM100" s="1120"/>
      <c r="AN100" s="1120"/>
      <c r="AO100" s="1120"/>
      <c r="AP100" s="1120"/>
      <c r="AQ100" s="260"/>
    </row>
    <row r="101" spans="15:43" s="177" customFormat="1" ht="16.350000000000001" customHeight="1">
      <c r="O101" s="369"/>
      <c r="P101" s="199"/>
      <c r="Q101" s="199"/>
      <c r="R101" s="199"/>
      <c r="S101" s="199"/>
      <c r="T101" s="199"/>
      <c r="U101" s="199"/>
      <c r="V101" s="371"/>
      <c r="W101" s="371"/>
      <c r="X101" s="371"/>
      <c r="Y101" s="371"/>
      <c r="Z101" s="371"/>
      <c r="AA101" s="371"/>
      <c r="AB101" s="371"/>
      <c r="AC101" s="371"/>
      <c r="AD101" s="371"/>
      <c r="AE101" s="371"/>
      <c r="AF101" s="371"/>
      <c r="AG101" s="371"/>
      <c r="AH101" s="371"/>
      <c r="AI101" s="371"/>
      <c r="AJ101" s="371"/>
      <c r="AK101" s="371"/>
      <c r="AL101" s="371"/>
      <c r="AM101" s="371"/>
      <c r="AN101" s="371"/>
      <c r="AO101" s="371"/>
      <c r="AP101" s="371"/>
      <c r="AQ101" s="260"/>
    </row>
    <row r="102" spans="15:43" s="177" customFormat="1" ht="16.350000000000001" customHeight="1">
      <c r="O102" s="369"/>
      <c r="P102" s="1118" t="s">
        <v>1334</v>
      </c>
      <c r="Q102" s="1118"/>
      <c r="R102" s="1118"/>
      <c r="S102" s="1118"/>
      <c r="T102" s="1118"/>
      <c r="U102" s="526"/>
      <c r="V102" s="1119" t="s">
        <v>1643</v>
      </c>
      <c r="W102" s="1119"/>
      <c r="X102" s="1119"/>
      <c r="Y102" s="1119"/>
      <c r="Z102" s="1119"/>
      <c r="AA102" s="1119"/>
      <c r="AB102" s="507"/>
      <c r="AC102" s="1107" t="s">
        <v>1644</v>
      </c>
      <c r="AD102" s="1107"/>
      <c r="AE102" s="1107"/>
      <c r="AF102" s="1107"/>
      <c r="AG102" s="1107"/>
      <c r="AH102" s="1107"/>
      <c r="AI102" s="507"/>
      <c r="AJ102" s="507"/>
      <c r="AK102" s="507"/>
      <c r="AL102" s="507"/>
      <c r="AM102" s="507"/>
      <c r="AN102" s="507"/>
      <c r="AO102" s="507"/>
      <c r="AP102" s="507"/>
      <c r="AQ102" s="260"/>
    </row>
    <row r="103" spans="15:43" s="177" customFormat="1" ht="16.350000000000001" customHeight="1">
      <c r="O103" s="369"/>
      <c r="P103" s="1118"/>
      <c r="Q103" s="1118"/>
      <c r="R103" s="1118"/>
      <c r="S103" s="1118"/>
      <c r="T103" s="1118"/>
      <c r="U103" s="526"/>
      <c r="V103" s="1115" t="str">
        <f>PROPER(M02S03F13&amp;" "&amp;M02S03F14)</f>
        <v xml:space="preserve"> </v>
      </c>
      <c r="W103" s="1115"/>
      <c r="X103" s="1115"/>
      <c r="Y103" s="1115"/>
      <c r="Z103" s="1115"/>
      <c r="AA103" s="1115"/>
      <c r="AB103" s="508"/>
      <c r="AC103" s="1115" t="str">
        <f>CONCATENATE(M02S03F03," ",M02S03F04)</f>
        <v xml:space="preserve"> </v>
      </c>
      <c r="AD103" s="1115"/>
      <c r="AE103" s="1115"/>
      <c r="AF103" s="1115"/>
      <c r="AG103" s="1115"/>
      <c r="AH103" s="1115"/>
      <c r="AI103" s="508"/>
      <c r="AJ103" s="508"/>
      <c r="AK103" s="508"/>
      <c r="AL103" s="508"/>
      <c r="AM103" s="508"/>
      <c r="AN103" s="508"/>
      <c r="AO103" s="508"/>
      <c r="AP103" s="508"/>
      <c r="AQ103" s="260"/>
    </row>
    <row r="104" spans="15:43" s="177" customFormat="1" ht="16.350000000000001" customHeight="1">
      <c r="O104" s="369"/>
      <c r="P104" s="1118"/>
      <c r="Q104" s="1118"/>
      <c r="R104" s="1118"/>
      <c r="S104" s="1118"/>
      <c r="T104" s="1118"/>
      <c r="U104" s="526"/>
      <c r="V104" s="1384" t="str">
        <f>M02S03F15</f>
        <v/>
      </c>
      <c r="W104" s="1384"/>
      <c r="X104" s="1384"/>
      <c r="Y104" s="1384"/>
      <c r="Z104" s="1384"/>
      <c r="AA104" s="1384"/>
      <c r="AB104" s="508"/>
      <c r="AC104" s="1384">
        <f>M02S03F06</f>
        <v>0</v>
      </c>
      <c r="AD104" s="1384"/>
      <c r="AE104" s="1384"/>
      <c r="AF104" s="1384"/>
      <c r="AG104" s="1384"/>
      <c r="AH104" s="1384"/>
      <c r="AI104" s="527"/>
      <c r="AJ104" s="527"/>
      <c r="AK104" s="527"/>
      <c r="AL104" s="527"/>
      <c r="AM104" s="527"/>
      <c r="AN104" s="527"/>
      <c r="AO104" s="527"/>
      <c r="AP104" s="527"/>
      <c r="AQ104" s="260"/>
    </row>
    <row r="105" spans="15:43" s="177" customFormat="1" ht="16.350000000000001" customHeight="1">
      <c r="O105" s="369"/>
      <c r="P105" s="1118"/>
      <c r="Q105" s="1118"/>
      <c r="R105" s="1118"/>
      <c r="S105" s="1118"/>
      <c r="T105" s="1118"/>
      <c r="U105" s="526"/>
      <c r="V105" s="1115" t="str">
        <f>TEXT(M02S03F16,"(###) ###-####")</f>
        <v/>
      </c>
      <c r="W105" s="1115"/>
      <c r="X105" s="1115"/>
      <c r="Y105" s="1115"/>
      <c r="Z105" s="1115"/>
      <c r="AA105" s="1115"/>
      <c r="AB105" s="508"/>
      <c r="AC105" s="1115" t="str">
        <f>TEXT(M02S03F07,"(###) ###-####")</f>
        <v>() -</v>
      </c>
      <c r="AD105" s="1115"/>
      <c r="AE105" s="1115"/>
      <c r="AF105" s="1115"/>
      <c r="AG105" s="1115"/>
      <c r="AH105" s="1115"/>
      <c r="AI105" s="508"/>
      <c r="AJ105" s="508"/>
      <c r="AK105" s="508"/>
      <c r="AL105" s="508"/>
      <c r="AM105" s="508"/>
      <c r="AN105" s="508"/>
      <c r="AO105" s="508"/>
      <c r="AP105" s="508"/>
      <c r="AQ105" s="260"/>
    </row>
    <row r="106" spans="15:43" s="177" customFormat="1" ht="16.350000000000001" customHeight="1">
      <c r="O106" s="369"/>
      <c r="P106" s="199"/>
      <c r="Q106" s="199"/>
      <c r="R106" s="199"/>
      <c r="S106" s="199"/>
      <c r="T106" s="199"/>
      <c r="U106" s="199"/>
      <c r="V106" s="371"/>
      <c r="W106" s="371"/>
      <c r="X106" s="371"/>
      <c r="Y106" s="371"/>
      <c r="Z106" s="371"/>
      <c r="AA106" s="371"/>
      <c r="AB106" s="371"/>
      <c r="AC106" s="371"/>
      <c r="AD106" s="371"/>
      <c r="AE106" s="371"/>
      <c r="AF106" s="371"/>
      <c r="AG106" s="371"/>
      <c r="AH106" s="371"/>
      <c r="AI106" s="371"/>
      <c r="AJ106" s="371"/>
      <c r="AK106" s="371"/>
      <c r="AL106" s="371"/>
      <c r="AM106" s="371"/>
      <c r="AN106" s="371"/>
      <c r="AO106" s="371"/>
      <c r="AP106" s="371"/>
      <c r="AQ106" s="260"/>
    </row>
    <row r="107" spans="15:43" s="177" customFormat="1" ht="16.350000000000001" customHeight="1">
      <c r="O107" s="369"/>
      <c r="P107" s="1118" t="s">
        <v>1645</v>
      </c>
      <c r="Q107" s="1118"/>
      <c r="R107" s="1118"/>
      <c r="S107" s="1118"/>
      <c r="T107" s="1118"/>
      <c r="U107" s="526"/>
      <c r="V107" s="1131" t="s">
        <v>758</v>
      </c>
      <c r="W107" s="1131"/>
      <c r="X107" s="1131"/>
      <c r="Y107" s="1131"/>
      <c r="Z107" s="1131"/>
      <c r="AA107" s="1131"/>
      <c r="AB107" s="528"/>
      <c r="AC107" s="1132" t="s">
        <v>1507</v>
      </c>
      <c r="AD107" s="1132"/>
      <c r="AE107" s="1132"/>
      <c r="AF107" s="1132"/>
      <c r="AG107" s="1132"/>
      <c r="AH107" s="1132"/>
      <c r="AI107" s="528"/>
      <c r="AJ107" s="528"/>
      <c r="AK107" s="528"/>
      <c r="AL107" s="528"/>
      <c r="AM107" s="528"/>
      <c r="AN107" s="528"/>
      <c r="AO107" s="528"/>
      <c r="AP107" s="528"/>
      <c r="AQ107" s="260"/>
    </row>
    <row r="108" spans="15:43" s="177" customFormat="1" ht="16.350000000000001" customHeight="1">
      <c r="O108" s="369"/>
      <c r="P108" s="1118"/>
      <c r="Q108" s="1118"/>
      <c r="R108" s="1118"/>
      <c r="S108" s="1118"/>
      <c r="T108" s="1118"/>
      <c r="U108" s="526"/>
      <c r="V108" s="1126">
        <f>M02S04F02</f>
        <v>0</v>
      </c>
      <c r="W108" s="1126"/>
      <c r="X108" s="1126"/>
      <c r="Y108" s="1126"/>
      <c r="Z108" s="1126"/>
      <c r="AA108" s="1126"/>
      <c r="AB108" s="516"/>
      <c r="AC108" s="1126" t="str">
        <f>CONCATENATE(M02S04F08," ",M02S04F09)</f>
        <v xml:space="preserve"> </v>
      </c>
      <c r="AD108" s="1126"/>
      <c r="AE108" s="1126"/>
      <c r="AF108" s="1126"/>
      <c r="AG108" s="1126"/>
      <c r="AH108" s="1126"/>
      <c r="AI108" s="529"/>
      <c r="AJ108" s="529"/>
      <c r="AK108" s="516"/>
      <c r="AL108" s="516"/>
      <c r="AM108" s="516"/>
      <c r="AN108" s="516"/>
      <c r="AO108" s="516"/>
      <c r="AP108" s="530"/>
      <c r="AQ108" s="260"/>
    </row>
    <row r="109" spans="15:43" s="177" customFormat="1" ht="16.350000000000001" customHeight="1">
      <c r="O109" s="369"/>
      <c r="P109" s="1118"/>
      <c r="Q109" s="1118"/>
      <c r="R109" s="1118"/>
      <c r="S109" s="1118"/>
      <c r="T109" s="1118"/>
      <c r="U109" s="526"/>
      <c r="V109" s="1126">
        <f>M02S04F03</f>
        <v>0</v>
      </c>
      <c r="W109" s="1126"/>
      <c r="X109" s="1126"/>
      <c r="Y109" s="1126"/>
      <c r="Z109" s="1126"/>
      <c r="AA109" s="1126"/>
      <c r="AB109" s="516"/>
      <c r="AC109" s="1134">
        <f>M02S04F10</f>
        <v>0</v>
      </c>
      <c r="AD109" s="1134"/>
      <c r="AE109" s="1134"/>
      <c r="AF109" s="1134"/>
      <c r="AG109" s="1134"/>
      <c r="AH109" s="1134"/>
      <c r="AI109" s="529"/>
      <c r="AJ109" s="529"/>
      <c r="AK109" s="517"/>
      <c r="AL109" s="517"/>
      <c r="AM109" s="517"/>
      <c r="AN109" s="517"/>
      <c r="AO109" s="517"/>
      <c r="AP109" s="531"/>
      <c r="AQ109" s="260"/>
    </row>
    <row r="110" spans="15:43" s="177" customFormat="1" ht="16.350000000000001" customHeight="1">
      <c r="O110" s="369"/>
      <c r="P110" s="1118"/>
      <c r="Q110" s="1118"/>
      <c r="R110" s="1118"/>
      <c r="S110" s="1118"/>
      <c r="T110" s="1118"/>
      <c r="U110" s="526"/>
      <c r="V110" s="1126" t="str">
        <f>CONCATENATE(M02S04F05,", ",M02S04F06," ",TEXT(M02S04F07,"00000"))</f>
        <v>,  00000</v>
      </c>
      <c r="W110" s="1126"/>
      <c r="X110" s="1126"/>
      <c r="Y110" s="1126"/>
      <c r="Z110" s="1126"/>
      <c r="AA110" s="1126"/>
      <c r="AB110" s="516"/>
      <c r="AC110" s="1126" t="str">
        <f>TEXT(M02S04F11,"(###) ###-####")</f>
        <v>() -</v>
      </c>
      <c r="AD110" s="1126"/>
      <c r="AE110" s="1126"/>
      <c r="AF110" s="1126"/>
      <c r="AG110" s="1126"/>
      <c r="AH110" s="1126"/>
      <c r="AI110" s="529"/>
      <c r="AJ110" s="529"/>
      <c r="AK110" s="516"/>
      <c r="AL110" s="516"/>
      <c r="AM110" s="516"/>
      <c r="AN110" s="516"/>
      <c r="AO110" s="516"/>
      <c r="AP110" s="530"/>
      <c r="AQ110" s="260"/>
    </row>
    <row r="111" spans="15:43" s="177" customFormat="1" ht="16.350000000000001" customHeight="1">
      <c r="O111" s="36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c r="AQ111" s="260"/>
    </row>
    <row r="112" spans="15:43" s="177" customFormat="1" ht="16.350000000000001" customHeight="1">
      <c r="O112" s="369"/>
      <c r="P112" s="570"/>
      <c r="Q112" s="1383" t="s">
        <v>1667</v>
      </c>
      <c r="R112" s="1383"/>
      <c r="S112" s="1383"/>
      <c r="T112" s="1383"/>
      <c r="U112" s="1383"/>
      <c r="V112" s="1383"/>
      <c r="W112" s="1383"/>
      <c r="X112" s="1383"/>
      <c r="Y112" s="1383"/>
      <c r="Z112" s="1383"/>
      <c r="AA112" s="1383"/>
      <c r="AB112" s="1383"/>
      <c r="AC112" s="1383"/>
      <c r="AD112" s="1383"/>
      <c r="AE112" s="1383"/>
      <c r="AF112" s="1383"/>
      <c r="AG112" s="1383"/>
      <c r="AH112" s="1383"/>
      <c r="AI112" s="1383"/>
      <c r="AJ112" s="1383"/>
      <c r="AK112" s="1383"/>
      <c r="AL112" s="1383"/>
      <c r="AM112" s="1383"/>
      <c r="AN112" s="1383"/>
      <c r="AO112" s="1383"/>
      <c r="AP112" s="571"/>
      <c r="AQ112" s="260"/>
    </row>
    <row r="113" spans="15:43" s="177" customFormat="1" ht="16.350000000000001" customHeight="1">
      <c r="O113" s="369"/>
      <c r="P113" s="571"/>
      <c r="Q113" s="1383"/>
      <c r="R113" s="1383"/>
      <c r="S113" s="1383"/>
      <c r="T113" s="1383"/>
      <c r="U113" s="1383"/>
      <c r="V113" s="1383"/>
      <c r="W113" s="1383"/>
      <c r="X113" s="1383"/>
      <c r="Y113" s="1383"/>
      <c r="Z113" s="1383"/>
      <c r="AA113" s="1383"/>
      <c r="AB113" s="1383"/>
      <c r="AC113" s="1383"/>
      <c r="AD113" s="1383"/>
      <c r="AE113" s="1383"/>
      <c r="AF113" s="1383"/>
      <c r="AG113" s="1383"/>
      <c r="AH113" s="1383"/>
      <c r="AI113" s="1383"/>
      <c r="AJ113" s="1383"/>
      <c r="AK113" s="1383"/>
      <c r="AL113" s="1383"/>
      <c r="AM113" s="1383"/>
      <c r="AN113" s="1383"/>
      <c r="AO113" s="1383"/>
      <c r="AP113" s="571"/>
      <c r="AQ113" s="260"/>
    </row>
    <row r="114" spans="15:43" s="177" customFormat="1" ht="16.350000000000001" customHeight="1">
      <c r="O114" s="369"/>
      <c r="P114" s="552"/>
      <c r="Q114" s="1379" t="s">
        <v>1668</v>
      </c>
      <c r="R114" s="1379"/>
      <c r="S114" s="1379"/>
      <c r="T114" s="1379"/>
      <c r="U114" s="1379"/>
      <c r="V114" s="1379"/>
      <c r="W114" s="1378"/>
      <c r="X114" s="1378"/>
      <c r="Y114" s="1378"/>
      <c r="Z114" s="1378"/>
      <c r="AA114" s="1378"/>
      <c r="AB114" s="1378"/>
      <c r="AC114" s="1378"/>
      <c r="AD114" s="1378"/>
      <c r="AE114" s="1378"/>
      <c r="AF114" s="1378"/>
      <c r="AG114" s="1378"/>
      <c r="AH114" s="1378"/>
      <c r="AI114" s="1378"/>
      <c r="AJ114" s="1378"/>
      <c r="AK114" s="1378"/>
      <c r="AL114" s="1378"/>
      <c r="AM114" s="1378"/>
      <c r="AN114" s="1378"/>
      <c r="AO114" s="552"/>
      <c r="AP114" s="574"/>
      <c r="AQ114" s="260"/>
    </row>
    <row r="115" spans="15:43" s="177" customFormat="1" ht="16.350000000000001" customHeight="1">
      <c r="O115" s="369"/>
      <c r="P115" s="552"/>
      <c r="Q115" s="1379" t="s">
        <v>1669</v>
      </c>
      <c r="R115" s="1379"/>
      <c r="S115" s="1379"/>
      <c r="T115" s="1379"/>
      <c r="U115" s="1379"/>
      <c r="V115" s="1379"/>
      <c r="W115" s="1378"/>
      <c r="X115" s="1378"/>
      <c r="Y115" s="1378"/>
      <c r="Z115" s="1378"/>
      <c r="AA115" s="1378"/>
      <c r="AB115" s="1378"/>
      <c r="AC115" s="1378"/>
      <c r="AD115" s="1378"/>
      <c r="AE115" s="1378"/>
      <c r="AF115" s="1378"/>
      <c r="AG115" s="1378"/>
      <c r="AH115" s="1378"/>
      <c r="AI115" s="1378"/>
      <c r="AJ115" s="1378"/>
      <c r="AK115" s="1378"/>
      <c r="AL115" s="1378"/>
      <c r="AM115" s="1378"/>
      <c r="AN115" s="1378"/>
      <c r="AO115" s="552"/>
      <c r="AP115" s="574"/>
      <c r="AQ115" s="260"/>
    </row>
    <row r="116" spans="15:43" s="177" customFormat="1" ht="16.350000000000001" customHeight="1">
      <c r="O116" s="369"/>
      <c r="P116" s="574"/>
      <c r="Q116" s="1379" t="s">
        <v>1670</v>
      </c>
      <c r="R116" s="1379"/>
      <c r="S116" s="1379"/>
      <c r="T116" s="1379"/>
      <c r="U116" s="1379"/>
      <c r="V116" s="1379"/>
      <c r="W116" s="674"/>
      <c r="X116" s="674"/>
      <c r="Y116" s="674"/>
      <c r="Z116" s="674"/>
      <c r="AA116" s="674"/>
      <c r="AB116" s="674"/>
      <c r="AC116" s="674"/>
      <c r="AD116" s="674"/>
      <c r="AE116" s="674"/>
      <c r="AF116" s="674"/>
      <c r="AG116" s="674"/>
      <c r="AH116" s="674"/>
      <c r="AI116" s="674"/>
      <c r="AJ116" s="674"/>
      <c r="AK116" s="674"/>
      <c r="AL116" s="674"/>
      <c r="AM116" s="674"/>
      <c r="AN116" s="674"/>
      <c r="AO116" s="552"/>
      <c r="AP116" s="574"/>
      <c r="AQ116" s="260"/>
    </row>
    <row r="117" spans="15:43" s="177" customFormat="1" ht="16.350000000000001" customHeight="1">
      <c r="O117" s="369"/>
      <c r="P117" s="574"/>
      <c r="Q117" s="552"/>
      <c r="R117" s="552"/>
      <c r="S117" s="552"/>
      <c r="T117" s="552"/>
      <c r="U117" s="675"/>
      <c r="V117" s="675"/>
      <c r="W117" s="1377" t="s">
        <v>1671</v>
      </c>
      <c r="X117" s="1377"/>
      <c r="Y117" s="1377"/>
      <c r="Z117" s="1377"/>
      <c r="AA117" s="1377"/>
      <c r="AB117" s="1377"/>
      <c r="AC117" s="675"/>
      <c r="AD117" s="710" t="s">
        <v>1672</v>
      </c>
      <c r="AE117" s="552"/>
      <c r="AF117" s="552"/>
      <c r="AG117" s="552"/>
      <c r="AH117" s="552"/>
      <c r="AI117" s="552"/>
      <c r="AJ117" s="552"/>
      <c r="AK117" s="552"/>
      <c r="AL117" s="552"/>
      <c r="AM117" s="552"/>
      <c r="AN117" s="552"/>
      <c r="AO117" s="552"/>
      <c r="AP117" s="574"/>
      <c r="AQ117" s="260"/>
    </row>
    <row r="118" spans="15:43" s="177" customFormat="1" ht="16.350000000000001" customHeight="1">
      <c r="O118" s="369"/>
      <c r="P118" s="574"/>
      <c r="Q118" s="552"/>
      <c r="R118" s="552"/>
      <c r="S118" s="552"/>
      <c r="T118" s="552"/>
      <c r="U118" s="675"/>
      <c r="V118" s="675"/>
      <c r="W118" s="1377" t="s">
        <v>1673</v>
      </c>
      <c r="X118" s="1377"/>
      <c r="Y118" s="1377"/>
      <c r="Z118" s="1377"/>
      <c r="AA118" s="1377"/>
      <c r="AB118" s="1377"/>
      <c r="AC118" s="552"/>
      <c r="AD118" s="710" t="s">
        <v>1674</v>
      </c>
      <c r="AE118" s="552"/>
      <c r="AF118" s="552"/>
      <c r="AG118" s="552"/>
      <c r="AH118" s="552"/>
      <c r="AI118" s="552"/>
      <c r="AJ118" s="552"/>
      <c r="AK118" s="552"/>
      <c r="AL118" s="552"/>
      <c r="AM118" s="552"/>
      <c r="AN118" s="552"/>
      <c r="AO118" s="552"/>
      <c r="AP118" s="574"/>
      <c r="AQ118" s="260"/>
    </row>
    <row r="119" spans="15:43" s="177" customFormat="1" ht="16.350000000000001" customHeight="1">
      <c r="O119" s="369"/>
      <c r="P119" s="574"/>
      <c r="Q119" s="552"/>
      <c r="R119" s="552"/>
      <c r="S119" s="552"/>
      <c r="T119" s="552"/>
      <c r="U119" s="552"/>
      <c r="V119" s="552"/>
      <c r="W119" s="1377" t="s">
        <v>1675</v>
      </c>
      <c r="X119" s="1377"/>
      <c r="Y119" s="1377"/>
      <c r="Z119" s="1377"/>
      <c r="AA119" s="1377"/>
      <c r="AB119" s="1377"/>
      <c r="AC119" s="552"/>
      <c r="AD119" s="552"/>
      <c r="AE119" s="552"/>
      <c r="AF119" s="552"/>
      <c r="AG119" s="552"/>
      <c r="AH119" s="552"/>
      <c r="AI119" s="552"/>
      <c r="AJ119" s="552"/>
      <c r="AK119" s="552"/>
      <c r="AL119" s="552"/>
      <c r="AM119" s="552"/>
      <c r="AN119" s="552"/>
      <c r="AO119" s="552"/>
      <c r="AP119" s="577"/>
      <c r="AQ119" s="260"/>
    </row>
    <row r="120" spans="15:43" s="177" customFormat="1" ht="16.350000000000001" customHeight="1">
      <c r="O120" s="369"/>
      <c r="P120" s="577"/>
      <c r="Q120" s="552"/>
      <c r="R120" s="552"/>
      <c r="S120" s="552"/>
      <c r="T120" s="552"/>
      <c r="U120" s="552"/>
      <c r="V120" s="552"/>
      <c r="W120" s="1378"/>
      <c r="X120" s="1378"/>
      <c r="Y120" s="1378"/>
      <c r="Z120" s="1378"/>
      <c r="AA120" s="1378"/>
      <c r="AB120" s="1378"/>
      <c r="AC120" s="1378"/>
      <c r="AD120" s="1378"/>
      <c r="AE120" s="1378"/>
      <c r="AF120" s="1378"/>
      <c r="AG120" s="1378"/>
      <c r="AH120" s="1378"/>
      <c r="AI120" s="1378"/>
      <c r="AJ120" s="1378"/>
      <c r="AK120" s="1378"/>
      <c r="AL120" s="1378"/>
      <c r="AM120" s="1378"/>
      <c r="AN120" s="1378"/>
      <c r="AO120" s="552"/>
      <c r="AP120" s="577"/>
      <c r="AQ120" s="260"/>
    </row>
    <row r="121" spans="15:43" s="177" customFormat="1" ht="16.350000000000001" customHeight="1">
      <c r="O121" s="369"/>
      <c r="P121" s="577"/>
      <c r="Q121" s="1379" t="s">
        <v>1676</v>
      </c>
      <c r="R121" s="1379"/>
      <c r="S121" s="1379"/>
      <c r="T121" s="1379"/>
      <c r="U121" s="1379"/>
      <c r="V121" s="1379"/>
      <c r="W121" s="674"/>
      <c r="X121" s="674"/>
      <c r="Y121" s="674"/>
      <c r="Z121" s="674"/>
      <c r="AA121" s="674"/>
      <c r="AB121" s="674"/>
      <c r="AC121" s="674"/>
      <c r="AD121" s="674"/>
      <c r="AE121" s="674"/>
      <c r="AF121" s="674"/>
      <c r="AG121" s="674"/>
      <c r="AH121" s="674"/>
      <c r="AI121" s="674"/>
      <c r="AJ121" s="674"/>
      <c r="AK121" s="674"/>
      <c r="AL121" s="674"/>
      <c r="AM121" s="674"/>
      <c r="AN121" s="674"/>
      <c r="AO121" s="552"/>
      <c r="AP121" s="577"/>
      <c r="AQ121" s="260"/>
    </row>
    <row r="122" spans="15:43" s="177" customFormat="1" ht="16.350000000000001" customHeight="1">
      <c r="O122" s="369"/>
      <c r="P122" s="577"/>
      <c r="Q122" s="552"/>
      <c r="R122" s="552"/>
      <c r="S122" s="552"/>
      <c r="T122" s="552"/>
      <c r="U122" s="675"/>
      <c r="V122" s="675"/>
      <c r="W122" s="1377" t="s">
        <v>1677</v>
      </c>
      <c r="X122" s="1377"/>
      <c r="Y122" s="1377"/>
      <c r="Z122" s="1377"/>
      <c r="AA122" s="1377"/>
      <c r="AB122" s="1377"/>
      <c r="AC122" s="675"/>
      <c r="AD122" s="710" t="s">
        <v>1678</v>
      </c>
      <c r="AE122" s="552"/>
      <c r="AF122" s="552"/>
      <c r="AG122" s="552"/>
      <c r="AH122" s="552"/>
      <c r="AI122" s="552"/>
      <c r="AJ122" s="552"/>
      <c r="AK122" s="552"/>
      <c r="AL122" s="552"/>
      <c r="AM122" s="552"/>
      <c r="AN122" s="552"/>
      <c r="AO122" s="552"/>
      <c r="AP122" s="577"/>
      <c r="AQ122" s="260"/>
    </row>
    <row r="123" spans="15:43" s="177" customFormat="1" ht="16.350000000000001" customHeight="1">
      <c r="O123" s="369"/>
      <c r="P123" s="577"/>
      <c r="Q123" s="552"/>
      <c r="R123" s="552"/>
      <c r="S123" s="552"/>
      <c r="T123" s="552"/>
      <c r="U123" s="675"/>
      <c r="V123" s="675"/>
      <c r="W123" s="1377" t="s">
        <v>1679</v>
      </c>
      <c r="X123" s="1377"/>
      <c r="Y123" s="1377"/>
      <c r="Z123" s="1377"/>
      <c r="AA123" s="1377"/>
      <c r="AB123" s="1377"/>
      <c r="AC123" s="675"/>
      <c r="AD123" s="710" t="s">
        <v>1680</v>
      </c>
      <c r="AE123" s="552"/>
      <c r="AF123" s="552"/>
      <c r="AG123" s="552"/>
      <c r="AH123" s="552"/>
      <c r="AI123" s="552"/>
      <c r="AJ123" s="552"/>
      <c r="AK123" s="552"/>
      <c r="AL123" s="552"/>
      <c r="AM123" s="552"/>
      <c r="AN123" s="552"/>
      <c r="AO123" s="552"/>
      <c r="AP123" s="577"/>
      <c r="AQ123" s="260"/>
    </row>
    <row r="124" spans="15:43" s="177" customFormat="1" ht="16.350000000000001" customHeight="1">
      <c r="O124" s="369"/>
      <c r="P124" s="577"/>
      <c r="Q124" s="552"/>
      <c r="R124" s="552"/>
      <c r="S124" s="552"/>
      <c r="T124" s="552"/>
      <c r="U124" s="675"/>
      <c r="V124" s="675"/>
      <c r="W124" s="1377" t="s">
        <v>1675</v>
      </c>
      <c r="X124" s="1377"/>
      <c r="Y124" s="1377"/>
      <c r="Z124" s="1377"/>
      <c r="AA124" s="1377"/>
      <c r="AB124" s="1377"/>
      <c r="AC124" s="552"/>
      <c r="AD124" s="710" t="s">
        <v>1681</v>
      </c>
      <c r="AE124" s="552"/>
      <c r="AF124" s="552"/>
      <c r="AG124" s="552"/>
      <c r="AH124" s="552"/>
      <c r="AI124" s="552"/>
      <c r="AJ124" s="552"/>
      <c r="AK124" s="552"/>
      <c r="AL124" s="552"/>
      <c r="AM124" s="552"/>
      <c r="AN124" s="552"/>
      <c r="AO124" s="552"/>
      <c r="AP124" s="577"/>
      <c r="AQ124" s="260"/>
    </row>
    <row r="125" spans="15:43" s="177" customFormat="1" ht="16.350000000000001" customHeight="1">
      <c r="O125" s="369"/>
      <c r="P125" s="577"/>
      <c r="Q125" s="552"/>
      <c r="R125" s="552"/>
      <c r="S125" s="552"/>
      <c r="T125" s="552"/>
      <c r="U125" s="552"/>
      <c r="V125" s="552"/>
      <c r="W125" s="1378"/>
      <c r="X125" s="1378"/>
      <c r="Y125" s="1378"/>
      <c r="Z125" s="1378"/>
      <c r="AA125" s="1378"/>
      <c r="AB125" s="1378"/>
      <c r="AC125" s="1378"/>
      <c r="AD125" s="1378"/>
      <c r="AE125" s="1378"/>
      <c r="AF125" s="1378"/>
      <c r="AG125" s="1378"/>
      <c r="AH125" s="1378"/>
      <c r="AI125" s="1378"/>
      <c r="AJ125" s="1378"/>
      <c r="AK125" s="1378"/>
      <c r="AL125" s="1378"/>
      <c r="AM125" s="1378"/>
      <c r="AN125" s="1378"/>
      <c r="AO125" s="552"/>
      <c r="AP125" s="577"/>
      <c r="AQ125" s="260"/>
    </row>
    <row r="126" spans="15:43" s="177" customFormat="1" ht="16.350000000000001" customHeight="1">
      <c r="O126" s="369"/>
      <c r="P126" s="577"/>
      <c r="Q126" s="1377" t="s">
        <v>1682</v>
      </c>
      <c r="R126" s="1377"/>
      <c r="S126" s="1377"/>
      <c r="T126" s="1377"/>
      <c r="U126" s="1377"/>
      <c r="V126" s="1377"/>
      <c r="W126" s="1377"/>
      <c r="X126" s="1377"/>
      <c r="Y126" s="1377"/>
      <c r="Z126" s="1377"/>
      <c r="AA126" s="1377"/>
      <c r="AB126" s="1377"/>
      <c r="AC126" s="1377"/>
      <c r="AD126" s="1377"/>
      <c r="AE126" s="1377"/>
      <c r="AF126" s="1377"/>
      <c r="AG126" s="1377"/>
      <c r="AH126" s="1377"/>
      <c r="AI126" s="1377"/>
      <c r="AJ126" s="1377"/>
      <c r="AK126" s="1377"/>
      <c r="AL126" s="1377"/>
      <c r="AM126" s="1377"/>
      <c r="AN126" s="1377"/>
      <c r="AO126" s="552"/>
      <c r="AP126" s="577"/>
      <c r="AQ126" s="260"/>
    </row>
    <row r="127" spans="15:43" s="177" customFormat="1" ht="16.350000000000001" customHeight="1">
      <c r="O127" s="369"/>
      <c r="P127" s="577"/>
      <c r="Q127" s="552"/>
      <c r="R127" s="552"/>
      <c r="S127" s="552"/>
      <c r="T127" s="552"/>
      <c r="U127" s="675"/>
      <c r="V127" s="675"/>
      <c r="W127" s="1377" t="s">
        <v>1683</v>
      </c>
      <c r="X127" s="1377"/>
      <c r="Y127" s="1377"/>
      <c r="Z127" s="1377"/>
      <c r="AA127" s="1377"/>
      <c r="AB127" s="1377"/>
      <c r="AC127" s="675"/>
      <c r="AD127" s="710" t="s">
        <v>1684</v>
      </c>
      <c r="AE127" s="552"/>
      <c r="AF127" s="552"/>
      <c r="AG127" s="552"/>
      <c r="AH127" s="552"/>
      <c r="AI127" s="552"/>
      <c r="AJ127" s="552"/>
      <c r="AK127" s="552"/>
      <c r="AL127" s="552"/>
      <c r="AM127" s="552"/>
      <c r="AN127" s="552"/>
      <c r="AO127" s="552"/>
      <c r="AP127" s="577"/>
      <c r="AQ127" s="260"/>
    </row>
    <row r="128" spans="15:43" s="177" customFormat="1" ht="16.350000000000001" customHeight="1">
      <c r="O128" s="369"/>
      <c r="P128" s="577"/>
      <c r="Q128" s="552"/>
      <c r="R128" s="552"/>
      <c r="S128" s="552"/>
      <c r="T128" s="552"/>
      <c r="U128" s="675"/>
      <c r="V128" s="675"/>
      <c r="W128" s="1377" t="s">
        <v>1685</v>
      </c>
      <c r="X128" s="1377"/>
      <c r="Y128" s="1377"/>
      <c r="Z128" s="1377"/>
      <c r="AA128" s="1377"/>
      <c r="AB128" s="1377"/>
      <c r="AC128" s="675"/>
      <c r="AD128" s="710" t="s">
        <v>1686</v>
      </c>
      <c r="AE128" s="552"/>
      <c r="AF128" s="552"/>
      <c r="AG128" s="552"/>
      <c r="AH128" s="552"/>
      <c r="AI128" s="552"/>
      <c r="AJ128" s="552"/>
      <c r="AK128" s="552"/>
      <c r="AL128" s="552"/>
      <c r="AM128" s="552"/>
      <c r="AN128" s="552"/>
      <c r="AO128" s="552"/>
      <c r="AP128" s="577"/>
      <c r="AQ128" s="260"/>
    </row>
    <row r="129" spans="15:43" s="177" customFormat="1" ht="16.350000000000001" customHeight="1">
      <c r="O129" s="369"/>
      <c r="P129" s="577"/>
      <c r="Q129" s="552"/>
      <c r="R129" s="552"/>
      <c r="S129" s="552"/>
      <c r="T129" s="552"/>
      <c r="U129" s="675"/>
      <c r="V129" s="675"/>
      <c r="W129" s="1377" t="s">
        <v>1687</v>
      </c>
      <c r="X129" s="1377"/>
      <c r="Y129" s="1377"/>
      <c r="Z129" s="1377"/>
      <c r="AA129" s="1377"/>
      <c r="AB129" s="1377"/>
      <c r="AC129" s="675"/>
      <c r="AD129" s="1377" t="s">
        <v>1688</v>
      </c>
      <c r="AE129" s="1377"/>
      <c r="AF129" s="1377"/>
      <c r="AG129" s="1377"/>
      <c r="AH129" s="1377"/>
      <c r="AI129" s="1377"/>
      <c r="AJ129" s="552"/>
      <c r="AK129" s="552"/>
      <c r="AL129" s="552"/>
      <c r="AM129" s="552"/>
      <c r="AN129" s="552"/>
      <c r="AO129" s="552"/>
      <c r="AP129" s="577"/>
      <c r="AQ129" s="260"/>
    </row>
    <row r="130" spans="15:43" s="177" customFormat="1" ht="16.350000000000001" customHeight="1">
      <c r="O130" s="369"/>
      <c r="P130" s="577"/>
      <c r="Q130" s="552"/>
      <c r="R130" s="552"/>
      <c r="S130" s="552"/>
      <c r="T130" s="552"/>
      <c r="U130" s="552"/>
      <c r="V130" s="675"/>
      <c r="W130" s="1377" t="s">
        <v>1675</v>
      </c>
      <c r="X130" s="1377"/>
      <c r="Y130" s="1377"/>
      <c r="Z130" s="1377"/>
      <c r="AA130" s="1377"/>
      <c r="AB130" s="1377"/>
      <c r="AC130" s="552"/>
      <c r="AD130" s="552"/>
      <c r="AE130" s="552"/>
      <c r="AF130" s="552"/>
      <c r="AG130" s="552"/>
      <c r="AH130" s="552"/>
      <c r="AI130" s="552"/>
      <c r="AJ130" s="552"/>
      <c r="AK130" s="552"/>
      <c r="AL130" s="552"/>
      <c r="AM130" s="552"/>
      <c r="AN130" s="552"/>
      <c r="AO130" s="552"/>
      <c r="AP130" s="577"/>
      <c r="AQ130" s="260"/>
    </row>
    <row r="131" spans="15:43" s="177" customFormat="1" ht="16.350000000000001" customHeight="1">
      <c r="O131" s="369"/>
      <c r="P131" s="577"/>
      <c r="Q131" s="552"/>
      <c r="R131" s="552"/>
      <c r="S131" s="552"/>
      <c r="T131" s="552"/>
      <c r="U131" s="552"/>
      <c r="V131" s="552"/>
      <c r="W131" s="1378"/>
      <c r="X131" s="1378"/>
      <c r="Y131" s="1378"/>
      <c r="Z131" s="1378"/>
      <c r="AA131" s="1378"/>
      <c r="AB131" s="1378"/>
      <c r="AC131" s="1378"/>
      <c r="AD131" s="1378"/>
      <c r="AE131" s="1378"/>
      <c r="AF131" s="1378"/>
      <c r="AG131" s="1378"/>
      <c r="AH131" s="1378"/>
      <c r="AI131" s="1378"/>
      <c r="AJ131" s="1378"/>
      <c r="AK131" s="1378"/>
      <c r="AL131" s="1378"/>
      <c r="AM131" s="1378"/>
      <c r="AN131" s="1378"/>
      <c r="AO131" s="552"/>
      <c r="AP131" s="577"/>
      <c r="AQ131" s="260"/>
    </row>
    <row r="132" spans="15:43" s="177" customFormat="1" ht="16.350000000000001" customHeight="1">
      <c r="O132" s="369"/>
      <c r="P132" s="577"/>
      <c r="Q132" s="552"/>
      <c r="R132" s="552"/>
      <c r="S132" s="552"/>
      <c r="T132" s="552"/>
      <c r="U132" s="552"/>
      <c r="V132" s="711"/>
      <c r="W132" s="711"/>
      <c r="X132" s="711"/>
      <c r="Y132" s="711"/>
      <c r="Z132" s="711"/>
      <c r="AA132" s="711"/>
      <c r="AB132" s="711"/>
      <c r="AC132" s="711"/>
      <c r="AD132" s="711"/>
      <c r="AE132" s="711"/>
      <c r="AF132" s="711"/>
      <c r="AG132" s="711"/>
      <c r="AH132" s="711"/>
      <c r="AI132" s="711"/>
      <c r="AJ132" s="711"/>
      <c r="AK132" s="711"/>
      <c r="AL132" s="711"/>
      <c r="AM132" s="711"/>
      <c r="AN132" s="711"/>
      <c r="AO132" s="552"/>
      <c r="AP132" s="577"/>
      <c r="AQ132" s="260"/>
    </row>
    <row r="133" spans="15:43" s="177" customFormat="1" ht="16.350000000000001" customHeight="1">
      <c r="O133" s="369"/>
      <c r="P133" s="577"/>
      <c r="Q133" s="1379" t="s">
        <v>1689</v>
      </c>
      <c r="R133" s="1379"/>
      <c r="S133" s="1379"/>
      <c r="T133" s="1379"/>
      <c r="U133" s="1379"/>
      <c r="V133" s="1379"/>
      <c r="W133" s="1378"/>
      <c r="X133" s="1378"/>
      <c r="Y133" s="1378"/>
      <c r="Z133" s="1378"/>
      <c r="AA133" s="1378"/>
      <c r="AB133" s="1378"/>
      <c r="AC133" s="1378"/>
      <c r="AD133" s="1378"/>
      <c r="AE133" s="1378"/>
      <c r="AF133" s="1378"/>
      <c r="AG133" s="1378"/>
      <c r="AH133" s="1378"/>
      <c r="AI133" s="1378"/>
      <c r="AJ133" s="1378"/>
      <c r="AK133" s="1378"/>
      <c r="AL133" s="1378"/>
      <c r="AM133" s="1378"/>
      <c r="AN133" s="1378"/>
      <c r="AO133" s="552"/>
      <c r="AP133" s="577"/>
      <c r="AQ133" s="260"/>
    </row>
    <row r="134" spans="15:43" s="177" customFormat="1" ht="16.350000000000001" customHeight="1">
      <c r="O134" s="369"/>
      <c r="P134" s="577"/>
      <c r="Q134" s="1379" t="s">
        <v>1690</v>
      </c>
      <c r="R134" s="1379"/>
      <c r="S134" s="1379"/>
      <c r="T134" s="1379"/>
      <c r="U134" s="1379"/>
      <c r="V134" s="1379"/>
      <c r="W134" s="1381"/>
      <c r="X134" s="1381"/>
      <c r="Y134" s="1381"/>
      <c r="Z134" s="1381"/>
      <c r="AA134" s="1381"/>
      <c r="AB134" s="1381"/>
      <c r="AC134" s="1381"/>
      <c r="AD134" s="1381"/>
      <c r="AE134" s="1381"/>
      <c r="AF134" s="1381"/>
      <c r="AG134" s="1381"/>
      <c r="AH134" s="1381"/>
      <c r="AI134" s="1381"/>
      <c r="AJ134" s="1381"/>
      <c r="AK134" s="1381"/>
      <c r="AL134" s="1381"/>
      <c r="AM134" s="1381"/>
      <c r="AN134" s="1381"/>
      <c r="AO134" s="552"/>
      <c r="AP134" s="577"/>
      <c r="AQ134" s="260"/>
    </row>
    <row r="135" spans="15:43" s="177" customFormat="1" ht="16.350000000000001" customHeight="1">
      <c r="O135" s="369"/>
      <c r="P135" s="577"/>
      <c r="Q135" s="552"/>
      <c r="R135" s="552"/>
      <c r="S135" s="552"/>
      <c r="T135" s="552"/>
      <c r="U135" s="552"/>
      <c r="V135" s="552"/>
      <c r="W135" s="1381"/>
      <c r="X135" s="1381"/>
      <c r="Y135" s="1381"/>
      <c r="Z135" s="1381"/>
      <c r="AA135" s="1381"/>
      <c r="AB135" s="1381"/>
      <c r="AC135" s="1381"/>
      <c r="AD135" s="1381"/>
      <c r="AE135" s="1381"/>
      <c r="AF135" s="1381"/>
      <c r="AG135" s="1381"/>
      <c r="AH135" s="1381"/>
      <c r="AI135" s="1381"/>
      <c r="AJ135" s="1381"/>
      <c r="AK135" s="1381"/>
      <c r="AL135" s="1381"/>
      <c r="AM135" s="1381"/>
      <c r="AN135" s="1381"/>
      <c r="AO135" s="552"/>
      <c r="AP135" s="577"/>
      <c r="AQ135" s="260"/>
    </row>
    <row r="136" spans="15:43" s="177" customFormat="1" ht="16.350000000000001" customHeight="1">
      <c r="O136" s="369"/>
      <c r="P136" s="579"/>
      <c r="Q136" s="552"/>
      <c r="R136" s="552"/>
      <c r="S136" s="552"/>
      <c r="T136" s="552"/>
      <c r="U136" s="552"/>
      <c r="V136" s="552"/>
      <c r="W136" s="1382"/>
      <c r="X136" s="1382"/>
      <c r="Y136" s="1382"/>
      <c r="Z136" s="1382"/>
      <c r="AA136" s="1382"/>
      <c r="AB136" s="1382"/>
      <c r="AC136" s="1382"/>
      <c r="AD136" s="1382"/>
      <c r="AE136" s="1382"/>
      <c r="AF136" s="1382"/>
      <c r="AG136" s="1382"/>
      <c r="AH136" s="1382"/>
      <c r="AI136" s="1382"/>
      <c r="AJ136" s="1382"/>
      <c r="AK136" s="1382"/>
      <c r="AL136" s="1382"/>
      <c r="AM136" s="1382"/>
      <c r="AN136" s="1382"/>
      <c r="AO136" s="552"/>
      <c r="AP136" s="579"/>
      <c r="AQ136" s="260"/>
    </row>
    <row r="137" spans="15:43" s="177" customFormat="1" ht="16.350000000000001" customHeight="1">
      <c r="O137" s="369"/>
      <c r="P137" s="579"/>
      <c r="Q137" s="579"/>
      <c r="R137" s="579"/>
      <c r="S137" s="579"/>
      <c r="T137" s="579"/>
      <c r="U137" s="579"/>
      <c r="V137" s="579"/>
      <c r="W137" s="579"/>
      <c r="X137" s="579"/>
      <c r="Y137" s="579"/>
      <c r="Z137" s="579"/>
      <c r="AA137" s="579"/>
      <c r="AB137" s="579"/>
      <c r="AC137" s="579"/>
      <c r="AD137" s="579"/>
      <c r="AE137" s="579"/>
      <c r="AF137" s="579"/>
      <c r="AG137" s="579"/>
      <c r="AH137" s="579"/>
      <c r="AI137" s="579"/>
      <c r="AJ137" s="579"/>
      <c r="AK137" s="579"/>
      <c r="AL137" s="579"/>
      <c r="AM137" s="579"/>
      <c r="AN137" s="579"/>
      <c r="AO137" s="579"/>
      <c r="AP137" s="579"/>
      <c r="AQ137" s="260"/>
    </row>
    <row r="138" spans="15:43" s="177" customFormat="1" ht="16.350000000000001" customHeight="1">
      <c r="O138" s="369"/>
      <c r="P138"/>
      <c r="Q138"/>
      <c r="R138"/>
      <c r="S138"/>
      <c r="T138"/>
      <c r="U138"/>
      <c r="V138"/>
      <c r="W138"/>
      <c r="X138"/>
      <c r="Y138"/>
      <c r="Z138"/>
      <c r="AA138"/>
      <c r="AB138"/>
      <c r="AC138"/>
      <c r="AD138"/>
      <c r="AE138"/>
      <c r="AF138"/>
      <c r="AG138"/>
      <c r="AH138"/>
      <c r="AI138"/>
      <c r="AJ138"/>
      <c r="AK138"/>
      <c r="AL138"/>
      <c r="AM138"/>
      <c r="AN138"/>
      <c r="AO138"/>
      <c r="AP138"/>
      <c r="AQ138" s="260"/>
    </row>
    <row r="139" spans="15:43" s="177" customFormat="1" ht="16.350000000000001" customHeight="1">
      <c r="O139" s="369"/>
      <c r="P139" s="570"/>
      <c r="Q139" s="1383" t="s">
        <v>1691</v>
      </c>
      <c r="R139" s="1383"/>
      <c r="S139" s="1383"/>
      <c r="T139" s="1383"/>
      <c r="U139" s="1383"/>
      <c r="V139" s="1383"/>
      <c r="W139" s="1383"/>
      <c r="X139" s="1383"/>
      <c r="Y139" s="1383"/>
      <c r="Z139" s="1383"/>
      <c r="AA139" s="1383"/>
      <c r="AB139" s="1383"/>
      <c r="AC139" s="1383"/>
      <c r="AD139" s="1383"/>
      <c r="AE139" s="1383"/>
      <c r="AF139" s="1383"/>
      <c r="AG139" s="1383"/>
      <c r="AH139" s="1383"/>
      <c r="AI139" s="1383"/>
      <c r="AJ139" s="1383"/>
      <c r="AK139" s="1383"/>
      <c r="AL139" s="1383"/>
      <c r="AM139" s="1383"/>
      <c r="AN139" s="1383"/>
      <c r="AO139" s="1383"/>
      <c r="AP139" s="571"/>
      <c r="AQ139" s="260"/>
    </row>
    <row r="140" spans="15:43" s="177" customFormat="1" ht="16.350000000000001" customHeight="1">
      <c r="O140" s="369"/>
      <c r="P140" s="571"/>
      <c r="Q140" s="1383"/>
      <c r="R140" s="1383"/>
      <c r="S140" s="1383"/>
      <c r="T140" s="1383"/>
      <c r="U140" s="1383"/>
      <c r="V140" s="1383"/>
      <c r="W140" s="1383"/>
      <c r="X140" s="1383"/>
      <c r="Y140" s="1383"/>
      <c r="Z140" s="1383"/>
      <c r="AA140" s="1383"/>
      <c r="AB140" s="1383"/>
      <c r="AC140" s="1383"/>
      <c r="AD140" s="1383"/>
      <c r="AE140" s="1383"/>
      <c r="AF140" s="1383"/>
      <c r="AG140" s="1383"/>
      <c r="AH140" s="1383"/>
      <c r="AI140" s="1383"/>
      <c r="AJ140" s="1383"/>
      <c r="AK140" s="1383"/>
      <c r="AL140" s="1383"/>
      <c r="AM140" s="1383"/>
      <c r="AN140" s="1383"/>
      <c r="AO140" s="1383"/>
      <c r="AP140" s="571"/>
      <c r="AQ140" s="260"/>
    </row>
    <row r="141" spans="15:43" s="177" customFormat="1" ht="16.350000000000001" customHeight="1">
      <c r="O141" s="369"/>
      <c r="P141" s="572"/>
      <c r="Q141" s="1380"/>
      <c r="R141" s="1380"/>
      <c r="S141" s="1380"/>
      <c r="T141" s="1380"/>
      <c r="U141" s="1380"/>
      <c r="V141" s="1380"/>
      <c r="W141" s="1380"/>
      <c r="X141" s="1380"/>
      <c r="Y141" s="1380"/>
      <c r="Z141" s="1380"/>
      <c r="AA141" s="1380"/>
      <c r="AB141" s="1380"/>
      <c r="AC141" s="1380"/>
      <c r="AD141" s="1380"/>
      <c r="AE141" s="1380"/>
      <c r="AF141" s="1380"/>
      <c r="AG141" s="1380"/>
      <c r="AH141" s="1380"/>
      <c r="AI141" s="1380"/>
      <c r="AJ141" s="1380"/>
      <c r="AK141" s="1380"/>
      <c r="AL141" s="1380"/>
      <c r="AM141" s="1380"/>
      <c r="AN141" s="1380"/>
      <c r="AO141" s="1380"/>
      <c r="AP141" s="572"/>
      <c r="AQ141" s="260"/>
    </row>
    <row r="142" spans="15:43" s="177" customFormat="1" ht="16.350000000000001" customHeight="1">
      <c r="O142" s="369"/>
      <c r="P142" s="572"/>
      <c r="Q142" s="1380"/>
      <c r="R142" s="1380"/>
      <c r="S142" s="1380"/>
      <c r="T142" s="1380"/>
      <c r="U142" s="1380"/>
      <c r="V142" s="1380"/>
      <c r="W142" s="1380"/>
      <c r="X142" s="1380"/>
      <c r="Y142" s="1380"/>
      <c r="Z142" s="1380"/>
      <c r="AA142" s="1380"/>
      <c r="AB142" s="1380"/>
      <c r="AC142" s="1380"/>
      <c r="AD142" s="1380"/>
      <c r="AE142" s="1380"/>
      <c r="AF142" s="1380"/>
      <c r="AG142" s="1380"/>
      <c r="AH142" s="1380"/>
      <c r="AI142" s="1380"/>
      <c r="AJ142" s="1380"/>
      <c r="AK142" s="1380"/>
      <c r="AL142" s="1380"/>
      <c r="AM142" s="1380"/>
      <c r="AN142" s="1380"/>
      <c r="AO142" s="1380"/>
      <c r="AP142" s="572"/>
      <c r="AQ142" s="260"/>
    </row>
    <row r="143" spans="15:43" s="177" customFormat="1" ht="16.350000000000001" customHeight="1">
      <c r="O143" s="369"/>
      <c r="P143" s="572"/>
      <c r="Q143" s="573"/>
      <c r="R143" s="573"/>
      <c r="S143" s="573"/>
      <c r="T143" s="573"/>
      <c r="U143" s="573"/>
      <c r="V143" s="573"/>
      <c r="W143" s="573"/>
      <c r="X143" s="573"/>
      <c r="Y143" s="573"/>
      <c r="Z143" s="573"/>
      <c r="AA143" s="573"/>
      <c r="AB143" s="573"/>
      <c r="AC143" s="573"/>
      <c r="AD143" s="573"/>
      <c r="AE143" s="573"/>
      <c r="AF143" s="573"/>
      <c r="AG143" s="573"/>
      <c r="AH143" s="573"/>
      <c r="AI143" s="573"/>
      <c r="AJ143" s="573"/>
      <c r="AK143" s="573"/>
      <c r="AL143" s="573"/>
      <c r="AM143" s="573"/>
      <c r="AN143" s="573"/>
      <c r="AO143" s="573"/>
      <c r="AP143" s="572"/>
      <c r="AQ143" s="260"/>
    </row>
    <row r="144" spans="15:43" s="177" customFormat="1" ht="16.350000000000001" customHeight="1">
      <c r="O144" s="369"/>
      <c r="P144"/>
      <c r="Q144"/>
      <c r="R144"/>
      <c r="S144"/>
      <c r="T144"/>
      <c r="U144"/>
      <c r="V144"/>
      <c r="W144"/>
      <c r="X144"/>
      <c r="Y144"/>
      <c r="Z144"/>
      <c r="AA144"/>
      <c r="AB144"/>
      <c r="AC144"/>
      <c r="AD144"/>
      <c r="AE144"/>
      <c r="AF144"/>
      <c r="AG144"/>
      <c r="AH144"/>
      <c r="AI144"/>
      <c r="AJ144"/>
      <c r="AK144"/>
      <c r="AL144"/>
      <c r="AM144"/>
      <c r="AN144"/>
      <c r="AO144"/>
      <c r="AP144"/>
      <c r="AQ144" s="260"/>
    </row>
    <row r="145" spans="1:58" ht="16.350000000000001" customHeight="1">
      <c r="A145" s="177"/>
      <c r="B145" s="177"/>
      <c r="C145" s="177"/>
      <c r="D145" s="177"/>
      <c r="E145" s="177"/>
      <c r="F145" s="177"/>
      <c r="G145" s="177"/>
      <c r="H145" s="177"/>
      <c r="I145" s="177"/>
      <c r="J145" s="177"/>
      <c r="K145" s="177"/>
      <c r="L145" s="177"/>
      <c r="M145" s="177"/>
      <c r="N145" s="177"/>
      <c r="O145" s="369"/>
      <c r="P145" s="570"/>
      <c r="Q145" s="1383" t="s">
        <v>1692</v>
      </c>
      <c r="R145" s="1383"/>
      <c r="S145" s="1383"/>
      <c r="T145" s="1383"/>
      <c r="U145" s="1383"/>
      <c r="V145" s="1383"/>
      <c r="W145" s="1383"/>
      <c r="X145" s="1383"/>
      <c r="Y145" s="1383"/>
      <c r="Z145" s="1383"/>
      <c r="AA145" s="1383"/>
      <c r="AB145" s="1383"/>
      <c r="AC145" s="1383"/>
      <c r="AD145" s="1383"/>
      <c r="AE145" s="1383"/>
      <c r="AF145" s="1383"/>
      <c r="AG145" s="1383"/>
      <c r="AH145" s="1383"/>
      <c r="AI145" s="1383"/>
      <c r="AJ145" s="1383"/>
      <c r="AK145" s="1383"/>
      <c r="AL145" s="1383"/>
      <c r="AM145" s="1383"/>
      <c r="AN145" s="1383"/>
      <c r="AO145" s="1383"/>
      <c r="AP145" s="574"/>
      <c r="AQ145" s="260"/>
      <c r="AR145" s="177"/>
      <c r="AS145" s="177"/>
      <c r="AT145" s="177"/>
      <c r="AU145" s="177"/>
      <c r="AV145" s="177"/>
      <c r="AW145" s="177"/>
      <c r="AX145" s="177"/>
      <c r="AY145" s="177"/>
      <c r="AZ145" s="177"/>
      <c r="BA145" s="177"/>
      <c r="BB145" s="177"/>
      <c r="BC145" s="177"/>
      <c r="BD145" s="177"/>
      <c r="BE145" s="177"/>
      <c r="BF145" s="177"/>
    </row>
    <row r="146" spans="1:58" ht="16.350000000000001" customHeight="1">
      <c r="A146" s="177"/>
      <c r="B146" s="177"/>
      <c r="C146" s="177"/>
      <c r="D146" s="177"/>
      <c r="E146" s="177"/>
      <c r="F146" s="177"/>
      <c r="G146" s="177"/>
      <c r="H146" s="177"/>
      <c r="I146" s="177"/>
      <c r="J146" s="177"/>
      <c r="K146" s="177"/>
      <c r="L146" s="177"/>
      <c r="M146" s="177"/>
      <c r="N146" s="177"/>
      <c r="O146" s="369"/>
      <c r="P146" s="570"/>
      <c r="Q146" s="1383"/>
      <c r="R146" s="1383"/>
      <c r="S146" s="1383"/>
      <c r="T146" s="1383"/>
      <c r="U146" s="1383"/>
      <c r="V146" s="1383"/>
      <c r="W146" s="1383"/>
      <c r="X146" s="1383"/>
      <c r="Y146" s="1383"/>
      <c r="Z146" s="1383"/>
      <c r="AA146" s="1383"/>
      <c r="AB146" s="1383"/>
      <c r="AC146" s="1383"/>
      <c r="AD146" s="1383"/>
      <c r="AE146" s="1383"/>
      <c r="AF146" s="1383"/>
      <c r="AG146" s="1383"/>
      <c r="AH146" s="1383"/>
      <c r="AI146" s="1383"/>
      <c r="AJ146" s="1383"/>
      <c r="AK146" s="1383"/>
      <c r="AL146" s="1383"/>
      <c r="AM146" s="1383"/>
      <c r="AN146" s="1383"/>
      <c r="AO146" s="1383"/>
      <c r="AP146" s="574"/>
      <c r="AQ146" s="260"/>
      <c r="AR146" s="177"/>
      <c r="AS146" s="177"/>
      <c r="AT146" s="177"/>
      <c r="AU146" s="177"/>
      <c r="AV146" s="177"/>
      <c r="AW146" s="177"/>
      <c r="AX146" s="177"/>
      <c r="AY146" s="177"/>
      <c r="AZ146" s="177"/>
      <c r="BA146" s="177"/>
      <c r="BB146" s="177"/>
      <c r="BC146" s="177"/>
      <c r="BD146" s="177"/>
      <c r="BE146" s="177"/>
      <c r="BF146" s="177"/>
    </row>
    <row r="147" spans="1:58" ht="16.350000000000001" customHeight="1">
      <c r="A147" s="177"/>
      <c r="B147" s="177"/>
      <c r="C147" s="177"/>
      <c r="D147" s="177"/>
      <c r="E147" s="177"/>
      <c r="F147" s="177"/>
      <c r="G147" s="177"/>
      <c r="H147" s="177"/>
      <c r="I147" s="177"/>
      <c r="J147" s="177"/>
      <c r="K147" s="177"/>
      <c r="L147" s="177"/>
      <c r="M147" s="177"/>
      <c r="N147" s="177"/>
      <c r="O147" s="369"/>
      <c r="P147" s="574"/>
      <c r="Q147" s="552"/>
      <c r="R147" s="552"/>
      <c r="S147" s="552"/>
      <c r="T147" s="552"/>
      <c r="U147" s="552"/>
      <c r="V147" s="552"/>
      <c r="W147" s="552"/>
      <c r="X147" s="552"/>
      <c r="Y147" s="552"/>
      <c r="Z147" s="552"/>
      <c r="AA147" s="552"/>
      <c r="AB147" s="552"/>
      <c r="AC147" s="552"/>
      <c r="AD147" s="552"/>
      <c r="AE147" s="552"/>
      <c r="AF147" s="552"/>
      <c r="AG147" s="552"/>
      <c r="AH147" s="552"/>
      <c r="AI147" s="552"/>
      <c r="AJ147" s="552"/>
      <c r="AK147" s="552"/>
      <c r="AL147" s="552"/>
      <c r="AM147" s="552"/>
      <c r="AN147" s="552"/>
      <c r="AO147" s="552"/>
      <c r="AP147" s="574"/>
      <c r="AQ147" s="260"/>
      <c r="AR147" s="177"/>
      <c r="AS147" s="177"/>
      <c r="AT147" s="177"/>
      <c r="AU147" s="177"/>
      <c r="AV147" s="177"/>
      <c r="AW147" s="177"/>
      <c r="AX147" s="177"/>
      <c r="AY147" s="177"/>
      <c r="AZ147" s="177"/>
      <c r="BA147" s="177"/>
      <c r="BB147" s="177"/>
      <c r="BC147" s="177"/>
      <c r="BD147" s="177"/>
      <c r="BE147" s="177"/>
      <c r="BF147" s="177"/>
    </row>
    <row r="148" spans="1:58" s="177" customFormat="1" ht="16.350000000000001" customHeight="1">
      <c r="O148" s="369"/>
      <c r="P148" s="574"/>
      <c r="Q148" s="552"/>
      <c r="R148" s="552"/>
      <c r="S148" s="552"/>
      <c r="T148" s="552"/>
      <c r="U148" s="1399" t="s">
        <v>1693</v>
      </c>
      <c r="V148" s="1399"/>
      <c r="W148" s="1399"/>
      <c r="X148" s="1399"/>
      <c r="Y148" s="1399"/>
      <c r="Z148" s="1399"/>
      <c r="AA148" s="1399"/>
      <c r="AB148" s="1399"/>
      <c r="AC148" s="1399"/>
      <c r="AD148" s="1399"/>
      <c r="AE148" s="1399"/>
      <c r="AF148" s="1399"/>
      <c r="AG148" s="1399"/>
      <c r="AH148" s="1399"/>
      <c r="AI148" s="1402">
        <v>911</v>
      </c>
      <c r="AJ148" s="1403"/>
      <c r="AK148" s="1403"/>
      <c r="AL148" s="1403"/>
      <c r="AM148" s="1404"/>
      <c r="AN148" s="552"/>
      <c r="AO148" s="552"/>
      <c r="AP148" s="574"/>
      <c r="AQ148" s="260"/>
    </row>
    <row r="149" spans="1:58" s="177" customFormat="1" ht="16.350000000000001" customHeight="1">
      <c r="O149" s="369"/>
      <c r="P149" s="570"/>
      <c r="Q149" s="552"/>
      <c r="R149" s="552"/>
      <c r="S149" s="552"/>
      <c r="T149" s="552"/>
      <c r="U149" s="1399" t="s">
        <v>1694</v>
      </c>
      <c r="V149" s="1399"/>
      <c r="W149" s="1399"/>
      <c r="X149" s="1399"/>
      <c r="Y149" s="1399"/>
      <c r="Z149" s="1399"/>
      <c r="AA149" s="1399"/>
      <c r="AB149" s="1399"/>
      <c r="AC149" s="1400" t="s">
        <v>1695</v>
      </c>
      <c r="AD149" s="1400"/>
      <c r="AE149" s="1400"/>
      <c r="AF149" s="1400"/>
      <c r="AG149" s="1400"/>
      <c r="AH149" s="1400"/>
      <c r="AI149" s="1401" t="s">
        <v>1696</v>
      </c>
      <c r="AJ149" s="1401"/>
      <c r="AK149" s="1401"/>
      <c r="AL149" s="1401"/>
      <c r="AM149" s="1401"/>
      <c r="AN149" s="552"/>
      <c r="AO149" s="552"/>
      <c r="AP149" s="570"/>
      <c r="AQ149" s="260"/>
    </row>
    <row r="150" spans="1:58" s="177" customFormat="1" ht="16.350000000000001" customHeight="1">
      <c r="O150" s="369"/>
      <c r="P150" s="570"/>
      <c r="Q150" s="552"/>
      <c r="R150" s="552"/>
      <c r="S150" s="552"/>
      <c r="T150" s="552"/>
      <c r="U150" s="1399" t="s">
        <v>1697</v>
      </c>
      <c r="V150" s="1399"/>
      <c r="W150" s="1399"/>
      <c r="X150" s="1399"/>
      <c r="Y150" s="1399"/>
      <c r="Z150" s="1399"/>
      <c r="AA150" s="1399"/>
      <c r="AB150" s="1399"/>
      <c r="AC150" s="1400" t="s">
        <v>1698</v>
      </c>
      <c r="AD150" s="1400"/>
      <c r="AE150" s="1400"/>
      <c r="AF150" s="1400"/>
      <c r="AG150" s="1400"/>
      <c r="AH150" s="1400"/>
      <c r="AI150" s="1401" t="s">
        <v>1699</v>
      </c>
      <c r="AJ150" s="1401"/>
      <c r="AK150" s="1401"/>
      <c r="AL150" s="1401"/>
      <c r="AM150" s="1401"/>
      <c r="AN150" s="552"/>
      <c r="AO150" s="552"/>
      <c r="AP150" s="570"/>
      <c r="AQ150" s="260"/>
    </row>
    <row r="151" spans="1:58" s="177" customFormat="1" ht="16.350000000000001" customHeight="1">
      <c r="O151" s="369"/>
      <c r="P151" s="570"/>
      <c r="Q151" s="552"/>
      <c r="R151" s="552"/>
      <c r="S151" s="552"/>
      <c r="T151" s="552"/>
      <c r="U151" s="1399" t="s">
        <v>1700</v>
      </c>
      <c r="V151" s="1399"/>
      <c r="W151" s="1399"/>
      <c r="X151" s="1399"/>
      <c r="Y151" s="1399"/>
      <c r="Z151" s="1399"/>
      <c r="AA151" s="1399"/>
      <c r="AB151" s="1399"/>
      <c r="AC151" s="1400" t="s">
        <v>1701</v>
      </c>
      <c r="AD151" s="1400"/>
      <c r="AE151" s="1400"/>
      <c r="AF151" s="1400"/>
      <c r="AG151" s="1400"/>
      <c r="AH151" s="1400"/>
      <c r="AI151" s="1401" t="s">
        <v>1702</v>
      </c>
      <c r="AJ151" s="1401"/>
      <c r="AK151" s="1401"/>
      <c r="AL151" s="1401"/>
      <c r="AM151" s="1401"/>
      <c r="AN151" s="552"/>
      <c r="AO151" s="552"/>
      <c r="AP151" s="570"/>
      <c r="AQ151" s="260"/>
    </row>
    <row r="152" spans="1:58" ht="16.350000000000001" customHeight="1">
      <c r="A152" s="177"/>
      <c r="B152" s="177"/>
      <c r="C152" s="177"/>
      <c r="D152" s="177"/>
      <c r="E152" s="177"/>
      <c r="F152" s="177"/>
      <c r="G152" s="177"/>
      <c r="H152" s="177"/>
      <c r="I152" s="177"/>
      <c r="J152" s="177"/>
      <c r="K152" s="177"/>
      <c r="L152" s="177"/>
      <c r="M152" s="177"/>
      <c r="N152" s="177"/>
      <c r="O152" s="369"/>
      <c r="P152" s="570"/>
      <c r="Q152" s="552"/>
      <c r="R152" s="552"/>
      <c r="S152" s="552"/>
      <c r="T152" s="552"/>
      <c r="U152" s="552"/>
      <c r="V152" s="552"/>
      <c r="W152" s="552"/>
      <c r="X152" s="552"/>
      <c r="Y152" s="552"/>
      <c r="Z152" s="552"/>
      <c r="AA152" s="552"/>
      <c r="AB152" s="552"/>
      <c r="AC152" s="552"/>
      <c r="AD152" s="552"/>
      <c r="AE152" s="552"/>
      <c r="AF152" s="552"/>
      <c r="AG152" s="552"/>
      <c r="AH152" s="552"/>
      <c r="AI152" s="552"/>
      <c r="AJ152" s="552"/>
      <c r="AK152" s="552"/>
      <c r="AL152" s="552"/>
      <c r="AM152" s="552"/>
      <c r="AN152" s="552"/>
      <c r="AO152" s="552"/>
      <c r="AP152" s="570"/>
      <c r="AQ152" s="260"/>
      <c r="AR152" s="177"/>
      <c r="AS152" s="177"/>
      <c r="AT152" s="177"/>
      <c r="AU152" s="177"/>
      <c r="AV152" s="177"/>
      <c r="AW152" s="177"/>
      <c r="AX152" s="177"/>
      <c r="AY152" s="177"/>
      <c r="AZ152" s="177"/>
      <c r="BA152" s="177"/>
      <c r="BB152" s="177"/>
      <c r="BC152" s="177"/>
      <c r="BD152" s="177"/>
      <c r="BE152" s="177"/>
      <c r="BF152" s="177"/>
    </row>
    <row r="153" spans="1:58" ht="16.350000000000001" customHeight="1">
      <c r="A153" s="177"/>
      <c r="B153" s="177"/>
      <c r="C153" s="177"/>
      <c r="D153" s="177"/>
      <c r="E153" s="177"/>
      <c r="F153" s="177"/>
      <c r="G153" s="177"/>
      <c r="H153" s="177"/>
      <c r="I153" s="177"/>
      <c r="J153" s="177"/>
      <c r="K153" s="177"/>
      <c r="L153" s="177"/>
      <c r="M153" s="177"/>
      <c r="N153" s="177"/>
      <c r="O153" s="369"/>
      <c r="P153" s="1125" t="str">
        <f>FOOT1&amp;"  • "&amp; FOOT2 &amp;" • "&amp;FOOT3</f>
        <v>PSE&amp;G C&amp;I Energy Efficiency Program  • 1-844-300-PSEG (7734) • PSEGenergysaver@TRCcompanies.com</v>
      </c>
      <c r="Q153" s="1125"/>
      <c r="R153" s="1125"/>
      <c r="S153" s="1125"/>
      <c r="T153" s="1125"/>
      <c r="U153" s="1125"/>
      <c r="V153" s="1125"/>
      <c r="W153" s="1125"/>
      <c r="X153" s="1125"/>
      <c r="Y153" s="1125"/>
      <c r="Z153" s="1125"/>
      <c r="AA153" s="1125"/>
      <c r="AB153" s="1125"/>
      <c r="AC153" s="1125"/>
      <c r="AD153" s="1125"/>
      <c r="AE153" s="1125"/>
      <c r="AF153" s="1125"/>
      <c r="AG153" s="1125"/>
      <c r="AH153" s="1125"/>
      <c r="AI153" s="1125"/>
      <c r="AJ153" s="1125"/>
      <c r="AK153" s="1125"/>
      <c r="AL153" s="1125"/>
      <c r="AM153" s="1125"/>
      <c r="AN153" s="1125"/>
      <c r="AO153" s="1125"/>
      <c r="AP153" s="1125"/>
      <c r="AQ153" s="260"/>
      <c r="AR153" s="177"/>
      <c r="AS153" s="177"/>
      <c r="AT153" s="177"/>
      <c r="AU153" s="177"/>
      <c r="AV153" s="177"/>
      <c r="AW153" s="177"/>
      <c r="AX153" s="177"/>
      <c r="AY153" s="177"/>
      <c r="AZ153" s="177"/>
      <c r="BA153" s="177"/>
      <c r="BB153" s="177"/>
      <c r="BC153" s="177"/>
      <c r="BD153" s="177"/>
      <c r="BE153" s="177"/>
      <c r="BF153" s="177"/>
    </row>
    <row r="154" spans="1:58" ht="16.350000000000001" customHeight="1">
      <c r="A154" s="177"/>
      <c r="B154" s="177"/>
      <c r="C154" s="177"/>
      <c r="D154" s="177"/>
      <c r="E154" s="177"/>
      <c r="F154" s="177"/>
      <c r="G154" s="177"/>
      <c r="H154" s="177"/>
      <c r="I154" s="177"/>
      <c r="J154" s="177"/>
      <c r="K154" s="177"/>
      <c r="L154" s="177"/>
      <c r="M154" s="177"/>
      <c r="N154" s="177"/>
      <c r="O154" s="369"/>
      <c r="P154" s="1125"/>
      <c r="Q154" s="1125"/>
      <c r="R154" s="1125"/>
      <c r="S154" s="1125"/>
      <c r="T154" s="1125"/>
      <c r="U154" s="1125"/>
      <c r="V154" s="1125"/>
      <c r="W154" s="1125"/>
      <c r="X154" s="1125"/>
      <c r="Y154" s="1125"/>
      <c r="Z154" s="1125"/>
      <c r="AA154" s="1125"/>
      <c r="AB154" s="1125"/>
      <c r="AC154" s="1125"/>
      <c r="AD154" s="1125"/>
      <c r="AE154" s="1125"/>
      <c r="AF154" s="1125"/>
      <c r="AG154" s="1125"/>
      <c r="AH154" s="1125"/>
      <c r="AI154" s="1125"/>
      <c r="AJ154" s="1125"/>
      <c r="AK154" s="1125"/>
      <c r="AL154" s="1125"/>
      <c r="AM154" s="1125"/>
      <c r="AN154" s="1125"/>
      <c r="AO154" s="1125"/>
      <c r="AP154" s="1125"/>
      <c r="AQ154" s="260"/>
      <c r="AR154" s="177"/>
      <c r="AS154" s="177"/>
      <c r="AT154" s="177"/>
      <c r="AU154" s="177"/>
      <c r="AV154" s="177"/>
      <c r="AW154" s="177"/>
      <c r="AX154" s="177"/>
      <c r="AY154" s="177"/>
      <c r="AZ154" s="177"/>
      <c r="BA154" s="177"/>
      <c r="BB154" s="177"/>
      <c r="BC154" s="177"/>
      <c r="BD154" s="177"/>
      <c r="BE154" s="177"/>
      <c r="BF154" s="177"/>
    </row>
    <row r="155" spans="1:58" ht="16.350000000000001" customHeight="1">
      <c r="A155" s="177"/>
      <c r="B155" s="177"/>
      <c r="C155" s="177"/>
      <c r="D155" s="177"/>
      <c r="E155" s="177"/>
      <c r="F155" s="177"/>
      <c r="G155" s="177"/>
      <c r="H155" s="177"/>
      <c r="I155" s="177"/>
      <c r="J155" s="177"/>
      <c r="K155" s="177"/>
      <c r="L155" s="177"/>
      <c r="M155" s="177"/>
      <c r="N155" s="177"/>
      <c r="O155" s="379"/>
      <c r="P155" s="459"/>
      <c r="Q155" s="460"/>
      <c r="R155" s="380"/>
      <c r="S155" s="380"/>
      <c r="T155" s="380"/>
      <c r="U155" s="380"/>
      <c r="V155" s="380"/>
      <c r="W155" s="380"/>
      <c r="X155" s="380"/>
      <c r="Y155" s="380"/>
      <c r="Z155" s="380"/>
      <c r="AA155" s="380"/>
      <c r="AB155" s="380"/>
      <c r="AC155" s="380"/>
      <c r="AD155" s="380"/>
      <c r="AE155" s="380"/>
      <c r="AF155" s="380"/>
      <c r="AG155" s="380"/>
      <c r="AH155" s="380"/>
      <c r="AI155" s="380"/>
      <c r="AJ155" s="380"/>
      <c r="AK155" s="380"/>
      <c r="AL155" s="380"/>
      <c r="AM155" s="380"/>
      <c r="AN155" s="380"/>
      <c r="AO155" s="380"/>
      <c r="AP155" s="380"/>
      <c r="AQ155" s="381"/>
      <c r="AR155" s="177"/>
      <c r="AS155" s="177"/>
      <c r="AT155" s="177"/>
      <c r="AU155" s="177"/>
      <c r="AV155" s="177"/>
      <c r="AW155" s="177"/>
      <c r="AX155" s="177"/>
      <c r="AY155" s="177"/>
      <c r="AZ155" s="177"/>
      <c r="BA155" s="177"/>
      <c r="BB155" s="177"/>
      <c r="BC155" s="177"/>
      <c r="BD155" s="177"/>
      <c r="BE155" s="177"/>
      <c r="BF155" s="177"/>
    </row>
    <row r="156" spans="1:58" s="177" customFormat="1" ht="16.350000000000001" customHeight="1"/>
    <row r="157" spans="1:58" s="177" customFormat="1" ht="16.350000000000001" hidden="1" customHeight="1"/>
    <row r="158" spans="1:58" s="177" customFormat="1" ht="16.350000000000001" hidden="1" customHeight="1"/>
    <row r="159" spans="1:58" s="177" customFormat="1" ht="16.350000000000001" hidden="1" customHeight="1"/>
    <row r="160" spans="1:58" s="177" customFormat="1" ht="16.350000000000001" hidden="1" customHeight="1"/>
    <row r="161" s="177" customFormat="1" ht="16.350000000000001" hidden="1" customHeight="1"/>
    <row r="162" s="177" customFormat="1" ht="16.350000000000001" hidden="1" customHeight="1"/>
    <row r="163" s="177" customFormat="1" ht="16.350000000000001" hidden="1" customHeight="1"/>
    <row r="164" s="177" customFormat="1" ht="16.350000000000001" hidden="1" customHeight="1"/>
    <row r="165" s="177" customFormat="1" ht="16.350000000000001" hidden="1" customHeight="1"/>
    <row r="166" s="177" customFormat="1" ht="16.350000000000001" hidden="1" customHeight="1"/>
    <row r="167" s="177" customFormat="1" ht="16.350000000000001" hidden="1" customHeight="1"/>
    <row r="168" s="177" customFormat="1" ht="16.350000000000001" hidden="1" customHeight="1"/>
    <row r="169" s="177" customFormat="1" ht="16.350000000000001" hidden="1" customHeight="1"/>
    <row r="170" s="177" customFormat="1" ht="16.350000000000001" hidden="1" customHeight="1"/>
    <row r="171" s="177" customFormat="1" ht="16.350000000000001" hidden="1" customHeight="1"/>
    <row r="172" s="177" customFormat="1" ht="16.350000000000001" hidden="1" customHeight="1"/>
    <row r="173" s="177" customFormat="1" ht="16.350000000000001" hidden="1" customHeight="1"/>
    <row r="174" s="177" customFormat="1" ht="16.350000000000001" hidden="1" customHeight="1"/>
    <row r="175" s="177" customFormat="1" ht="16.350000000000001" hidden="1" customHeight="1"/>
    <row r="176" s="177" customFormat="1" ht="16.350000000000001" hidden="1" customHeight="1"/>
    <row r="177" s="177" customFormat="1" ht="16.350000000000001" hidden="1" customHeight="1"/>
    <row r="178" s="177" customFormat="1" ht="16.350000000000001" hidden="1" customHeight="1"/>
    <row r="179" s="177" customFormat="1" ht="16.350000000000001" hidden="1" customHeight="1"/>
    <row r="180" s="177" customFormat="1" ht="16.350000000000001" hidden="1" customHeight="1"/>
    <row r="181" s="177" customFormat="1" ht="16.350000000000001" hidden="1" customHeight="1"/>
    <row r="182" s="177" customFormat="1" ht="16.350000000000001" hidden="1" customHeight="1"/>
    <row r="183" s="177" customFormat="1" ht="16.350000000000001" hidden="1" customHeight="1"/>
    <row r="184" s="177" customFormat="1" ht="16.350000000000001" hidden="1" customHeight="1"/>
    <row r="185" s="177" customFormat="1" ht="16.350000000000001" hidden="1" customHeight="1"/>
    <row r="186" s="177" customFormat="1" ht="16.350000000000001" hidden="1" customHeight="1"/>
    <row r="187" s="177" customFormat="1" ht="16.350000000000001" hidden="1" customHeight="1"/>
    <row r="188" s="177" customFormat="1" ht="16.350000000000001" hidden="1" customHeight="1"/>
    <row r="189" s="177" customFormat="1" ht="16.350000000000001" hidden="1" customHeight="1"/>
    <row r="190" s="177" customFormat="1" ht="16.350000000000001" hidden="1" customHeight="1"/>
    <row r="191" s="177" customFormat="1" ht="16.350000000000001" hidden="1" customHeight="1"/>
    <row r="192" s="177" customFormat="1" ht="16.350000000000001" hidden="1" customHeight="1"/>
    <row r="193" spans="1:59" ht="16.350000000000001" hidden="1" customHeight="1">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c r="AE193" s="177"/>
      <c r="AF193" s="177"/>
      <c r="AG193" s="177"/>
      <c r="AH193" s="177"/>
      <c r="AI193" s="177"/>
      <c r="AJ193" s="177"/>
      <c r="AK193" s="177"/>
      <c r="AL193" s="177"/>
      <c r="AM193" s="177"/>
      <c r="AN193" s="177"/>
      <c r="AO193" s="177"/>
      <c r="AP193" s="177"/>
      <c r="AQ193" s="177"/>
      <c r="AR193" s="177"/>
      <c r="AS193" s="177"/>
      <c r="AT193" s="177"/>
      <c r="AU193" s="177"/>
      <c r="AV193" s="177"/>
      <c r="AW193" s="177"/>
      <c r="AX193" s="177"/>
      <c r="AY193" s="177"/>
      <c r="AZ193" s="177"/>
      <c r="BA193" s="177"/>
      <c r="BB193" s="177"/>
      <c r="BC193" s="177"/>
      <c r="BD193" s="177"/>
      <c r="BE193" s="177"/>
      <c r="BF193" s="177"/>
    </row>
    <row r="194" spans="1:59" ht="16.350000000000001" hidden="1" customHeight="1">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c r="AR194" s="177"/>
      <c r="AS194" s="177"/>
      <c r="AT194" s="177"/>
      <c r="AU194" s="177"/>
      <c r="AV194" s="177"/>
      <c r="AW194" s="177"/>
      <c r="AX194" s="177"/>
      <c r="AY194" s="177"/>
      <c r="AZ194" s="177"/>
      <c r="BA194" s="177"/>
      <c r="BB194" s="177"/>
      <c r="BC194" s="177"/>
      <c r="BD194" s="177"/>
      <c r="BE194" s="177"/>
      <c r="BF194" s="177"/>
    </row>
    <row r="195" spans="1:59" ht="16.350000000000001" hidden="1" customHeight="1">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77"/>
      <c r="AN195" s="177"/>
      <c r="AO195" s="177"/>
      <c r="AP195" s="177"/>
      <c r="AQ195" s="177"/>
      <c r="AR195" s="177"/>
      <c r="AS195" s="177"/>
      <c r="AT195" s="177"/>
      <c r="AU195" s="177"/>
      <c r="AV195" s="177"/>
      <c r="AW195" s="177"/>
      <c r="AX195" s="177"/>
      <c r="AY195" s="177"/>
      <c r="AZ195" s="177"/>
      <c r="BA195" s="177"/>
      <c r="BB195" s="177"/>
      <c r="BC195" s="177"/>
      <c r="BD195" s="177"/>
      <c r="BE195" s="177"/>
      <c r="BF195" s="177"/>
    </row>
    <row r="196" spans="1:59" ht="16.350000000000001" hidden="1" customHeight="1">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77"/>
      <c r="AN196" s="177"/>
      <c r="AO196" s="177"/>
      <c r="AP196" s="177"/>
      <c r="AQ196" s="177"/>
      <c r="AR196" s="177"/>
      <c r="AS196" s="177"/>
      <c r="AT196" s="177"/>
      <c r="AU196" s="177"/>
      <c r="AV196" s="177"/>
      <c r="AW196" s="177"/>
      <c r="AX196" s="177"/>
      <c r="AY196" s="177"/>
      <c r="AZ196" s="177"/>
      <c r="BA196" s="177"/>
      <c r="BB196" s="177"/>
      <c r="BC196" s="177"/>
      <c r="BD196" s="177"/>
      <c r="BE196" s="177"/>
      <c r="BF196" s="177"/>
    </row>
    <row r="197" spans="1:59" ht="16.350000000000001" hidden="1" customHeight="1">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77"/>
      <c r="AN197" s="177"/>
      <c r="AO197" s="177"/>
      <c r="AP197" s="177"/>
      <c r="AQ197" s="177"/>
      <c r="AR197" s="177"/>
      <c r="AS197" s="177"/>
      <c r="AT197" s="177"/>
      <c r="AU197" s="177"/>
      <c r="AV197" s="177"/>
      <c r="AW197" s="177"/>
      <c r="AX197" s="177"/>
      <c r="AY197" s="177"/>
      <c r="AZ197" s="177"/>
      <c r="BA197" s="177"/>
      <c r="BB197" s="177"/>
      <c r="BC197" s="177"/>
      <c r="BD197" s="177"/>
      <c r="BE197" s="177"/>
      <c r="BF197" s="177"/>
    </row>
    <row r="198" spans="1:59" ht="16.350000000000001" hidden="1" customHeight="1">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177"/>
      <c r="AQ198" s="177"/>
      <c r="AR198" s="177"/>
      <c r="AS198" s="177"/>
      <c r="AT198" s="177"/>
      <c r="AU198" s="177"/>
      <c r="AV198" s="177"/>
      <c r="AW198" s="177"/>
      <c r="AX198" s="177"/>
      <c r="AY198" s="177"/>
      <c r="AZ198" s="177"/>
      <c r="BA198" s="177"/>
      <c r="BB198" s="177"/>
      <c r="BC198" s="177"/>
      <c r="BD198" s="177"/>
      <c r="BE198" s="177"/>
      <c r="BF198" s="177"/>
    </row>
    <row r="199" spans="1:59" ht="16.350000000000001" hidden="1" customHeight="1">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row>
    <row r="200" spans="1:59" ht="16.350000000000001" hidden="1" customHeight="1">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c r="AR200" s="177"/>
      <c r="AS200" s="177"/>
      <c r="AT200" s="177"/>
      <c r="AU200" s="177"/>
      <c r="AV200" s="177"/>
      <c r="AW200" s="177"/>
      <c r="AX200" s="177"/>
      <c r="AY200" s="177"/>
      <c r="AZ200" s="177"/>
      <c r="BA200" s="177"/>
      <c r="BB200" s="177"/>
      <c r="BC200" s="177"/>
      <c r="BD200" s="177"/>
      <c r="BE200" s="177"/>
      <c r="BF200" s="177"/>
    </row>
    <row r="201" spans="1:59" ht="16.350000000000001" customHeight="1">
      <c r="A201" s="504"/>
      <c r="B201" s="504" t="str">
        <f>FOOT1</f>
        <v>PSE&amp;G C&amp;I Energy Efficiency Program</v>
      </c>
      <c r="C201" s="504"/>
      <c r="D201" s="504"/>
      <c r="E201" s="504"/>
      <c r="F201" s="504"/>
      <c r="G201" s="504"/>
      <c r="H201" s="504"/>
      <c r="I201" s="504"/>
      <c r="J201" s="504"/>
      <c r="K201" s="504"/>
      <c r="L201" s="504"/>
      <c r="M201" s="504"/>
      <c r="N201" s="504"/>
      <c r="O201" s="504"/>
      <c r="P201" s="504"/>
      <c r="Q201" s="504"/>
      <c r="R201" s="721" t="s">
        <v>137</v>
      </c>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t="str">
        <f>FOOT4</f>
        <v>Engineered Solutions Tier 2 Advance Custom Incentive Application</v>
      </c>
      <c r="BG201" s="522"/>
    </row>
    <row r="202" spans="1:59" ht="16.350000000000001" customHeight="1">
      <c r="A202" s="504"/>
      <c r="B202" s="504" t="str">
        <f>FOOT2</f>
        <v>1-844-300-PSEG (7734)</v>
      </c>
      <c r="C202" s="504"/>
      <c r="D202" s="504"/>
      <c r="E202" s="504"/>
      <c r="F202" s="504"/>
      <c r="G202" s="504"/>
      <c r="H202" s="504"/>
      <c r="I202" s="504"/>
      <c r="J202" s="504"/>
      <c r="K202" s="504"/>
      <c r="L202" s="504"/>
      <c r="M202" s="504"/>
      <c r="N202" s="504"/>
      <c r="O202" s="504"/>
      <c r="P202" s="504"/>
      <c r="Q202" s="504"/>
      <c r="R202" s="721"/>
      <c r="S202" s="721"/>
      <c r="T202" s="721"/>
      <c r="U202" s="721"/>
      <c r="V202" s="721"/>
      <c r="W202" s="721"/>
      <c r="X202" s="721"/>
      <c r="Y202" s="721"/>
      <c r="Z202" s="721"/>
      <c r="AA202" s="721"/>
      <c r="AB202" s="721"/>
      <c r="AC202" s="721"/>
      <c r="AD202" s="721"/>
      <c r="AE202" s="721"/>
      <c r="AF202" s="721"/>
      <c r="AG202" s="721"/>
      <c r="AH202" s="721"/>
      <c r="AI202" s="721"/>
      <c r="AJ202" s="721"/>
      <c r="AK202" s="721"/>
      <c r="AL202" s="721"/>
      <c r="AM202" s="721"/>
      <c r="AN202" s="721"/>
      <c r="AO202" s="721"/>
      <c r="AP202" s="721"/>
      <c r="AQ202" s="721"/>
      <c r="AR202" s="721"/>
      <c r="AS202" s="504"/>
      <c r="AT202" s="504"/>
      <c r="AU202" s="504"/>
      <c r="AV202" s="504"/>
      <c r="AW202" s="504"/>
      <c r="AX202" s="504"/>
      <c r="AY202" s="504"/>
      <c r="AZ202" s="504"/>
      <c r="BA202" s="504"/>
      <c r="BB202" s="504"/>
      <c r="BC202" s="504"/>
      <c r="BD202" s="504"/>
      <c r="BE202" s="701"/>
      <c r="BF202" s="701"/>
      <c r="BG202" s="522"/>
    </row>
    <row r="203" spans="1:59" ht="16.350000000000001" customHeight="1">
      <c r="A203" s="504"/>
      <c r="B203" s="504" t="str">
        <f>FOOT3</f>
        <v>PSEGenergysaver@TRCcompanies.com</v>
      </c>
      <c r="C203" s="504"/>
      <c r="D203" s="504"/>
      <c r="E203" s="504"/>
      <c r="F203" s="504"/>
      <c r="G203" s="504"/>
      <c r="H203" s="504"/>
      <c r="I203" s="504"/>
      <c r="J203" s="504"/>
      <c r="K203" s="504"/>
      <c r="L203" s="504"/>
      <c r="M203" s="504"/>
      <c r="N203" s="504"/>
      <c r="O203" s="504"/>
      <c r="P203" s="504"/>
      <c r="Q203" s="504"/>
      <c r="R203" s="504"/>
      <c r="S203" s="504"/>
      <c r="T203" s="504"/>
      <c r="U203" s="504"/>
      <c r="V203" s="504"/>
      <c r="W203" s="504"/>
      <c r="X203" s="504"/>
      <c r="Y203" s="504"/>
      <c r="Z203" s="504"/>
      <c r="AA203" s="504"/>
      <c r="AB203" s="504"/>
      <c r="AC203" s="504"/>
      <c r="AD203" s="702" t="str">
        <f>VERSION</f>
        <v>V1.0          Effective Date 1/1/25</v>
      </c>
      <c r="AE203" s="504"/>
      <c r="AF203" s="504"/>
      <c r="AG203" s="504"/>
      <c r="AH203" s="504"/>
      <c r="AI203" s="504"/>
      <c r="AJ203" s="504"/>
      <c r="AK203" s="504"/>
      <c r="AL203" s="504"/>
      <c r="AM203" s="504"/>
      <c r="AN203" s="504"/>
      <c r="AO203" s="504"/>
      <c r="AP203" s="504"/>
      <c r="AQ203" s="504"/>
      <c r="AR203" s="504"/>
      <c r="AS203" s="504"/>
      <c r="AT203" s="504"/>
      <c r="AU203" s="504"/>
      <c r="AV203" s="504"/>
      <c r="AW203" s="504"/>
      <c r="AX203" s="504"/>
      <c r="AY203" s="504"/>
      <c r="AZ203" s="504"/>
      <c r="BA203" s="504"/>
      <c r="BB203" s="504"/>
      <c r="BC203" s="504"/>
      <c r="BD203" s="504"/>
      <c r="BE203" s="701"/>
      <c r="BF203" s="701" t="str">
        <f>FOOT6</f>
        <v>This is a TRC tool</v>
      </c>
      <c r="BG203" s="522"/>
    </row>
    <row r="204" spans="1:59" ht="16.350000000000001" hidden="1" customHeight="1">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c r="AR204" s="177"/>
      <c r="AS204" s="177"/>
      <c r="AT204" s="177"/>
      <c r="AU204" s="177"/>
      <c r="AV204" s="177"/>
      <c r="AW204" s="177"/>
      <c r="AX204" s="177"/>
      <c r="AY204" s="177"/>
      <c r="AZ204" s="177"/>
      <c r="BA204" s="177"/>
      <c r="BB204" s="177"/>
      <c r="BC204" s="177"/>
      <c r="BD204" s="177"/>
      <c r="BE204" s="177"/>
      <c r="BF204" s="177"/>
    </row>
    <row r="205" spans="1:59" ht="16.350000000000001" hidden="1" customHeight="1">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7"/>
      <c r="AP205" s="177"/>
      <c r="AQ205" s="177"/>
      <c r="AR205" s="177"/>
      <c r="AS205" s="177"/>
      <c r="AT205" s="177"/>
      <c r="AU205" s="177"/>
      <c r="AV205" s="177"/>
      <c r="AW205" s="177"/>
      <c r="AX205" s="177"/>
      <c r="AY205" s="177"/>
      <c r="AZ205" s="177"/>
      <c r="BA205" s="177"/>
      <c r="BB205" s="177"/>
      <c r="BC205" s="177"/>
      <c r="BD205" s="177"/>
      <c r="BE205" s="177"/>
      <c r="BF205" s="177"/>
    </row>
    <row r="206" spans="1:59" ht="16.350000000000001" hidden="1" customHeight="1">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c r="AA206" s="177"/>
      <c r="AB206" s="177"/>
      <c r="AC206" s="177"/>
      <c r="AD206" s="177"/>
      <c r="AE206" s="177"/>
      <c r="AF206" s="177"/>
      <c r="AG206" s="177"/>
      <c r="AH206" s="177"/>
      <c r="AI206" s="177"/>
      <c r="AJ206" s="177"/>
      <c r="AK206" s="177"/>
      <c r="AL206" s="177"/>
      <c r="AM206" s="177"/>
      <c r="AN206" s="177"/>
      <c r="AO206" s="177"/>
      <c r="AP206" s="177"/>
      <c r="AQ206" s="177"/>
      <c r="AR206" s="177"/>
      <c r="AS206" s="177"/>
      <c r="AT206" s="177"/>
      <c r="AU206" s="177"/>
      <c r="AV206" s="177"/>
      <c r="AW206" s="177"/>
      <c r="AX206" s="177"/>
      <c r="AY206" s="177"/>
      <c r="AZ206" s="177"/>
      <c r="BA206" s="177"/>
      <c r="BB206" s="177"/>
      <c r="BC206" s="177"/>
      <c r="BD206" s="177"/>
      <c r="BE206" s="177"/>
      <c r="BF206" s="177"/>
    </row>
    <row r="207" spans="1:59" ht="16.350000000000001" hidden="1" customHeight="1">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c r="AE207" s="177"/>
      <c r="AF207" s="177"/>
      <c r="AG207" s="177"/>
      <c r="AH207" s="177"/>
      <c r="AI207" s="177"/>
      <c r="AJ207" s="177"/>
      <c r="AK207" s="177"/>
      <c r="AL207" s="177"/>
      <c r="AM207" s="177"/>
      <c r="AN207" s="177"/>
      <c r="AO207" s="177"/>
      <c r="AP207" s="177"/>
      <c r="AQ207" s="177"/>
      <c r="AR207" s="177"/>
      <c r="AS207" s="177"/>
      <c r="AT207" s="177"/>
      <c r="AU207" s="177"/>
      <c r="AV207" s="177"/>
      <c r="AW207" s="177"/>
      <c r="AX207" s="177"/>
      <c r="AY207" s="177"/>
      <c r="AZ207" s="177"/>
      <c r="BA207" s="177"/>
      <c r="BB207" s="177"/>
      <c r="BC207" s="177"/>
      <c r="BD207" s="177"/>
      <c r="BE207" s="177"/>
      <c r="BF207" s="177"/>
    </row>
    <row r="208" spans="1:59" ht="16.350000000000001" hidden="1" customHeight="1">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c r="AA208" s="177"/>
      <c r="AB208" s="177"/>
      <c r="AC208" s="177"/>
      <c r="AD208" s="177"/>
      <c r="AE208" s="177"/>
      <c r="AF208" s="177"/>
      <c r="AG208" s="177"/>
      <c r="AH208" s="177"/>
      <c r="AI208" s="177"/>
      <c r="AJ208" s="177"/>
      <c r="AK208" s="177"/>
      <c r="AL208" s="177"/>
      <c r="AM208" s="177"/>
      <c r="AN208" s="177"/>
      <c r="AO208" s="177"/>
      <c r="AP208" s="177"/>
      <c r="AQ208" s="177"/>
      <c r="AR208" s="177"/>
      <c r="AS208" s="177"/>
      <c r="AT208" s="177"/>
      <c r="AU208" s="177"/>
      <c r="AV208" s="177"/>
      <c r="AW208" s="177"/>
      <c r="AX208" s="177"/>
      <c r="AY208" s="177"/>
      <c r="AZ208" s="177"/>
      <c r="BA208" s="177"/>
      <c r="BB208" s="177"/>
      <c r="BC208" s="177"/>
      <c r="BD208" s="177"/>
      <c r="BE208" s="177"/>
      <c r="BF208" s="177"/>
    </row>
    <row r="209" customFormat="1" ht="16.350000000000001" hidden="1" customHeight="1"/>
    <row r="210" customFormat="1" ht="16.350000000000001" hidden="1" customHeight="1"/>
  </sheetData>
  <sheetProtection algorithmName="SHA-512" hashValue="eRun70t20+tAHrXgQ6HkQro74i0a5fn/TNGqRkDHaXYfSXEkqSZX5t75rYs3TXez3ErOUUMqFLl9zfOfTdYK4A==" saltValue="YUdc8Y/Bwut3XwdnUgYZpA==" spinCount="100000" sheet="1" objects="1" scenarios="1" selectLockedCells="1"/>
  <mergeCells count="162">
    <mergeCell ref="U151:AB151"/>
    <mergeCell ref="AC151:AH151"/>
    <mergeCell ref="AI151:AM151"/>
    <mergeCell ref="Q139:AO140"/>
    <mergeCell ref="Q145:AO146"/>
    <mergeCell ref="U148:AB148"/>
    <mergeCell ref="AC148:AH148"/>
    <mergeCell ref="AI148:AM148"/>
    <mergeCell ref="U149:AB149"/>
    <mergeCell ref="AC149:AH149"/>
    <mergeCell ref="AI149:AM149"/>
    <mergeCell ref="U150:AB150"/>
    <mergeCell ref="AC150:AH150"/>
    <mergeCell ref="AI150:AM150"/>
    <mergeCell ref="BG5:BI7"/>
    <mergeCell ref="BG8:BI8"/>
    <mergeCell ref="V38:AA38"/>
    <mergeCell ref="AC38:AH38"/>
    <mergeCell ref="AE72:AO72"/>
    <mergeCell ref="Q60:AO61"/>
    <mergeCell ref="Q64:S66"/>
    <mergeCell ref="T64:AO66"/>
    <mergeCell ref="Q62:W62"/>
    <mergeCell ref="X62:AO62"/>
    <mergeCell ref="P30:T33"/>
    <mergeCell ref="S54:T54"/>
    <mergeCell ref="V53:Y53"/>
    <mergeCell ref="V54:Y54"/>
    <mergeCell ref="P35:T38"/>
    <mergeCell ref="P25:T28"/>
    <mergeCell ref="V25:AA25"/>
    <mergeCell ref="AC25:AI25"/>
    <mergeCell ref="V26:AA26"/>
    <mergeCell ref="AC26:AI26"/>
    <mergeCell ref="V27:AA27"/>
    <mergeCell ref="AC27:AI27"/>
    <mergeCell ref="V28:AA28"/>
    <mergeCell ref="AC28:AI28"/>
    <mergeCell ref="P80:AP81"/>
    <mergeCell ref="Q40:AO41"/>
    <mergeCell ref="Q69:AO70"/>
    <mergeCell ref="Q78:W78"/>
    <mergeCell ref="Y78:AA78"/>
    <mergeCell ref="AE77:AK77"/>
    <mergeCell ref="AM77:AO77"/>
    <mergeCell ref="AE78:AK78"/>
    <mergeCell ref="AM78:AO78"/>
    <mergeCell ref="Q77:W77"/>
    <mergeCell ref="Y77:AA77"/>
    <mergeCell ref="Q72:AA72"/>
    <mergeCell ref="Q74:AA74"/>
    <mergeCell ref="Q75:AA75"/>
    <mergeCell ref="Q71:AA71"/>
    <mergeCell ref="AE71:AO71"/>
    <mergeCell ref="AA53:AC53"/>
    <mergeCell ref="AA54:AC54"/>
    <mergeCell ref="AE53:AH53"/>
    <mergeCell ref="Q44:AO45"/>
    <mergeCell ref="R46:AO46"/>
    <mergeCell ref="R49:AO49"/>
    <mergeCell ref="R52:AO52"/>
    <mergeCell ref="S53:U53"/>
    <mergeCell ref="AV1:AY3"/>
    <mergeCell ref="AZ1:BE3"/>
    <mergeCell ref="BF1:BI3"/>
    <mergeCell ref="AT4:AW4"/>
    <mergeCell ref="AX4:BB4"/>
    <mergeCell ref="BC4:BF4"/>
    <mergeCell ref="V37:AA37"/>
    <mergeCell ref="AC37:AH37"/>
    <mergeCell ref="AC35:AH35"/>
    <mergeCell ref="AJ25:AP25"/>
    <mergeCell ref="AJ27:AP27"/>
    <mergeCell ref="AJ26:AP26"/>
    <mergeCell ref="AJ28:AP28"/>
    <mergeCell ref="V30:AA30"/>
    <mergeCell ref="AC30:AH30"/>
    <mergeCell ref="V31:AA31"/>
    <mergeCell ref="AC31:AH31"/>
    <mergeCell ref="V32:AA32"/>
    <mergeCell ref="AC32:AH32"/>
    <mergeCell ref="V33:AA33"/>
    <mergeCell ref="AC33:AH33"/>
    <mergeCell ref="V35:AA35"/>
    <mergeCell ref="V36:AA36"/>
    <mergeCell ref="AC36:AH36"/>
    <mergeCell ref="N1:Q3"/>
    <mergeCell ref="F1:I3"/>
    <mergeCell ref="J1:M3"/>
    <mergeCell ref="O9:AQ10"/>
    <mergeCell ref="AB4:AG4"/>
    <mergeCell ref="K11:AU12"/>
    <mergeCell ref="P19:AC21"/>
    <mergeCell ref="AI19:AP21"/>
    <mergeCell ref="P22:AC23"/>
    <mergeCell ref="AD22:AP23"/>
    <mergeCell ref="AN1:AQ3"/>
    <mergeCell ref="AR1:AU3"/>
    <mergeCell ref="P91:AC93"/>
    <mergeCell ref="AI91:AP93"/>
    <mergeCell ref="P94:AC95"/>
    <mergeCell ref="AD94:AP95"/>
    <mergeCell ref="P97:T100"/>
    <mergeCell ref="V97:AA97"/>
    <mergeCell ref="AC97:AI97"/>
    <mergeCell ref="AJ97:AP97"/>
    <mergeCell ref="V98:AA98"/>
    <mergeCell ref="AC98:AI98"/>
    <mergeCell ref="AJ98:AP98"/>
    <mergeCell ref="V99:AA99"/>
    <mergeCell ref="AC99:AI99"/>
    <mergeCell ref="AJ99:AP99"/>
    <mergeCell ref="V100:AA100"/>
    <mergeCell ref="AC100:AI100"/>
    <mergeCell ref="AJ100:AP100"/>
    <mergeCell ref="P102:T105"/>
    <mergeCell ref="V102:AA102"/>
    <mergeCell ref="AC102:AH102"/>
    <mergeCell ref="V103:AA103"/>
    <mergeCell ref="AC103:AH103"/>
    <mergeCell ref="V104:AA104"/>
    <mergeCell ref="AC104:AH104"/>
    <mergeCell ref="V105:AA105"/>
    <mergeCell ref="AC105:AH105"/>
    <mergeCell ref="Q112:AO113"/>
    <mergeCell ref="W122:AB122"/>
    <mergeCell ref="P107:T110"/>
    <mergeCell ref="V107:AA107"/>
    <mergeCell ref="AC107:AH107"/>
    <mergeCell ref="V108:AA108"/>
    <mergeCell ref="AC108:AH108"/>
    <mergeCell ref="V109:AA109"/>
    <mergeCell ref="AC109:AH109"/>
    <mergeCell ref="V110:AA110"/>
    <mergeCell ref="AC110:AH110"/>
    <mergeCell ref="W117:AB117"/>
    <mergeCell ref="W120:AN120"/>
    <mergeCell ref="Q121:V121"/>
    <mergeCell ref="W123:AB123"/>
    <mergeCell ref="R201:AR202"/>
    <mergeCell ref="P153:AP154"/>
    <mergeCell ref="W114:AN114"/>
    <mergeCell ref="W115:AN115"/>
    <mergeCell ref="Q114:V114"/>
    <mergeCell ref="Q115:V115"/>
    <mergeCell ref="Q116:V116"/>
    <mergeCell ref="W118:AB118"/>
    <mergeCell ref="W119:AB119"/>
    <mergeCell ref="Q141:AO142"/>
    <mergeCell ref="W124:AB124"/>
    <mergeCell ref="W125:AN125"/>
    <mergeCell ref="Q126:AN126"/>
    <mergeCell ref="W127:AB127"/>
    <mergeCell ref="W128:AB128"/>
    <mergeCell ref="W129:AB129"/>
    <mergeCell ref="AD129:AI129"/>
    <mergeCell ref="W130:AB130"/>
    <mergeCell ref="W131:AN131"/>
    <mergeCell ref="Q133:V133"/>
    <mergeCell ref="W133:AN133"/>
    <mergeCell ref="Q134:V134"/>
    <mergeCell ref="W134:AN136"/>
  </mergeCells>
  <phoneticPr fontId="78" type="noConversion"/>
  <conditionalFormatting sqref="Q71">
    <cfRule type="containsBlanks" dxfId="172" priority="35">
      <formula>LEN(TRIM(Q71))=0</formula>
    </cfRule>
  </conditionalFormatting>
  <conditionalFormatting sqref="Q74">
    <cfRule type="containsBlanks" dxfId="171" priority="31">
      <formula>LEN(TRIM(Q74))=0</formula>
    </cfRule>
  </conditionalFormatting>
  <conditionalFormatting sqref="Q77">
    <cfRule type="containsBlanks" dxfId="170" priority="49">
      <formula>LEN(TRIM(Q77))=0</formula>
    </cfRule>
    <cfRule type="expression" dxfId="169" priority="50">
      <formula>Q77&lt;&gt;"Inspector Signature"</formula>
    </cfRule>
  </conditionalFormatting>
  <conditionalFormatting sqref="Q141">
    <cfRule type="containsBlanks" dxfId="168" priority="5">
      <formula>LEN(TRIM(Q141))=0</formula>
    </cfRule>
  </conditionalFormatting>
  <conditionalFormatting sqref="T64">
    <cfRule type="containsBlanks" dxfId="167" priority="29">
      <formula>LEN(TRIM(T64))=0</formula>
    </cfRule>
  </conditionalFormatting>
  <conditionalFormatting sqref="W114:W115">
    <cfRule type="containsBlanks" dxfId="166" priority="6">
      <formula>LEN(TRIM(W114))=0</formula>
    </cfRule>
  </conditionalFormatting>
  <conditionalFormatting sqref="W120">
    <cfRule type="containsBlanks" dxfId="165" priority="4">
      <formula>LEN(TRIM(W120))=0</formula>
    </cfRule>
  </conditionalFormatting>
  <conditionalFormatting sqref="W125">
    <cfRule type="containsBlanks" dxfId="164" priority="2">
      <formula>LEN(TRIM(W125))=0</formula>
    </cfRule>
  </conditionalFormatting>
  <conditionalFormatting sqref="W131">
    <cfRule type="containsBlanks" dxfId="163" priority="1">
      <formula>LEN(TRIM(W131))=0</formula>
    </cfRule>
  </conditionalFormatting>
  <conditionalFormatting sqref="W133:W134">
    <cfRule type="containsBlanks" dxfId="162" priority="3">
      <formula>LEN(TRIM(W133))=0</formula>
    </cfRule>
  </conditionalFormatting>
  <conditionalFormatting sqref="X62">
    <cfRule type="containsBlanks" dxfId="161" priority="27">
      <formula>LEN(TRIM(X62))=0</formula>
    </cfRule>
  </conditionalFormatting>
  <conditionalFormatting sqref="Y77">
    <cfRule type="containsBlanks" dxfId="160" priority="47">
      <formula>LEN(TRIM(Y77))=0</formula>
    </cfRule>
    <cfRule type="expression" dxfId="159" priority="48">
      <formula>Y77&lt;&gt;"Date"</formula>
    </cfRule>
  </conditionalFormatting>
  <conditionalFormatting sqref="AE71">
    <cfRule type="containsBlanks" dxfId="158" priority="33">
      <formula>LEN(TRIM(AE71))=0</formula>
    </cfRule>
    <cfRule type="expression" dxfId="157" priority="34">
      <formula>AE71&lt;&gt;"Customer Signature"</formula>
    </cfRule>
  </conditionalFormatting>
  <conditionalFormatting sqref="AE77">
    <cfRule type="containsBlanks" dxfId="156" priority="45">
      <formula>LEN(TRIM(AE77))=0</formula>
    </cfRule>
    <cfRule type="expression" dxfId="155" priority="46">
      <formula>AE77&lt;&gt;"Customer Signature"</formula>
    </cfRule>
  </conditionalFormatting>
  <conditionalFormatting sqref="AM77">
    <cfRule type="containsBlanks" dxfId="154" priority="43">
      <formula>LEN(TRIM(AM77))=0</formula>
    </cfRule>
    <cfRule type="expression" dxfId="153" priority="44">
      <formula>AM77&lt;&gt;"Date"</formula>
    </cfRule>
  </conditionalFormatting>
  <conditionalFormatting sqref="BA8:BF8">
    <cfRule type="expression" dxfId="152" priority="26">
      <formula>IF($AO$8=PROJSTATMEASURE,FALSE,TRUE)</formula>
    </cfRule>
  </conditionalFormatting>
  <hyperlinks>
    <hyperlink ref="J1:M3" location="'M01-S02'!J1" tooltip="Instructions" display="'M01-S02'!J1" xr:uid="{9085E008-2BE7-46C2-AFF2-F9C0176C2631}"/>
    <hyperlink ref="AV1:AY3" location="'M05-S05'!AL1" tooltip=" " display="'M05-S05'!AL1" xr:uid="{02F9ACC0-7B12-4E02-AD03-FA55471C0EBE}"/>
    <hyperlink ref="BF1:BI3" location="'M01-S03'!AP1" tooltip="Contact" display="'M01-S03'!AP1" xr:uid="{AA0F8E92-39D4-4D99-9E9A-A1516A1D0B1F}"/>
    <hyperlink ref="AR1:AU3" location="'M05-S04'!AH1" tooltip=" " display="'M05-S04'!AH1" xr:uid="{A3EF38A1-BF1C-4202-8AA8-28D883402154}"/>
    <hyperlink ref="AN1:AQ3" location="'M05-S05'!AL1" tooltip=" " display="'M05-S05'!AL1" xr:uid="{1DA73933-D039-4907-AEA6-B084C01B90F5}"/>
  </hyperlinks>
  <printOptions horizontalCentered="1" verticalCentered="1"/>
  <pageMargins left="0" right="0" top="0" bottom="0" header="0.25" footer="0.25"/>
  <pageSetup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5" r:id="rId4" name="Check Box 15">
              <controlPr defaultSize="0" autoFill="0" autoLine="0" autoPict="0">
                <anchor moveWithCells="1">
                  <from>
                    <xdr:col>17</xdr:col>
                    <xdr:colOff>66675</xdr:colOff>
                    <xdr:row>45</xdr:row>
                    <xdr:rowOff>161925</xdr:rowOff>
                  </from>
                  <to>
                    <xdr:col>17</xdr:col>
                    <xdr:colOff>295275</xdr:colOff>
                    <xdr:row>46</xdr:row>
                    <xdr:rowOff>190500</xdr:rowOff>
                  </to>
                </anchor>
              </controlPr>
            </control>
          </mc:Choice>
        </mc:AlternateContent>
        <mc:AlternateContent xmlns:mc="http://schemas.openxmlformats.org/markup-compatibility/2006">
          <mc:Choice Requires="x14">
            <control shapeId="542736" r:id="rId5" name="Check Box 16">
              <controlPr defaultSize="0" autoFill="0" autoLine="0" autoPict="0">
                <anchor moveWithCells="1">
                  <from>
                    <xdr:col>20</xdr:col>
                    <xdr:colOff>85725</xdr:colOff>
                    <xdr:row>45</xdr:row>
                    <xdr:rowOff>152400</xdr:rowOff>
                  </from>
                  <to>
                    <xdr:col>21</xdr:col>
                    <xdr:colOff>28575</xdr:colOff>
                    <xdr:row>46</xdr:row>
                    <xdr:rowOff>180975</xdr:rowOff>
                  </to>
                </anchor>
              </controlPr>
            </control>
          </mc:Choice>
        </mc:AlternateContent>
        <mc:AlternateContent xmlns:mc="http://schemas.openxmlformats.org/markup-compatibility/2006">
          <mc:Choice Requires="x14">
            <control shapeId="542744" r:id="rId6" name="Check Box 24">
              <controlPr defaultSize="0" autoFill="0" autoLine="0" autoPict="0">
                <anchor moveWithCells="1">
                  <from>
                    <xdr:col>17</xdr:col>
                    <xdr:colOff>66675</xdr:colOff>
                    <xdr:row>41</xdr:row>
                    <xdr:rowOff>190500</xdr:rowOff>
                  </from>
                  <to>
                    <xdr:col>17</xdr:col>
                    <xdr:colOff>295275</xdr:colOff>
                    <xdr:row>43</xdr:row>
                    <xdr:rowOff>0</xdr:rowOff>
                  </to>
                </anchor>
              </controlPr>
            </control>
          </mc:Choice>
        </mc:AlternateContent>
        <mc:AlternateContent xmlns:mc="http://schemas.openxmlformats.org/markup-compatibility/2006">
          <mc:Choice Requires="x14">
            <control shapeId="542745" r:id="rId7" name="Check Box 25">
              <controlPr defaultSize="0" autoFill="0" autoLine="0" autoPict="0">
                <anchor moveWithCells="1">
                  <from>
                    <xdr:col>20</xdr:col>
                    <xdr:colOff>85725</xdr:colOff>
                    <xdr:row>41</xdr:row>
                    <xdr:rowOff>190500</xdr:rowOff>
                  </from>
                  <to>
                    <xdr:col>21</xdr:col>
                    <xdr:colOff>9525</xdr:colOff>
                    <xdr:row>43</xdr:row>
                    <xdr:rowOff>0</xdr:rowOff>
                  </to>
                </anchor>
              </controlPr>
            </control>
          </mc:Choice>
        </mc:AlternateContent>
        <mc:AlternateContent xmlns:mc="http://schemas.openxmlformats.org/markup-compatibility/2006">
          <mc:Choice Requires="x14">
            <control shapeId="542746" r:id="rId8" name="Check Box 26">
              <controlPr defaultSize="0" autoFill="0" autoLine="0" autoPict="0">
                <anchor moveWithCells="1">
                  <from>
                    <xdr:col>17</xdr:col>
                    <xdr:colOff>85725</xdr:colOff>
                    <xdr:row>48</xdr:row>
                    <xdr:rowOff>161925</xdr:rowOff>
                  </from>
                  <to>
                    <xdr:col>18</xdr:col>
                    <xdr:colOff>0</xdr:colOff>
                    <xdr:row>49</xdr:row>
                    <xdr:rowOff>190500</xdr:rowOff>
                  </to>
                </anchor>
              </controlPr>
            </control>
          </mc:Choice>
        </mc:AlternateContent>
        <mc:AlternateContent xmlns:mc="http://schemas.openxmlformats.org/markup-compatibility/2006">
          <mc:Choice Requires="x14">
            <control shapeId="542747" r:id="rId9" name="Check Box 27">
              <controlPr defaultSize="0" autoFill="0" autoLine="0" autoPict="0">
                <anchor moveWithCells="1">
                  <from>
                    <xdr:col>20</xdr:col>
                    <xdr:colOff>85725</xdr:colOff>
                    <xdr:row>48</xdr:row>
                    <xdr:rowOff>190500</xdr:rowOff>
                  </from>
                  <to>
                    <xdr:col>21</xdr:col>
                    <xdr:colOff>28575</xdr:colOff>
                    <xdr:row>50</xdr:row>
                    <xdr:rowOff>0</xdr:rowOff>
                  </to>
                </anchor>
              </controlPr>
            </control>
          </mc:Choice>
        </mc:AlternateContent>
        <mc:AlternateContent xmlns:mc="http://schemas.openxmlformats.org/markup-compatibility/2006">
          <mc:Choice Requires="x14">
            <control shapeId="542748" r:id="rId10" name="Check Box 28">
              <controlPr defaultSize="0" autoFill="0" autoLine="0" autoPict="0">
                <anchor moveWithCells="1">
                  <from>
                    <xdr:col>17</xdr:col>
                    <xdr:colOff>66675</xdr:colOff>
                    <xdr:row>52</xdr:row>
                    <xdr:rowOff>190500</xdr:rowOff>
                  </from>
                  <to>
                    <xdr:col>17</xdr:col>
                    <xdr:colOff>295275</xdr:colOff>
                    <xdr:row>54</xdr:row>
                    <xdr:rowOff>0</xdr:rowOff>
                  </to>
                </anchor>
              </controlPr>
            </control>
          </mc:Choice>
        </mc:AlternateContent>
        <mc:AlternateContent xmlns:mc="http://schemas.openxmlformats.org/markup-compatibility/2006">
          <mc:Choice Requires="x14">
            <control shapeId="542749" r:id="rId11" name="Check Box 29">
              <controlPr defaultSize="0" autoFill="0" autoLine="0" autoPict="0">
                <anchor moveWithCells="1">
                  <from>
                    <xdr:col>20</xdr:col>
                    <xdr:colOff>85725</xdr:colOff>
                    <xdr:row>52</xdr:row>
                    <xdr:rowOff>190500</xdr:rowOff>
                  </from>
                  <to>
                    <xdr:col>21</xdr:col>
                    <xdr:colOff>28575</xdr:colOff>
                    <xdr:row>54</xdr:row>
                    <xdr:rowOff>0</xdr:rowOff>
                  </to>
                </anchor>
              </controlPr>
            </control>
          </mc:Choice>
        </mc:AlternateContent>
        <mc:AlternateContent xmlns:mc="http://schemas.openxmlformats.org/markup-compatibility/2006">
          <mc:Choice Requires="x14">
            <control shapeId="542751" r:id="rId12" name="Check Box 31">
              <controlPr defaultSize="0" autoFill="0" autoLine="0" autoPict="0">
                <anchor moveWithCells="1">
                  <from>
                    <xdr:col>17</xdr:col>
                    <xdr:colOff>47625</xdr:colOff>
                    <xdr:row>51</xdr:row>
                    <xdr:rowOff>152400</xdr:rowOff>
                  </from>
                  <to>
                    <xdr:col>17</xdr:col>
                    <xdr:colOff>276225</xdr:colOff>
                    <xdr:row>52</xdr:row>
                    <xdr:rowOff>180975</xdr:rowOff>
                  </to>
                </anchor>
              </controlPr>
            </control>
          </mc:Choice>
        </mc:AlternateContent>
        <mc:AlternateContent xmlns:mc="http://schemas.openxmlformats.org/markup-compatibility/2006">
          <mc:Choice Requires="x14">
            <control shapeId="542752" r:id="rId13" name="Check Box 32">
              <controlPr defaultSize="0" autoFill="0" autoLine="0" autoPict="0">
                <anchor moveWithCells="1">
                  <from>
                    <xdr:col>20</xdr:col>
                    <xdr:colOff>85725</xdr:colOff>
                    <xdr:row>51</xdr:row>
                    <xdr:rowOff>161925</xdr:rowOff>
                  </from>
                  <to>
                    <xdr:col>21</xdr:col>
                    <xdr:colOff>9525</xdr:colOff>
                    <xdr:row>52</xdr:row>
                    <xdr:rowOff>190500</xdr:rowOff>
                  </to>
                </anchor>
              </controlPr>
            </control>
          </mc:Choice>
        </mc:AlternateContent>
        <mc:AlternateContent xmlns:mc="http://schemas.openxmlformats.org/markup-compatibility/2006">
          <mc:Choice Requires="x14">
            <control shapeId="542753" r:id="rId14" name="Check Box 33">
              <controlPr defaultSize="0" autoFill="0" autoLine="0" autoPict="0">
                <anchor moveWithCells="1">
                  <from>
                    <xdr:col>25</xdr:col>
                    <xdr:colOff>66675</xdr:colOff>
                    <xdr:row>52</xdr:row>
                    <xdr:rowOff>190500</xdr:rowOff>
                  </from>
                  <to>
                    <xdr:col>25</xdr:col>
                    <xdr:colOff>295275</xdr:colOff>
                    <xdr:row>54</xdr:row>
                    <xdr:rowOff>0</xdr:rowOff>
                  </to>
                </anchor>
              </controlPr>
            </control>
          </mc:Choice>
        </mc:AlternateContent>
        <mc:AlternateContent xmlns:mc="http://schemas.openxmlformats.org/markup-compatibility/2006">
          <mc:Choice Requires="x14">
            <control shapeId="542754" r:id="rId15" name="Check Box 34">
              <controlPr defaultSize="0" autoFill="0" autoLine="0" autoPict="0">
                <anchor moveWithCells="1">
                  <from>
                    <xdr:col>25</xdr:col>
                    <xdr:colOff>85725</xdr:colOff>
                    <xdr:row>51</xdr:row>
                    <xdr:rowOff>142875</xdr:rowOff>
                  </from>
                  <to>
                    <xdr:col>26</xdr:col>
                    <xdr:colOff>9525</xdr:colOff>
                    <xdr:row>52</xdr:row>
                    <xdr:rowOff>161925</xdr:rowOff>
                  </to>
                </anchor>
              </controlPr>
            </control>
          </mc:Choice>
        </mc:AlternateContent>
        <mc:AlternateContent xmlns:mc="http://schemas.openxmlformats.org/markup-compatibility/2006">
          <mc:Choice Requires="x14">
            <control shapeId="542755" r:id="rId16" name="Check Box 35">
              <controlPr defaultSize="0" autoFill="0" autoLine="0" autoPict="0">
                <anchor moveWithCells="1">
                  <from>
                    <xdr:col>29</xdr:col>
                    <xdr:colOff>66675</xdr:colOff>
                    <xdr:row>51</xdr:row>
                    <xdr:rowOff>190500</xdr:rowOff>
                  </from>
                  <to>
                    <xdr:col>29</xdr:col>
                    <xdr:colOff>295275</xdr:colOff>
                    <xdr:row>53</xdr:row>
                    <xdr:rowOff>0</xdr:rowOff>
                  </to>
                </anchor>
              </controlPr>
            </control>
          </mc:Choice>
        </mc:AlternateContent>
        <mc:AlternateContent xmlns:mc="http://schemas.openxmlformats.org/markup-compatibility/2006">
          <mc:Choice Requires="x14">
            <control shapeId="542768" r:id="rId17" name="Check Box 48">
              <controlPr defaultSize="0" autoFill="0" autoLine="0" autoPict="0">
                <anchor moveWithCells="1">
                  <from>
                    <xdr:col>21</xdr:col>
                    <xdr:colOff>28575</xdr:colOff>
                    <xdr:row>116</xdr:row>
                    <xdr:rowOff>180975</xdr:rowOff>
                  </from>
                  <to>
                    <xdr:col>21</xdr:col>
                    <xdr:colOff>257175</xdr:colOff>
                    <xdr:row>118</xdr:row>
                    <xdr:rowOff>9525</xdr:rowOff>
                  </to>
                </anchor>
              </controlPr>
            </control>
          </mc:Choice>
        </mc:AlternateContent>
        <mc:AlternateContent xmlns:mc="http://schemas.openxmlformats.org/markup-compatibility/2006">
          <mc:Choice Requires="x14">
            <control shapeId="542769" r:id="rId18" name="Check Box 49">
              <controlPr defaultSize="0" autoFill="0" autoLine="0" autoPict="0">
                <anchor moveWithCells="1">
                  <from>
                    <xdr:col>21</xdr:col>
                    <xdr:colOff>28575</xdr:colOff>
                    <xdr:row>115</xdr:row>
                    <xdr:rowOff>180975</xdr:rowOff>
                  </from>
                  <to>
                    <xdr:col>21</xdr:col>
                    <xdr:colOff>276225</xdr:colOff>
                    <xdr:row>116</xdr:row>
                    <xdr:rowOff>200025</xdr:rowOff>
                  </to>
                </anchor>
              </controlPr>
            </control>
          </mc:Choice>
        </mc:AlternateContent>
        <mc:AlternateContent xmlns:mc="http://schemas.openxmlformats.org/markup-compatibility/2006">
          <mc:Choice Requires="x14">
            <control shapeId="542770" r:id="rId19" name="Check Box 50">
              <controlPr defaultSize="0" autoFill="0" autoLine="0" autoPict="0">
                <anchor moveWithCells="1">
                  <from>
                    <xdr:col>21</xdr:col>
                    <xdr:colOff>28575</xdr:colOff>
                    <xdr:row>118</xdr:row>
                    <xdr:rowOff>0</xdr:rowOff>
                  </from>
                  <to>
                    <xdr:col>21</xdr:col>
                    <xdr:colOff>257175</xdr:colOff>
                    <xdr:row>119</xdr:row>
                    <xdr:rowOff>9525</xdr:rowOff>
                  </to>
                </anchor>
              </controlPr>
            </control>
          </mc:Choice>
        </mc:AlternateContent>
        <mc:AlternateContent xmlns:mc="http://schemas.openxmlformats.org/markup-compatibility/2006">
          <mc:Choice Requires="x14">
            <control shapeId="542771" r:id="rId20" name="Check Box 51">
              <controlPr defaultSize="0" autoFill="0" autoLine="0" autoPict="0">
                <anchor moveWithCells="1">
                  <from>
                    <xdr:col>21</xdr:col>
                    <xdr:colOff>28575</xdr:colOff>
                    <xdr:row>121</xdr:row>
                    <xdr:rowOff>180975</xdr:rowOff>
                  </from>
                  <to>
                    <xdr:col>21</xdr:col>
                    <xdr:colOff>257175</xdr:colOff>
                    <xdr:row>123</xdr:row>
                    <xdr:rowOff>9525</xdr:rowOff>
                  </to>
                </anchor>
              </controlPr>
            </control>
          </mc:Choice>
        </mc:AlternateContent>
        <mc:AlternateContent xmlns:mc="http://schemas.openxmlformats.org/markup-compatibility/2006">
          <mc:Choice Requires="x14">
            <control shapeId="542772" r:id="rId21" name="Check Box 52">
              <controlPr defaultSize="0" autoFill="0" autoLine="0" autoPict="0">
                <anchor moveWithCells="1">
                  <from>
                    <xdr:col>21</xdr:col>
                    <xdr:colOff>28575</xdr:colOff>
                    <xdr:row>120</xdr:row>
                    <xdr:rowOff>180975</xdr:rowOff>
                  </from>
                  <to>
                    <xdr:col>21</xdr:col>
                    <xdr:colOff>276225</xdr:colOff>
                    <xdr:row>122</xdr:row>
                    <xdr:rowOff>0</xdr:rowOff>
                  </to>
                </anchor>
              </controlPr>
            </control>
          </mc:Choice>
        </mc:AlternateContent>
        <mc:AlternateContent xmlns:mc="http://schemas.openxmlformats.org/markup-compatibility/2006">
          <mc:Choice Requires="x14">
            <control shapeId="542773" r:id="rId22" name="Check Box 53">
              <controlPr defaultSize="0" autoFill="0" autoLine="0" autoPict="0">
                <anchor moveWithCells="1">
                  <from>
                    <xdr:col>21</xdr:col>
                    <xdr:colOff>28575</xdr:colOff>
                    <xdr:row>122</xdr:row>
                    <xdr:rowOff>180975</xdr:rowOff>
                  </from>
                  <to>
                    <xdr:col>21</xdr:col>
                    <xdr:colOff>276225</xdr:colOff>
                    <xdr:row>123</xdr:row>
                    <xdr:rowOff>190500</xdr:rowOff>
                  </to>
                </anchor>
              </controlPr>
            </control>
          </mc:Choice>
        </mc:AlternateContent>
        <mc:AlternateContent xmlns:mc="http://schemas.openxmlformats.org/markup-compatibility/2006">
          <mc:Choice Requires="x14">
            <control shapeId="542774" r:id="rId23" name="Check Box 54">
              <controlPr defaultSize="0" autoFill="0" autoLine="0" autoPict="0">
                <anchor moveWithCells="1">
                  <from>
                    <xdr:col>21</xdr:col>
                    <xdr:colOff>28575</xdr:colOff>
                    <xdr:row>126</xdr:row>
                    <xdr:rowOff>180975</xdr:rowOff>
                  </from>
                  <to>
                    <xdr:col>21</xdr:col>
                    <xdr:colOff>257175</xdr:colOff>
                    <xdr:row>128</xdr:row>
                    <xdr:rowOff>9525</xdr:rowOff>
                  </to>
                </anchor>
              </controlPr>
            </control>
          </mc:Choice>
        </mc:AlternateContent>
        <mc:AlternateContent xmlns:mc="http://schemas.openxmlformats.org/markup-compatibility/2006">
          <mc:Choice Requires="x14">
            <control shapeId="542775" r:id="rId24" name="Check Box 55">
              <controlPr defaultSize="0" autoFill="0" autoLine="0" autoPict="0">
                <anchor moveWithCells="1">
                  <from>
                    <xdr:col>21</xdr:col>
                    <xdr:colOff>28575</xdr:colOff>
                    <xdr:row>125</xdr:row>
                    <xdr:rowOff>180975</xdr:rowOff>
                  </from>
                  <to>
                    <xdr:col>21</xdr:col>
                    <xdr:colOff>276225</xdr:colOff>
                    <xdr:row>127</xdr:row>
                    <xdr:rowOff>0</xdr:rowOff>
                  </to>
                </anchor>
              </controlPr>
            </control>
          </mc:Choice>
        </mc:AlternateContent>
        <mc:AlternateContent xmlns:mc="http://schemas.openxmlformats.org/markup-compatibility/2006">
          <mc:Choice Requires="x14">
            <control shapeId="542776" r:id="rId25" name="Check Box 56">
              <controlPr defaultSize="0" autoFill="0" autoLine="0" autoPict="0">
                <anchor moveWithCells="1">
                  <from>
                    <xdr:col>21</xdr:col>
                    <xdr:colOff>28575</xdr:colOff>
                    <xdr:row>127</xdr:row>
                    <xdr:rowOff>180975</xdr:rowOff>
                  </from>
                  <to>
                    <xdr:col>21</xdr:col>
                    <xdr:colOff>276225</xdr:colOff>
                    <xdr:row>128</xdr:row>
                    <xdr:rowOff>190500</xdr:rowOff>
                  </to>
                </anchor>
              </controlPr>
            </control>
          </mc:Choice>
        </mc:AlternateContent>
        <mc:AlternateContent xmlns:mc="http://schemas.openxmlformats.org/markup-compatibility/2006">
          <mc:Choice Requires="x14">
            <control shapeId="542777" r:id="rId26" name="Check Box 57">
              <controlPr defaultSize="0" autoFill="0" autoLine="0" autoPict="0">
                <anchor moveWithCells="1">
                  <from>
                    <xdr:col>21</xdr:col>
                    <xdr:colOff>28575</xdr:colOff>
                    <xdr:row>129</xdr:row>
                    <xdr:rowOff>0</xdr:rowOff>
                  </from>
                  <to>
                    <xdr:col>21</xdr:col>
                    <xdr:colOff>257175</xdr:colOff>
                    <xdr:row>130</xdr:row>
                    <xdr:rowOff>19050</xdr:rowOff>
                  </to>
                </anchor>
              </controlPr>
            </control>
          </mc:Choice>
        </mc:AlternateContent>
        <mc:AlternateContent xmlns:mc="http://schemas.openxmlformats.org/markup-compatibility/2006">
          <mc:Choice Requires="x14">
            <control shapeId="542778" r:id="rId27" name="Check Box 58">
              <controlPr defaultSize="0" autoFill="0" autoLine="0" autoPict="0">
                <anchor moveWithCells="1">
                  <from>
                    <xdr:col>28</xdr:col>
                    <xdr:colOff>28575</xdr:colOff>
                    <xdr:row>115</xdr:row>
                    <xdr:rowOff>180975</xdr:rowOff>
                  </from>
                  <to>
                    <xdr:col>28</xdr:col>
                    <xdr:colOff>257175</xdr:colOff>
                    <xdr:row>117</xdr:row>
                    <xdr:rowOff>9525</xdr:rowOff>
                  </to>
                </anchor>
              </controlPr>
            </control>
          </mc:Choice>
        </mc:AlternateContent>
        <mc:AlternateContent xmlns:mc="http://schemas.openxmlformats.org/markup-compatibility/2006">
          <mc:Choice Requires="x14">
            <control shapeId="542779" r:id="rId28" name="Check Box 59">
              <controlPr defaultSize="0" autoFill="0" autoLine="0" autoPict="0">
                <anchor moveWithCells="1">
                  <from>
                    <xdr:col>28</xdr:col>
                    <xdr:colOff>28575</xdr:colOff>
                    <xdr:row>116</xdr:row>
                    <xdr:rowOff>180975</xdr:rowOff>
                  </from>
                  <to>
                    <xdr:col>28</xdr:col>
                    <xdr:colOff>276225</xdr:colOff>
                    <xdr:row>117</xdr:row>
                    <xdr:rowOff>190500</xdr:rowOff>
                  </to>
                </anchor>
              </controlPr>
            </control>
          </mc:Choice>
        </mc:AlternateContent>
        <mc:AlternateContent xmlns:mc="http://schemas.openxmlformats.org/markup-compatibility/2006">
          <mc:Choice Requires="x14">
            <control shapeId="542780" r:id="rId29" name="Check Box 60">
              <controlPr defaultSize="0" autoFill="0" autoLine="0" autoPict="0">
                <anchor moveWithCells="1">
                  <from>
                    <xdr:col>28</xdr:col>
                    <xdr:colOff>28575</xdr:colOff>
                    <xdr:row>120</xdr:row>
                    <xdr:rowOff>180975</xdr:rowOff>
                  </from>
                  <to>
                    <xdr:col>28</xdr:col>
                    <xdr:colOff>276225</xdr:colOff>
                    <xdr:row>122</xdr:row>
                    <xdr:rowOff>0</xdr:rowOff>
                  </to>
                </anchor>
              </controlPr>
            </control>
          </mc:Choice>
        </mc:AlternateContent>
        <mc:AlternateContent xmlns:mc="http://schemas.openxmlformats.org/markup-compatibility/2006">
          <mc:Choice Requires="x14">
            <control shapeId="542781" r:id="rId30" name="Check Box 61">
              <controlPr defaultSize="0" autoFill="0" autoLine="0" autoPict="0">
                <anchor moveWithCells="1">
                  <from>
                    <xdr:col>28</xdr:col>
                    <xdr:colOff>28575</xdr:colOff>
                    <xdr:row>121</xdr:row>
                    <xdr:rowOff>180975</xdr:rowOff>
                  </from>
                  <to>
                    <xdr:col>28</xdr:col>
                    <xdr:colOff>257175</xdr:colOff>
                    <xdr:row>123</xdr:row>
                    <xdr:rowOff>9525</xdr:rowOff>
                  </to>
                </anchor>
              </controlPr>
            </control>
          </mc:Choice>
        </mc:AlternateContent>
        <mc:AlternateContent xmlns:mc="http://schemas.openxmlformats.org/markup-compatibility/2006">
          <mc:Choice Requires="x14">
            <control shapeId="542782" r:id="rId31" name="Check Box 62">
              <controlPr defaultSize="0" autoFill="0" autoLine="0" autoPict="0">
                <anchor moveWithCells="1">
                  <from>
                    <xdr:col>28</xdr:col>
                    <xdr:colOff>28575</xdr:colOff>
                    <xdr:row>122</xdr:row>
                    <xdr:rowOff>180975</xdr:rowOff>
                  </from>
                  <to>
                    <xdr:col>28</xdr:col>
                    <xdr:colOff>276225</xdr:colOff>
                    <xdr:row>123</xdr:row>
                    <xdr:rowOff>190500</xdr:rowOff>
                  </to>
                </anchor>
              </controlPr>
            </control>
          </mc:Choice>
        </mc:AlternateContent>
        <mc:AlternateContent xmlns:mc="http://schemas.openxmlformats.org/markup-compatibility/2006">
          <mc:Choice Requires="x14">
            <control shapeId="542783" r:id="rId32" name="Check Box 63">
              <controlPr defaultSize="0" autoFill="0" autoLine="0" autoPict="0">
                <anchor moveWithCells="1">
                  <from>
                    <xdr:col>28</xdr:col>
                    <xdr:colOff>28575</xdr:colOff>
                    <xdr:row>125</xdr:row>
                    <xdr:rowOff>180975</xdr:rowOff>
                  </from>
                  <to>
                    <xdr:col>28</xdr:col>
                    <xdr:colOff>276225</xdr:colOff>
                    <xdr:row>127</xdr:row>
                    <xdr:rowOff>0</xdr:rowOff>
                  </to>
                </anchor>
              </controlPr>
            </control>
          </mc:Choice>
        </mc:AlternateContent>
        <mc:AlternateContent xmlns:mc="http://schemas.openxmlformats.org/markup-compatibility/2006">
          <mc:Choice Requires="x14">
            <control shapeId="542784" r:id="rId33" name="Check Box 64">
              <controlPr defaultSize="0" autoFill="0" autoLine="0" autoPict="0">
                <anchor moveWithCells="1">
                  <from>
                    <xdr:col>28</xdr:col>
                    <xdr:colOff>28575</xdr:colOff>
                    <xdr:row>126</xdr:row>
                    <xdr:rowOff>180975</xdr:rowOff>
                  </from>
                  <to>
                    <xdr:col>28</xdr:col>
                    <xdr:colOff>276225</xdr:colOff>
                    <xdr:row>128</xdr:row>
                    <xdr:rowOff>0</xdr:rowOff>
                  </to>
                </anchor>
              </controlPr>
            </control>
          </mc:Choice>
        </mc:AlternateContent>
        <mc:AlternateContent xmlns:mc="http://schemas.openxmlformats.org/markup-compatibility/2006">
          <mc:Choice Requires="x14">
            <control shapeId="542785" r:id="rId34" name="Check Box 65">
              <controlPr defaultSize="0" autoFill="0" autoLine="0" autoPict="0">
                <anchor moveWithCells="1">
                  <from>
                    <xdr:col>28</xdr:col>
                    <xdr:colOff>28575</xdr:colOff>
                    <xdr:row>127</xdr:row>
                    <xdr:rowOff>180975</xdr:rowOff>
                  </from>
                  <to>
                    <xdr:col>28</xdr:col>
                    <xdr:colOff>276225</xdr:colOff>
                    <xdr:row>129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1" id="{B74A3220-31BC-4FA9-ABB4-478A69B74E45}">
            <xm:f>'M01-S01'!I57-TODAY()&gt;=7</xm:f>
            <x14:dxf>
              <font>
                <b val="0"/>
                <i val="0"/>
                <color theme="1"/>
              </font>
            </x14:dxf>
          </x14:cfRule>
          <x14:cfRule type="expression" priority="52" id="{9A0E5E92-8965-4599-8DC8-0700B2C036C1}">
            <xm:f>AND('M01-S01'!I57-TODAY()&lt;7,'M01-S01'!I57-TODAY()&gt;2)</xm:f>
            <x14:dxf>
              <font>
                <b/>
                <i val="0"/>
                <color rgb="FFFF0000"/>
              </font>
            </x14:dxf>
          </x14:cfRule>
          <x14:cfRule type="expression" priority="53" id="{148CA492-A982-4C19-86FE-5A1F0BE12421}">
            <xm:f>AND('M01-S01'!I57-TODAY()&lt;=2,'M01-S01'!I57-TODAY()&gt;=0)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K11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5E21E-7F51-4514-9B47-AE9FFE143DC5}">
  <sheetPr codeName="Sheet34">
    <pageSetUpPr fitToPage="1"/>
  </sheetPr>
  <dimension ref="A1:CN188"/>
  <sheetViews>
    <sheetView showGridLines="0" showRowColHeaders="0" zoomScale="90" zoomScaleNormal="90" workbookViewId="0">
      <selection activeCell="K12" sqref="K12:S12"/>
    </sheetView>
  </sheetViews>
  <sheetFormatPr defaultColWidth="0" defaultRowHeight="15" zeroHeight="1"/>
  <cols>
    <col min="1" max="59" width="4.5703125" style="521" customWidth="1"/>
    <col min="60" max="92" width="0" style="177" hidden="1" customWidth="1"/>
    <col min="93" max="16384" width="8.5703125" style="177" hidden="1"/>
  </cols>
  <sheetData>
    <row r="1" spans="1:92" ht="15" customHeight="1">
      <c r="A1" s="60"/>
      <c r="B1" s="239"/>
      <c r="C1" s="239"/>
      <c r="D1" s="239"/>
      <c r="E1" s="239"/>
      <c r="F1" s="750" t="str">
        <f>M1S1</f>
        <v>WELCOME</v>
      </c>
      <c r="G1" s="750"/>
      <c r="H1" s="750"/>
      <c r="I1" s="750"/>
      <c r="J1" s="752" t="str">
        <f>M1S2</f>
        <v>INSTRUCTIONS</v>
      </c>
      <c r="K1" s="752"/>
      <c r="L1" s="752"/>
      <c r="M1" s="752"/>
      <c r="N1" s="240"/>
      <c r="O1" s="240"/>
      <c r="P1" s="240"/>
      <c r="Q1" s="240"/>
      <c r="R1" s="240"/>
      <c r="S1" s="240"/>
      <c r="T1" s="241"/>
      <c r="U1" s="242" t="s">
        <v>118</v>
      </c>
      <c r="V1" s="242"/>
      <c r="W1" s="242"/>
      <c r="X1" s="242"/>
      <c r="Y1" s="240"/>
      <c r="Z1" s="240"/>
      <c r="AA1" s="240"/>
      <c r="AB1" s="240"/>
      <c r="AC1" s="240"/>
      <c r="AD1" s="240"/>
      <c r="AE1" s="240"/>
      <c r="AF1" s="240"/>
      <c r="AG1" s="177"/>
      <c r="AH1" s="177"/>
      <c r="AI1" s="177"/>
      <c r="AJ1" s="177"/>
      <c r="AK1" s="177"/>
      <c r="AL1" s="734" t="str">
        <f>IF(ACTIVEINSPECT="Yes","Complete "&amp;M5S4,"")</f>
        <v/>
      </c>
      <c r="AM1" s="734"/>
      <c r="AN1" s="734"/>
      <c r="AO1" s="734"/>
      <c r="AP1" s="753" t="str">
        <f>IF(ACTIVEOFFER="Yes","Sign "&amp;M5S6,"")</f>
        <v>Sign OBR: Repayment Agreement</v>
      </c>
      <c r="AQ1" s="753"/>
      <c r="AR1" s="753"/>
      <c r="AS1" s="753"/>
      <c r="AT1" s="753" t="str">
        <f>IF(ACTIVECOMPL="Yes","Sign "&amp;M5S5,"")</f>
        <v xml:space="preserve">Sign Project Completion Certification </v>
      </c>
      <c r="AU1" s="753"/>
      <c r="AV1" s="753"/>
      <c r="AW1" s="753"/>
      <c r="AX1" s="754" t="str">
        <f>M1S4</f>
        <v>INCENTIVE RATES &amp; REQUIREMENTS</v>
      </c>
      <c r="AY1" s="754"/>
      <c r="AZ1" s="754"/>
      <c r="BA1" s="754"/>
      <c r="BB1" s="754"/>
      <c r="BC1" s="754"/>
      <c r="BD1" s="748" t="s">
        <v>119</v>
      </c>
      <c r="BE1" s="749"/>
      <c r="BF1" s="749"/>
      <c r="BG1" s="749"/>
    </row>
    <row r="2" spans="1:92">
      <c r="A2" s="177"/>
      <c r="B2" s="239"/>
      <c r="C2" s="239"/>
      <c r="D2" s="239"/>
      <c r="E2" s="239"/>
      <c r="F2" s="750"/>
      <c r="G2" s="750"/>
      <c r="H2" s="750"/>
      <c r="I2" s="750"/>
      <c r="J2" s="752"/>
      <c r="K2" s="752"/>
      <c r="L2" s="752"/>
      <c r="M2" s="752"/>
      <c r="N2" s="240"/>
      <c r="O2" s="240"/>
      <c r="P2" s="240"/>
      <c r="Q2" s="240"/>
      <c r="R2" s="240"/>
      <c r="S2" s="240"/>
      <c r="T2" s="241"/>
      <c r="U2" s="242"/>
      <c r="V2" s="242"/>
      <c r="W2" s="242"/>
      <c r="X2" s="242"/>
      <c r="Y2" s="240"/>
      <c r="Z2" s="240"/>
      <c r="AA2" s="240"/>
      <c r="AB2" s="240"/>
      <c r="AC2" s="240"/>
      <c r="AD2" s="240"/>
      <c r="AE2" s="240"/>
      <c r="AF2" s="240"/>
      <c r="AG2" s="177"/>
      <c r="AH2" s="177"/>
      <c r="AI2" s="177"/>
      <c r="AJ2" s="177"/>
      <c r="AK2" s="177"/>
      <c r="AL2" s="734"/>
      <c r="AM2" s="734"/>
      <c r="AN2" s="734"/>
      <c r="AO2" s="734"/>
      <c r="AP2" s="753"/>
      <c r="AQ2" s="753"/>
      <c r="AR2" s="753"/>
      <c r="AS2" s="753"/>
      <c r="AT2" s="753"/>
      <c r="AU2" s="753"/>
      <c r="AV2" s="753"/>
      <c r="AW2" s="753"/>
      <c r="AX2" s="754"/>
      <c r="AY2" s="754"/>
      <c r="AZ2" s="754"/>
      <c r="BA2" s="754"/>
      <c r="BB2" s="754"/>
      <c r="BC2" s="754"/>
      <c r="BD2" s="749"/>
      <c r="BE2" s="749"/>
      <c r="BF2" s="749"/>
      <c r="BG2" s="749"/>
    </row>
    <row r="3" spans="1:92" s="340" customFormat="1" ht="15.75" thickBot="1">
      <c r="A3" s="243"/>
      <c r="B3" s="244"/>
      <c r="C3" s="244"/>
      <c r="D3" s="244"/>
      <c r="E3" s="244"/>
      <c r="F3" s="751"/>
      <c r="G3" s="751"/>
      <c r="H3" s="751"/>
      <c r="I3" s="751"/>
      <c r="J3" s="726"/>
      <c r="K3" s="726"/>
      <c r="L3" s="726"/>
      <c r="M3" s="726"/>
      <c r="N3" s="245"/>
      <c r="O3" s="245"/>
      <c r="P3" s="245"/>
      <c r="Q3" s="245"/>
      <c r="R3" s="245"/>
      <c r="S3" s="245"/>
      <c r="T3" s="245"/>
      <c r="U3" s="246"/>
      <c r="V3" s="246"/>
      <c r="W3" s="246"/>
      <c r="X3" s="246"/>
      <c r="Y3" s="243"/>
      <c r="Z3" s="243"/>
      <c r="AA3" s="243"/>
      <c r="AB3" s="243"/>
      <c r="AC3" s="243"/>
      <c r="AD3" s="243"/>
      <c r="AE3" s="243"/>
      <c r="AF3" s="243"/>
      <c r="AG3" s="243"/>
      <c r="AH3" s="243"/>
      <c r="AI3" s="243"/>
      <c r="AJ3" s="243"/>
      <c r="AK3" s="243"/>
      <c r="AL3" s="734"/>
      <c r="AM3" s="734"/>
      <c r="AN3" s="734"/>
      <c r="AO3" s="734"/>
      <c r="AP3" s="731"/>
      <c r="AQ3" s="731"/>
      <c r="AR3" s="731"/>
      <c r="AS3" s="731"/>
      <c r="AT3" s="731"/>
      <c r="AU3" s="731"/>
      <c r="AV3" s="731"/>
      <c r="AW3" s="731"/>
      <c r="AX3" s="755"/>
      <c r="AY3" s="755"/>
      <c r="AZ3" s="755"/>
      <c r="BA3" s="755"/>
      <c r="BB3" s="755"/>
      <c r="BC3" s="755"/>
      <c r="BD3" s="724"/>
      <c r="BE3" s="724"/>
      <c r="BF3" s="724"/>
      <c r="BG3" s="724"/>
      <c r="BH3" s="244"/>
    </row>
    <row r="4" spans="1:92" ht="16.350000000000001" customHeight="1">
      <c r="A4" s="186"/>
      <c r="B4" s="186"/>
      <c r="C4" s="186"/>
      <c r="D4" s="186"/>
      <c r="E4" s="186"/>
      <c r="F4" s="179"/>
      <c r="G4" s="179"/>
      <c r="H4" s="179"/>
      <c r="I4" s="179"/>
      <c r="J4" s="179"/>
      <c r="K4" s="179"/>
      <c r="L4" s="179"/>
      <c r="M4" s="179"/>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77"/>
      <c r="AU4" s="177"/>
      <c r="AV4" s="177"/>
      <c r="AW4" s="177"/>
      <c r="AX4" s="177"/>
      <c r="AY4" s="177"/>
      <c r="AZ4" s="177"/>
      <c r="BA4" s="177"/>
      <c r="BB4" s="177"/>
      <c r="BC4" s="177"/>
      <c r="BD4" s="177"/>
      <c r="BE4" s="177"/>
      <c r="BF4" s="177"/>
      <c r="BG4" s="186"/>
    </row>
    <row r="5" spans="1:92" ht="16.350000000000001" customHeight="1">
      <c r="A5" s="179"/>
      <c r="B5" s="179"/>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744" t="s">
        <v>138</v>
      </c>
      <c r="BC5" s="744"/>
      <c r="BD5" s="744"/>
      <c r="BE5" s="580"/>
      <c r="BF5" s="580"/>
      <c r="BG5" s="177"/>
    </row>
    <row r="6" spans="1:92" ht="15.75" customHeight="1">
      <c r="A6" s="177"/>
      <c r="B6" s="177"/>
      <c r="C6" s="177"/>
      <c r="D6" s="177"/>
      <c r="E6" s="177"/>
      <c r="F6" s="177"/>
      <c r="G6" s="177"/>
      <c r="H6" s="177"/>
      <c r="I6" s="177"/>
      <c r="J6" s="179"/>
      <c r="K6" s="177"/>
      <c r="L6" s="177"/>
      <c r="M6" s="179"/>
      <c r="N6" s="177"/>
      <c r="O6" s="177"/>
      <c r="P6" s="177"/>
      <c r="Q6" s="177"/>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177"/>
      <c r="AQ6" s="179"/>
      <c r="AR6" s="179"/>
      <c r="AS6" s="179"/>
      <c r="AT6" s="179"/>
      <c r="AU6" s="179"/>
      <c r="AV6" s="177"/>
      <c r="AW6" s="177"/>
      <c r="AX6" s="177"/>
      <c r="AY6" s="177"/>
      <c r="AZ6" s="177"/>
      <c r="BA6" s="177"/>
      <c r="BB6" s="744"/>
      <c r="BC6" s="744"/>
      <c r="BD6" s="744"/>
      <c r="BE6" s="580"/>
      <c r="BF6" s="580"/>
      <c r="BG6" s="177"/>
    </row>
    <row r="7" spans="1:92" ht="14.85" customHeight="1">
      <c r="A7" s="177"/>
      <c r="B7" s="177"/>
      <c r="C7" s="177"/>
      <c r="D7" s="177"/>
      <c r="E7" s="177"/>
      <c r="F7" s="741" t="s">
        <v>139</v>
      </c>
      <c r="G7" s="741"/>
      <c r="H7" s="741"/>
      <c r="I7" s="741"/>
      <c r="J7" s="741"/>
      <c r="K7" s="741"/>
      <c r="L7" s="741"/>
      <c r="M7" s="741"/>
      <c r="N7" s="741"/>
      <c r="O7" s="741"/>
      <c r="P7" s="741"/>
      <c r="Q7" s="239"/>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177"/>
      <c r="AS7" s="177"/>
      <c r="AT7" s="177"/>
      <c r="AU7" s="177"/>
      <c r="AV7" s="177"/>
      <c r="AW7" s="177"/>
      <c r="AX7" s="177"/>
      <c r="AY7" s="177"/>
      <c r="AZ7" s="177"/>
      <c r="BA7" s="177"/>
      <c r="BB7" s="744"/>
      <c r="BC7" s="744"/>
      <c r="BD7" s="744"/>
      <c r="BE7" s="580"/>
      <c r="BF7" s="580"/>
      <c r="BG7" s="177"/>
    </row>
    <row r="8" spans="1:92" ht="21" customHeight="1">
      <c r="A8" s="177"/>
      <c r="B8" s="177"/>
      <c r="C8" s="177"/>
      <c r="D8" s="177"/>
      <c r="E8" s="177"/>
      <c r="F8" s="741"/>
      <c r="G8" s="741"/>
      <c r="H8" s="741"/>
      <c r="I8" s="741"/>
      <c r="J8" s="741"/>
      <c r="K8" s="741"/>
      <c r="L8" s="741"/>
      <c r="M8" s="741"/>
      <c r="N8" s="741"/>
      <c r="O8" s="741"/>
      <c r="P8" s="741"/>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177"/>
      <c r="AS8" s="177"/>
      <c r="AT8" s="177"/>
      <c r="AU8" s="177"/>
      <c r="AV8" s="177"/>
      <c r="AW8" s="177"/>
      <c r="AX8" s="177"/>
      <c r="AY8" s="177"/>
      <c r="AZ8" s="177"/>
      <c r="BA8" s="177"/>
      <c r="BB8" s="177"/>
      <c r="BC8" s="177"/>
      <c r="BD8" s="177"/>
      <c r="BE8" s="177"/>
      <c r="BF8" s="177"/>
      <c r="BG8" s="177"/>
    </row>
    <row r="9" spans="1:92" ht="27.95" customHeight="1">
      <c r="A9" s="177"/>
      <c r="B9" s="177"/>
      <c r="C9" s="177"/>
      <c r="D9" s="177"/>
      <c r="E9" s="177"/>
      <c r="F9" s="757">
        <v>1</v>
      </c>
      <c r="G9" s="757"/>
      <c r="H9" s="757"/>
      <c r="I9" s="757"/>
      <c r="J9" s="757"/>
      <c r="K9" s="757"/>
      <c r="L9" s="757"/>
      <c r="M9" s="757"/>
      <c r="N9" s="757"/>
      <c r="O9" s="757"/>
      <c r="P9" s="757"/>
      <c r="Q9" s="757"/>
      <c r="R9" s="757"/>
      <c r="S9" s="757"/>
      <c r="T9" s="757"/>
      <c r="U9" s="757"/>
      <c r="V9" s="757"/>
      <c r="W9" s="757"/>
      <c r="X9" s="757"/>
      <c r="Y9" s="757"/>
      <c r="Z9" s="757"/>
      <c r="AA9" s="757"/>
      <c r="AB9" s="757"/>
      <c r="AC9" s="757"/>
      <c r="AD9" s="757"/>
      <c r="AE9" s="757"/>
      <c r="AF9" s="757"/>
      <c r="AG9" s="757"/>
      <c r="AH9" s="757"/>
      <c r="AI9" s="757"/>
      <c r="AJ9" s="757"/>
      <c r="AK9" s="757"/>
      <c r="AL9" s="757"/>
      <c r="AM9" s="757"/>
      <c r="AN9" s="757"/>
      <c r="AO9" s="757"/>
      <c r="AP9" s="757"/>
      <c r="AQ9" s="757"/>
      <c r="AR9" s="757"/>
      <c r="AS9" s="757"/>
      <c r="AT9" s="757"/>
      <c r="AU9" s="757"/>
      <c r="AV9" s="757"/>
      <c r="AW9" s="757"/>
      <c r="AX9" s="757"/>
      <c r="AY9" s="757"/>
      <c r="AZ9" s="757"/>
      <c r="BA9" s="757"/>
      <c r="BB9" s="757"/>
      <c r="BC9" s="757"/>
      <c r="BD9" s="757"/>
      <c r="BE9" s="177"/>
      <c r="BF9" s="177"/>
      <c r="BG9" s="177"/>
      <c r="CN9" s="179"/>
    </row>
    <row r="10" spans="1:92" ht="16.350000000000001" customHeight="1">
      <c r="A10" s="177"/>
      <c r="B10" s="177"/>
      <c r="C10" s="177"/>
      <c r="D10" s="177"/>
      <c r="E10" s="177"/>
      <c r="F10"/>
      <c r="G10"/>
      <c r="H10"/>
      <c r="I10"/>
      <c r="J10"/>
      <c r="K10"/>
      <c r="L10"/>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177"/>
      <c r="AV10" s="177"/>
      <c r="AW10" s="177"/>
      <c r="AX10" s="177"/>
      <c r="AY10" s="177"/>
      <c r="AZ10" s="177"/>
      <c r="BA10" s="177"/>
      <c r="BB10" s="177"/>
      <c r="BC10" s="177"/>
      <c r="BD10" s="177"/>
      <c r="BE10" s="177"/>
      <c r="BF10" s="177"/>
      <c r="BG10" s="177"/>
    </row>
    <row r="11" spans="1:92">
      <c r="A11" s="177"/>
      <c r="B11" s="177"/>
      <c r="C11" s="177"/>
      <c r="D11" s="177"/>
      <c r="E11" s="177"/>
      <c r="F11" s="177"/>
      <c r="G11" s="177"/>
      <c r="H11" s="177"/>
      <c r="I11" s="177"/>
      <c r="J11" s="177"/>
      <c r="K11" s="267" t="s">
        <v>140</v>
      </c>
      <c r="L11" s="177"/>
      <c r="M11" s="177"/>
      <c r="N11" s="177"/>
      <c r="O11" s="177"/>
      <c r="P11" s="177"/>
      <c r="Q11" s="177"/>
      <c r="R11" s="239"/>
      <c r="S11" s="239"/>
      <c r="T11" s="177"/>
      <c r="U11" s="267" t="s">
        <v>141</v>
      </c>
      <c r="V11" s="177"/>
      <c r="W11" s="177"/>
      <c r="X11" s="177"/>
      <c r="Y11" s="177"/>
      <c r="Z11" s="177"/>
      <c r="AA11" s="177"/>
      <c r="AB11" s="239"/>
      <c r="AC11" s="177"/>
      <c r="AD11" s="177"/>
      <c r="AE11" s="177"/>
      <c r="AF11" s="745" t="str">
        <f>IFERROR(IF('M01-S02'!U12="","",INDEX(LIST_InstructionsbySubmissionMethod,MATCH('M01-S02'!U12,LIST_SubmissionMethods,0),1)),"")</f>
        <v/>
      </c>
      <c r="AG11" s="745"/>
      <c r="AH11" s="745"/>
      <c r="AI11" s="745"/>
      <c r="AJ11" s="745"/>
      <c r="AK11" s="745"/>
      <c r="AL11" s="745"/>
      <c r="AM11" s="745"/>
      <c r="AN11" s="745"/>
      <c r="AO11" s="745"/>
      <c r="AP11" s="745"/>
      <c r="AQ11" s="745"/>
      <c r="AR11" s="745"/>
      <c r="AS11" s="745"/>
      <c r="AT11" s="745"/>
      <c r="AU11" s="745"/>
      <c r="AV11" s="745"/>
      <c r="AW11" s="177"/>
      <c r="AX11" s="177"/>
      <c r="AY11" s="177"/>
      <c r="AZ11" s="177"/>
      <c r="BA11" s="177"/>
      <c r="BB11" s="177"/>
      <c r="BC11" s="177"/>
      <c r="BD11" s="177"/>
      <c r="BE11" s="177"/>
      <c r="BF11" s="177"/>
      <c r="BG11" s="177"/>
    </row>
    <row r="12" spans="1:92">
      <c r="A12" s="177"/>
      <c r="B12" s="177"/>
      <c r="C12" s="177"/>
      <c r="D12" s="177"/>
      <c r="E12" s="177"/>
      <c r="F12" s="177"/>
      <c r="G12" s="177"/>
      <c r="H12" s="177"/>
      <c r="I12" s="177"/>
      <c r="J12" s="177"/>
      <c r="K12" s="759"/>
      <c r="L12" s="760"/>
      <c r="M12" s="760"/>
      <c r="N12" s="760"/>
      <c r="O12" s="760"/>
      <c r="P12" s="760"/>
      <c r="Q12" s="760"/>
      <c r="R12" s="760"/>
      <c r="S12" s="761"/>
      <c r="T12" s="177"/>
      <c r="U12" s="746"/>
      <c r="V12" s="746"/>
      <c r="W12" s="746"/>
      <c r="X12" s="746"/>
      <c r="Y12" s="746"/>
      <c r="Z12" s="746"/>
      <c r="AA12" s="746"/>
      <c r="AB12" s="239"/>
      <c r="AC12" s="177"/>
      <c r="AD12" s="177"/>
      <c r="AE12" s="177"/>
      <c r="AF12" s="745"/>
      <c r="AG12" s="745"/>
      <c r="AH12" s="745"/>
      <c r="AI12" s="745"/>
      <c r="AJ12" s="745"/>
      <c r="AK12" s="745"/>
      <c r="AL12" s="745"/>
      <c r="AM12" s="745"/>
      <c r="AN12" s="745"/>
      <c r="AO12" s="745"/>
      <c r="AP12" s="745"/>
      <c r="AQ12" s="745"/>
      <c r="AR12" s="745"/>
      <c r="AS12" s="745"/>
      <c r="AT12" s="745"/>
      <c r="AU12" s="745"/>
      <c r="AV12" s="745"/>
      <c r="AW12" s="177"/>
      <c r="AX12" s="177"/>
      <c r="AY12" s="177"/>
      <c r="AZ12" s="177"/>
      <c r="BA12" s="177"/>
      <c r="BB12" s="177"/>
      <c r="BC12" s="177"/>
      <c r="BD12" s="177"/>
      <c r="BE12" s="177"/>
      <c r="BF12" s="177"/>
      <c r="BG12" s="177"/>
    </row>
    <row r="13" spans="1:92">
      <c r="A13" s="177"/>
      <c r="B13" s="177"/>
      <c r="C13" s="177"/>
      <c r="D13" s="177"/>
      <c r="E13" s="177"/>
      <c r="F13" s="177"/>
      <c r="G13" s="177"/>
      <c r="H13" s="177"/>
      <c r="I13" s="177"/>
      <c r="J13" s="177"/>
      <c r="K13" s="747" t="s">
        <v>142</v>
      </c>
      <c r="L13" s="747"/>
      <c r="M13" s="747"/>
      <c r="N13" s="747"/>
      <c r="O13" s="747"/>
      <c r="P13" s="747"/>
      <c r="Q13" s="747"/>
      <c r="R13" s="747"/>
      <c r="S13" s="747"/>
      <c r="T13" s="177"/>
      <c r="U13" s="177"/>
      <c r="V13" s="239"/>
      <c r="W13" s="239"/>
      <c r="X13" s="239"/>
      <c r="Y13" s="239"/>
      <c r="Z13" s="239"/>
      <c r="AA13" s="316" t="s">
        <v>142</v>
      </c>
      <c r="AB13" s="239"/>
      <c r="AC13" s="177"/>
      <c r="AD13" s="177"/>
      <c r="AE13" s="177"/>
      <c r="AF13" s="745"/>
      <c r="AG13" s="745"/>
      <c r="AH13" s="745"/>
      <c r="AI13" s="745"/>
      <c r="AJ13" s="745"/>
      <c r="AK13" s="745"/>
      <c r="AL13" s="745"/>
      <c r="AM13" s="745"/>
      <c r="AN13" s="745"/>
      <c r="AO13" s="745"/>
      <c r="AP13" s="745"/>
      <c r="AQ13" s="745"/>
      <c r="AR13" s="745"/>
      <c r="AS13" s="745"/>
      <c r="AT13" s="745"/>
      <c r="AU13" s="745"/>
      <c r="AV13" s="745"/>
      <c r="AW13" s="177"/>
      <c r="AX13" s="177"/>
      <c r="AY13" s="177"/>
      <c r="AZ13" s="177"/>
      <c r="BA13" s="177"/>
      <c r="BB13" s="177"/>
      <c r="BC13" s="177"/>
      <c r="BD13" s="177"/>
      <c r="BE13" s="177"/>
      <c r="BF13" s="177"/>
      <c r="BG13" s="177"/>
    </row>
    <row r="14" spans="1:92">
      <c r="A14" s="177"/>
      <c r="B14" s="177"/>
      <c r="C14" s="177"/>
      <c r="D14" s="177"/>
      <c r="E14" s="177"/>
      <c r="F14" s="177"/>
      <c r="G14" s="177"/>
      <c r="H14" s="177"/>
      <c r="I14" s="177"/>
      <c r="J14" s="177"/>
      <c r="K14" s="239"/>
      <c r="L14" s="341"/>
      <c r="M14" s="341"/>
      <c r="N14" s="341"/>
      <c r="O14" s="341"/>
      <c r="P14" s="341"/>
      <c r="Q14" s="341"/>
      <c r="R14" s="341"/>
      <c r="S14" s="341"/>
      <c r="T14" s="177"/>
      <c r="U14" s="267" t="s">
        <v>143</v>
      </c>
      <c r="V14" s="267"/>
      <c r="W14" s="267"/>
      <c r="X14" s="267"/>
      <c r="Y14" s="267"/>
      <c r="Z14" s="267"/>
      <c r="AA14" s="341"/>
      <c r="AB14" s="341"/>
      <c r="AC14" s="177"/>
      <c r="AD14" s="177"/>
      <c r="AE14" s="177"/>
      <c r="AF14" s="745"/>
      <c r="AG14" s="745"/>
      <c r="AH14" s="745"/>
      <c r="AI14" s="745"/>
      <c r="AJ14" s="745"/>
      <c r="AK14" s="745"/>
      <c r="AL14" s="745"/>
      <c r="AM14" s="745"/>
      <c r="AN14" s="745"/>
      <c r="AO14" s="745"/>
      <c r="AP14" s="745"/>
      <c r="AQ14" s="745"/>
      <c r="AR14" s="745"/>
      <c r="AS14" s="745"/>
      <c r="AT14" s="745"/>
      <c r="AU14" s="745"/>
      <c r="AV14" s="745"/>
      <c r="AW14" s="177"/>
      <c r="AX14" s="177"/>
      <c r="AY14" s="177"/>
      <c r="AZ14" s="177"/>
      <c r="BA14" s="177"/>
      <c r="BB14" s="177"/>
      <c r="BC14" s="177"/>
      <c r="BD14" s="177"/>
      <c r="BE14" s="177"/>
      <c r="BF14" s="177"/>
      <c r="BG14" s="177"/>
    </row>
    <row r="15" spans="1:92">
      <c r="A15" s="177"/>
      <c r="B15" s="177"/>
      <c r="C15" s="177"/>
      <c r="D15" s="177"/>
      <c r="E15" s="177"/>
      <c r="F15" s="177"/>
      <c r="G15" s="177"/>
      <c r="H15" s="177"/>
      <c r="I15" s="177"/>
      <c r="J15" s="177"/>
      <c r="K15" s="341"/>
      <c r="L15" s="341"/>
      <c r="M15" s="341"/>
      <c r="N15" s="341"/>
      <c r="O15" s="341"/>
      <c r="P15" s="341"/>
      <c r="Q15" s="341"/>
      <c r="R15" s="341"/>
      <c r="S15" s="341"/>
      <c r="T15" s="177"/>
      <c r="U15" s="759"/>
      <c r="V15" s="760"/>
      <c r="W15" s="760"/>
      <c r="X15" s="760"/>
      <c r="Y15" s="760"/>
      <c r="Z15" s="761"/>
      <c r="AA15" s="341"/>
      <c r="AB15" s="341"/>
      <c r="AC15" s="177"/>
      <c r="AD15" s="177"/>
      <c r="AE15" s="177"/>
      <c r="AF15" s="177"/>
      <c r="AG15" s="177"/>
      <c r="AH15" s="177"/>
      <c r="AI15" s="177"/>
      <c r="AJ15" s="177"/>
      <c r="AK15" s="177"/>
      <c r="AL15" s="177"/>
      <c r="AM15" s="177"/>
      <c r="AN15" s="177"/>
      <c r="AO15" s="177"/>
      <c r="AP15" s="177"/>
      <c r="AQ15" s="177"/>
      <c r="AR15" s="177"/>
      <c r="AS15" s="177"/>
      <c r="AT15" s="239"/>
      <c r="AU15" s="177"/>
      <c r="AV15" s="177"/>
      <c r="AW15" s="177"/>
      <c r="AX15" s="177"/>
      <c r="AY15" s="177"/>
      <c r="AZ15" s="177"/>
      <c r="BA15" s="177"/>
      <c r="BB15" s="177"/>
      <c r="BC15" s="177"/>
      <c r="BD15" s="177"/>
      <c r="BE15" s="177"/>
      <c r="BF15" s="177"/>
      <c r="BG15" s="177"/>
    </row>
    <row r="16" spans="1:92" ht="16.350000000000001" customHeight="1">
      <c r="A16" s="177"/>
      <c r="B16" s="177"/>
      <c r="C16" s="177"/>
      <c r="D16" s="177"/>
      <c r="E16" s="177"/>
      <c r="F16"/>
      <c r="G16"/>
      <c r="H16"/>
      <c r="I16"/>
      <c r="J16"/>
      <c r="K16"/>
      <c r="L16"/>
      <c r="M16"/>
      <c r="N16"/>
      <c r="O16"/>
      <c r="P16"/>
      <c r="Q16"/>
      <c r="R16"/>
      <c r="S16"/>
      <c r="T16" s="177"/>
      <c r="U16" s="342"/>
      <c r="V16" s="342"/>
      <c r="W16" s="583"/>
      <c r="X16" s="583"/>
      <c r="Y16" s="583"/>
      <c r="Z16" s="316" t="s">
        <v>142</v>
      </c>
      <c r="AA16" s="583"/>
      <c r="AB16" s="583"/>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row>
    <row r="17" spans="6:56" s="177" customFormat="1" ht="16.350000000000001" customHeight="1">
      <c r="M17"/>
      <c r="N17"/>
      <c r="O17"/>
      <c r="P17"/>
      <c r="Q17"/>
      <c r="R17"/>
      <c r="S17"/>
      <c r="T17" s="342"/>
      <c r="U17" s="342"/>
      <c r="V17" s="342"/>
      <c r="W17" s="342"/>
      <c r="X17" s="342"/>
      <c r="Y17" s="342"/>
      <c r="Z17" s="342"/>
      <c r="AA17" s="342"/>
      <c r="AB17" s="342"/>
    </row>
    <row r="18" spans="6:56" s="177" customFormat="1" ht="16.350000000000001" customHeight="1">
      <c r="M18"/>
      <c r="N18"/>
      <c r="O18"/>
      <c r="P18"/>
      <c r="Q18"/>
      <c r="R18"/>
      <c r="S18"/>
      <c r="T18" s="342"/>
      <c r="U18" s="342"/>
      <c r="V18" s="342"/>
      <c r="W18" s="342"/>
      <c r="X18" s="342"/>
      <c r="Y18" s="342"/>
      <c r="Z18" s="342"/>
      <c r="AA18" s="342"/>
      <c r="AB18" s="342"/>
    </row>
    <row r="19" spans="6:56" s="177" customFormat="1" ht="27.95" customHeight="1">
      <c r="F19" s="756">
        <v>2</v>
      </c>
      <c r="G19" s="756"/>
      <c r="H19" s="756"/>
      <c r="I19" s="756"/>
      <c r="J19" s="756"/>
      <c r="K19" s="756"/>
      <c r="L19" s="756"/>
      <c r="M19" s="756"/>
      <c r="N19" s="756"/>
      <c r="O19" s="756"/>
      <c r="P19" s="756"/>
      <c r="Q19" s="756"/>
      <c r="R19" s="756"/>
      <c r="S19" s="56"/>
      <c r="T19" s="342"/>
      <c r="U19" s="756">
        <v>3</v>
      </c>
      <c r="V19" s="756"/>
      <c r="W19" s="756"/>
      <c r="X19" s="756"/>
      <c r="Y19" s="756"/>
      <c r="Z19" s="756"/>
      <c r="AA19" s="756"/>
      <c r="AB19" s="756"/>
      <c r="AC19" s="756"/>
      <c r="AD19" s="756"/>
      <c r="AE19" s="756"/>
      <c r="AF19" s="756"/>
      <c r="AG19" s="756"/>
      <c r="AH19" s="756"/>
      <c r="AI19" s="756"/>
      <c r="AJ19" s="756"/>
      <c r="AK19" s="756"/>
      <c r="AL19" s="756"/>
      <c r="AM19" s="756"/>
      <c r="AN19" s="756"/>
      <c r="AO19" s="756"/>
      <c r="AP19"/>
      <c r="AQ19" s="369"/>
      <c r="AR19" s="756">
        <v>4</v>
      </c>
      <c r="AS19" s="756"/>
      <c r="AT19" s="756"/>
      <c r="AU19" s="756"/>
      <c r="AV19" s="756"/>
      <c r="AW19" s="756"/>
      <c r="AX19" s="756"/>
      <c r="AY19" s="756"/>
      <c r="AZ19" s="756"/>
      <c r="BA19" s="756"/>
      <c r="BB19" s="756"/>
      <c r="BC19" s="756"/>
      <c r="BD19" s="756"/>
    </row>
    <row r="20" spans="6:56" s="177" customFormat="1" ht="16.350000000000001" customHeight="1">
      <c r="L20" s="342"/>
      <c r="M20"/>
      <c r="N20"/>
      <c r="O20"/>
      <c r="P20"/>
      <c r="Q20"/>
      <c r="R20"/>
      <c r="S20" s="56"/>
      <c r="T20" s="342"/>
      <c r="U20" s="342"/>
      <c r="V20" s="342"/>
      <c r="W20" s="342"/>
      <c r="X20" s="342"/>
      <c r="Y20" s="342"/>
      <c r="Z20" s="342"/>
      <c r="AA20" s="342"/>
      <c r="AB20" s="342"/>
      <c r="AC20" s="342"/>
      <c r="AD20" s="342"/>
      <c r="AE20" s="342"/>
      <c r="AF20" s="342"/>
      <c r="AQ20" s="369"/>
    </row>
    <row r="21" spans="6:56" s="177" customFormat="1" ht="16.350000000000001" customHeight="1">
      <c r="M21"/>
      <c r="N21"/>
      <c r="O21"/>
      <c r="P21"/>
      <c r="Q21"/>
      <c r="R21"/>
      <c r="S21" s="56"/>
      <c r="AQ21" s="369"/>
      <c r="AR21" s="763">
        <v>1</v>
      </c>
      <c r="AS21" s="763"/>
      <c r="AT21" s="763"/>
      <c r="AU21" s="763"/>
      <c r="AV21" s="763"/>
      <c r="AW21" s="763"/>
      <c r="AX21" s="763"/>
      <c r="AY21" s="763"/>
      <c r="AZ21" s="763"/>
      <c r="BA21" s="763"/>
      <c r="BB21" s="763"/>
      <c r="BC21" s="763"/>
      <c r="BD21" s="763"/>
    </row>
    <row r="22" spans="6:56" s="177" customFormat="1" ht="16.350000000000001" customHeight="1">
      <c r="M22"/>
      <c r="N22"/>
      <c r="O22"/>
      <c r="P22"/>
      <c r="Q22"/>
      <c r="R22"/>
      <c r="S22" s="56"/>
      <c r="AQ22" s="369"/>
      <c r="AR22" s="763"/>
      <c r="AS22" s="763"/>
      <c r="AT22" s="763"/>
      <c r="AU22" s="763"/>
      <c r="AV22" s="763"/>
      <c r="AW22" s="763"/>
      <c r="AX22" s="763"/>
      <c r="AY22" s="763"/>
      <c r="AZ22" s="763"/>
      <c r="BA22" s="763"/>
      <c r="BB22" s="763"/>
      <c r="BC22" s="763"/>
      <c r="BD22" s="763"/>
    </row>
    <row r="23" spans="6:56" s="177" customFormat="1" ht="16.350000000000001" customHeight="1">
      <c r="M23"/>
      <c r="N23"/>
      <c r="O23"/>
      <c r="P23"/>
      <c r="Q23"/>
      <c r="R23"/>
      <c r="S23" s="56"/>
      <c r="AQ23" s="369"/>
      <c r="AR23" s="763"/>
      <c r="AS23" s="763"/>
      <c r="AT23" s="763"/>
      <c r="AU23" s="763"/>
      <c r="AV23" s="763"/>
      <c r="AW23" s="763"/>
      <c r="AX23" s="763"/>
      <c r="AY23" s="763"/>
      <c r="AZ23" s="763"/>
      <c r="BA23" s="763"/>
      <c r="BB23" s="763"/>
      <c r="BC23" s="763"/>
      <c r="BD23" s="763"/>
    </row>
    <row r="24" spans="6:56" s="177" customFormat="1" ht="16.350000000000001" customHeight="1">
      <c r="M24"/>
      <c r="N24"/>
      <c r="O24"/>
      <c r="P24"/>
      <c r="Q24"/>
      <c r="R24"/>
      <c r="S24" s="56"/>
      <c r="AQ24" s="369"/>
      <c r="AR24" s="762" t="s">
        <v>144</v>
      </c>
      <c r="AS24" s="762"/>
      <c r="AT24" s="762"/>
      <c r="AU24" s="762"/>
      <c r="AV24" s="762"/>
      <c r="AW24" s="762"/>
      <c r="AX24" s="762"/>
      <c r="AY24" s="762"/>
      <c r="AZ24" s="762"/>
      <c r="BA24" s="762"/>
      <c r="BB24" s="762"/>
      <c r="BC24" s="762"/>
      <c r="BD24" s="762"/>
    </row>
    <row r="25" spans="6:56" s="177" customFormat="1" ht="16.350000000000001" customHeight="1">
      <c r="G25" s="743" t="s">
        <v>145</v>
      </c>
      <c r="H25" s="743"/>
      <c r="I25" s="743"/>
      <c r="J25" s="743"/>
      <c r="K25" s="743"/>
      <c r="L25" s="743"/>
      <c r="M25" s="743"/>
      <c r="N25" s="743"/>
      <c r="O25" s="743"/>
      <c r="P25" s="743"/>
      <c r="Q25" s="743"/>
      <c r="R25"/>
      <c r="S25" s="56"/>
      <c r="AQ25" s="369"/>
      <c r="AR25" s="762"/>
      <c r="AS25" s="762"/>
      <c r="AT25" s="762"/>
      <c r="AU25" s="762"/>
      <c r="AV25" s="762"/>
      <c r="AW25" s="762"/>
      <c r="AX25" s="762"/>
      <c r="AY25" s="762"/>
      <c r="AZ25" s="762"/>
      <c r="BA25" s="762"/>
      <c r="BB25" s="762"/>
      <c r="BC25" s="762"/>
      <c r="BD25" s="762"/>
    </row>
    <row r="26" spans="6:56" s="177" customFormat="1" ht="16.350000000000001" customHeight="1">
      <c r="G26" s="743"/>
      <c r="H26" s="743"/>
      <c r="I26" s="743"/>
      <c r="J26" s="743"/>
      <c r="K26" s="743"/>
      <c r="L26" s="743"/>
      <c r="M26" s="743"/>
      <c r="N26" s="743"/>
      <c r="O26" s="743"/>
      <c r="P26" s="743"/>
      <c r="Q26" s="743"/>
      <c r="R26"/>
      <c r="S26" s="56"/>
      <c r="U26" s="743" t="s">
        <v>146</v>
      </c>
      <c r="V26" s="743"/>
      <c r="W26" s="743"/>
      <c r="X26" s="743"/>
      <c r="Y26" s="743"/>
      <c r="Z26" s="743"/>
      <c r="AA26" s="743"/>
      <c r="AB26" s="743"/>
      <c r="AC26" s="743"/>
      <c r="AD26" s="743"/>
      <c r="AE26" s="743"/>
      <c r="AF26" s="743"/>
      <c r="AG26" s="743"/>
      <c r="AH26" s="743"/>
      <c r="AI26" s="743"/>
      <c r="AJ26" s="743"/>
      <c r="AK26" s="743"/>
      <c r="AL26" s="743"/>
      <c r="AM26" s="743"/>
      <c r="AN26" s="743"/>
      <c r="AQ26" s="369"/>
      <c r="AR26" s="762"/>
      <c r="AS26" s="762"/>
      <c r="AT26" s="762"/>
      <c r="AU26" s="762"/>
      <c r="AV26" s="762"/>
      <c r="AW26" s="762"/>
      <c r="AX26" s="762"/>
      <c r="AY26" s="762"/>
      <c r="AZ26" s="762"/>
      <c r="BA26" s="762"/>
      <c r="BB26" s="762"/>
      <c r="BC26" s="762"/>
      <c r="BD26" s="762"/>
    </row>
    <row r="27" spans="6:56" s="177" customFormat="1" ht="16.350000000000001" customHeight="1">
      <c r="G27" s="743"/>
      <c r="H27" s="743"/>
      <c r="I27" s="743"/>
      <c r="J27" s="743"/>
      <c r="K27" s="743"/>
      <c r="L27" s="743"/>
      <c r="M27" s="743"/>
      <c r="N27" s="743"/>
      <c r="O27" s="743"/>
      <c r="P27" s="743"/>
      <c r="Q27" s="743"/>
      <c r="R27"/>
      <c r="S27" s="56"/>
      <c r="U27" s="743"/>
      <c r="V27" s="743"/>
      <c r="W27" s="743"/>
      <c r="X27" s="743"/>
      <c r="Y27" s="743"/>
      <c r="Z27" s="743"/>
      <c r="AA27" s="743"/>
      <c r="AB27" s="743"/>
      <c r="AC27" s="743"/>
      <c r="AD27" s="743"/>
      <c r="AE27" s="743"/>
      <c r="AF27" s="743"/>
      <c r="AG27" s="743"/>
      <c r="AH27" s="743"/>
      <c r="AI27" s="743"/>
      <c r="AJ27" s="743"/>
      <c r="AK27" s="743"/>
      <c r="AL27" s="743"/>
      <c r="AM27" s="743"/>
      <c r="AN27" s="743"/>
      <c r="AQ27" s="369"/>
      <c r="AR27" s="762"/>
      <c r="AS27" s="762"/>
      <c r="AT27" s="762"/>
      <c r="AU27" s="762"/>
      <c r="AV27" s="762"/>
      <c r="AW27" s="762"/>
      <c r="AX27" s="762"/>
      <c r="AY27" s="762"/>
      <c r="AZ27" s="762"/>
      <c r="BA27" s="762"/>
      <c r="BB27" s="762"/>
      <c r="BC27" s="762"/>
      <c r="BD27" s="762"/>
    </row>
    <row r="28" spans="6:56" s="177" customFormat="1" ht="16.350000000000001" customHeight="1">
      <c r="M28"/>
      <c r="N28"/>
      <c r="O28"/>
      <c r="P28"/>
      <c r="Q28"/>
      <c r="R28"/>
      <c r="S28" s="56"/>
      <c r="U28" s="743"/>
      <c r="V28" s="743"/>
      <c r="W28" s="743"/>
      <c r="X28" s="743"/>
      <c r="Y28" s="743"/>
      <c r="Z28" s="743"/>
      <c r="AA28" s="743"/>
      <c r="AB28" s="743"/>
      <c r="AC28" s="743"/>
      <c r="AD28" s="743"/>
      <c r="AE28" s="743"/>
      <c r="AF28" s="743"/>
      <c r="AG28" s="743"/>
      <c r="AH28" s="743"/>
      <c r="AI28" s="743"/>
      <c r="AJ28" s="743"/>
      <c r="AK28" s="743"/>
      <c r="AL28" s="743"/>
      <c r="AM28" s="743"/>
      <c r="AN28" s="743"/>
      <c r="AQ28" s="369"/>
      <c r="AR28" s="762"/>
      <c r="AS28" s="762"/>
      <c r="AT28" s="762"/>
      <c r="AU28" s="762"/>
      <c r="AV28" s="762"/>
      <c r="AW28" s="762"/>
      <c r="AX28" s="762"/>
      <c r="AY28" s="762"/>
      <c r="AZ28" s="762"/>
      <c r="BA28" s="762"/>
      <c r="BB28" s="762"/>
      <c r="BC28" s="762"/>
      <c r="BD28" s="762"/>
    </row>
    <row r="29" spans="6:56" s="177" customFormat="1" ht="16.350000000000001" customHeight="1">
      <c r="M29"/>
      <c r="N29"/>
      <c r="O29"/>
      <c r="P29"/>
      <c r="Q29"/>
      <c r="R29"/>
      <c r="S29" s="56"/>
      <c r="U29" s="743"/>
      <c r="V29" s="743"/>
      <c r="W29" s="743"/>
      <c r="X29" s="743"/>
      <c r="Y29" s="743"/>
      <c r="Z29" s="743"/>
      <c r="AA29" s="743"/>
      <c r="AB29" s="743"/>
      <c r="AC29" s="743"/>
      <c r="AD29" s="743"/>
      <c r="AE29" s="743"/>
      <c r="AF29" s="743"/>
      <c r="AG29" s="743"/>
      <c r="AH29" s="743"/>
      <c r="AI29" s="743"/>
      <c r="AJ29" s="743"/>
      <c r="AK29" s="743"/>
      <c r="AL29" s="743"/>
      <c r="AM29" s="743"/>
      <c r="AN29" s="743"/>
      <c r="AQ29" s="369"/>
      <c r="AR29" s="762"/>
      <c r="AS29" s="762"/>
      <c r="AT29" s="762"/>
      <c r="AU29" s="762"/>
      <c r="AV29" s="762"/>
      <c r="AW29" s="762"/>
      <c r="AX29" s="762"/>
      <c r="AY29" s="762"/>
      <c r="AZ29" s="762"/>
      <c r="BA29" s="762"/>
      <c r="BB29" s="762"/>
      <c r="BC29" s="762"/>
      <c r="BD29" s="762"/>
    </row>
    <row r="30" spans="6:56" s="177" customFormat="1" ht="16.350000000000001" customHeight="1">
      <c r="M30"/>
      <c r="N30"/>
      <c r="O30"/>
      <c r="P30"/>
      <c r="Q30"/>
      <c r="R30"/>
      <c r="S30" s="56"/>
      <c r="U30" s="743"/>
      <c r="V30" s="743"/>
      <c r="W30" s="743"/>
      <c r="X30" s="743"/>
      <c r="Y30" s="743"/>
      <c r="Z30" s="743"/>
      <c r="AA30" s="743"/>
      <c r="AB30" s="743"/>
      <c r="AC30" s="743"/>
      <c r="AD30" s="743"/>
      <c r="AE30" s="743"/>
      <c r="AF30" s="743"/>
      <c r="AG30" s="743"/>
      <c r="AH30" s="743"/>
      <c r="AI30" s="743"/>
      <c r="AJ30" s="743"/>
      <c r="AK30" s="743"/>
      <c r="AL30" s="743"/>
      <c r="AM30" s="743"/>
      <c r="AN30" s="743"/>
      <c r="AQ30" s="369"/>
    </row>
    <row r="31" spans="6:56" s="177" customFormat="1" ht="16.350000000000001" customHeight="1">
      <c r="M31"/>
      <c r="N31"/>
      <c r="O31"/>
      <c r="P31"/>
      <c r="Q31"/>
      <c r="R31"/>
      <c r="S31" s="56"/>
      <c r="U31" s="743"/>
      <c r="V31" s="743"/>
      <c r="W31" s="743"/>
      <c r="X31" s="743"/>
      <c r="Y31" s="743"/>
      <c r="Z31" s="743"/>
      <c r="AA31" s="743"/>
      <c r="AB31" s="743"/>
      <c r="AC31" s="743"/>
      <c r="AD31" s="743"/>
      <c r="AE31" s="743"/>
      <c r="AF31" s="743"/>
      <c r="AG31" s="743"/>
      <c r="AH31" s="743"/>
      <c r="AI31" s="743"/>
      <c r="AJ31" s="743"/>
      <c r="AK31" s="743"/>
      <c r="AL31" s="743"/>
      <c r="AM31" s="743"/>
      <c r="AN31" s="743"/>
      <c r="AQ31" s="369"/>
    </row>
    <row r="32" spans="6:56" s="177" customFormat="1" ht="16.350000000000001" customHeight="1">
      <c r="M32"/>
      <c r="N32"/>
      <c r="O32"/>
      <c r="P32"/>
      <c r="Q32"/>
      <c r="R32"/>
      <c r="S32" s="56"/>
      <c r="U32" s="743"/>
      <c r="V32" s="743"/>
      <c r="W32" s="743"/>
      <c r="X32" s="743"/>
      <c r="Y32" s="743"/>
      <c r="Z32" s="743"/>
      <c r="AA32" s="743"/>
      <c r="AB32" s="743"/>
      <c r="AC32" s="743"/>
      <c r="AD32" s="743"/>
      <c r="AE32" s="743"/>
      <c r="AF32" s="743"/>
      <c r="AG32" s="743"/>
      <c r="AH32" s="743"/>
      <c r="AI32" s="743"/>
      <c r="AJ32" s="743"/>
      <c r="AK32" s="743"/>
      <c r="AL32" s="743"/>
      <c r="AM32" s="743"/>
      <c r="AN32" s="743"/>
      <c r="AQ32" s="369"/>
      <c r="AR32" s="762" t="s">
        <v>147</v>
      </c>
      <c r="AS32" s="762"/>
      <c r="AT32" s="762"/>
      <c r="AU32" s="762"/>
      <c r="AV32" s="762"/>
      <c r="AW32" s="762"/>
      <c r="AX32" s="762"/>
      <c r="AY32" s="762"/>
      <c r="AZ32" s="762"/>
      <c r="BA32" s="762"/>
      <c r="BB32" s="762"/>
      <c r="BC32" s="762"/>
      <c r="BD32" s="762"/>
    </row>
    <row r="33" spans="7:63" s="177" customFormat="1" ht="16.350000000000001" customHeight="1">
      <c r="M33"/>
      <c r="N33"/>
      <c r="O33"/>
      <c r="P33"/>
      <c r="Q33"/>
      <c r="R33"/>
      <c r="S33" s="56"/>
      <c r="AQ33" s="369"/>
      <c r="AR33" s="762"/>
      <c r="AS33" s="762"/>
      <c r="AT33" s="762"/>
      <c r="AU33" s="762"/>
      <c r="AV33" s="762"/>
      <c r="AW33" s="762"/>
      <c r="AX33" s="762"/>
      <c r="AY33" s="762"/>
      <c r="AZ33" s="762"/>
      <c r="BA33" s="762"/>
      <c r="BB33" s="762"/>
      <c r="BC33" s="762"/>
      <c r="BD33" s="762"/>
    </row>
    <row r="34" spans="7:63" s="177" customFormat="1" ht="16.350000000000001" customHeight="1">
      <c r="M34"/>
      <c r="N34"/>
      <c r="O34"/>
      <c r="P34"/>
      <c r="Q34"/>
      <c r="R34"/>
      <c r="S34" s="56"/>
      <c r="U34" s="742" t="s">
        <v>148</v>
      </c>
      <c r="V34" s="742"/>
      <c r="W34" s="742"/>
      <c r="X34" s="742"/>
      <c r="Y34" s="742"/>
      <c r="Z34" s="742"/>
      <c r="AA34" s="742"/>
      <c r="AB34" s="742"/>
      <c r="AC34" s="742"/>
      <c r="AD34" s="742"/>
      <c r="AE34" s="742"/>
      <c r="AQ34" s="369"/>
      <c r="AR34" s="762"/>
      <c r="AS34" s="762"/>
      <c r="AT34" s="762"/>
      <c r="AU34" s="762"/>
      <c r="AV34" s="762"/>
      <c r="AW34" s="762"/>
      <c r="AX34" s="762"/>
      <c r="AY34" s="762"/>
      <c r="AZ34" s="762"/>
      <c r="BA34" s="762"/>
      <c r="BB34" s="762"/>
      <c r="BC34" s="762"/>
      <c r="BD34" s="762"/>
    </row>
    <row r="35" spans="7:63" s="177" customFormat="1" ht="16.350000000000001" customHeight="1">
      <c r="M35"/>
      <c r="N35"/>
      <c r="O35"/>
      <c r="P35"/>
      <c r="Q35"/>
      <c r="R35"/>
      <c r="S35" s="56"/>
      <c r="U35" s="742"/>
      <c r="V35" s="742"/>
      <c r="W35" s="742"/>
      <c r="X35" s="742"/>
      <c r="Y35" s="742"/>
      <c r="Z35" s="742"/>
      <c r="AA35" s="742"/>
      <c r="AB35" s="742"/>
      <c r="AC35" s="742"/>
      <c r="AD35" s="742"/>
      <c r="AE35" s="742"/>
      <c r="AQ35" s="369"/>
      <c r="AR35" s="762"/>
      <c r="AS35" s="762"/>
      <c r="AT35" s="762"/>
      <c r="AU35" s="762"/>
      <c r="AV35" s="762"/>
      <c r="AW35" s="762"/>
      <c r="AX35" s="762"/>
      <c r="AY35" s="762"/>
      <c r="AZ35" s="762"/>
      <c r="BA35" s="762"/>
      <c r="BB35" s="762"/>
      <c r="BC35" s="762"/>
      <c r="BD35" s="762"/>
    </row>
    <row r="36" spans="7:63" s="177" customFormat="1" ht="16.350000000000001" customHeight="1">
      <c r="M36"/>
      <c r="N36"/>
      <c r="O36"/>
      <c r="P36"/>
      <c r="Q36"/>
      <c r="R36"/>
      <c r="S36" s="56"/>
      <c r="AQ36" s="369"/>
      <c r="AR36" s="762"/>
      <c r="AS36" s="762"/>
      <c r="AT36" s="762"/>
      <c r="AU36" s="762"/>
      <c r="AV36" s="762"/>
      <c r="AW36" s="762"/>
      <c r="AX36" s="762"/>
      <c r="AY36" s="762"/>
      <c r="AZ36" s="762"/>
      <c r="BA36" s="762"/>
      <c r="BB36" s="762"/>
      <c r="BC36" s="762"/>
      <c r="BD36" s="762"/>
    </row>
    <row r="37" spans="7:63" s="177" customFormat="1" ht="16.350000000000001" customHeight="1">
      <c r="G37" s="743" t="s">
        <v>149</v>
      </c>
      <c r="H37" s="743"/>
      <c r="I37" s="743"/>
      <c r="J37" s="743"/>
      <c r="K37" s="743"/>
      <c r="L37" s="743"/>
      <c r="M37" s="743"/>
      <c r="N37" s="743"/>
      <c r="O37" s="743"/>
      <c r="P37" s="743"/>
      <c r="Q37" s="743"/>
      <c r="R37"/>
      <c r="S37" s="56"/>
      <c r="U37" s="743" t="s">
        <v>150</v>
      </c>
      <c r="V37" s="743"/>
      <c r="W37" s="743"/>
      <c r="X37" s="743"/>
      <c r="Y37" s="743"/>
      <c r="Z37" s="743"/>
      <c r="AA37" s="743"/>
      <c r="AB37" s="743"/>
      <c r="AC37" s="743"/>
      <c r="AD37" s="743"/>
      <c r="AE37" s="743"/>
      <c r="AF37" s="743"/>
      <c r="AG37" s="743"/>
      <c r="AH37" s="743"/>
      <c r="AI37" s="743"/>
      <c r="AJ37" s="743"/>
      <c r="AK37" s="743"/>
      <c r="AL37" s="743"/>
      <c r="AM37" s="743"/>
      <c r="AN37" s="743"/>
      <c r="AO37" s="743"/>
      <c r="AQ37" s="369"/>
      <c r="AR37" s="762"/>
      <c r="AS37" s="762"/>
      <c r="AT37" s="762"/>
      <c r="AU37" s="762"/>
      <c r="AV37" s="762"/>
      <c r="AW37" s="762"/>
      <c r="AX37" s="762"/>
      <c r="AY37" s="762"/>
      <c r="AZ37" s="762"/>
      <c r="BA37" s="762"/>
      <c r="BB37" s="762"/>
      <c r="BC37" s="762"/>
      <c r="BD37" s="762"/>
    </row>
    <row r="38" spans="7:63" s="177" customFormat="1" ht="16.350000000000001" customHeight="1">
      <c r="G38" s="743"/>
      <c r="H38" s="743"/>
      <c r="I38" s="743"/>
      <c r="J38" s="743"/>
      <c r="K38" s="743"/>
      <c r="L38" s="743"/>
      <c r="M38" s="743"/>
      <c r="N38" s="743"/>
      <c r="O38" s="743"/>
      <c r="P38" s="743"/>
      <c r="Q38" s="743"/>
      <c r="R38"/>
      <c r="S38" s="56"/>
      <c r="U38" s="743"/>
      <c r="V38" s="743"/>
      <c r="W38" s="743"/>
      <c r="X38" s="743"/>
      <c r="Y38" s="743"/>
      <c r="Z38" s="743"/>
      <c r="AA38" s="743"/>
      <c r="AB38" s="743"/>
      <c r="AC38" s="743"/>
      <c r="AD38" s="743"/>
      <c r="AE38" s="743"/>
      <c r="AF38" s="743"/>
      <c r="AG38" s="743"/>
      <c r="AH38" s="743"/>
      <c r="AI38" s="743"/>
      <c r="AJ38" s="743"/>
      <c r="AK38" s="743"/>
      <c r="AL38" s="743"/>
      <c r="AM38" s="743"/>
      <c r="AN38" s="743"/>
      <c r="AO38" s="743"/>
      <c r="AQ38" s="369"/>
    </row>
    <row r="39" spans="7:63" s="177" customFormat="1" ht="16.350000000000001" customHeight="1">
      <c r="G39" s="743"/>
      <c r="H39" s="743"/>
      <c r="I39" s="743"/>
      <c r="J39" s="743"/>
      <c r="K39" s="743"/>
      <c r="L39" s="743"/>
      <c r="M39" s="743"/>
      <c r="N39" s="743"/>
      <c r="O39" s="743"/>
      <c r="P39" s="743"/>
      <c r="Q39" s="743"/>
      <c r="R39"/>
      <c r="S39" s="56"/>
      <c r="U39" s="743"/>
      <c r="V39" s="743"/>
      <c r="W39" s="743"/>
      <c r="X39" s="743"/>
      <c r="Y39" s="743"/>
      <c r="Z39" s="743"/>
      <c r="AA39" s="743"/>
      <c r="AB39" s="743"/>
      <c r="AC39" s="743"/>
      <c r="AD39" s="743"/>
      <c r="AE39" s="743"/>
      <c r="AF39" s="743"/>
      <c r="AG39" s="743"/>
      <c r="AH39" s="743"/>
      <c r="AI39" s="743"/>
      <c r="AJ39" s="743"/>
      <c r="AK39" s="743"/>
      <c r="AL39" s="743"/>
      <c r="AM39" s="743"/>
      <c r="AN39" s="743"/>
      <c r="AO39" s="743"/>
      <c r="AQ39" s="369"/>
    </row>
    <row r="40" spans="7:63" s="177" customFormat="1" ht="16.350000000000001" customHeight="1">
      <c r="G40" s="758" t="s">
        <v>151</v>
      </c>
      <c r="H40" s="758"/>
      <c r="I40" s="758"/>
      <c r="J40" s="758"/>
      <c r="K40" s="758"/>
      <c r="L40" s="758"/>
      <c r="M40" s="758"/>
      <c r="N40" s="758"/>
      <c r="O40" s="758"/>
      <c r="P40" s="758"/>
      <c r="Q40" s="758"/>
      <c r="R40"/>
      <c r="S40" s="56"/>
      <c r="U40" s="743" t="s">
        <v>152</v>
      </c>
      <c r="V40" s="743"/>
      <c r="W40" s="743"/>
      <c r="X40" s="743"/>
      <c r="Y40" s="743"/>
      <c r="Z40" s="743"/>
      <c r="AA40" s="743"/>
      <c r="AB40" s="743"/>
      <c r="AC40" s="743"/>
      <c r="AD40" s="743"/>
      <c r="AE40" s="743"/>
      <c r="AF40" s="743"/>
      <c r="AG40" s="743"/>
      <c r="AH40" s="743"/>
      <c r="AI40" s="743"/>
      <c r="AJ40" s="743"/>
      <c r="AK40" s="743"/>
      <c r="AL40" s="743"/>
      <c r="AM40" s="743"/>
      <c r="AN40" s="743"/>
      <c r="AO40" s="743"/>
      <c r="AQ40" s="369"/>
    </row>
    <row r="41" spans="7:63" s="177" customFormat="1" ht="16.350000000000001" customHeight="1">
      <c r="G41" s="758"/>
      <c r="H41" s="758"/>
      <c r="I41" s="758"/>
      <c r="J41" s="758"/>
      <c r="K41" s="758"/>
      <c r="L41" s="758"/>
      <c r="M41" s="758"/>
      <c r="N41" s="758"/>
      <c r="O41" s="758"/>
      <c r="P41" s="758"/>
      <c r="Q41" s="758"/>
      <c r="R41"/>
      <c r="S41" s="56"/>
      <c r="U41" s="743"/>
      <c r="V41" s="743"/>
      <c r="W41" s="743"/>
      <c r="X41" s="743"/>
      <c r="Y41" s="743"/>
      <c r="Z41" s="743"/>
      <c r="AA41" s="743"/>
      <c r="AB41" s="743"/>
      <c r="AC41" s="743"/>
      <c r="AD41" s="743"/>
      <c r="AE41" s="743"/>
      <c r="AF41" s="743"/>
      <c r="AG41" s="743"/>
      <c r="AH41" s="743"/>
      <c r="AI41" s="743"/>
      <c r="AJ41" s="743"/>
      <c r="AK41" s="743"/>
      <c r="AL41" s="743"/>
      <c r="AM41" s="743"/>
      <c r="AN41" s="743"/>
      <c r="AO41" s="743"/>
      <c r="AQ41" s="369"/>
    </row>
    <row r="42" spans="7:63" s="177" customFormat="1" ht="16.350000000000001" customHeight="1">
      <c r="G42" s="758"/>
      <c r="H42" s="758"/>
      <c r="I42" s="758"/>
      <c r="J42" s="758"/>
      <c r="K42" s="758"/>
      <c r="L42" s="758"/>
      <c r="M42" s="758"/>
      <c r="N42" s="758"/>
      <c r="O42" s="758"/>
      <c r="P42" s="758"/>
      <c r="Q42" s="758"/>
      <c r="R42"/>
      <c r="S42" s="56"/>
      <c r="U42" s="743"/>
      <c r="V42" s="743"/>
      <c r="W42" s="743"/>
      <c r="X42" s="743"/>
      <c r="Y42" s="743"/>
      <c r="Z42" s="743"/>
      <c r="AA42" s="743"/>
      <c r="AB42" s="743"/>
      <c r="AC42" s="743"/>
      <c r="AD42" s="743"/>
      <c r="AE42" s="743"/>
      <c r="AF42" s="743"/>
      <c r="AG42" s="743"/>
      <c r="AH42" s="743"/>
      <c r="AI42" s="743"/>
      <c r="AJ42" s="743"/>
      <c r="AK42" s="743"/>
      <c r="AL42" s="743"/>
      <c r="AM42" s="743"/>
      <c r="AN42" s="743"/>
      <c r="AO42" s="743"/>
      <c r="AQ42" s="369"/>
    </row>
    <row r="43" spans="7:63" s="177" customFormat="1" ht="16.350000000000001" customHeight="1">
      <c r="M43"/>
      <c r="N43"/>
      <c r="O43"/>
      <c r="P43"/>
      <c r="Q43"/>
      <c r="R43"/>
      <c r="S43" s="56"/>
      <c r="U43" s="743"/>
      <c r="V43" s="743"/>
      <c r="W43" s="743"/>
      <c r="X43" s="743"/>
      <c r="Y43" s="743"/>
      <c r="Z43" s="743"/>
      <c r="AA43" s="743"/>
      <c r="AB43" s="743"/>
      <c r="AC43" s="743"/>
      <c r="AD43" s="743"/>
      <c r="AE43" s="743"/>
      <c r="AF43" s="743"/>
      <c r="AG43" s="743"/>
      <c r="AH43" s="743"/>
      <c r="AI43" s="743"/>
      <c r="AJ43" s="743"/>
      <c r="AK43" s="743"/>
      <c r="AL43" s="743"/>
      <c r="AM43" s="743"/>
      <c r="AN43" s="743"/>
      <c r="AO43" s="743"/>
      <c r="AQ43" s="369"/>
    </row>
    <row r="44" spans="7:63" s="177" customFormat="1" ht="16.350000000000001" customHeight="1">
      <c r="M44"/>
      <c r="N44"/>
      <c r="O44"/>
      <c r="P44"/>
      <c r="Q44"/>
      <c r="R44"/>
      <c r="S44" s="56"/>
      <c r="U44" s="743" t="s">
        <v>153</v>
      </c>
      <c r="V44" s="743"/>
      <c r="W44" s="743"/>
      <c r="X44" s="743"/>
      <c r="Y44" s="743"/>
      <c r="Z44" s="743"/>
      <c r="AA44" s="743"/>
      <c r="AB44" s="743"/>
      <c r="AC44" s="743"/>
      <c r="AD44" s="743"/>
      <c r="AE44" s="743"/>
      <c r="AF44" s="743"/>
      <c r="AG44" s="743"/>
      <c r="AH44" s="743"/>
      <c r="AI44" s="743"/>
      <c r="AJ44" s="743"/>
      <c r="AK44" s="743"/>
      <c r="AL44" s="743"/>
      <c r="AM44" s="743"/>
      <c r="AN44" s="743"/>
      <c r="AO44" s="743"/>
      <c r="AQ44" s="369"/>
    </row>
    <row r="45" spans="7:63" s="177" customFormat="1" ht="16.350000000000001" customHeight="1">
      <c r="M45"/>
      <c r="N45"/>
      <c r="O45"/>
      <c r="P45"/>
      <c r="Q45"/>
      <c r="R45"/>
      <c r="S45" s="56"/>
      <c r="U45" s="743"/>
      <c r="V45" s="743"/>
      <c r="W45" s="743"/>
      <c r="X45" s="743"/>
      <c r="Y45" s="743"/>
      <c r="Z45" s="743"/>
      <c r="AA45" s="743"/>
      <c r="AB45" s="743"/>
      <c r="AC45" s="743"/>
      <c r="AD45" s="743"/>
      <c r="AE45" s="743"/>
      <c r="AF45" s="743"/>
      <c r="AG45" s="743"/>
      <c r="AH45" s="743"/>
      <c r="AI45" s="743"/>
      <c r="AJ45" s="743"/>
      <c r="AK45" s="743"/>
      <c r="AL45" s="743"/>
      <c r="AM45" s="743"/>
      <c r="AN45" s="743"/>
      <c r="AO45" s="743"/>
      <c r="AQ45" s="369"/>
      <c r="AR45" s="741" t="s">
        <v>154</v>
      </c>
      <c r="AS45" s="741"/>
      <c r="AT45" s="741"/>
      <c r="AU45" s="741"/>
      <c r="AV45" s="741"/>
      <c r="AW45" s="741"/>
      <c r="AX45" s="741"/>
      <c r="AY45" s="741"/>
      <c r="AZ45" s="741"/>
      <c r="BA45" s="741"/>
      <c r="BB45" s="741"/>
      <c r="BC45" s="741"/>
      <c r="BD45" s="741"/>
    </row>
    <row r="46" spans="7:63" s="177" customFormat="1" ht="16.350000000000001" customHeight="1">
      <c r="M46"/>
      <c r="N46"/>
      <c r="O46"/>
      <c r="P46"/>
      <c r="Q46"/>
      <c r="R46"/>
      <c r="S46" s="56"/>
      <c r="U46" s="743"/>
      <c r="V46" s="743"/>
      <c r="W46" s="743"/>
      <c r="X46" s="743"/>
      <c r="Y46" s="743"/>
      <c r="Z46" s="743"/>
      <c r="AA46" s="743"/>
      <c r="AB46" s="743"/>
      <c r="AC46" s="743"/>
      <c r="AD46" s="743"/>
      <c r="AE46" s="743"/>
      <c r="AF46" s="743"/>
      <c r="AG46" s="743"/>
      <c r="AH46" s="743"/>
      <c r="AI46" s="743"/>
      <c r="AJ46" s="743"/>
      <c r="AK46" s="743"/>
      <c r="AL46" s="743"/>
      <c r="AM46" s="743"/>
      <c r="AN46" s="743"/>
      <c r="AO46" s="743"/>
      <c r="AQ46" s="369"/>
      <c r="AR46" s="741"/>
      <c r="AS46" s="741"/>
      <c r="AT46" s="741"/>
      <c r="AU46" s="741"/>
      <c r="AV46" s="741"/>
      <c r="AW46" s="741"/>
      <c r="AX46" s="741"/>
      <c r="AY46" s="741"/>
      <c r="AZ46" s="741"/>
      <c r="BA46" s="741"/>
      <c r="BB46" s="741"/>
      <c r="BC46" s="741"/>
      <c r="BD46" s="741"/>
    </row>
    <row r="47" spans="7:63" s="177" customFormat="1" ht="16.350000000000001" customHeight="1">
      <c r="M47"/>
      <c r="N47"/>
      <c r="O47"/>
      <c r="P47"/>
      <c r="Q47"/>
      <c r="R47"/>
      <c r="S47" s="56"/>
      <c r="U47"/>
      <c r="V47"/>
      <c r="W47"/>
      <c r="X47"/>
      <c r="Y47"/>
      <c r="Z47"/>
      <c r="AA47"/>
      <c r="AB47"/>
      <c r="AC47"/>
      <c r="AD47"/>
      <c r="AE47"/>
      <c r="AF47"/>
      <c r="AG47"/>
      <c r="AH47"/>
      <c r="AI47"/>
      <c r="AJ47"/>
      <c r="AK47"/>
      <c r="AL47"/>
      <c r="AM47"/>
      <c r="AN47"/>
      <c r="AQ47" s="369"/>
      <c r="AR47" s="762" t="s">
        <v>155</v>
      </c>
      <c r="AS47" s="762"/>
      <c r="AT47" s="762"/>
      <c r="AU47" s="762"/>
      <c r="AV47" s="762"/>
      <c r="AW47" s="762"/>
      <c r="AX47" s="762"/>
      <c r="AY47" s="762"/>
      <c r="AZ47" s="762"/>
      <c r="BA47" s="762"/>
      <c r="BB47" s="762"/>
      <c r="BC47" s="762"/>
      <c r="BD47" s="762"/>
      <c r="BE47" s="584"/>
      <c r="BF47" s="584"/>
      <c r="BG47" s="584"/>
      <c r="BH47" s="584"/>
      <c r="BI47" s="584"/>
      <c r="BJ47" s="584"/>
      <c r="BK47" s="584"/>
    </row>
    <row r="48" spans="7:63" s="177" customFormat="1" ht="16.350000000000001" customHeight="1">
      <c r="M48"/>
      <c r="N48"/>
      <c r="O48"/>
      <c r="P48"/>
      <c r="Q48"/>
      <c r="R48"/>
      <c r="S48" s="56"/>
      <c r="U48"/>
      <c r="V48"/>
      <c r="W48"/>
      <c r="X48"/>
      <c r="Y48"/>
      <c r="Z48"/>
      <c r="AA48"/>
      <c r="AB48"/>
      <c r="AC48"/>
      <c r="AD48"/>
      <c r="AE48"/>
      <c r="AF48"/>
      <c r="AG48"/>
      <c r="AH48"/>
      <c r="AI48"/>
      <c r="AJ48"/>
      <c r="AK48"/>
      <c r="AL48"/>
      <c r="AM48"/>
      <c r="AN48"/>
      <c r="AQ48" s="369"/>
      <c r="AR48" s="762"/>
      <c r="AS48" s="762"/>
      <c r="AT48" s="762"/>
      <c r="AU48" s="762"/>
      <c r="AV48" s="762"/>
      <c r="AW48" s="762"/>
      <c r="AX48" s="762"/>
      <c r="AY48" s="762"/>
      <c r="AZ48" s="762"/>
      <c r="BA48" s="762"/>
      <c r="BB48" s="762"/>
      <c r="BC48" s="762"/>
      <c r="BD48" s="762"/>
      <c r="BE48" s="584"/>
      <c r="BF48" s="584"/>
      <c r="BG48" s="584"/>
      <c r="BH48" s="584"/>
      <c r="BI48" s="584"/>
      <c r="BJ48" s="584"/>
      <c r="BK48" s="584"/>
    </row>
    <row r="49" spans="1:63" ht="16.350000000000001" customHeight="1">
      <c r="A49" s="177"/>
      <c r="B49" s="177"/>
      <c r="C49" s="177"/>
      <c r="D49" s="177"/>
      <c r="E49" s="177"/>
      <c r="F49" s="177"/>
      <c r="G49" s="177"/>
      <c r="H49" s="177"/>
      <c r="I49" s="177"/>
      <c r="J49" s="177"/>
      <c r="K49" s="177"/>
      <c r="L49" s="177"/>
      <c r="M49"/>
      <c r="N49"/>
      <c r="O49"/>
      <c r="P49"/>
      <c r="Q49"/>
      <c r="R49"/>
      <c r="S49" s="56"/>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369"/>
      <c r="AR49" s="762"/>
      <c r="AS49" s="762"/>
      <c r="AT49" s="762"/>
      <c r="AU49" s="762"/>
      <c r="AV49" s="762"/>
      <c r="AW49" s="762"/>
      <c r="AX49" s="762"/>
      <c r="AY49" s="762"/>
      <c r="AZ49" s="762"/>
      <c r="BA49" s="762"/>
      <c r="BB49" s="762"/>
      <c r="BC49" s="762"/>
      <c r="BD49" s="762"/>
      <c r="BE49" s="584"/>
      <c r="BF49" s="584"/>
      <c r="BG49" s="584"/>
      <c r="BH49" s="584"/>
      <c r="BI49" s="584"/>
      <c r="BJ49" s="584"/>
      <c r="BK49" s="584"/>
    </row>
    <row r="50" spans="1:63" ht="16.350000000000001" customHeight="1">
      <c r="A50" s="177"/>
      <c r="B50" s="177"/>
      <c r="C50" s="177"/>
      <c r="D50" s="177"/>
      <c r="E50" s="177"/>
      <c r="F50" s="177"/>
      <c r="G50" s="743" t="s">
        <v>156</v>
      </c>
      <c r="H50" s="743"/>
      <c r="I50" s="743"/>
      <c r="J50" s="743"/>
      <c r="K50" s="743"/>
      <c r="L50" s="743"/>
      <c r="M50" s="743"/>
      <c r="N50" s="743"/>
      <c r="O50" s="743"/>
      <c r="P50" s="743"/>
      <c r="Q50" s="743"/>
      <c r="R50"/>
      <c r="S50" s="56"/>
      <c r="T50" s="177"/>
      <c r="U50"/>
      <c r="V50"/>
      <c r="W50"/>
      <c r="X50"/>
      <c r="Y50"/>
      <c r="Z50"/>
      <c r="AA50"/>
      <c r="AB50"/>
      <c r="AC50"/>
      <c r="AD50"/>
      <c r="AE50"/>
      <c r="AF50"/>
      <c r="AG50"/>
      <c r="AH50"/>
      <c r="AI50"/>
      <c r="AJ50"/>
      <c r="AK50"/>
      <c r="AL50"/>
      <c r="AM50"/>
      <c r="AN50"/>
      <c r="AO50"/>
      <c r="AP50" s="177"/>
      <c r="AQ50" s="369"/>
      <c r="AR50" s="762"/>
      <c r="AS50" s="762"/>
      <c r="AT50" s="762"/>
      <c r="AU50" s="762"/>
      <c r="AV50" s="762"/>
      <c r="AW50" s="762"/>
      <c r="AX50" s="762"/>
      <c r="AY50" s="762"/>
      <c r="AZ50" s="762"/>
      <c r="BA50" s="762"/>
      <c r="BB50" s="762"/>
      <c r="BC50" s="762"/>
      <c r="BD50" s="762"/>
      <c r="BE50" s="584"/>
      <c r="BF50" s="584"/>
      <c r="BG50" s="584"/>
      <c r="BH50" s="584"/>
      <c r="BI50" s="584"/>
      <c r="BJ50" s="584"/>
      <c r="BK50" s="584"/>
    </row>
    <row r="51" spans="1:63" ht="16.350000000000001" customHeight="1">
      <c r="A51" s="177"/>
      <c r="B51" s="177"/>
      <c r="C51" s="177"/>
      <c r="D51" s="177"/>
      <c r="E51" s="177"/>
      <c r="F51" s="177"/>
      <c r="G51" s="743"/>
      <c r="H51" s="743"/>
      <c r="I51" s="743"/>
      <c r="J51" s="743"/>
      <c r="K51" s="743"/>
      <c r="L51" s="743"/>
      <c r="M51" s="743"/>
      <c r="N51" s="743"/>
      <c r="O51" s="743"/>
      <c r="P51" s="743"/>
      <c r="Q51" s="743"/>
      <c r="R51"/>
      <c r="S51" s="56"/>
      <c r="T51" s="177"/>
      <c r="U51"/>
      <c r="V51"/>
      <c r="W51"/>
      <c r="X51"/>
      <c r="Y51"/>
      <c r="Z51"/>
      <c r="AA51"/>
      <c r="AB51"/>
      <c r="AC51"/>
      <c r="AD51"/>
      <c r="AE51"/>
      <c r="AF51"/>
      <c r="AG51"/>
      <c r="AH51"/>
      <c r="AI51"/>
      <c r="AJ51"/>
      <c r="AK51"/>
      <c r="AL51"/>
      <c r="AM51"/>
      <c r="AN51"/>
      <c r="AO51"/>
      <c r="AP51" s="177"/>
      <c r="AQ51" s="369"/>
      <c r="AR51" s="762"/>
      <c r="AS51" s="762"/>
      <c r="AT51" s="762"/>
      <c r="AU51" s="762"/>
      <c r="AV51" s="762"/>
      <c r="AW51" s="762"/>
      <c r="AX51" s="762"/>
      <c r="AY51" s="762"/>
      <c r="AZ51" s="762"/>
      <c r="BA51" s="762"/>
      <c r="BB51" s="762"/>
      <c r="BC51" s="762"/>
      <c r="BD51" s="762"/>
      <c r="BE51" s="584"/>
      <c r="BF51" s="584"/>
      <c r="BG51" s="584"/>
      <c r="BH51" s="584"/>
      <c r="BI51" s="584"/>
      <c r="BJ51" s="584"/>
      <c r="BK51" s="584"/>
    </row>
    <row r="52" spans="1:63" ht="16.350000000000001" customHeight="1">
      <c r="A52" s="177"/>
      <c r="B52" s="177"/>
      <c r="C52" s="177"/>
      <c r="D52" s="177"/>
      <c r="E52" s="177"/>
      <c r="F52" s="177"/>
      <c r="G52" s="743"/>
      <c r="H52" s="743"/>
      <c r="I52" s="743"/>
      <c r="J52" s="743"/>
      <c r="K52" s="743"/>
      <c r="L52" s="743"/>
      <c r="M52" s="743"/>
      <c r="N52" s="743"/>
      <c r="O52" s="743"/>
      <c r="P52" s="743"/>
      <c r="Q52" s="743"/>
      <c r="R52"/>
      <c r="S52" s="56"/>
      <c r="T52" s="177"/>
      <c r="U52"/>
      <c r="V52"/>
      <c r="W52"/>
      <c r="X52"/>
      <c r="Y52"/>
      <c r="Z52"/>
      <c r="AA52"/>
      <c r="AB52"/>
      <c r="AC52"/>
      <c r="AD52"/>
      <c r="AE52"/>
      <c r="AF52"/>
      <c r="AG52"/>
      <c r="AH52"/>
      <c r="AI52"/>
      <c r="AJ52"/>
      <c r="AK52"/>
      <c r="AL52"/>
      <c r="AM52"/>
      <c r="AN52"/>
      <c r="AO52"/>
      <c r="AP52" s="177"/>
      <c r="AQ52" s="369"/>
      <c r="AR52" s="762"/>
      <c r="AS52" s="762"/>
      <c r="AT52" s="762"/>
      <c r="AU52" s="762"/>
      <c r="AV52" s="762"/>
      <c r="AW52" s="762"/>
      <c r="AX52" s="762"/>
      <c r="AY52" s="762"/>
      <c r="AZ52" s="762"/>
      <c r="BA52" s="762"/>
      <c r="BB52" s="762"/>
      <c r="BC52" s="762"/>
      <c r="BD52" s="762"/>
      <c r="BE52" s="584"/>
      <c r="BF52" s="584"/>
      <c r="BG52" s="584"/>
      <c r="BH52" s="584"/>
      <c r="BI52" s="584"/>
      <c r="BJ52" s="584"/>
      <c r="BK52" s="584"/>
    </row>
    <row r="53" spans="1:63" ht="16.350000000000001" customHeight="1">
      <c r="A53" s="177"/>
      <c r="B53" s="177"/>
      <c r="C53" s="177"/>
      <c r="D53" s="177"/>
      <c r="E53" s="177"/>
      <c r="F53" s="177"/>
      <c r="G53" s="177"/>
      <c r="H53" s="177"/>
      <c r="I53" s="177"/>
      <c r="J53" s="177"/>
      <c r="K53" s="177"/>
      <c r="L53" s="177"/>
      <c r="M53"/>
      <c r="N53"/>
      <c r="O53"/>
      <c r="P53"/>
      <c r="Q53"/>
      <c r="R53"/>
      <c r="S53" s="56"/>
      <c r="T53" s="177"/>
      <c r="U53"/>
      <c r="V53"/>
      <c r="W53"/>
      <c r="X53"/>
      <c r="Y53"/>
      <c r="Z53"/>
      <c r="AA53"/>
      <c r="AB53"/>
      <c r="AC53"/>
      <c r="AD53"/>
      <c r="AE53"/>
      <c r="AF53"/>
      <c r="AG53"/>
      <c r="AH53"/>
      <c r="AI53"/>
      <c r="AJ53"/>
      <c r="AK53"/>
      <c r="AL53"/>
      <c r="AM53"/>
      <c r="AN53"/>
      <c r="AO53"/>
      <c r="AP53" s="177"/>
      <c r="AQ53" s="369"/>
      <c r="AR53" s="762"/>
      <c r="AS53" s="762"/>
      <c r="AT53" s="762"/>
      <c r="AU53" s="762"/>
      <c r="AV53" s="762"/>
      <c r="AW53" s="762"/>
      <c r="AX53" s="762"/>
      <c r="AY53" s="762"/>
      <c r="AZ53" s="762"/>
      <c r="BA53" s="762"/>
      <c r="BB53" s="762"/>
      <c r="BC53" s="762"/>
      <c r="BD53" s="762"/>
      <c r="BE53" s="177"/>
      <c r="BF53" s="177"/>
      <c r="BG53" s="177"/>
    </row>
    <row r="54" spans="1:63" ht="16.350000000000001" customHeight="1">
      <c r="A54" s="177"/>
      <c r="B54" s="177"/>
      <c r="C54" s="177"/>
      <c r="D54" s="177"/>
      <c r="E54" s="177"/>
      <c r="F54" s="177"/>
      <c r="G54" s="177"/>
      <c r="H54" s="177"/>
      <c r="I54" s="177"/>
      <c r="J54" s="177"/>
      <c r="K54" s="177"/>
      <c r="L54" s="177"/>
      <c r="M54"/>
      <c r="N54"/>
      <c r="O54"/>
      <c r="P54"/>
      <c r="Q54"/>
      <c r="R54"/>
      <c r="S54" s="56"/>
      <c r="T54" s="177"/>
      <c r="U54"/>
      <c r="V54"/>
      <c r="W54"/>
      <c r="X54"/>
      <c r="Y54"/>
      <c r="Z54"/>
      <c r="AA54"/>
      <c r="AB54"/>
      <c r="AC54"/>
      <c r="AD54"/>
      <c r="AE54"/>
      <c r="AF54"/>
      <c r="AG54"/>
      <c r="AH54"/>
      <c r="AI54"/>
      <c r="AJ54"/>
      <c r="AK54"/>
      <c r="AL54"/>
      <c r="AM54"/>
      <c r="AN54"/>
      <c r="AO54"/>
      <c r="AP54" s="177"/>
      <c r="AQ54" s="369"/>
      <c r="AR54" s="762"/>
      <c r="AS54" s="762"/>
      <c r="AT54" s="762"/>
      <c r="AU54" s="762"/>
      <c r="AV54" s="762"/>
      <c r="AW54" s="762"/>
      <c r="AX54" s="762"/>
      <c r="AY54" s="762"/>
      <c r="AZ54" s="762"/>
      <c r="BA54" s="762"/>
      <c r="BB54" s="762"/>
      <c r="BC54" s="762"/>
      <c r="BD54" s="762"/>
      <c r="BE54" s="177"/>
      <c r="BF54" s="177"/>
      <c r="BG54" s="177"/>
    </row>
    <row r="55" spans="1:63" ht="16.350000000000001" customHeight="1">
      <c r="A55" s="177"/>
      <c r="B55" s="177"/>
      <c r="C55" s="177"/>
      <c r="D55" s="177"/>
      <c r="E55" s="177"/>
      <c r="F55" s="177"/>
      <c r="G55" s="177"/>
      <c r="H55" s="177"/>
      <c r="I55" s="177"/>
      <c r="J55" s="177"/>
      <c r="K55" s="177"/>
      <c r="L55" s="177"/>
      <c r="M55"/>
      <c r="N55"/>
      <c r="O55"/>
      <c r="P55"/>
      <c r="Q55"/>
      <c r="R55"/>
      <c r="S55" s="56"/>
      <c r="T55" s="177"/>
      <c r="U55"/>
      <c r="V55"/>
      <c r="W55"/>
      <c r="X55"/>
      <c r="Y55"/>
      <c r="Z55"/>
      <c r="AA55"/>
      <c r="AB55"/>
      <c r="AC55"/>
      <c r="AD55"/>
      <c r="AE55"/>
      <c r="AF55"/>
      <c r="AG55"/>
      <c r="AH55"/>
      <c r="AI55"/>
      <c r="AJ55"/>
      <c r="AK55"/>
      <c r="AL55"/>
      <c r="AM55"/>
      <c r="AN55"/>
      <c r="AO55"/>
      <c r="AP55" s="177"/>
      <c r="AQ55" s="369"/>
      <c r="AR55" s="762"/>
      <c r="AS55" s="762"/>
      <c r="AT55" s="762"/>
      <c r="AU55" s="762"/>
      <c r="AV55" s="762"/>
      <c r="AW55" s="762"/>
      <c r="AX55" s="762"/>
      <c r="AY55" s="762"/>
      <c r="AZ55" s="762"/>
      <c r="BA55" s="762"/>
      <c r="BB55" s="762"/>
      <c r="BC55" s="762"/>
      <c r="BD55" s="762"/>
      <c r="BE55" s="177"/>
      <c r="BF55" s="177"/>
      <c r="BG55" s="177"/>
    </row>
    <row r="56" spans="1:63" ht="16.350000000000001" customHeight="1">
      <c r="A56" s="177"/>
      <c r="B56" s="177"/>
      <c r="C56" s="177"/>
      <c r="D56" s="177"/>
      <c r="E56" s="177"/>
      <c r="F56" s="177"/>
      <c r="G56" s="177"/>
      <c r="H56" s="177"/>
      <c r="I56" s="177"/>
      <c r="J56" s="177"/>
      <c r="K56" s="177"/>
      <c r="L56" s="177"/>
      <c r="M56"/>
      <c r="N56"/>
      <c r="O56"/>
      <c r="P56"/>
      <c r="Q56"/>
      <c r="R56"/>
      <c r="S56"/>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row>
    <row r="57" spans="1:63" ht="16.350000000000001" hidden="1" customHeight="1">
      <c r="A57" s="177"/>
      <c r="B57" s="177"/>
      <c r="C57" s="177"/>
      <c r="D57" s="177"/>
      <c r="E57" s="177"/>
      <c r="F57" s="177"/>
      <c r="G57" s="177"/>
      <c r="H57" s="177"/>
      <c r="I57" s="177"/>
      <c r="J57" s="177"/>
      <c r="K57" s="177"/>
      <c r="L57" s="177"/>
      <c r="M57"/>
      <c r="N57"/>
      <c r="O57"/>
      <c r="P57"/>
      <c r="Q57"/>
      <c r="R57"/>
      <c r="S5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row>
    <row r="58" spans="1:63" ht="16.350000000000001" hidden="1" customHeight="1">
      <c r="A58" s="177"/>
      <c r="B58" s="177"/>
      <c r="C58" s="177"/>
      <c r="D58" s="177"/>
      <c r="E58" s="177"/>
      <c r="F58" s="177"/>
      <c r="G58" s="177"/>
      <c r="H58" s="177"/>
      <c r="I58" s="177"/>
      <c r="J58" s="177"/>
      <c r="K58" s="177"/>
      <c r="L58" s="177"/>
      <c r="M58"/>
      <c r="N58"/>
      <c r="O58"/>
      <c r="P58"/>
      <c r="Q58"/>
      <c r="R58"/>
      <c r="S58"/>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row>
    <row r="59" spans="1:63" ht="16.350000000000001" hidden="1" customHeight="1">
      <c r="A59" s="177"/>
      <c r="B59" s="177"/>
      <c r="C59" s="177"/>
      <c r="D59" s="177"/>
      <c r="E59" s="177"/>
      <c r="F59" s="177"/>
      <c r="G59" s="177"/>
      <c r="H59" s="177"/>
      <c r="I59" s="177"/>
      <c r="J59" s="177"/>
      <c r="K59" s="177"/>
      <c r="L59" s="177"/>
      <c r="M59"/>
      <c r="N59"/>
      <c r="O59"/>
      <c r="P59"/>
      <c r="Q59"/>
      <c r="R59"/>
      <c r="S59"/>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row>
    <row r="60" spans="1:63" ht="16.350000000000001" hidden="1" customHeight="1">
      <c r="A60" s="177"/>
      <c r="B60" s="177"/>
      <c r="C60" s="177"/>
      <c r="D60" s="177"/>
      <c r="E60" s="177"/>
      <c r="F60" s="177"/>
      <c r="G60" s="177"/>
      <c r="H60" s="177"/>
      <c r="I60" s="177"/>
      <c r="J60" s="177"/>
      <c r="K60" s="177"/>
      <c r="L60" s="177"/>
      <c r="M60"/>
      <c r="N60"/>
      <c r="O60"/>
      <c r="P60"/>
      <c r="Q60"/>
      <c r="R60"/>
      <c r="S60"/>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row>
    <row r="61" spans="1:63" ht="16.350000000000001" hidden="1" customHeight="1">
      <c r="A61" s="177"/>
      <c r="B61" s="177"/>
      <c r="C61" s="177"/>
      <c r="D61" s="177"/>
      <c r="E61" s="177"/>
      <c r="F61" s="177"/>
      <c r="G61" s="177"/>
      <c r="H61" s="177"/>
      <c r="I61" s="177"/>
      <c r="J61" s="177"/>
      <c r="K61" s="177"/>
      <c r="L61" s="177"/>
      <c r="M61"/>
      <c r="N61"/>
      <c r="O61"/>
      <c r="P61"/>
      <c r="Q61"/>
      <c r="R61"/>
      <c r="S61"/>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c r="BG61" s="177"/>
    </row>
    <row r="62" spans="1:63" ht="16.350000000000001" hidden="1" customHeight="1">
      <c r="A62" s="177"/>
      <c r="B62" s="177"/>
      <c r="C62" s="177"/>
      <c r="D62" s="177"/>
      <c r="E62" s="177"/>
      <c r="F62" s="177"/>
      <c r="G62" s="177"/>
      <c r="H62" s="177"/>
      <c r="I62" s="177"/>
      <c r="J62" s="177"/>
      <c r="K62" s="177"/>
      <c r="L62" s="177"/>
      <c r="M62"/>
      <c r="N62"/>
      <c r="O62"/>
      <c r="P62"/>
      <c r="Q62"/>
      <c r="R62"/>
      <c r="S62"/>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c r="BG62" s="177"/>
    </row>
    <row r="63" spans="1:63" ht="16.350000000000001" hidden="1" customHeight="1">
      <c r="A63" s="177"/>
      <c r="B63" s="177"/>
      <c r="C63" s="177"/>
      <c r="D63" s="177"/>
      <c r="E63" s="177"/>
      <c r="F63" s="177"/>
      <c r="G63" s="177"/>
      <c r="H63" s="177"/>
      <c r="I63" s="177"/>
      <c r="J63" s="177"/>
      <c r="K63" s="177"/>
      <c r="L63" s="177"/>
      <c r="M63"/>
      <c r="N63"/>
      <c r="O63"/>
      <c r="P63"/>
      <c r="Q63"/>
      <c r="R63"/>
      <c r="S63"/>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c r="BA63" s="177"/>
      <c r="BB63" s="177"/>
      <c r="BC63" s="177"/>
      <c r="BD63" s="177"/>
      <c r="BE63" s="177"/>
      <c r="BF63" s="177"/>
      <c r="BG63" s="177"/>
    </row>
    <row r="64" spans="1:63" ht="16.350000000000001" hidden="1" customHeight="1">
      <c r="A64" s="177"/>
      <c r="B64" s="177"/>
      <c r="C64" s="177"/>
      <c r="D64" s="177"/>
      <c r="E64" s="177"/>
      <c r="F64" s="177"/>
      <c r="G64" s="177"/>
      <c r="H64" s="177"/>
      <c r="I64" s="177"/>
      <c r="J64" s="177"/>
      <c r="K64" s="177"/>
      <c r="L64" s="177"/>
      <c r="M64"/>
      <c r="N64"/>
      <c r="O64"/>
      <c r="P64"/>
      <c r="Q64"/>
      <c r="R64"/>
      <c r="S64"/>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row>
    <row r="65" spans="13:19" s="177" customFormat="1" ht="16.350000000000001" hidden="1" customHeight="1">
      <c r="M65"/>
      <c r="N65"/>
      <c r="O65"/>
      <c r="P65"/>
      <c r="Q65"/>
      <c r="R65"/>
      <c r="S65"/>
    </row>
    <row r="66" spans="13:19" s="177" customFormat="1" ht="16.350000000000001" hidden="1" customHeight="1">
      <c r="M66"/>
      <c r="N66"/>
      <c r="O66"/>
      <c r="P66"/>
      <c r="Q66"/>
      <c r="R66"/>
      <c r="S66"/>
    </row>
    <row r="67" spans="13:19" s="177" customFormat="1" ht="16.350000000000001" hidden="1" customHeight="1">
      <c r="M67"/>
      <c r="N67"/>
      <c r="O67"/>
      <c r="P67"/>
      <c r="Q67"/>
      <c r="R67"/>
      <c r="S67"/>
    </row>
    <row r="68" spans="13:19" s="177" customFormat="1" ht="16.350000000000001" hidden="1" customHeight="1">
      <c r="M68"/>
      <c r="N68"/>
      <c r="O68"/>
      <c r="P68"/>
      <c r="Q68"/>
      <c r="R68"/>
      <c r="S68"/>
    </row>
    <row r="69" spans="13:19" s="177" customFormat="1" ht="16.350000000000001" hidden="1" customHeight="1">
      <c r="M69"/>
      <c r="N69"/>
      <c r="O69"/>
      <c r="P69"/>
      <c r="Q69"/>
      <c r="R69"/>
      <c r="S69"/>
    </row>
    <row r="70" spans="13:19" s="177" customFormat="1" ht="16.350000000000001" hidden="1" customHeight="1">
      <c r="M70"/>
      <c r="N70"/>
      <c r="O70"/>
      <c r="P70"/>
      <c r="Q70"/>
      <c r="R70"/>
      <c r="S70"/>
    </row>
    <row r="71" spans="13:19" s="177" customFormat="1" ht="16.350000000000001" hidden="1" customHeight="1">
      <c r="M71"/>
      <c r="N71"/>
      <c r="O71"/>
      <c r="P71"/>
      <c r="Q71"/>
      <c r="R71"/>
      <c r="S71"/>
    </row>
    <row r="72" spans="13:19" s="177" customFormat="1" ht="16.350000000000001" hidden="1" customHeight="1">
      <c r="M72"/>
      <c r="N72"/>
      <c r="O72"/>
      <c r="P72"/>
      <c r="Q72"/>
      <c r="R72"/>
      <c r="S72"/>
    </row>
    <row r="73" spans="13:19" s="177" customFormat="1" ht="16.350000000000001" hidden="1" customHeight="1">
      <c r="M73"/>
      <c r="N73"/>
      <c r="O73"/>
      <c r="P73"/>
      <c r="Q73"/>
      <c r="R73"/>
      <c r="S73"/>
    </row>
    <row r="74" spans="13:19" s="177" customFormat="1" ht="16.350000000000001" hidden="1" customHeight="1">
      <c r="M74"/>
      <c r="N74"/>
      <c r="O74"/>
      <c r="P74"/>
      <c r="Q74"/>
      <c r="R74"/>
      <c r="S74"/>
    </row>
    <row r="75" spans="13:19" s="177" customFormat="1" ht="16.350000000000001" hidden="1" customHeight="1">
      <c r="M75"/>
      <c r="N75"/>
      <c r="O75"/>
      <c r="P75"/>
      <c r="Q75"/>
      <c r="R75"/>
      <c r="S75"/>
    </row>
    <row r="76" spans="13:19" s="177" customFormat="1" ht="16.350000000000001" hidden="1" customHeight="1">
      <c r="M76"/>
      <c r="N76"/>
      <c r="O76"/>
      <c r="P76"/>
      <c r="Q76"/>
      <c r="R76"/>
      <c r="S76"/>
    </row>
    <row r="77" spans="13:19" s="177" customFormat="1" ht="16.350000000000001" hidden="1" customHeight="1">
      <c r="M77"/>
      <c r="N77"/>
      <c r="O77"/>
      <c r="P77"/>
      <c r="Q77"/>
      <c r="R77"/>
      <c r="S77"/>
    </row>
    <row r="78" spans="13:19" s="177" customFormat="1" ht="16.350000000000001" hidden="1" customHeight="1">
      <c r="M78"/>
      <c r="N78"/>
      <c r="O78"/>
      <c r="P78"/>
      <c r="Q78"/>
      <c r="R78"/>
      <c r="S78"/>
    </row>
    <row r="79" spans="13:19" s="177" customFormat="1" ht="16.350000000000001" hidden="1" customHeight="1">
      <c r="M79"/>
      <c r="N79"/>
      <c r="O79"/>
      <c r="P79"/>
      <c r="Q79"/>
      <c r="R79"/>
      <c r="S79"/>
    </row>
    <row r="80" spans="13:19" s="177" customFormat="1" ht="16.350000000000001" hidden="1" customHeight="1">
      <c r="M80"/>
      <c r="N80"/>
      <c r="O80"/>
      <c r="P80"/>
      <c r="Q80"/>
      <c r="R80"/>
      <c r="S80"/>
    </row>
    <row r="81" spans="13:19" s="177" customFormat="1" ht="16.350000000000001" hidden="1" customHeight="1">
      <c r="M81"/>
      <c r="N81"/>
      <c r="O81"/>
      <c r="P81"/>
      <c r="Q81"/>
      <c r="R81"/>
      <c r="S81"/>
    </row>
    <row r="82" spans="13:19" s="177" customFormat="1" ht="16.350000000000001" hidden="1" customHeight="1">
      <c r="M82"/>
      <c r="N82"/>
      <c r="O82"/>
      <c r="P82"/>
      <c r="Q82"/>
      <c r="R82"/>
      <c r="S82"/>
    </row>
    <row r="83" spans="13:19" s="177" customFormat="1" ht="16.350000000000001" hidden="1" customHeight="1">
      <c r="M83"/>
      <c r="N83"/>
      <c r="O83"/>
      <c r="P83"/>
      <c r="Q83"/>
      <c r="R83"/>
      <c r="S83"/>
    </row>
    <row r="84" spans="13:19" s="177" customFormat="1" ht="16.350000000000001" hidden="1" customHeight="1">
      <c r="M84"/>
      <c r="N84"/>
      <c r="O84"/>
      <c r="P84"/>
      <c r="Q84"/>
      <c r="R84"/>
      <c r="S84"/>
    </row>
    <row r="85" spans="13:19" s="177" customFormat="1" ht="16.350000000000001" hidden="1" customHeight="1">
      <c r="M85"/>
      <c r="N85"/>
      <c r="O85"/>
      <c r="P85"/>
      <c r="Q85"/>
      <c r="R85"/>
      <c r="S85"/>
    </row>
    <row r="86" spans="13:19" s="177" customFormat="1" ht="16.350000000000001" hidden="1" customHeight="1">
      <c r="M86"/>
      <c r="N86"/>
      <c r="O86"/>
      <c r="P86"/>
      <c r="Q86"/>
      <c r="R86"/>
      <c r="S86"/>
    </row>
    <row r="87" spans="13:19" s="177" customFormat="1" ht="16.350000000000001" hidden="1" customHeight="1">
      <c r="M87"/>
      <c r="N87"/>
      <c r="O87"/>
      <c r="P87"/>
      <c r="Q87"/>
      <c r="R87"/>
      <c r="S87"/>
    </row>
    <row r="88" spans="13:19" s="177" customFormat="1" ht="16.350000000000001" hidden="1" customHeight="1">
      <c r="M88"/>
      <c r="N88"/>
      <c r="O88"/>
      <c r="P88"/>
      <c r="Q88"/>
      <c r="R88"/>
      <c r="S88"/>
    </row>
    <row r="89" spans="13:19" s="177" customFormat="1" ht="16.350000000000001" hidden="1" customHeight="1">
      <c r="M89"/>
      <c r="N89"/>
      <c r="O89"/>
      <c r="P89"/>
      <c r="Q89"/>
      <c r="R89"/>
      <c r="S89"/>
    </row>
    <row r="90" spans="13:19" s="177" customFormat="1" ht="16.350000000000001" hidden="1" customHeight="1">
      <c r="M90"/>
      <c r="N90"/>
      <c r="O90"/>
      <c r="P90"/>
      <c r="Q90"/>
      <c r="R90"/>
      <c r="S90"/>
    </row>
    <row r="91" spans="13:19" s="177" customFormat="1" ht="16.350000000000001" hidden="1" customHeight="1">
      <c r="M91"/>
      <c r="N91"/>
      <c r="O91"/>
      <c r="P91"/>
      <c r="Q91"/>
      <c r="R91"/>
      <c r="S91"/>
    </row>
    <row r="92" spans="13:19" s="177" customFormat="1" ht="16.350000000000001" hidden="1" customHeight="1">
      <c r="M92"/>
      <c r="N92"/>
      <c r="O92"/>
      <c r="P92"/>
      <c r="Q92"/>
      <c r="R92"/>
      <c r="S92"/>
    </row>
    <row r="93" spans="13:19" s="177" customFormat="1" ht="16.350000000000001" hidden="1" customHeight="1">
      <c r="M93"/>
      <c r="N93"/>
      <c r="O93"/>
      <c r="P93"/>
      <c r="Q93"/>
      <c r="R93"/>
      <c r="S93"/>
    </row>
    <row r="94" spans="13:19" s="177" customFormat="1" ht="16.350000000000001" hidden="1" customHeight="1">
      <c r="M94"/>
      <c r="N94"/>
      <c r="O94"/>
      <c r="P94"/>
      <c r="Q94"/>
      <c r="R94"/>
      <c r="S94"/>
    </row>
    <row r="95" spans="13:19" s="177" customFormat="1" ht="16.350000000000001" hidden="1" customHeight="1">
      <c r="M95"/>
      <c r="N95"/>
      <c r="O95"/>
      <c r="P95"/>
      <c r="Q95"/>
      <c r="R95"/>
      <c r="S95"/>
    </row>
    <row r="96" spans="13:19" s="177" customFormat="1" ht="16.350000000000001" hidden="1" customHeight="1">
      <c r="M96"/>
      <c r="N96"/>
      <c r="O96"/>
      <c r="P96"/>
      <c r="Q96"/>
      <c r="R96"/>
      <c r="S96"/>
    </row>
    <row r="97" spans="13:19" s="177" customFormat="1" ht="16.350000000000001" hidden="1" customHeight="1">
      <c r="M97"/>
      <c r="N97"/>
      <c r="O97"/>
      <c r="P97"/>
      <c r="Q97"/>
      <c r="R97"/>
      <c r="S97"/>
    </row>
    <row r="98" spans="13:19" s="177" customFormat="1" ht="16.350000000000001" hidden="1" customHeight="1">
      <c r="M98"/>
      <c r="N98"/>
      <c r="O98"/>
      <c r="P98"/>
      <c r="Q98"/>
      <c r="R98"/>
      <c r="S98"/>
    </row>
    <row r="99" spans="13:19" s="177" customFormat="1" ht="16.350000000000001" hidden="1" customHeight="1">
      <c r="M99"/>
      <c r="N99"/>
      <c r="O99"/>
      <c r="P99"/>
      <c r="Q99"/>
      <c r="R99"/>
      <c r="S99"/>
    </row>
    <row r="100" spans="13:19" s="177" customFormat="1" ht="16.350000000000001" hidden="1" customHeight="1">
      <c r="M100"/>
      <c r="N100"/>
      <c r="O100"/>
      <c r="P100"/>
      <c r="Q100"/>
      <c r="R100"/>
      <c r="S100"/>
    </row>
    <row r="101" spans="13:19" s="177" customFormat="1" ht="16.350000000000001" hidden="1" customHeight="1">
      <c r="M101"/>
      <c r="N101"/>
      <c r="O101"/>
      <c r="P101"/>
      <c r="Q101"/>
      <c r="R101"/>
      <c r="S101"/>
    </row>
    <row r="102" spans="13:19" s="177" customFormat="1" ht="16.350000000000001" hidden="1" customHeight="1">
      <c r="M102"/>
      <c r="N102"/>
      <c r="O102"/>
      <c r="P102"/>
      <c r="Q102"/>
      <c r="R102"/>
      <c r="S102"/>
    </row>
    <row r="103" spans="13:19" s="177" customFormat="1" ht="16.350000000000001" hidden="1" customHeight="1">
      <c r="M103"/>
      <c r="N103"/>
      <c r="O103"/>
      <c r="P103"/>
      <c r="Q103"/>
      <c r="R103"/>
      <c r="S103"/>
    </row>
    <row r="104" spans="13:19" s="177" customFormat="1" ht="16.350000000000001" hidden="1" customHeight="1">
      <c r="M104"/>
      <c r="N104"/>
      <c r="O104"/>
      <c r="P104"/>
      <c r="Q104"/>
      <c r="R104"/>
      <c r="S104"/>
    </row>
    <row r="105" spans="13:19" s="177" customFormat="1" ht="16.350000000000001" hidden="1" customHeight="1">
      <c r="M105"/>
      <c r="N105"/>
      <c r="O105"/>
      <c r="P105"/>
      <c r="Q105"/>
      <c r="R105"/>
      <c r="S105"/>
    </row>
    <row r="106" spans="13:19" s="177" customFormat="1" ht="16.350000000000001" hidden="1" customHeight="1">
      <c r="M106"/>
      <c r="N106"/>
      <c r="O106"/>
      <c r="P106"/>
      <c r="Q106"/>
      <c r="R106"/>
      <c r="S106"/>
    </row>
    <row r="107" spans="13:19" s="177" customFormat="1" ht="16.350000000000001" hidden="1" customHeight="1">
      <c r="M107"/>
      <c r="N107"/>
      <c r="O107"/>
      <c r="P107"/>
      <c r="Q107"/>
      <c r="R107"/>
      <c r="S107"/>
    </row>
    <row r="108" spans="13:19" s="177" customFormat="1" ht="16.350000000000001" hidden="1" customHeight="1">
      <c r="M108"/>
      <c r="N108"/>
      <c r="O108"/>
      <c r="P108"/>
      <c r="Q108"/>
      <c r="R108"/>
      <c r="S108"/>
    </row>
    <row r="109" spans="13:19" s="177" customFormat="1" ht="16.350000000000001" hidden="1" customHeight="1">
      <c r="M109"/>
      <c r="N109"/>
      <c r="O109"/>
      <c r="P109"/>
      <c r="Q109"/>
      <c r="R109"/>
      <c r="S109"/>
    </row>
    <row r="110" spans="13:19" s="177" customFormat="1" ht="16.350000000000001" hidden="1" customHeight="1">
      <c r="M110"/>
      <c r="N110"/>
      <c r="O110"/>
      <c r="P110"/>
      <c r="Q110"/>
      <c r="R110"/>
      <c r="S110"/>
    </row>
    <row r="111" spans="13:19" s="177" customFormat="1" ht="16.350000000000001" hidden="1" customHeight="1">
      <c r="M111"/>
      <c r="N111"/>
      <c r="O111"/>
      <c r="P111"/>
      <c r="Q111"/>
      <c r="R111"/>
      <c r="S111"/>
    </row>
    <row r="112" spans="13:19" s="177" customFormat="1" ht="16.350000000000001" hidden="1" customHeight="1">
      <c r="M112"/>
      <c r="N112"/>
      <c r="O112"/>
      <c r="P112"/>
      <c r="Q112"/>
      <c r="R112"/>
      <c r="S112"/>
    </row>
    <row r="113" spans="13:19" s="177" customFormat="1" ht="16.350000000000001" hidden="1" customHeight="1">
      <c r="M113"/>
      <c r="N113"/>
      <c r="O113"/>
      <c r="P113"/>
      <c r="Q113"/>
      <c r="R113"/>
      <c r="S113"/>
    </row>
    <row r="114" spans="13:19" s="177" customFormat="1" ht="16.350000000000001" hidden="1" customHeight="1">
      <c r="M114"/>
      <c r="N114"/>
      <c r="O114"/>
      <c r="P114"/>
      <c r="Q114"/>
      <c r="R114"/>
      <c r="S114"/>
    </row>
    <row r="115" spans="13:19" s="177" customFormat="1" ht="16.350000000000001" hidden="1" customHeight="1">
      <c r="M115"/>
      <c r="N115"/>
      <c r="O115"/>
      <c r="P115"/>
      <c r="Q115"/>
      <c r="R115"/>
      <c r="S115"/>
    </row>
    <row r="116" spans="13:19" s="177" customFormat="1" ht="16.350000000000001" hidden="1" customHeight="1">
      <c r="M116"/>
      <c r="N116"/>
      <c r="O116"/>
      <c r="P116"/>
      <c r="Q116"/>
      <c r="R116"/>
      <c r="S116"/>
    </row>
    <row r="117" spans="13:19" s="177" customFormat="1" ht="16.350000000000001" hidden="1" customHeight="1">
      <c r="M117"/>
      <c r="N117"/>
      <c r="O117"/>
      <c r="P117"/>
      <c r="Q117"/>
      <c r="R117"/>
      <c r="S117"/>
    </row>
    <row r="118" spans="13:19" s="177" customFormat="1" ht="16.350000000000001" hidden="1" customHeight="1">
      <c r="M118"/>
      <c r="N118"/>
      <c r="O118"/>
      <c r="P118"/>
      <c r="Q118"/>
      <c r="R118"/>
      <c r="S118"/>
    </row>
    <row r="119" spans="13:19" s="177" customFormat="1" ht="16.350000000000001" hidden="1" customHeight="1">
      <c r="M119"/>
      <c r="N119"/>
      <c r="O119"/>
      <c r="P119"/>
      <c r="Q119"/>
      <c r="R119"/>
      <c r="S119"/>
    </row>
    <row r="120" spans="13:19" s="177" customFormat="1" ht="16.350000000000001" hidden="1" customHeight="1">
      <c r="M120"/>
      <c r="N120"/>
      <c r="O120"/>
      <c r="P120"/>
      <c r="Q120"/>
      <c r="R120"/>
      <c r="S120"/>
    </row>
    <row r="121" spans="13:19" s="177" customFormat="1" ht="16.350000000000001" hidden="1" customHeight="1">
      <c r="M121"/>
      <c r="N121"/>
      <c r="O121"/>
      <c r="P121"/>
      <c r="Q121"/>
      <c r="R121"/>
      <c r="S121"/>
    </row>
    <row r="122" spans="13:19" s="177" customFormat="1" ht="16.350000000000001" hidden="1" customHeight="1">
      <c r="M122"/>
      <c r="N122"/>
      <c r="O122"/>
      <c r="P122"/>
      <c r="Q122"/>
      <c r="R122"/>
      <c r="S122"/>
    </row>
    <row r="123" spans="13:19" s="177" customFormat="1" ht="16.350000000000001" hidden="1" customHeight="1">
      <c r="M123"/>
      <c r="N123"/>
      <c r="O123"/>
      <c r="P123"/>
      <c r="Q123"/>
      <c r="R123"/>
      <c r="S123"/>
    </row>
    <row r="124" spans="13:19" s="177" customFormat="1" ht="16.350000000000001" hidden="1" customHeight="1">
      <c r="M124"/>
      <c r="N124"/>
      <c r="O124"/>
      <c r="P124"/>
      <c r="Q124"/>
      <c r="R124"/>
      <c r="S124"/>
    </row>
    <row r="125" spans="13:19" s="177" customFormat="1" ht="16.350000000000001" hidden="1" customHeight="1">
      <c r="M125"/>
      <c r="N125"/>
      <c r="O125"/>
      <c r="P125"/>
      <c r="Q125"/>
      <c r="R125"/>
      <c r="S125"/>
    </row>
    <row r="126" spans="13:19" s="177" customFormat="1" ht="16.350000000000001" hidden="1" customHeight="1">
      <c r="M126"/>
      <c r="N126"/>
      <c r="O126"/>
      <c r="P126"/>
      <c r="Q126"/>
      <c r="R126"/>
      <c r="S126"/>
    </row>
    <row r="127" spans="13:19" s="177" customFormat="1" ht="16.350000000000001" hidden="1" customHeight="1">
      <c r="M127"/>
      <c r="N127"/>
      <c r="O127"/>
      <c r="P127"/>
      <c r="Q127"/>
      <c r="R127"/>
      <c r="S127"/>
    </row>
    <row r="128" spans="13:19" s="177" customFormat="1" ht="16.350000000000001" hidden="1" customHeight="1">
      <c r="M128"/>
      <c r="N128"/>
      <c r="O128"/>
      <c r="P128"/>
      <c r="Q128"/>
      <c r="R128"/>
      <c r="S128"/>
    </row>
    <row r="129" spans="13:19" s="177" customFormat="1" ht="16.350000000000001" hidden="1" customHeight="1">
      <c r="M129"/>
      <c r="N129"/>
      <c r="O129"/>
      <c r="P129"/>
      <c r="Q129"/>
      <c r="R129"/>
      <c r="S129"/>
    </row>
    <row r="130" spans="13:19" s="177" customFormat="1" ht="16.350000000000001" hidden="1" customHeight="1">
      <c r="M130"/>
      <c r="N130"/>
      <c r="O130"/>
      <c r="P130"/>
      <c r="Q130"/>
      <c r="R130"/>
      <c r="S130"/>
    </row>
    <row r="131" spans="13:19" s="177" customFormat="1" ht="16.350000000000001" hidden="1" customHeight="1">
      <c r="M131"/>
      <c r="N131"/>
      <c r="O131"/>
      <c r="P131"/>
      <c r="Q131"/>
      <c r="R131"/>
      <c r="S131"/>
    </row>
    <row r="132" spans="13:19" s="177" customFormat="1" ht="16.350000000000001" hidden="1" customHeight="1">
      <c r="M132"/>
      <c r="N132"/>
      <c r="O132"/>
      <c r="P132"/>
      <c r="Q132"/>
      <c r="R132"/>
      <c r="S132"/>
    </row>
    <row r="133" spans="13:19" s="177" customFormat="1" ht="16.350000000000001" hidden="1" customHeight="1">
      <c r="M133"/>
      <c r="N133"/>
      <c r="O133"/>
      <c r="P133"/>
      <c r="Q133"/>
      <c r="R133"/>
      <c r="S133"/>
    </row>
    <row r="134" spans="13:19" s="177" customFormat="1" ht="16.350000000000001" hidden="1" customHeight="1">
      <c r="M134"/>
      <c r="N134"/>
      <c r="O134"/>
      <c r="P134"/>
      <c r="Q134"/>
      <c r="R134"/>
      <c r="S134"/>
    </row>
    <row r="135" spans="13:19" s="177" customFormat="1" ht="16.350000000000001" hidden="1" customHeight="1">
      <c r="M135"/>
      <c r="N135"/>
      <c r="O135"/>
      <c r="P135"/>
      <c r="Q135"/>
      <c r="R135"/>
      <c r="S135"/>
    </row>
    <row r="136" spans="13:19" s="177" customFormat="1" ht="16.350000000000001" hidden="1" customHeight="1">
      <c r="M136"/>
      <c r="N136"/>
      <c r="O136"/>
      <c r="P136"/>
      <c r="Q136"/>
      <c r="R136"/>
      <c r="S136"/>
    </row>
    <row r="137" spans="13:19" s="177" customFormat="1" ht="16.350000000000001" hidden="1" customHeight="1">
      <c r="M137"/>
      <c r="N137"/>
      <c r="O137"/>
      <c r="P137"/>
      <c r="Q137"/>
      <c r="R137"/>
      <c r="S137"/>
    </row>
    <row r="138" spans="13:19" s="177" customFormat="1" ht="16.350000000000001" hidden="1" customHeight="1">
      <c r="M138"/>
      <c r="N138"/>
      <c r="O138"/>
      <c r="P138"/>
      <c r="Q138"/>
      <c r="R138"/>
      <c r="S138"/>
    </row>
    <row r="139" spans="13:19" s="177" customFormat="1" ht="16.350000000000001" hidden="1" customHeight="1">
      <c r="M139"/>
      <c r="N139"/>
      <c r="O139"/>
      <c r="P139"/>
      <c r="Q139"/>
      <c r="R139"/>
      <c r="S139"/>
    </row>
    <row r="140" spans="13:19" s="177" customFormat="1" ht="16.350000000000001" hidden="1" customHeight="1">
      <c r="M140"/>
      <c r="N140"/>
      <c r="O140"/>
      <c r="P140"/>
      <c r="Q140"/>
      <c r="R140"/>
      <c r="S140"/>
    </row>
    <row r="141" spans="13:19" s="177" customFormat="1" ht="16.350000000000001" hidden="1" customHeight="1">
      <c r="M141"/>
      <c r="N141"/>
      <c r="O141"/>
      <c r="P141"/>
      <c r="Q141"/>
      <c r="R141"/>
      <c r="S141"/>
    </row>
    <row r="142" spans="13:19" s="177" customFormat="1" ht="16.350000000000001" hidden="1" customHeight="1">
      <c r="M142"/>
      <c r="N142"/>
      <c r="O142"/>
      <c r="P142"/>
      <c r="Q142"/>
      <c r="R142"/>
      <c r="S142"/>
    </row>
    <row r="143" spans="13:19" s="177" customFormat="1" ht="16.350000000000001" hidden="1" customHeight="1">
      <c r="M143"/>
      <c r="N143"/>
      <c r="O143"/>
      <c r="P143"/>
      <c r="Q143"/>
      <c r="R143"/>
      <c r="S143"/>
    </row>
    <row r="144" spans="13:19" s="177" customFormat="1" ht="16.350000000000001" hidden="1" customHeight="1">
      <c r="M144"/>
      <c r="N144"/>
      <c r="O144"/>
      <c r="P144"/>
      <c r="Q144"/>
      <c r="R144"/>
      <c r="S144"/>
    </row>
    <row r="145" spans="13:19" s="177" customFormat="1" ht="16.350000000000001" hidden="1" customHeight="1">
      <c r="M145"/>
      <c r="N145"/>
      <c r="O145"/>
      <c r="P145"/>
      <c r="Q145"/>
      <c r="R145"/>
      <c r="S145"/>
    </row>
    <row r="146" spans="13:19" s="177" customFormat="1" ht="16.350000000000001" hidden="1" customHeight="1">
      <c r="M146"/>
      <c r="N146"/>
      <c r="O146"/>
      <c r="P146"/>
      <c r="Q146"/>
      <c r="R146"/>
      <c r="S146"/>
    </row>
    <row r="147" spans="13:19" s="177" customFormat="1" ht="16.350000000000001" hidden="1" customHeight="1">
      <c r="M147"/>
      <c r="N147"/>
      <c r="O147"/>
      <c r="P147"/>
      <c r="Q147"/>
      <c r="R147"/>
      <c r="S147"/>
    </row>
    <row r="148" spans="13:19" s="177" customFormat="1" ht="16.350000000000001" hidden="1" customHeight="1">
      <c r="M148"/>
      <c r="N148"/>
      <c r="O148"/>
      <c r="P148"/>
      <c r="Q148"/>
      <c r="R148"/>
      <c r="S148"/>
    </row>
    <row r="149" spans="13:19" s="177" customFormat="1" ht="16.350000000000001" hidden="1" customHeight="1">
      <c r="M149"/>
      <c r="N149"/>
      <c r="O149"/>
      <c r="P149"/>
      <c r="Q149"/>
      <c r="R149"/>
      <c r="S149"/>
    </row>
    <row r="150" spans="13:19" s="177" customFormat="1" ht="16.350000000000001" hidden="1" customHeight="1">
      <c r="M150"/>
      <c r="N150"/>
      <c r="O150"/>
      <c r="P150"/>
      <c r="Q150"/>
      <c r="R150"/>
      <c r="S150"/>
    </row>
    <row r="151" spans="13:19" s="177" customFormat="1" ht="16.350000000000001" hidden="1" customHeight="1">
      <c r="M151"/>
      <c r="N151"/>
      <c r="O151"/>
      <c r="P151"/>
      <c r="Q151"/>
      <c r="R151"/>
      <c r="S151"/>
    </row>
    <row r="152" spans="13:19" s="177" customFormat="1" ht="16.350000000000001" hidden="1" customHeight="1">
      <c r="M152"/>
      <c r="N152"/>
      <c r="O152"/>
      <c r="P152"/>
      <c r="Q152"/>
      <c r="R152"/>
      <c r="S152"/>
    </row>
    <row r="153" spans="13:19" s="177" customFormat="1" ht="16.350000000000001" hidden="1" customHeight="1">
      <c r="M153"/>
      <c r="N153"/>
      <c r="O153"/>
      <c r="P153"/>
      <c r="Q153"/>
      <c r="R153"/>
      <c r="S153"/>
    </row>
    <row r="154" spans="13:19" s="177" customFormat="1" ht="16.350000000000001" hidden="1" customHeight="1">
      <c r="M154"/>
      <c r="N154"/>
      <c r="O154"/>
      <c r="P154"/>
      <c r="Q154"/>
      <c r="R154"/>
      <c r="S154"/>
    </row>
    <row r="155" spans="13:19" s="177" customFormat="1" ht="16.350000000000001" hidden="1" customHeight="1">
      <c r="M155"/>
      <c r="N155"/>
      <c r="O155"/>
      <c r="P155"/>
      <c r="Q155"/>
      <c r="R155"/>
      <c r="S155"/>
    </row>
    <row r="156" spans="13:19" s="177" customFormat="1" ht="16.350000000000001" hidden="1" customHeight="1">
      <c r="M156"/>
      <c r="N156"/>
      <c r="O156"/>
      <c r="P156"/>
      <c r="Q156"/>
      <c r="R156"/>
      <c r="S156"/>
    </row>
    <row r="157" spans="13:19" s="177" customFormat="1" ht="16.350000000000001" hidden="1" customHeight="1">
      <c r="M157"/>
      <c r="N157"/>
      <c r="O157"/>
      <c r="P157"/>
      <c r="Q157"/>
      <c r="R157"/>
      <c r="S157"/>
    </row>
    <row r="158" spans="13:19" s="177" customFormat="1" ht="16.350000000000001" hidden="1" customHeight="1">
      <c r="M158"/>
      <c r="N158"/>
      <c r="O158"/>
      <c r="P158"/>
      <c r="Q158"/>
      <c r="R158"/>
      <c r="S158"/>
    </row>
    <row r="159" spans="13:19" s="177" customFormat="1" ht="16.350000000000001" hidden="1" customHeight="1">
      <c r="M159"/>
      <c r="N159"/>
      <c r="O159"/>
      <c r="P159"/>
      <c r="Q159"/>
      <c r="R159"/>
      <c r="S159"/>
    </row>
    <row r="160" spans="13:19" s="177" customFormat="1" ht="16.350000000000001" hidden="1" customHeight="1">
      <c r="M160"/>
      <c r="N160"/>
      <c r="O160"/>
      <c r="P160"/>
      <c r="Q160"/>
      <c r="R160"/>
      <c r="S160"/>
    </row>
    <row r="161" spans="13:19" s="177" customFormat="1" ht="16.350000000000001" hidden="1" customHeight="1">
      <c r="M161"/>
      <c r="N161"/>
      <c r="O161"/>
      <c r="P161"/>
      <c r="Q161"/>
      <c r="R161"/>
      <c r="S161"/>
    </row>
    <row r="162" spans="13:19" s="177" customFormat="1" ht="16.350000000000001" hidden="1" customHeight="1">
      <c r="M162"/>
      <c r="N162"/>
      <c r="O162"/>
      <c r="P162"/>
      <c r="Q162"/>
      <c r="R162"/>
      <c r="S162"/>
    </row>
    <row r="163" spans="13:19" s="177" customFormat="1" ht="16.350000000000001" hidden="1" customHeight="1">
      <c r="M163"/>
      <c r="N163"/>
      <c r="O163"/>
      <c r="P163"/>
      <c r="Q163"/>
      <c r="R163"/>
      <c r="S163"/>
    </row>
    <row r="164" spans="13:19" s="177" customFormat="1" ht="16.350000000000001" hidden="1" customHeight="1">
      <c r="M164"/>
      <c r="N164"/>
      <c r="O164"/>
      <c r="P164"/>
      <c r="Q164"/>
      <c r="R164"/>
      <c r="S164"/>
    </row>
    <row r="165" spans="13:19" s="177" customFormat="1" ht="16.350000000000001" hidden="1" customHeight="1">
      <c r="M165"/>
      <c r="N165"/>
      <c r="O165"/>
      <c r="P165"/>
      <c r="Q165"/>
      <c r="R165"/>
      <c r="S165"/>
    </row>
    <row r="166" spans="13:19" s="177" customFormat="1" ht="16.350000000000001" hidden="1" customHeight="1">
      <c r="M166"/>
      <c r="N166"/>
      <c r="O166"/>
      <c r="P166"/>
      <c r="Q166"/>
      <c r="R166"/>
      <c r="S166"/>
    </row>
    <row r="167" spans="13:19" s="177" customFormat="1" ht="16.350000000000001" hidden="1" customHeight="1">
      <c r="M167"/>
      <c r="N167"/>
      <c r="O167"/>
      <c r="P167"/>
      <c r="Q167"/>
      <c r="R167"/>
      <c r="S167"/>
    </row>
    <row r="168" spans="13:19" s="177" customFormat="1" ht="16.350000000000001" hidden="1" customHeight="1">
      <c r="M168"/>
      <c r="N168"/>
      <c r="O168"/>
      <c r="P168"/>
      <c r="Q168"/>
      <c r="R168"/>
      <c r="S168"/>
    </row>
    <row r="169" spans="13:19" s="177" customFormat="1" ht="16.350000000000001" hidden="1" customHeight="1">
      <c r="M169"/>
      <c r="N169"/>
      <c r="O169"/>
      <c r="P169"/>
      <c r="Q169"/>
      <c r="R169"/>
      <c r="S169"/>
    </row>
    <row r="170" spans="13:19" s="177" customFormat="1" ht="16.350000000000001" hidden="1" customHeight="1">
      <c r="M170"/>
      <c r="N170"/>
      <c r="O170"/>
      <c r="P170"/>
      <c r="Q170"/>
      <c r="R170"/>
      <c r="S170"/>
    </row>
    <row r="171" spans="13:19" s="177" customFormat="1" ht="16.350000000000001" hidden="1" customHeight="1">
      <c r="M171"/>
      <c r="N171"/>
      <c r="O171"/>
      <c r="P171"/>
      <c r="Q171"/>
      <c r="R171"/>
      <c r="S171"/>
    </row>
    <row r="172" spans="13:19" s="177" customFormat="1" ht="16.350000000000001" hidden="1" customHeight="1">
      <c r="M172"/>
      <c r="N172"/>
      <c r="O172"/>
      <c r="P172"/>
      <c r="Q172"/>
      <c r="R172"/>
      <c r="S172"/>
    </row>
    <row r="173" spans="13:19" s="177" customFormat="1" ht="16.350000000000001" hidden="1" customHeight="1">
      <c r="M173"/>
      <c r="N173"/>
      <c r="O173"/>
      <c r="P173"/>
      <c r="Q173"/>
      <c r="R173"/>
      <c r="S173"/>
    </row>
    <row r="174" spans="13:19" s="177" customFormat="1" ht="16.350000000000001" hidden="1" customHeight="1">
      <c r="M174"/>
      <c r="N174"/>
      <c r="O174"/>
      <c r="P174"/>
      <c r="Q174"/>
      <c r="R174"/>
      <c r="S174"/>
    </row>
    <row r="175" spans="13:19" s="177" customFormat="1" ht="16.350000000000001" hidden="1" customHeight="1">
      <c r="M175"/>
      <c r="N175"/>
      <c r="O175"/>
      <c r="P175"/>
      <c r="Q175"/>
      <c r="R175"/>
      <c r="S175"/>
    </row>
    <row r="176" spans="13:19" s="177" customFormat="1" ht="16.350000000000001" hidden="1" customHeight="1">
      <c r="M176"/>
      <c r="N176"/>
      <c r="O176"/>
      <c r="P176"/>
      <c r="Q176"/>
      <c r="R176"/>
      <c r="S176"/>
    </row>
    <row r="177" spans="1:59" ht="16.350000000000001" hidden="1" customHeight="1">
      <c r="A177" s="177"/>
      <c r="B177" s="177"/>
      <c r="C177" s="177"/>
      <c r="D177" s="177"/>
      <c r="E177" s="177"/>
      <c r="F177" s="177"/>
      <c r="G177" s="177"/>
      <c r="H177" s="177"/>
      <c r="I177" s="177"/>
      <c r="J177" s="177"/>
      <c r="K177" s="177"/>
      <c r="L177" s="177"/>
      <c r="M177"/>
      <c r="N177"/>
      <c r="O177"/>
      <c r="P177"/>
      <c r="Q177"/>
      <c r="R177"/>
      <c r="S177"/>
      <c r="T177" s="177"/>
      <c r="U177" s="177"/>
      <c r="V177" s="177"/>
      <c r="W177" s="177"/>
      <c r="X177" s="177"/>
      <c r="Y177" s="177"/>
      <c r="Z177" s="177"/>
      <c r="AA177" s="177"/>
      <c r="AB177" s="177"/>
      <c r="AC177" s="177"/>
      <c r="AD177" s="177"/>
      <c r="AE177" s="177"/>
      <c r="AF177" s="177"/>
      <c r="AG177" s="177"/>
      <c r="AH177" s="177"/>
      <c r="AI177" s="177"/>
      <c r="AJ177" s="177"/>
      <c r="AK177" s="177"/>
      <c r="AL177" s="177"/>
      <c r="AM177" s="177"/>
      <c r="AN177" s="177"/>
      <c r="AO177" s="177"/>
      <c r="AP177" s="177"/>
      <c r="AQ177" s="177"/>
      <c r="AR177" s="177"/>
      <c r="AS177" s="177"/>
      <c r="AT177" s="177"/>
      <c r="AU177" s="177"/>
      <c r="AV177" s="177"/>
      <c r="AW177" s="177"/>
      <c r="AX177" s="177"/>
      <c r="AY177" s="177"/>
      <c r="AZ177" s="177"/>
      <c r="BA177" s="177"/>
      <c r="BB177" s="177"/>
      <c r="BC177" s="177"/>
      <c r="BD177" s="177"/>
      <c r="BE177" s="177"/>
      <c r="BF177" s="177"/>
      <c r="BG177" s="177"/>
    </row>
    <row r="178" spans="1:59" ht="16.350000000000001" hidden="1" customHeight="1">
      <c r="A178" s="177"/>
      <c r="B178" s="177"/>
      <c r="C178" s="177"/>
      <c r="D178" s="177"/>
      <c r="E178" s="177"/>
      <c r="F178" s="177"/>
      <c r="G178" s="177"/>
      <c r="H178" s="177"/>
      <c r="I178" s="177"/>
      <c r="J178" s="177"/>
      <c r="K178" s="177"/>
      <c r="L178" s="177"/>
      <c r="M178"/>
      <c r="N178"/>
      <c r="O178"/>
      <c r="P178"/>
      <c r="Q178"/>
      <c r="R178"/>
      <c r="S178"/>
      <c r="T178" s="177"/>
      <c r="U178" s="177"/>
      <c r="V178" s="177"/>
      <c r="W178" s="177"/>
      <c r="X178" s="177"/>
      <c r="Y178" s="177"/>
      <c r="Z178" s="177"/>
      <c r="AA178" s="177"/>
      <c r="AB178" s="177"/>
      <c r="AC178" s="177"/>
      <c r="AD178" s="177"/>
      <c r="AE178" s="177"/>
      <c r="AF178" s="177"/>
      <c r="AG178" s="177"/>
      <c r="AH178" s="177"/>
      <c r="AI178" s="177"/>
      <c r="AJ178" s="177"/>
      <c r="AK178" s="177"/>
      <c r="AL178" s="177"/>
      <c r="AM178" s="177"/>
      <c r="AN178" s="177"/>
      <c r="AO178" s="177"/>
      <c r="AP178" s="177"/>
      <c r="AQ178" s="177"/>
      <c r="AR178" s="177"/>
      <c r="AS178" s="177"/>
      <c r="AT178" s="177"/>
      <c r="AU178" s="177"/>
      <c r="AV178" s="177"/>
      <c r="AW178" s="177"/>
      <c r="AX178" s="177"/>
      <c r="AY178" s="177"/>
      <c r="AZ178" s="177"/>
      <c r="BA178" s="177"/>
      <c r="BB178" s="177"/>
      <c r="BC178" s="177"/>
      <c r="BD178" s="177"/>
      <c r="BE178" s="177"/>
      <c r="BF178" s="177"/>
      <c r="BG178" s="177"/>
    </row>
    <row r="179" spans="1:59" ht="16.350000000000001" hidden="1" customHeight="1">
      <c r="A179" s="177"/>
      <c r="B179" s="177"/>
      <c r="C179" s="177"/>
      <c r="D179" s="177"/>
      <c r="E179" s="177"/>
      <c r="F179" s="177"/>
      <c r="G179" s="177"/>
      <c r="H179" s="177"/>
      <c r="I179" s="177"/>
      <c r="J179" s="177"/>
      <c r="K179" s="177"/>
      <c r="L179" s="177"/>
      <c r="M179"/>
      <c r="N179"/>
      <c r="O179"/>
      <c r="P179"/>
      <c r="Q179"/>
      <c r="R179"/>
      <c r="S179"/>
      <c r="T179" s="177"/>
      <c r="U179" s="177"/>
      <c r="V179" s="177"/>
      <c r="W179" s="177"/>
      <c r="X179" s="177"/>
      <c r="Y179" s="177"/>
      <c r="Z179" s="177"/>
      <c r="AA179" s="177"/>
      <c r="AB179" s="177"/>
      <c r="AC179" s="177"/>
      <c r="AD179" s="177"/>
      <c r="AE179" s="177"/>
      <c r="AF179" s="177"/>
      <c r="AG179" s="177"/>
      <c r="AH179" s="177"/>
      <c r="AI179" s="177"/>
      <c r="AJ179" s="177"/>
      <c r="AK179" s="177"/>
      <c r="AL179" s="177"/>
      <c r="AM179" s="177"/>
      <c r="AN179" s="177"/>
      <c r="AO179" s="177"/>
      <c r="AP179" s="177"/>
      <c r="AQ179" s="177"/>
      <c r="AR179" s="177"/>
      <c r="AS179" s="177"/>
      <c r="AT179" s="177"/>
      <c r="AU179" s="177"/>
      <c r="AV179" s="177"/>
      <c r="AW179" s="177"/>
      <c r="AX179" s="177"/>
      <c r="AY179" s="177"/>
      <c r="AZ179" s="177"/>
      <c r="BA179" s="177"/>
      <c r="BB179" s="177"/>
      <c r="BC179" s="177"/>
      <c r="BD179" s="177"/>
      <c r="BE179" s="177"/>
      <c r="BF179" s="177"/>
      <c r="BG179" s="177"/>
    </row>
    <row r="180" spans="1:59" ht="16.350000000000001" hidden="1" customHeight="1">
      <c r="A180" s="177"/>
      <c r="B180" s="177"/>
      <c r="C180" s="177"/>
      <c r="D180" s="177"/>
      <c r="E180" s="177"/>
      <c r="F180" s="177"/>
      <c r="G180" s="177"/>
      <c r="H180" s="177"/>
      <c r="I180" s="177"/>
      <c r="J180" s="177"/>
      <c r="K180" s="177"/>
      <c r="L180" s="177"/>
      <c r="M180"/>
      <c r="N180"/>
      <c r="O180"/>
      <c r="P180"/>
      <c r="Q180"/>
      <c r="R180"/>
      <c r="S180"/>
      <c r="T180" s="177"/>
      <c r="U180" s="177"/>
      <c r="V180" s="177"/>
      <c r="W180" s="177"/>
      <c r="X180" s="177"/>
      <c r="Y180" s="177"/>
      <c r="Z180" s="177"/>
      <c r="AA180" s="177"/>
      <c r="AB180" s="177"/>
      <c r="AC180" s="177"/>
      <c r="AD180" s="177"/>
      <c r="AE180" s="177"/>
      <c r="AF180" s="177"/>
      <c r="AG180" s="177"/>
      <c r="AH180" s="177"/>
      <c r="AI180" s="177"/>
      <c r="AJ180" s="177"/>
      <c r="AK180" s="177"/>
      <c r="AL180" s="177"/>
      <c r="AM180" s="177"/>
      <c r="AN180" s="177"/>
      <c r="AO180" s="177"/>
      <c r="AP180" s="177"/>
      <c r="AQ180" s="177"/>
      <c r="AR180" s="177"/>
      <c r="AS180" s="177"/>
      <c r="AT180" s="177"/>
      <c r="AU180" s="177"/>
      <c r="AV180" s="177"/>
      <c r="AW180" s="177"/>
      <c r="AX180" s="177"/>
      <c r="AY180" s="177"/>
      <c r="AZ180" s="177"/>
      <c r="BA180" s="177"/>
      <c r="BB180" s="177"/>
      <c r="BC180" s="177"/>
      <c r="BD180" s="177"/>
      <c r="BE180" s="177"/>
      <c r="BF180" s="177"/>
      <c r="BG180" s="177"/>
    </row>
    <row r="181" spans="1:59" ht="16.350000000000001" hidden="1" customHeight="1">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c r="AK181" s="177"/>
      <c r="AL181" s="177"/>
      <c r="AM181" s="177"/>
      <c r="AN181" s="177"/>
      <c r="AO181" s="177"/>
      <c r="AP181" s="177"/>
      <c r="AQ181" s="177"/>
      <c r="AR181" s="177"/>
      <c r="AS181" s="177"/>
      <c r="AT181" s="177"/>
      <c r="AU181" s="177"/>
      <c r="AV181" s="177"/>
      <c r="AW181" s="177"/>
      <c r="AX181" s="177"/>
      <c r="AY181" s="177"/>
      <c r="AZ181" s="177"/>
      <c r="BA181" s="177"/>
      <c r="BB181" s="177"/>
      <c r="BC181" s="177"/>
      <c r="BD181" s="177"/>
      <c r="BE181" s="177"/>
      <c r="BF181" s="177"/>
      <c r="BG181" s="177"/>
    </row>
    <row r="182" spans="1:59" ht="16.350000000000001" hidden="1" customHeight="1">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c r="AK182" s="177"/>
      <c r="AL182" s="177"/>
      <c r="AM182" s="177"/>
      <c r="AN182" s="177"/>
      <c r="AO182" s="177"/>
      <c r="AP182" s="177"/>
      <c r="AQ182" s="177"/>
      <c r="AR182" s="177"/>
      <c r="AS182" s="177"/>
      <c r="AT182" s="177"/>
      <c r="AU182" s="177"/>
      <c r="AV182" s="177"/>
      <c r="AW182" s="177"/>
      <c r="AX182" s="177"/>
      <c r="AY182" s="177"/>
      <c r="AZ182" s="177"/>
      <c r="BA182" s="177"/>
      <c r="BB182" s="177"/>
      <c r="BC182" s="177"/>
      <c r="BD182" s="177"/>
      <c r="BE182" s="177"/>
      <c r="BF182" s="177"/>
      <c r="BG182" s="177"/>
    </row>
    <row r="183" spans="1:59" ht="16.350000000000001" hidden="1" customHeight="1">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c r="AK183" s="177"/>
      <c r="AL183" s="177"/>
      <c r="AM183" s="177"/>
      <c r="AN183" s="177"/>
      <c r="AO183" s="177"/>
      <c r="AP183" s="177"/>
      <c r="AQ183" s="177"/>
      <c r="AR183" s="177"/>
      <c r="AS183" s="177"/>
      <c r="AT183" s="177"/>
      <c r="AU183" s="177"/>
      <c r="AV183" s="177"/>
      <c r="AW183" s="177"/>
      <c r="AX183" s="177"/>
      <c r="AY183" s="177"/>
      <c r="AZ183" s="177"/>
      <c r="BA183" s="177"/>
      <c r="BB183" s="177"/>
      <c r="BC183" s="177"/>
      <c r="BD183" s="177"/>
      <c r="BE183" s="177"/>
      <c r="BF183" s="177"/>
      <c r="BG183" s="177"/>
    </row>
    <row r="184" spans="1:59" ht="16.350000000000001" hidden="1" customHeight="1">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c r="AK184" s="177"/>
      <c r="AL184" s="177"/>
      <c r="AM184" s="177"/>
      <c r="AN184" s="177"/>
      <c r="AO184" s="177"/>
      <c r="AP184" s="177"/>
      <c r="AQ184" s="177"/>
      <c r="AR184" s="177"/>
      <c r="AS184" s="177"/>
      <c r="AT184" s="177"/>
      <c r="AU184" s="177"/>
      <c r="AV184" s="177"/>
      <c r="AW184" s="177"/>
      <c r="AX184" s="177"/>
      <c r="AY184" s="177"/>
      <c r="AZ184" s="177"/>
      <c r="BA184" s="177"/>
      <c r="BB184" s="177"/>
      <c r="BC184" s="177"/>
      <c r="BD184" s="177"/>
      <c r="BE184" s="177"/>
      <c r="BF184" s="177"/>
      <c r="BG184" s="177"/>
    </row>
    <row r="185" spans="1:59" ht="16.350000000000001" hidden="1" customHeight="1">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c r="AL185" s="177"/>
      <c r="AM185" s="177"/>
      <c r="AN185" s="177"/>
      <c r="AO185" s="177"/>
      <c r="AP185" s="177"/>
      <c r="AQ185" s="177"/>
      <c r="AR185" s="177"/>
      <c r="AS185" s="177"/>
      <c r="AT185" s="177"/>
      <c r="AU185" s="177"/>
      <c r="AV185" s="177"/>
      <c r="AW185" s="177"/>
      <c r="AX185" s="177"/>
      <c r="AY185" s="177"/>
      <c r="AZ185" s="177"/>
      <c r="BA185" s="177"/>
      <c r="BB185" s="177"/>
      <c r="BC185" s="177"/>
      <c r="BD185" s="177"/>
      <c r="BE185" s="177"/>
      <c r="BF185" s="177"/>
      <c r="BG185" s="177"/>
    </row>
    <row r="186" spans="1:59" ht="16.350000000000001" customHeight="1">
      <c r="A186" s="504"/>
      <c r="B186" s="504" t="str">
        <f>FOOT1</f>
        <v>PSE&amp;G C&amp;I Energy Efficiency Program</v>
      </c>
      <c r="C186" s="504"/>
      <c r="D186" s="504"/>
      <c r="E186" s="504"/>
      <c r="F186" s="504"/>
      <c r="G186" s="504"/>
      <c r="H186" s="504"/>
      <c r="I186" s="504"/>
      <c r="J186" s="504"/>
      <c r="K186" s="504"/>
      <c r="L186" s="504"/>
      <c r="M186" s="504"/>
      <c r="N186" s="504"/>
      <c r="O186" s="504"/>
      <c r="P186" s="504"/>
      <c r="Q186" s="504"/>
      <c r="R186" s="721" t="s">
        <v>137</v>
      </c>
      <c r="S186" s="721"/>
      <c r="T186" s="721"/>
      <c r="U186" s="721"/>
      <c r="V186" s="721"/>
      <c r="W186" s="721"/>
      <c r="X186" s="721"/>
      <c r="Y186" s="721"/>
      <c r="Z186" s="721"/>
      <c r="AA186" s="721"/>
      <c r="AB186" s="721"/>
      <c r="AC186" s="721"/>
      <c r="AD186" s="721"/>
      <c r="AE186" s="721"/>
      <c r="AF186" s="721"/>
      <c r="AG186" s="721"/>
      <c r="AH186" s="721"/>
      <c r="AI186" s="721"/>
      <c r="AJ186" s="721"/>
      <c r="AK186" s="721"/>
      <c r="AL186" s="721"/>
      <c r="AM186" s="721"/>
      <c r="AN186" s="721"/>
      <c r="AO186" s="721"/>
      <c r="AP186" s="721"/>
      <c r="AQ186" s="721"/>
      <c r="AR186" s="721"/>
      <c r="AS186" s="504"/>
      <c r="AT186" s="504"/>
      <c r="AU186" s="504"/>
      <c r="AV186" s="504"/>
      <c r="AW186" s="504"/>
      <c r="AX186" s="504"/>
      <c r="AY186" s="504"/>
      <c r="AZ186" s="504"/>
      <c r="BA186" s="504"/>
      <c r="BB186" s="504"/>
      <c r="BC186" s="504"/>
      <c r="BD186" s="504"/>
      <c r="BE186" s="701"/>
      <c r="BF186" s="701" t="str">
        <f>FOOT4</f>
        <v>Engineered Solutions Tier 2 Advance Custom Incentive Application</v>
      </c>
      <c r="BG186" s="568"/>
    </row>
    <row r="187" spans="1:59" ht="16.350000000000001" customHeight="1">
      <c r="A187" s="504"/>
      <c r="B187" s="504" t="str">
        <f>FOOT2</f>
        <v>1-844-300-PSEG (7734)</v>
      </c>
      <c r="C187" s="504"/>
      <c r="D187" s="504"/>
      <c r="E187" s="504"/>
      <c r="F187" s="504"/>
      <c r="G187" s="504"/>
      <c r="H187" s="504"/>
      <c r="I187" s="504"/>
      <c r="J187" s="504"/>
      <c r="K187" s="504"/>
      <c r="L187" s="504"/>
      <c r="M187" s="504"/>
      <c r="N187" s="504"/>
      <c r="O187" s="504"/>
      <c r="P187" s="504"/>
      <c r="Q187" s="504"/>
      <c r="R187" s="721"/>
      <c r="S187" s="721"/>
      <c r="T187" s="721"/>
      <c r="U187" s="721"/>
      <c r="V187" s="721"/>
      <c r="W187" s="721"/>
      <c r="X187" s="721"/>
      <c r="Y187" s="721"/>
      <c r="Z187" s="721"/>
      <c r="AA187" s="721"/>
      <c r="AB187" s="721"/>
      <c r="AC187" s="721"/>
      <c r="AD187" s="721"/>
      <c r="AE187" s="721"/>
      <c r="AF187" s="721"/>
      <c r="AG187" s="721"/>
      <c r="AH187" s="721"/>
      <c r="AI187" s="721"/>
      <c r="AJ187" s="721"/>
      <c r="AK187" s="721"/>
      <c r="AL187" s="721"/>
      <c r="AM187" s="721"/>
      <c r="AN187" s="721"/>
      <c r="AO187" s="721"/>
      <c r="AP187" s="721"/>
      <c r="AQ187" s="721"/>
      <c r="AR187" s="721"/>
      <c r="AS187" s="504"/>
      <c r="AT187" s="504"/>
      <c r="AU187" s="504"/>
      <c r="AV187" s="504"/>
      <c r="AW187" s="504"/>
      <c r="AX187" s="504"/>
      <c r="AY187" s="504"/>
      <c r="AZ187" s="504"/>
      <c r="BA187" s="504"/>
      <c r="BB187" s="504"/>
      <c r="BC187" s="504"/>
      <c r="BD187" s="504"/>
      <c r="BE187" s="701"/>
      <c r="BF187" s="701"/>
      <c r="BG187" s="568"/>
    </row>
    <row r="188" spans="1:59" ht="16.350000000000001" customHeight="1">
      <c r="A188" s="504"/>
      <c r="B188" s="504" t="str">
        <f>FOOT3</f>
        <v>PSEGenergysaver@TRCcompanies.com</v>
      </c>
      <c r="C188" s="504"/>
      <c r="D188" s="504"/>
      <c r="E188" s="504"/>
      <c r="F188" s="504"/>
      <c r="G188" s="504"/>
      <c r="H188" s="504"/>
      <c r="I188" s="504"/>
      <c r="J188" s="504"/>
      <c r="K188" s="504"/>
      <c r="L188" s="504"/>
      <c r="M188" s="504"/>
      <c r="N188" s="504"/>
      <c r="O188" s="504"/>
      <c r="P188" s="504"/>
      <c r="Q188" s="504"/>
      <c r="R188" s="504"/>
      <c r="S188" s="504"/>
      <c r="T188" s="504"/>
      <c r="U188" s="504"/>
      <c r="V188" s="504"/>
      <c r="W188" s="504"/>
      <c r="X188" s="504"/>
      <c r="Y188" s="504"/>
      <c r="Z188" s="504"/>
      <c r="AA188" s="504"/>
      <c r="AB188" s="504"/>
      <c r="AC188" s="504"/>
      <c r="AD188" s="702" t="str">
        <f>VERSION</f>
        <v>V1.0          Effective Date 1/1/25</v>
      </c>
      <c r="AE188" s="504"/>
      <c r="AF188" s="504"/>
      <c r="AG188" s="504"/>
      <c r="AH188" s="504"/>
      <c r="AI188" s="504"/>
      <c r="AJ188" s="504"/>
      <c r="AK188" s="504"/>
      <c r="AL188" s="504"/>
      <c r="AM188" s="504"/>
      <c r="AN188" s="504"/>
      <c r="AO188" s="504"/>
      <c r="AP188" s="504"/>
      <c r="AQ188" s="504"/>
      <c r="AR188" s="504"/>
      <c r="AS188" s="504"/>
      <c r="AT188" s="504"/>
      <c r="AU188" s="504"/>
      <c r="AV188" s="504"/>
      <c r="AW188" s="504"/>
      <c r="AX188" s="504"/>
      <c r="AY188" s="504"/>
      <c r="AZ188" s="504"/>
      <c r="BA188" s="504"/>
      <c r="BB188" s="504"/>
      <c r="BC188" s="504"/>
      <c r="BD188" s="504"/>
      <c r="BE188" s="701"/>
      <c r="BF188" s="701" t="str">
        <f>FOOT6</f>
        <v>This is a TRC tool</v>
      </c>
      <c r="BG188" s="568"/>
    </row>
  </sheetData>
  <sheetProtection algorithmName="SHA-512" hashValue="UeR2LM7Z13RHY1/5WK5IES6sftS/QItOrweGxUxmn6y/6E9PZsh3kFFQQPuGyfHBIC1N/KmPgJI3pcCdnHhioQ==" saltValue="z/WvbO0GH/3x3y1eUdBmaQ==" spinCount="100000" sheet="1" objects="1" scenarios="1" selectLockedCells="1"/>
  <mergeCells count="33">
    <mergeCell ref="G50:Q52"/>
    <mergeCell ref="AR19:BD19"/>
    <mergeCell ref="F9:BD9"/>
    <mergeCell ref="U19:AO19"/>
    <mergeCell ref="F19:R19"/>
    <mergeCell ref="G25:Q27"/>
    <mergeCell ref="G37:Q39"/>
    <mergeCell ref="G40:Q42"/>
    <mergeCell ref="U15:Z15"/>
    <mergeCell ref="K12:S12"/>
    <mergeCell ref="U26:AN32"/>
    <mergeCell ref="U44:AO46"/>
    <mergeCell ref="AR24:BD29"/>
    <mergeCell ref="AR21:BD23"/>
    <mergeCell ref="AR32:BD37"/>
    <mergeCell ref="AR47:BD55"/>
    <mergeCell ref="BB5:BD7"/>
    <mergeCell ref="AF11:AV14"/>
    <mergeCell ref="U12:AA12"/>
    <mergeCell ref="K13:S13"/>
    <mergeCell ref="AL1:AO3"/>
    <mergeCell ref="F7:P8"/>
    <mergeCell ref="BD1:BG3"/>
    <mergeCell ref="F1:I3"/>
    <mergeCell ref="J1:M3"/>
    <mergeCell ref="AP1:AS3"/>
    <mergeCell ref="AT1:AW3"/>
    <mergeCell ref="AX1:BC3"/>
    <mergeCell ref="R186:AR187"/>
    <mergeCell ref="AR45:BD46"/>
    <mergeCell ref="U34:AE35"/>
    <mergeCell ref="U40:AO43"/>
    <mergeCell ref="U37:AO39"/>
  </mergeCells>
  <conditionalFormatting sqref="K13:S13">
    <cfRule type="expression" dxfId="446" priority="4">
      <formula>$K$12&lt;&gt;""</formula>
    </cfRule>
  </conditionalFormatting>
  <conditionalFormatting sqref="U14:Z16">
    <cfRule type="expression" dxfId="445" priority="1">
      <formula>$U$12&lt;&gt;"Encrypted Email"</formula>
    </cfRule>
  </conditionalFormatting>
  <conditionalFormatting sqref="U16:Z16">
    <cfRule type="expression" dxfId="444" priority="2">
      <formula>$U$15&lt;&gt;""</formula>
    </cfRule>
  </conditionalFormatting>
  <conditionalFormatting sqref="U13:AA13">
    <cfRule type="expression" dxfId="443" priority="3">
      <formula>$U$12&lt;&gt;""</formula>
    </cfRule>
  </conditionalFormatting>
  <dataValidations count="3">
    <dataValidation type="list" allowBlank="1" showInputMessage="1" showErrorMessage="1" sqref="U12:AA12" xr:uid="{4A846A45-4AA8-4001-9C88-4D4B51B6ABE0}">
      <formula1>LIST_SubmissionMethods</formula1>
    </dataValidation>
    <dataValidation type="list" allowBlank="1" showInputMessage="1" showErrorMessage="1" sqref="U15:Z15" xr:uid="{369C36F3-55BD-4B07-92D0-37C4D568ADDA}">
      <formula1>List_EmailProvider</formula1>
    </dataValidation>
    <dataValidation type="list" allowBlank="1" showInputMessage="1" showErrorMessage="1" sqref="K12:S12" xr:uid="{72823FD0-EE17-4B43-8D4B-85F9DCEBB655}">
      <formula1>"Customer, Approved Trade Ally on Behalf of Customer,Contractor on Behalf of Customer"</formula1>
    </dataValidation>
  </dataValidations>
  <hyperlinks>
    <hyperlink ref="J1:M3" location="'M01-S02'!J1" tooltip="Instructions" display="'M01-S02'!J1" xr:uid="{B91104C4-E495-426C-AC8A-EABA7C2DEB50}"/>
    <hyperlink ref="AT1:AW3" location="'M05-S05'!AL1" tooltip=" " display="'M05-S05'!AL1" xr:uid="{E4E443EE-15F9-45FC-9ADB-22E00EF4B30B}"/>
    <hyperlink ref="BD1:BG3" location="'M01-S03'!AP1" tooltip="Contact" display="'M01-S03'!AP1" xr:uid="{DA3493E8-D96B-4A1D-A3F9-E50F4179071A}"/>
    <hyperlink ref="AP1:AS3" location="'M05-S04'!AH1" tooltip=" " display="'M05-S04'!AH1" xr:uid="{E7DACCCB-6303-4245-9ED3-96E1420CAA90}"/>
    <hyperlink ref="BB5:BF7" location="M02S02F02" display="START" xr:uid="{297FA3A7-AD9B-4C7C-ABFB-CFD442708E54}"/>
    <hyperlink ref="AL1:AO3" location="'M05-S05'!AL1" tooltip=" " display="'M05-S05'!AL1" xr:uid="{1FAFED44-ED85-4FE7-BA78-40FD05DE679D}"/>
  </hyperlinks>
  <pageMargins left="0" right="0" top="0.25" bottom="0.25" header="0.25" footer="0.25"/>
  <pageSetup scale="53" fitToHeight="0" orientation="landscape" horizontalDpi="1200" verticalDpi="1200"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F16E-7DE8-4BC6-A2E5-D5A1C1D48D68}">
  <sheetPr codeName="Sheet17">
    <pageSetUpPr fitToPage="1"/>
  </sheetPr>
  <dimension ref="A1:BL213"/>
  <sheetViews>
    <sheetView showGridLines="0" showRowColHeaders="0" zoomScale="90" zoomScaleNormal="90" workbookViewId="0">
      <selection activeCell="Q63" sqref="Q63:W63"/>
    </sheetView>
  </sheetViews>
  <sheetFormatPr defaultColWidth="0" defaultRowHeight="0" customHeight="1" zeroHeight="1"/>
  <cols>
    <col min="1" max="58" width="4.5703125" style="183" customWidth="1"/>
    <col min="59" max="59" width="4.5703125" style="177" customWidth="1"/>
    <col min="60" max="61" width="4.42578125" style="177" customWidth="1"/>
    <col min="62" max="64" width="4.42578125" style="177" hidden="1" customWidth="1"/>
    <col min="65" max="16384" width="4.5703125" style="177" hidden="1"/>
  </cols>
  <sheetData>
    <row r="1" spans="1:61" ht="16.350000000000001" customHeight="1">
      <c r="A1" s="60"/>
      <c r="B1" s="177"/>
      <c r="C1" s="177"/>
      <c r="D1" s="177"/>
      <c r="E1" s="177"/>
      <c r="F1" s="750" t="str">
        <f>M1S1</f>
        <v>WELCOME</v>
      </c>
      <c r="G1" s="750"/>
      <c r="H1" s="750"/>
      <c r="I1" s="750"/>
      <c r="J1" s="1301" t="str">
        <f>M1S2</f>
        <v>INSTRUCTIONS</v>
      </c>
      <c r="K1" s="1301"/>
      <c r="L1" s="1301"/>
      <c r="M1" s="1301"/>
      <c r="N1" s="240"/>
      <c r="O1" s="240"/>
      <c r="P1" s="240"/>
      <c r="Q1" s="240"/>
      <c r="R1" s="240"/>
      <c r="S1" s="240"/>
      <c r="T1" s="241"/>
      <c r="U1" s="242" t="s">
        <v>118</v>
      </c>
      <c r="V1" s="242"/>
      <c r="W1" s="242"/>
      <c r="X1" s="242"/>
      <c r="Y1" s="240"/>
      <c r="Z1" s="240"/>
      <c r="AA1" s="240"/>
      <c r="AB1" s="240"/>
      <c r="AC1" s="240"/>
      <c r="AD1" s="240"/>
      <c r="AE1" s="240"/>
      <c r="AF1" s="240"/>
      <c r="AG1" s="177"/>
      <c r="AH1"/>
      <c r="AI1"/>
      <c r="AJ1"/>
      <c r="AK1"/>
      <c r="AL1"/>
      <c r="AM1"/>
      <c r="AN1" s="734" t="str">
        <f>IF(ACTIVEINSPECT="Yes","Complete "&amp;M5S4,"")</f>
        <v/>
      </c>
      <c r="AO1" s="734"/>
      <c r="AP1" s="734"/>
      <c r="AQ1" s="734"/>
      <c r="AR1" s="730" t="str">
        <f>IF(ACTIVEOFFER="Yes","Sign "&amp;M5S6,"")</f>
        <v>Sign OBR: Repayment Agreement</v>
      </c>
      <c r="AS1" s="730"/>
      <c r="AT1" s="730"/>
      <c r="AU1" s="730"/>
      <c r="AV1" s="1451" t="str">
        <f>IF(ACTIVECOMPL="Yes","Sign "&amp;M5S5,"")</f>
        <v xml:space="preserve">Sign Project Completion Certification </v>
      </c>
      <c r="AW1" s="1451"/>
      <c r="AX1" s="1451"/>
      <c r="AY1" s="1451"/>
      <c r="AZ1" s="732" t="str">
        <f>M1S4</f>
        <v>INCENTIVE RATES &amp; REQUIREMENTS</v>
      </c>
      <c r="BA1" s="732"/>
      <c r="BB1" s="732"/>
      <c r="BC1" s="732"/>
      <c r="BD1" s="732"/>
      <c r="BE1" s="732"/>
      <c r="BF1" s="722" t="s">
        <v>119</v>
      </c>
      <c r="BG1" s="723"/>
      <c r="BH1" s="723"/>
      <c r="BI1" s="723"/>
    </row>
    <row r="2" spans="1:61" ht="16.350000000000001" customHeight="1">
      <c r="A2" s="177"/>
      <c r="B2" s="177"/>
      <c r="C2" s="177"/>
      <c r="D2" s="177"/>
      <c r="E2" s="177"/>
      <c r="F2" s="750"/>
      <c r="G2" s="750"/>
      <c r="H2" s="750"/>
      <c r="I2" s="750"/>
      <c r="J2" s="750"/>
      <c r="K2" s="750"/>
      <c r="L2" s="750"/>
      <c r="M2" s="750"/>
      <c r="N2" s="240"/>
      <c r="O2" s="240"/>
      <c r="P2" s="240"/>
      <c r="Q2" s="240"/>
      <c r="R2" s="240"/>
      <c r="S2" s="240"/>
      <c r="T2" s="241"/>
      <c r="U2" s="242"/>
      <c r="V2" s="242"/>
      <c r="W2" s="242"/>
      <c r="X2" s="242"/>
      <c r="Y2" s="240"/>
      <c r="Z2" s="240"/>
      <c r="AA2" s="240"/>
      <c r="AB2" s="240"/>
      <c r="AC2" s="240"/>
      <c r="AD2" s="240"/>
      <c r="AE2" s="240"/>
      <c r="AF2" s="240"/>
      <c r="AG2" s="177"/>
      <c r="AH2"/>
      <c r="AI2"/>
      <c r="AJ2"/>
      <c r="AK2"/>
      <c r="AL2"/>
      <c r="AM2"/>
      <c r="AN2" s="734"/>
      <c r="AO2" s="734"/>
      <c r="AP2" s="734"/>
      <c r="AQ2" s="734"/>
      <c r="AR2" s="730"/>
      <c r="AS2" s="730"/>
      <c r="AT2" s="730"/>
      <c r="AU2" s="730"/>
      <c r="AV2" s="1451"/>
      <c r="AW2" s="1451"/>
      <c r="AX2" s="1451"/>
      <c r="AY2" s="1451"/>
      <c r="AZ2" s="732"/>
      <c r="BA2" s="732"/>
      <c r="BB2" s="732"/>
      <c r="BC2" s="732"/>
      <c r="BD2" s="732"/>
      <c r="BE2" s="732"/>
      <c r="BF2" s="723"/>
      <c r="BG2" s="723"/>
      <c r="BH2" s="723"/>
      <c r="BI2" s="723"/>
    </row>
    <row r="3" spans="1:61" ht="16.350000000000001" customHeight="1" thickBot="1">
      <c r="A3" s="626"/>
      <c r="B3" s="626"/>
      <c r="C3" s="626"/>
      <c r="D3" s="626"/>
      <c r="E3" s="626"/>
      <c r="F3" s="875"/>
      <c r="G3" s="875"/>
      <c r="H3" s="875"/>
      <c r="I3" s="875"/>
      <c r="J3" s="875"/>
      <c r="K3" s="875"/>
      <c r="L3" s="875"/>
      <c r="M3" s="875"/>
      <c r="N3" s="642"/>
      <c r="O3" s="642"/>
      <c r="P3" s="642"/>
      <c r="Q3" s="642"/>
      <c r="R3" s="642"/>
      <c r="S3" s="642"/>
      <c r="T3" s="642"/>
      <c r="U3" s="643"/>
      <c r="V3" s="643"/>
      <c r="W3" s="643"/>
      <c r="X3" s="643"/>
      <c r="Y3" s="626"/>
      <c r="Z3" s="626"/>
      <c r="AA3" s="626"/>
      <c r="AB3" s="626"/>
      <c r="AC3" s="626"/>
      <c r="AD3" s="626"/>
      <c r="AE3" s="626"/>
      <c r="AF3" s="626"/>
      <c r="AG3" s="626"/>
      <c r="AH3" s="614"/>
      <c r="AI3" s="614"/>
      <c r="AJ3" s="614"/>
      <c r="AK3" s="614"/>
      <c r="AL3" s="614"/>
      <c r="AM3" s="614"/>
      <c r="AN3" s="868"/>
      <c r="AO3" s="868"/>
      <c r="AP3" s="868"/>
      <c r="AQ3" s="868"/>
      <c r="AR3" s="869"/>
      <c r="AS3" s="869"/>
      <c r="AT3" s="869"/>
      <c r="AU3" s="869"/>
      <c r="AV3" s="1452"/>
      <c r="AW3" s="1452"/>
      <c r="AX3" s="1452"/>
      <c r="AY3" s="1452"/>
      <c r="AZ3" s="1009"/>
      <c r="BA3" s="1009"/>
      <c r="BB3" s="1009"/>
      <c r="BC3" s="1009"/>
      <c r="BD3" s="1009"/>
      <c r="BE3" s="1009"/>
      <c r="BF3" s="871"/>
      <c r="BG3" s="871"/>
      <c r="BH3" s="871"/>
      <c r="BI3" s="871"/>
    </row>
    <row r="4" spans="1:61" ht="16.350000000000001" customHeight="1">
      <c r="A4" s="632"/>
      <c r="B4" s="632"/>
      <c r="C4" s="632"/>
      <c r="D4" s="632"/>
      <c r="E4" s="632"/>
      <c r="F4" s="632"/>
      <c r="G4" s="632"/>
      <c r="H4" s="632"/>
      <c r="I4" s="632"/>
      <c r="J4" s="632"/>
      <c r="K4" s="632"/>
      <c r="L4" s="633"/>
      <c r="M4" s="498"/>
      <c r="N4" s="632"/>
      <c r="O4" s="632"/>
      <c r="P4" s="632"/>
      <c r="Q4" s="632"/>
      <c r="R4" s="632"/>
      <c r="S4" s="634" t="s">
        <v>707</v>
      </c>
      <c r="T4" s="635" t="str">
        <f>M05S07F07</f>
        <v>Custom</v>
      </c>
      <c r="U4" s="636"/>
      <c r="V4" s="636"/>
      <c r="W4" s="636"/>
      <c r="X4" s="632"/>
      <c r="Y4" s="632"/>
      <c r="Z4" s="632"/>
      <c r="AA4" s="634" t="s">
        <v>708</v>
      </c>
      <c r="AB4" s="874" t="str">
        <f>IF(M02S02F02="","[Project Name]",LEFT(M02S02F02,25))</f>
        <v>[Project Name]</v>
      </c>
      <c r="AC4" s="874"/>
      <c r="AD4" s="874"/>
      <c r="AE4" s="874"/>
      <c r="AF4" s="874"/>
      <c r="AG4" s="874"/>
      <c r="AH4" s="632"/>
      <c r="AI4" s="634" t="s">
        <v>709</v>
      </c>
      <c r="AJ4" s="637" t="str">
        <f>IF(M02S02F27="Yes",Status_Final,Status_Pre)</f>
        <v>Draft Pre-Application</v>
      </c>
      <c r="AK4" s="498"/>
      <c r="AL4" s="632"/>
      <c r="AM4" s="632"/>
      <c r="AN4" s="498"/>
      <c r="AO4" s="498"/>
      <c r="AP4" s="632"/>
      <c r="AQ4" s="632"/>
      <c r="AR4" s="632"/>
      <c r="AS4" s="634" t="s">
        <v>710</v>
      </c>
      <c r="AT4" s="872">
        <f>Incent_Total_Cap_All</f>
        <v>0</v>
      </c>
      <c r="AU4" s="872"/>
      <c r="AV4" s="1047"/>
      <c r="AW4" s="1047"/>
      <c r="AX4" s="1048" t="s">
        <v>711</v>
      </c>
      <c r="AY4" s="1048"/>
      <c r="AZ4" s="873"/>
      <c r="BA4" s="873"/>
      <c r="BB4" s="873"/>
      <c r="BC4" s="872" t="str">
        <f>OBR_Amount_Requested</f>
        <v/>
      </c>
      <c r="BD4" s="872"/>
      <c r="BE4" s="872"/>
      <c r="BF4" s="872"/>
      <c r="BG4" s="498"/>
      <c r="BH4" s="644"/>
      <c r="BI4" s="644"/>
    </row>
    <row r="5" spans="1:61"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row>
    <row r="6" spans="1:61"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61"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6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row>
    <row r="9" spans="1:61" ht="16.350000000000001" customHeight="1">
      <c r="A9" s="177"/>
      <c r="B9" s="177"/>
      <c r="C9" s="177"/>
      <c r="D9" s="177"/>
      <c r="E9" s="177"/>
      <c r="F9" s="1250" t="str">
        <f>M5S5</f>
        <v xml:space="preserve">Project Completion Certification </v>
      </c>
      <c r="G9" s="1250"/>
      <c r="H9" s="1250"/>
      <c r="I9" s="1250"/>
      <c r="J9" s="1250"/>
      <c r="K9" s="1250"/>
      <c r="L9" s="1250"/>
      <c r="M9" s="1250"/>
      <c r="N9" s="1250"/>
      <c r="O9" s="1250"/>
      <c r="P9" s="1250"/>
      <c r="Q9" s="1250"/>
      <c r="R9" s="1250"/>
      <c r="S9" s="1250"/>
      <c r="T9" s="1250"/>
      <c r="U9" s="1250"/>
      <c r="V9" s="1250"/>
      <c r="W9" s="1250"/>
      <c r="X9" s="1250"/>
      <c r="Y9" s="1250"/>
      <c r="Z9" s="1250"/>
      <c r="AA9" s="1250"/>
      <c r="AB9" s="1250"/>
      <c r="AC9" s="1250"/>
      <c r="AD9" s="1250"/>
      <c r="AE9" s="1250"/>
      <c r="AF9" s="1250"/>
      <c r="AG9" s="1250"/>
      <c r="AH9" s="1250"/>
      <c r="AI9" s="1250"/>
      <c r="AJ9" s="1250"/>
      <c r="AK9" s="1250"/>
      <c r="AL9" s="1250"/>
      <c r="AM9" s="1250"/>
      <c r="AN9" s="1250"/>
      <c r="AO9" s="1250"/>
      <c r="AP9" s="1250"/>
      <c r="AQ9" s="1250"/>
      <c r="AR9" s="1250"/>
      <c r="AS9" s="1250"/>
      <c r="AT9" s="1250"/>
      <c r="AU9" s="1250"/>
      <c r="AV9" s="1250"/>
      <c r="AW9" s="1250"/>
      <c r="AX9" s="1250"/>
      <c r="AY9" s="177"/>
      <c r="AZ9" s="177"/>
      <c r="BA9" s="177"/>
      <c r="BB9" s="177"/>
      <c r="BC9" s="177"/>
      <c r="BD9" s="177"/>
      <c r="BE9" s="177"/>
      <c r="BF9" s="177"/>
    </row>
    <row r="10" spans="1:61" ht="16.350000000000001" customHeight="1">
      <c r="A10" s="177"/>
      <c r="B10" s="177"/>
      <c r="C10" s="177"/>
      <c r="D10" s="177"/>
      <c r="E10" s="177"/>
      <c r="F10" s="1250"/>
      <c r="G10" s="1250"/>
      <c r="H10" s="1250"/>
      <c r="I10" s="1250"/>
      <c r="J10" s="1250"/>
      <c r="K10" s="1250"/>
      <c r="L10" s="1250"/>
      <c r="M10" s="1250"/>
      <c r="N10" s="1250"/>
      <c r="O10" s="1250"/>
      <c r="P10" s="1250"/>
      <c r="Q10" s="1250"/>
      <c r="R10" s="1250"/>
      <c r="S10" s="1250"/>
      <c r="T10" s="1250"/>
      <c r="U10" s="1250"/>
      <c r="V10" s="1250"/>
      <c r="W10" s="1250"/>
      <c r="X10" s="1250"/>
      <c r="Y10" s="1250"/>
      <c r="Z10" s="1250"/>
      <c r="AA10" s="1250"/>
      <c r="AB10" s="1250"/>
      <c r="AC10" s="1250"/>
      <c r="AD10" s="1250"/>
      <c r="AE10" s="1250"/>
      <c r="AF10" s="1250"/>
      <c r="AG10" s="1250"/>
      <c r="AH10" s="1250"/>
      <c r="AI10" s="1250"/>
      <c r="AJ10" s="1250"/>
      <c r="AK10" s="1250"/>
      <c r="AL10" s="1250"/>
      <c r="AM10" s="1250"/>
      <c r="AN10" s="1250"/>
      <c r="AO10" s="1250"/>
      <c r="AP10" s="1250"/>
      <c r="AQ10" s="1250"/>
      <c r="AR10" s="1250"/>
      <c r="AS10" s="1250"/>
      <c r="AT10" s="1250"/>
      <c r="AU10" s="1250"/>
      <c r="AV10" s="1250"/>
      <c r="AW10" s="1250"/>
      <c r="AX10" s="1250"/>
      <c r="AY10" s="177"/>
      <c r="AZ10" s="177"/>
      <c r="BA10" s="177"/>
      <c r="BB10" s="177"/>
      <c r="BC10" s="177"/>
      <c r="BD10" s="177"/>
      <c r="BE10" s="177"/>
      <c r="BF10" s="177"/>
    </row>
    <row r="11" spans="1:61" ht="16.350000000000001" customHeight="1">
      <c r="A11" s="177"/>
      <c r="B11" s="177"/>
      <c r="C11" s="177"/>
      <c r="D11" s="177"/>
      <c r="E11" s="177"/>
      <c r="F11" s="177"/>
      <c r="G11" s="177"/>
      <c r="H11" s="177"/>
      <c r="I11" s="177"/>
      <c r="J11" s="177"/>
      <c r="K11" s="1387" t="str">
        <f>"Please review the "&amp;M5S5&amp; "for accuracy. If there have been adjustments to the project, go to Equipment Input and update your measures accordingly. Print, sign, and submit this page to the program upon completion of the project."</f>
        <v>Please review the Project Completion Certification for accuracy. If there have been adjustments to the project, go to Equipment Input and update your measures accordingly. Print, sign, and submit this page to the program upon completion of the project.</v>
      </c>
      <c r="L11" s="1387"/>
      <c r="M11" s="1387"/>
      <c r="N11" s="1387"/>
      <c r="O11" s="1387"/>
      <c r="P11" s="1387"/>
      <c r="Q11" s="1387"/>
      <c r="R11" s="1387"/>
      <c r="S11" s="1387"/>
      <c r="T11" s="1387"/>
      <c r="U11" s="1387"/>
      <c r="V11" s="1387"/>
      <c r="W11" s="1387"/>
      <c r="X11" s="1387"/>
      <c r="Y11" s="1387"/>
      <c r="Z11" s="1387"/>
      <c r="AA11" s="1387"/>
      <c r="AB11" s="1387"/>
      <c r="AC11" s="1387"/>
      <c r="AD11" s="1387"/>
      <c r="AE11" s="1387"/>
      <c r="AF11" s="1387"/>
      <c r="AG11" s="1387"/>
      <c r="AH11" s="1387"/>
      <c r="AI11" s="1387"/>
      <c r="AJ11" s="1387"/>
      <c r="AK11" s="1387"/>
      <c r="AL11" s="1387"/>
      <c r="AM11" s="1387"/>
      <c r="AN11" s="1387"/>
      <c r="AO11" s="1387"/>
      <c r="AP11" s="1387"/>
      <c r="AQ11" s="1387"/>
      <c r="AR11" s="1387"/>
      <c r="AS11" s="1387"/>
      <c r="AT11" s="1387"/>
      <c r="AU11" s="1387"/>
      <c r="AV11" s="177"/>
      <c r="AW11" s="177"/>
      <c r="AX11" s="177"/>
      <c r="AY11" s="177"/>
      <c r="AZ11" s="177"/>
      <c r="BA11" s="177"/>
      <c r="BB11" s="177"/>
      <c r="BC11" s="177"/>
      <c r="BD11" s="177"/>
      <c r="BE11" s="177"/>
      <c r="BF11" s="177"/>
    </row>
    <row r="12" spans="1:61" ht="16.350000000000001" customHeight="1">
      <c r="A12" s="177"/>
      <c r="B12" s="177"/>
      <c r="C12" s="177"/>
      <c r="D12" s="177"/>
      <c r="E12" s="177"/>
      <c r="F12" s="177"/>
      <c r="G12" s="177"/>
      <c r="H12" s="177"/>
      <c r="I12" s="177"/>
      <c r="J12" s="17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c r="AT12" s="1387"/>
      <c r="AU12" s="1387"/>
      <c r="AV12" s="177"/>
      <c r="AW12" s="177"/>
      <c r="AX12" s="177"/>
      <c r="AY12" s="177"/>
      <c r="AZ12" s="177"/>
      <c r="BA12" s="177"/>
      <c r="BB12" s="177"/>
      <c r="BC12" s="177"/>
      <c r="BD12" s="177"/>
      <c r="BE12" s="177"/>
      <c r="BF12" s="177"/>
    </row>
    <row r="13" spans="1:61" ht="16.350000000000001" customHeight="1">
      <c r="A13" s="177"/>
      <c r="B13" s="177"/>
      <c r="C13" s="177"/>
      <c r="D13" s="177"/>
      <c r="E13" s="177"/>
      <c r="F13" s="177"/>
      <c r="G13" s="177"/>
      <c r="H13" s="177"/>
      <c r="I13" s="177"/>
      <c r="J13" s="177"/>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177"/>
      <c r="AW13" s="177"/>
      <c r="AX13" s="177"/>
      <c r="AY13" s="177"/>
      <c r="AZ13" s="177"/>
      <c r="BA13" s="177"/>
      <c r="BB13" s="177"/>
      <c r="BC13" s="177"/>
      <c r="BD13" s="177"/>
      <c r="BE13" s="177"/>
      <c r="BF13" s="177"/>
    </row>
    <row r="14" spans="1:61" ht="16.350000000000001" customHeight="1">
      <c r="A14" s="177"/>
      <c r="B14" s="177"/>
      <c r="C14" s="177"/>
      <c r="D14" s="177"/>
      <c r="E14" s="177"/>
      <c r="F14" s="177"/>
      <c r="G14" s="177"/>
      <c r="H14" s="177"/>
      <c r="I14" s="177"/>
      <c r="J14" s="177"/>
      <c r="K14" s="177"/>
      <c r="L14" s="177"/>
      <c r="M14" s="177"/>
      <c r="N14" s="240"/>
      <c r="O14" s="365"/>
      <c r="P14" s="366"/>
      <c r="Q14" s="366"/>
      <c r="R14" s="366"/>
      <c r="S14" s="366"/>
      <c r="T14" s="366"/>
      <c r="U14" s="366"/>
      <c r="V14" s="366"/>
      <c r="W14" s="366"/>
      <c r="X14" s="366"/>
      <c r="Y14" s="366"/>
      <c r="Z14" s="366"/>
      <c r="AA14" s="366"/>
      <c r="AB14" s="367"/>
      <c r="AC14" s="367"/>
      <c r="AD14" s="367"/>
      <c r="AE14" s="367"/>
      <c r="AF14" s="367"/>
      <c r="AG14" s="367"/>
      <c r="AH14" s="366"/>
      <c r="AI14" s="366"/>
      <c r="AJ14" s="366"/>
      <c r="AK14" s="366"/>
      <c r="AL14" s="366"/>
      <c r="AM14" s="366"/>
      <c r="AN14" s="366"/>
      <c r="AO14" s="366"/>
      <c r="AP14" s="366"/>
      <c r="AQ14" s="368"/>
      <c r="AR14" s="177"/>
      <c r="AS14" s="177"/>
      <c r="AT14" s="177"/>
      <c r="AU14" s="177"/>
      <c r="AV14" s="177"/>
      <c r="AW14" s="177"/>
      <c r="AX14" s="177"/>
      <c r="AY14" s="177"/>
      <c r="AZ14" s="177"/>
      <c r="BA14" s="177"/>
      <c r="BB14" s="177"/>
      <c r="BC14" s="177"/>
      <c r="BD14" s="177"/>
      <c r="BE14" s="177"/>
      <c r="BF14" s="177"/>
    </row>
    <row r="15" spans="1:61" ht="16.350000000000001" customHeight="1">
      <c r="A15" s="177"/>
      <c r="B15" s="177"/>
      <c r="C15" s="177"/>
      <c r="D15" s="177"/>
      <c r="E15" s="177"/>
      <c r="F15" s="177"/>
      <c r="G15" s="177"/>
      <c r="H15" s="177"/>
      <c r="I15" s="177"/>
      <c r="J15" s="177"/>
      <c r="K15" s="177"/>
      <c r="L15" s="177"/>
      <c r="M15" s="177"/>
      <c r="N15" s="240"/>
      <c r="O15" s="369"/>
      <c r="P15" s="525"/>
      <c r="Q15" s="525"/>
      <c r="R15" s="525"/>
      <c r="S15" s="525"/>
      <c r="T15" s="525"/>
      <c r="U15" s="525"/>
      <c r="V15" s="525"/>
      <c r="W15" s="525"/>
      <c r="X15" s="525"/>
      <c r="Y15" s="525"/>
      <c r="Z15" s="525"/>
      <c r="AA15" s="525"/>
      <c r="AB15" s="525"/>
      <c r="AC15" s="525"/>
      <c r="AD15" s="525"/>
      <c r="AE15" s="525"/>
      <c r="AF15" s="525"/>
      <c r="AG15" s="525"/>
      <c r="AH15" s="525"/>
      <c r="AI15" s="525"/>
      <c r="AJ15" s="525"/>
      <c r="AK15" s="525"/>
      <c r="AL15" s="525"/>
      <c r="AM15" s="525"/>
      <c r="AN15" s="525"/>
      <c r="AO15" s="525"/>
      <c r="AP15" s="525"/>
      <c r="AQ15" s="260"/>
      <c r="AR15" s="177"/>
      <c r="AS15" s="177"/>
      <c r="AT15" s="177"/>
      <c r="AU15" s="177"/>
      <c r="AV15" s="177"/>
      <c r="AW15" s="177"/>
      <c r="AX15" s="177"/>
      <c r="AY15" s="177"/>
      <c r="AZ15" s="177"/>
      <c r="BA15" s="177"/>
      <c r="BB15" s="177"/>
      <c r="BC15" s="177"/>
      <c r="BD15" s="177"/>
      <c r="BE15" s="177"/>
      <c r="BF15" s="177"/>
    </row>
    <row r="16" spans="1:61" ht="16.350000000000001" customHeight="1">
      <c r="A16" s="177"/>
      <c r="B16" s="177"/>
      <c r="C16" s="177"/>
      <c r="D16" s="177"/>
      <c r="E16" s="177"/>
      <c r="F16" s="177"/>
      <c r="G16" s="177"/>
      <c r="H16" s="177"/>
      <c r="I16" s="177"/>
      <c r="J16" s="177"/>
      <c r="K16" s="177"/>
      <c r="L16" s="177"/>
      <c r="M16" s="177"/>
      <c r="N16" s="240"/>
      <c r="O16" s="369"/>
      <c r="P16" s="525"/>
      <c r="Q16" s="525"/>
      <c r="R16" s="525"/>
      <c r="S16" s="525"/>
      <c r="T16" s="525"/>
      <c r="U16" s="525"/>
      <c r="V16" s="525"/>
      <c r="W16" s="525"/>
      <c r="X16" s="525"/>
      <c r="Y16" s="525"/>
      <c r="Z16" s="525"/>
      <c r="AA16" s="525"/>
      <c r="AB16" s="525"/>
      <c r="AC16" s="525"/>
      <c r="AD16" s="525"/>
      <c r="AE16" s="525"/>
      <c r="AF16" s="525"/>
      <c r="AG16" s="525"/>
      <c r="AH16" s="525"/>
      <c r="AI16" s="525"/>
      <c r="AJ16" s="525"/>
      <c r="AK16" s="525"/>
      <c r="AL16" s="525"/>
      <c r="AM16" s="525"/>
      <c r="AN16" s="525"/>
      <c r="AO16" s="525"/>
      <c r="AP16" s="525"/>
      <c r="AQ16" s="260"/>
      <c r="AR16" s="177"/>
      <c r="AS16" s="177"/>
      <c r="AT16" s="177"/>
      <c r="AU16" s="177"/>
      <c r="AV16" s="177"/>
      <c r="AW16" s="177"/>
      <c r="AX16" s="177"/>
      <c r="AY16" s="177"/>
      <c r="AZ16" s="177"/>
      <c r="BA16" s="177"/>
      <c r="BB16" s="177"/>
      <c r="BC16" s="177"/>
      <c r="BD16" s="177"/>
      <c r="BE16" s="177"/>
      <c r="BF16" s="177"/>
    </row>
    <row r="17" spans="1:58" ht="16.350000000000001" customHeight="1">
      <c r="A17" s="177"/>
      <c r="B17" s="177"/>
      <c r="C17" s="177"/>
      <c r="D17" s="177"/>
      <c r="E17" s="177"/>
      <c r="F17" s="177"/>
      <c r="G17" s="177"/>
      <c r="H17" s="177"/>
      <c r="I17" s="177"/>
      <c r="J17" s="177"/>
      <c r="K17" s="177"/>
      <c r="L17" s="177"/>
      <c r="M17" s="177"/>
      <c r="N17" s="240"/>
      <c r="O17" s="369"/>
      <c r="P17" s="525"/>
      <c r="Q17" s="5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525"/>
      <c r="AO17" s="525"/>
      <c r="AP17" s="525"/>
      <c r="AQ17" s="260"/>
      <c r="AR17" s="177"/>
      <c r="AS17" s="177"/>
      <c r="AT17" s="177"/>
      <c r="AU17" s="177"/>
      <c r="AV17" s="177"/>
      <c r="AW17" s="177"/>
      <c r="AX17" s="177"/>
      <c r="AY17" s="177"/>
      <c r="AZ17" s="177"/>
      <c r="BA17" s="177"/>
      <c r="BB17" s="177"/>
      <c r="BC17" s="177"/>
      <c r="BD17" s="177"/>
      <c r="BE17" s="177"/>
      <c r="BF17" s="177"/>
    </row>
    <row r="18" spans="1:58" ht="16.350000000000001" customHeight="1">
      <c r="A18" s="177"/>
      <c r="B18" s="177"/>
      <c r="C18" s="177"/>
      <c r="D18" s="177"/>
      <c r="E18" s="177"/>
      <c r="F18" s="177"/>
      <c r="G18" s="177"/>
      <c r="H18" s="177"/>
      <c r="I18" s="177"/>
      <c r="J18" s="177"/>
      <c r="K18" s="177"/>
      <c r="L18" s="177"/>
      <c r="M18" s="177"/>
      <c r="N18" s="240"/>
      <c r="O18" s="369"/>
      <c r="P18" s="525"/>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260"/>
      <c r="AR18" s="177"/>
      <c r="AS18" s="177"/>
      <c r="AT18" s="177"/>
      <c r="AU18" s="177"/>
      <c r="AV18" s="177"/>
      <c r="AW18" s="177"/>
      <c r="AX18" s="177"/>
      <c r="AY18" s="177"/>
      <c r="AZ18" s="177"/>
      <c r="BA18" s="177"/>
      <c r="BB18" s="177"/>
      <c r="BC18" s="177"/>
      <c r="BD18" s="177"/>
      <c r="BE18" s="177"/>
      <c r="BF18" s="177"/>
    </row>
    <row r="19" spans="1:58" s="177" customFormat="1" ht="16.350000000000001" customHeight="1">
      <c r="O19" s="369"/>
      <c r="P19" s="1130" t="str">
        <f>M5S5</f>
        <v xml:space="preserve">Project Completion Certification </v>
      </c>
      <c r="Q19" s="1130"/>
      <c r="R19" s="1130"/>
      <c r="S19" s="1130"/>
      <c r="T19" s="1130"/>
      <c r="U19" s="1130"/>
      <c r="V19" s="1130"/>
      <c r="W19" s="1130"/>
      <c r="X19" s="1130"/>
      <c r="Y19" s="1130"/>
      <c r="Z19" s="1130"/>
      <c r="AA19" s="1130"/>
      <c r="AB19" s="1130"/>
      <c r="AC19" s="1130"/>
      <c r="AD19" s="524"/>
      <c r="AE19" s="524"/>
      <c r="AF19" s="524"/>
      <c r="AG19" s="524"/>
      <c r="AH19" s="524"/>
      <c r="AI19" s="1135" t="str">
        <f>CONCATENATE("Project # ",PROJID)</f>
        <v xml:space="preserve">Project # </v>
      </c>
      <c r="AJ19" s="1135"/>
      <c r="AK19" s="1135"/>
      <c r="AL19" s="1135"/>
      <c r="AM19" s="1135"/>
      <c r="AN19" s="1135"/>
      <c r="AO19" s="1135"/>
      <c r="AP19" s="1135"/>
      <c r="AQ19" s="260"/>
    </row>
    <row r="20" spans="1:58" ht="16.350000000000001" customHeight="1">
      <c r="A20" s="177"/>
      <c r="B20" s="177"/>
      <c r="C20" s="177"/>
      <c r="D20" s="177"/>
      <c r="E20" s="177"/>
      <c r="F20" s="177"/>
      <c r="G20" s="177"/>
      <c r="H20" s="177"/>
      <c r="I20" s="177"/>
      <c r="J20" s="177"/>
      <c r="K20" s="177"/>
      <c r="L20" s="177"/>
      <c r="M20" s="177"/>
      <c r="N20" s="240"/>
      <c r="O20" s="369"/>
      <c r="P20" s="1130"/>
      <c r="Q20" s="1130"/>
      <c r="R20" s="1130"/>
      <c r="S20" s="1130"/>
      <c r="T20" s="1130"/>
      <c r="U20" s="1130"/>
      <c r="V20" s="1130"/>
      <c r="W20" s="1130"/>
      <c r="X20" s="1130"/>
      <c r="Y20" s="1130"/>
      <c r="Z20" s="1130"/>
      <c r="AA20" s="1130"/>
      <c r="AB20" s="1130"/>
      <c r="AC20" s="1130"/>
      <c r="AD20" s="524"/>
      <c r="AE20" s="524"/>
      <c r="AF20" s="524"/>
      <c r="AG20" s="524"/>
      <c r="AH20" s="524"/>
      <c r="AI20" s="1135"/>
      <c r="AJ20" s="1135"/>
      <c r="AK20" s="1135"/>
      <c r="AL20" s="1135"/>
      <c r="AM20" s="1135"/>
      <c r="AN20" s="1135"/>
      <c r="AO20" s="1135"/>
      <c r="AP20" s="1135"/>
      <c r="AQ20" s="260"/>
      <c r="AR20" s="177"/>
      <c r="AS20" s="177"/>
      <c r="AT20" s="177"/>
      <c r="AU20" s="177"/>
      <c r="AV20" s="177"/>
      <c r="AW20" s="177"/>
      <c r="AX20" s="177"/>
      <c r="AY20" s="177"/>
      <c r="AZ20" s="177"/>
      <c r="BA20" s="177"/>
      <c r="BB20" s="177"/>
      <c r="BC20" s="177"/>
      <c r="BD20" s="177"/>
      <c r="BE20" s="177"/>
      <c r="BF20" s="177"/>
    </row>
    <row r="21" spans="1:58" ht="16.350000000000001" customHeight="1">
      <c r="A21" s="177"/>
      <c r="B21" s="177"/>
      <c r="C21" s="177"/>
      <c r="D21" s="177"/>
      <c r="E21" s="177"/>
      <c r="F21" s="177"/>
      <c r="G21" s="177"/>
      <c r="H21" s="177"/>
      <c r="I21" s="177"/>
      <c r="J21" s="177"/>
      <c r="K21" s="177"/>
      <c r="L21" s="177"/>
      <c r="M21" s="177"/>
      <c r="N21" s="240"/>
      <c r="O21" s="369"/>
      <c r="P21" s="1130"/>
      <c r="Q21" s="1130"/>
      <c r="R21" s="1130"/>
      <c r="S21" s="1130"/>
      <c r="T21" s="1130"/>
      <c r="U21" s="1130"/>
      <c r="V21" s="1130"/>
      <c r="W21" s="1130"/>
      <c r="X21" s="1130"/>
      <c r="Y21" s="1130"/>
      <c r="Z21" s="1130"/>
      <c r="AA21" s="1130"/>
      <c r="AB21" s="1130"/>
      <c r="AC21" s="1130"/>
      <c r="AD21" s="524"/>
      <c r="AE21" s="524"/>
      <c r="AF21" s="524"/>
      <c r="AG21" s="524"/>
      <c r="AH21" s="524"/>
      <c r="AI21" s="1135"/>
      <c r="AJ21" s="1135"/>
      <c r="AK21" s="1135"/>
      <c r="AL21" s="1135"/>
      <c r="AM21" s="1135"/>
      <c r="AN21" s="1135"/>
      <c r="AO21" s="1135"/>
      <c r="AP21" s="1135"/>
      <c r="AQ21" s="260"/>
      <c r="AR21" s="177"/>
      <c r="AS21" s="177"/>
      <c r="AT21" s="177"/>
      <c r="AU21" s="177"/>
      <c r="AV21" s="177"/>
      <c r="AW21" s="177"/>
      <c r="AX21" s="177"/>
      <c r="AY21" s="177"/>
      <c r="AZ21" s="177"/>
      <c r="BA21" s="177"/>
      <c r="BB21" s="177"/>
      <c r="BC21" s="177"/>
      <c r="BD21" s="177"/>
      <c r="BE21" s="177"/>
      <c r="BF21" s="177"/>
    </row>
    <row r="22" spans="1:58" s="177" customFormat="1" ht="16.350000000000001" customHeight="1">
      <c r="O22" s="369"/>
      <c r="P22" s="1116" t="str">
        <f>IF(M02S03F01="","",M02S03F01)</f>
        <v/>
      </c>
      <c r="Q22" s="1116"/>
      <c r="R22" s="1116"/>
      <c r="S22" s="1116"/>
      <c r="T22" s="1116"/>
      <c r="U22" s="1116"/>
      <c r="V22" s="1116"/>
      <c r="W22" s="1116"/>
      <c r="X22" s="1116"/>
      <c r="Y22" s="1116"/>
      <c r="Z22" s="1116"/>
      <c r="AA22" s="1116"/>
      <c r="AB22" s="1116"/>
      <c r="AC22" s="1116"/>
      <c r="AD22" s="1117" t="str">
        <f>IF(M02S02F25="","",M02S02F25)</f>
        <v/>
      </c>
      <c r="AE22" s="1117"/>
      <c r="AF22" s="1117"/>
      <c r="AG22" s="1117"/>
      <c r="AH22" s="1117"/>
      <c r="AI22" s="1117"/>
      <c r="AJ22" s="1117"/>
      <c r="AK22" s="1117"/>
      <c r="AL22" s="1117"/>
      <c r="AM22" s="1117"/>
      <c r="AN22" s="1117"/>
      <c r="AO22" s="1117"/>
      <c r="AP22" s="1117"/>
      <c r="AQ22" s="260"/>
    </row>
    <row r="23" spans="1:58" ht="16.350000000000001" customHeight="1">
      <c r="A23" s="177"/>
      <c r="B23" s="177"/>
      <c r="C23" s="177"/>
      <c r="D23" s="177"/>
      <c r="E23" s="177"/>
      <c r="F23" s="177"/>
      <c r="G23" s="177"/>
      <c r="H23" s="177"/>
      <c r="I23" s="177"/>
      <c r="J23" s="177"/>
      <c r="K23" s="177"/>
      <c r="L23" s="177"/>
      <c r="M23" s="177"/>
      <c r="N23" s="240"/>
      <c r="O23" s="369"/>
      <c r="P23" s="1116"/>
      <c r="Q23" s="1116"/>
      <c r="R23" s="1116"/>
      <c r="S23" s="1116"/>
      <c r="T23" s="1116"/>
      <c r="U23" s="1116"/>
      <c r="V23" s="1116"/>
      <c r="W23" s="1116"/>
      <c r="X23" s="1116"/>
      <c r="Y23" s="1116"/>
      <c r="Z23" s="1116"/>
      <c r="AA23" s="1116"/>
      <c r="AB23" s="1116"/>
      <c r="AC23" s="1116"/>
      <c r="AD23" s="1117"/>
      <c r="AE23" s="1117"/>
      <c r="AF23" s="1117"/>
      <c r="AG23" s="1117"/>
      <c r="AH23" s="1117"/>
      <c r="AI23" s="1117"/>
      <c r="AJ23" s="1117"/>
      <c r="AK23" s="1117"/>
      <c r="AL23" s="1117"/>
      <c r="AM23" s="1117"/>
      <c r="AN23" s="1117"/>
      <c r="AO23" s="1117"/>
      <c r="AP23" s="1117"/>
      <c r="AQ23" s="260"/>
      <c r="AR23" s="177"/>
      <c r="AS23" s="177"/>
      <c r="AT23" s="177"/>
      <c r="AU23" s="177"/>
      <c r="AV23" s="177" t="s">
        <v>118</v>
      </c>
      <c r="AW23" s="177"/>
      <c r="AX23" s="177"/>
      <c r="AY23" s="177"/>
      <c r="AZ23" s="177"/>
      <c r="BA23" s="177"/>
      <c r="BB23" s="177"/>
      <c r="BC23" s="177"/>
      <c r="BD23" s="177"/>
      <c r="BE23" s="177"/>
      <c r="BF23" s="177"/>
    </row>
    <row r="24" spans="1:58" ht="16.350000000000001" customHeight="1">
      <c r="A24" s="177"/>
      <c r="B24" s="177"/>
      <c r="C24" s="177"/>
      <c r="D24" s="177"/>
      <c r="E24" s="177"/>
      <c r="F24" s="177"/>
      <c r="G24" s="177"/>
      <c r="H24" s="177"/>
      <c r="I24" s="177"/>
      <c r="J24" s="177"/>
      <c r="K24" s="177"/>
      <c r="L24" s="177"/>
      <c r="M24" s="177"/>
      <c r="N24" s="240"/>
      <c r="O24" s="36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260"/>
      <c r="AR24" s="177"/>
      <c r="AS24" s="177"/>
      <c r="AT24" s="177"/>
      <c r="AU24" s="177"/>
      <c r="AV24" s="177"/>
      <c r="AW24" s="177"/>
      <c r="AX24" s="177"/>
      <c r="AY24" s="177"/>
      <c r="AZ24" s="177"/>
      <c r="BA24" s="177"/>
      <c r="BB24" s="177"/>
      <c r="BC24" s="177"/>
      <c r="BD24" s="177"/>
      <c r="BE24" s="177"/>
      <c r="BF24" s="177"/>
    </row>
    <row r="25" spans="1:58" s="177" customFormat="1" ht="16.350000000000001" customHeight="1">
      <c r="O25" s="369"/>
      <c r="P25" s="1118" t="s">
        <v>247</v>
      </c>
      <c r="Q25" s="1118"/>
      <c r="R25" s="1118"/>
      <c r="S25" s="1118"/>
      <c r="T25" s="1118"/>
      <c r="U25" s="526"/>
      <c r="V25" s="1119" t="s">
        <v>1498</v>
      </c>
      <c r="W25" s="1119"/>
      <c r="X25" s="1119"/>
      <c r="Y25" s="1119"/>
      <c r="Z25" s="1119"/>
      <c r="AA25" s="1119"/>
      <c r="AB25" s="507"/>
      <c r="AC25" s="1119" t="s">
        <v>1499</v>
      </c>
      <c r="AD25" s="1119"/>
      <c r="AE25" s="1119"/>
      <c r="AF25" s="1119"/>
      <c r="AG25" s="1119"/>
      <c r="AH25" s="1119"/>
      <c r="AI25" s="1119"/>
      <c r="AJ25" s="1107" t="s">
        <v>1500</v>
      </c>
      <c r="AK25" s="1107"/>
      <c r="AL25" s="1107"/>
      <c r="AM25" s="1107"/>
      <c r="AN25" s="1107"/>
      <c r="AO25" s="1107"/>
      <c r="AP25" s="1107"/>
      <c r="AQ25" s="260"/>
    </row>
    <row r="26" spans="1:58" s="177" customFormat="1" ht="16.350000000000001" customHeight="1">
      <c r="O26" s="369"/>
      <c r="P26" s="1118"/>
      <c r="Q26" s="1118"/>
      <c r="R26" s="1118"/>
      <c r="S26" s="1118"/>
      <c r="T26" s="1118"/>
      <c r="U26" s="526"/>
      <c r="V26" s="1115" t="str">
        <f>IF(M02S02F02="","",M02S02F02)</f>
        <v/>
      </c>
      <c r="W26" s="1115"/>
      <c r="X26" s="1115"/>
      <c r="Y26" s="1115"/>
      <c r="Z26" s="1115"/>
      <c r="AA26" s="1115"/>
      <c r="AB26" s="508"/>
      <c r="AC26" s="1115" t="str">
        <f>M02S02F13</f>
        <v/>
      </c>
      <c r="AD26" s="1115"/>
      <c r="AE26" s="1115"/>
      <c r="AF26" s="1115"/>
      <c r="AG26" s="1115"/>
      <c r="AH26" s="1115"/>
      <c r="AI26" s="1115"/>
      <c r="AJ26" s="1115" t="str">
        <f>M02S02F15</f>
        <v/>
      </c>
      <c r="AK26" s="1115"/>
      <c r="AL26" s="1115"/>
      <c r="AM26" s="1115"/>
      <c r="AN26" s="1115"/>
      <c r="AO26" s="1115"/>
      <c r="AP26" s="1115"/>
      <c r="AQ26" s="260"/>
    </row>
    <row r="27" spans="1:58" s="177" customFormat="1" ht="16.350000000000001" customHeight="1">
      <c r="O27" s="369"/>
      <c r="P27" s="1118"/>
      <c r="Q27" s="1118"/>
      <c r="R27" s="1118"/>
      <c r="S27" s="1118"/>
      <c r="T27" s="1118"/>
      <c r="U27" s="526"/>
      <c r="V27" s="1115" t="str">
        <f>IF(M02S02F03="","",M02S02F03)</f>
        <v/>
      </c>
      <c r="W27" s="1115"/>
      <c r="X27" s="1115"/>
      <c r="Y27" s="1115"/>
      <c r="Z27" s="1115"/>
      <c r="AA27" s="1115"/>
      <c r="AB27" s="508"/>
      <c r="AC27" s="1119" t="s">
        <v>1504</v>
      </c>
      <c r="AD27" s="1119"/>
      <c r="AE27" s="1119"/>
      <c r="AF27" s="1119"/>
      <c r="AG27" s="1119"/>
      <c r="AH27" s="1119"/>
      <c r="AI27" s="1119"/>
      <c r="AJ27" s="1107" t="s">
        <v>1505</v>
      </c>
      <c r="AK27" s="1107"/>
      <c r="AL27" s="1107"/>
      <c r="AM27" s="1107"/>
      <c r="AN27" s="1107"/>
      <c r="AO27" s="1107"/>
      <c r="AP27" s="1107"/>
      <c r="AQ27" s="260"/>
    </row>
    <row r="28" spans="1:58" s="177" customFormat="1" ht="16.350000000000001" customHeight="1">
      <c r="O28" s="369"/>
      <c r="P28" s="1118"/>
      <c r="Q28" s="1118"/>
      <c r="R28" s="1118"/>
      <c r="S28" s="1118"/>
      <c r="T28" s="1118"/>
      <c r="U28" s="526"/>
      <c r="V28" s="1115" t="str">
        <f>CONCATENATE(M02S02F06,", ",M02S02F07," ",TEXT(M02S02F08,"00000"))</f>
        <v>, NJ 00000</v>
      </c>
      <c r="W28" s="1115"/>
      <c r="X28" s="1115"/>
      <c r="Y28" s="1115"/>
      <c r="Z28" s="1115"/>
      <c r="AA28" s="1115"/>
      <c r="AB28" s="508"/>
      <c r="AC28" s="1120" t="str">
        <f>IF(M02S02F14="","",M02S02F14)</f>
        <v/>
      </c>
      <c r="AD28" s="1120"/>
      <c r="AE28" s="1120"/>
      <c r="AF28" s="1120"/>
      <c r="AG28" s="1120"/>
      <c r="AH28" s="1120"/>
      <c r="AI28" s="1120"/>
      <c r="AJ28" s="1120" t="str">
        <f>IF(M02S02F16="","",M02S02F16)</f>
        <v/>
      </c>
      <c r="AK28" s="1120"/>
      <c r="AL28" s="1120"/>
      <c r="AM28" s="1120"/>
      <c r="AN28" s="1120"/>
      <c r="AO28" s="1120"/>
      <c r="AP28" s="1120"/>
      <c r="AQ28" s="260"/>
    </row>
    <row r="29" spans="1:58" ht="16.350000000000001" customHeight="1">
      <c r="A29" s="177"/>
      <c r="B29" s="177"/>
      <c r="C29" s="177"/>
      <c r="D29" s="177"/>
      <c r="E29" s="177"/>
      <c r="F29" s="177"/>
      <c r="G29" s="177"/>
      <c r="H29" s="177"/>
      <c r="I29" s="177"/>
      <c r="J29" s="177"/>
      <c r="K29" s="177"/>
      <c r="L29" s="177"/>
      <c r="M29" s="177"/>
      <c r="N29" s="240"/>
      <c r="O29" s="369"/>
      <c r="P29" s="199"/>
      <c r="Q29" s="199"/>
      <c r="R29" s="199"/>
      <c r="S29" s="199"/>
      <c r="T29" s="199"/>
      <c r="U29" s="199"/>
      <c r="V29" s="371"/>
      <c r="W29" s="371"/>
      <c r="X29" s="371"/>
      <c r="Y29" s="371"/>
      <c r="Z29" s="371"/>
      <c r="AA29" s="371"/>
      <c r="AB29" s="371"/>
      <c r="AC29" s="371"/>
      <c r="AD29" s="371"/>
      <c r="AE29" s="371"/>
      <c r="AF29" s="371"/>
      <c r="AG29" s="371"/>
      <c r="AH29" s="371"/>
      <c r="AI29" s="371"/>
      <c r="AJ29" s="371"/>
      <c r="AK29" s="371"/>
      <c r="AL29" s="371"/>
      <c r="AM29" s="371"/>
      <c r="AN29" s="371"/>
      <c r="AO29" s="371"/>
      <c r="AP29" s="371"/>
      <c r="AQ29" s="260"/>
      <c r="AR29" s="177"/>
      <c r="AS29" s="177"/>
      <c r="AT29" s="177"/>
      <c r="AU29" s="177"/>
      <c r="AV29" s="177"/>
      <c r="AW29" s="177"/>
      <c r="AX29" s="177"/>
      <c r="AY29" s="177"/>
      <c r="AZ29" s="177"/>
      <c r="BA29" s="177"/>
      <c r="BB29" s="177"/>
      <c r="BC29" s="177"/>
      <c r="BD29" s="177"/>
      <c r="BE29" s="177"/>
      <c r="BF29" s="177"/>
    </row>
    <row r="30" spans="1:58" ht="16.350000000000001" customHeight="1">
      <c r="A30" s="177"/>
      <c r="B30" s="177"/>
      <c r="C30" s="177"/>
      <c r="D30" s="177"/>
      <c r="E30" s="177"/>
      <c r="F30" s="177"/>
      <c r="G30" s="177"/>
      <c r="H30" s="177"/>
      <c r="I30" s="177"/>
      <c r="J30" s="177"/>
      <c r="K30" s="177"/>
      <c r="L30" s="177"/>
      <c r="M30" s="177"/>
      <c r="N30" s="240"/>
      <c r="O30" s="369"/>
      <c r="P30" s="1118" t="s">
        <v>1334</v>
      </c>
      <c r="Q30" s="1118"/>
      <c r="R30" s="1118"/>
      <c r="S30" s="1118"/>
      <c r="T30" s="1118"/>
      <c r="U30" s="526"/>
      <c r="V30" s="1119" t="s">
        <v>1643</v>
      </c>
      <c r="W30" s="1119"/>
      <c r="X30" s="1119"/>
      <c r="Y30" s="1119"/>
      <c r="Z30" s="1119"/>
      <c r="AA30" s="1119"/>
      <c r="AB30" s="507"/>
      <c r="AC30" s="1107" t="s">
        <v>1644</v>
      </c>
      <c r="AD30" s="1107"/>
      <c r="AE30" s="1107"/>
      <c r="AF30" s="1107"/>
      <c r="AG30" s="1107"/>
      <c r="AH30" s="1107"/>
      <c r="AI30" s="507"/>
      <c r="AJ30" s="507"/>
      <c r="AK30" s="507"/>
      <c r="AL30" s="507"/>
      <c r="AM30" s="507"/>
      <c r="AN30" s="507"/>
      <c r="AO30" s="507"/>
      <c r="AP30" s="507"/>
      <c r="AQ30" s="260"/>
      <c r="AR30" s="177"/>
      <c r="AS30" s="177"/>
      <c r="AT30" s="177"/>
      <c r="AU30" s="177"/>
      <c r="AV30" s="177"/>
      <c r="AW30" s="177"/>
      <c r="AX30" s="177"/>
      <c r="AY30" s="177"/>
      <c r="AZ30" s="177"/>
      <c r="BA30" s="177"/>
      <c r="BB30" s="177"/>
      <c r="BC30" s="177"/>
      <c r="BD30" s="177"/>
      <c r="BE30" s="177"/>
      <c r="BF30" s="177"/>
    </row>
    <row r="31" spans="1:58" ht="16.350000000000001" customHeight="1">
      <c r="A31" s="177"/>
      <c r="B31" s="177"/>
      <c r="C31" s="177"/>
      <c r="D31" s="177"/>
      <c r="E31" s="177"/>
      <c r="F31" s="177"/>
      <c r="G31" s="177"/>
      <c r="H31" s="177"/>
      <c r="I31" s="177"/>
      <c r="J31" s="177"/>
      <c r="K31" s="177"/>
      <c r="L31" s="177"/>
      <c r="M31" s="177"/>
      <c r="N31" s="240"/>
      <c r="O31" s="369"/>
      <c r="P31" s="1118"/>
      <c r="Q31" s="1118"/>
      <c r="R31" s="1118"/>
      <c r="S31" s="1118"/>
      <c r="T31" s="1118"/>
      <c r="U31" s="526"/>
      <c r="V31" s="1115" t="str">
        <f>PROPER(M02S03F13&amp;" "&amp;M02S03F14)</f>
        <v xml:space="preserve"> </v>
      </c>
      <c r="W31" s="1115"/>
      <c r="X31" s="1115"/>
      <c r="Y31" s="1115"/>
      <c r="Z31" s="1115"/>
      <c r="AA31" s="1115"/>
      <c r="AB31" s="508"/>
      <c r="AC31" s="1115" t="str">
        <f>CONCATENATE(M02S03F03," ",M02S03F04)</f>
        <v xml:space="preserve"> </v>
      </c>
      <c r="AD31" s="1115"/>
      <c r="AE31" s="1115"/>
      <c r="AF31" s="1115"/>
      <c r="AG31" s="1115"/>
      <c r="AH31" s="1115"/>
      <c r="AI31" s="508"/>
      <c r="AJ31" s="508"/>
      <c r="AK31" s="508"/>
      <c r="AL31" s="508"/>
      <c r="AM31" s="508"/>
      <c r="AN31" s="508"/>
      <c r="AO31" s="508"/>
      <c r="AP31" s="508"/>
      <c r="AQ31" s="260"/>
      <c r="AR31" s="177"/>
      <c r="AS31" s="177"/>
      <c r="AT31" s="177"/>
      <c r="AU31" s="177"/>
      <c r="AV31" s="177"/>
      <c r="AW31" s="177"/>
      <c r="AX31" s="177"/>
      <c r="AY31" s="177"/>
      <c r="AZ31" s="177"/>
      <c r="BA31" s="177"/>
      <c r="BB31" s="177"/>
      <c r="BC31" s="177"/>
      <c r="BD31" s="177"/>
      <c r="BE31" s="177"/>
      <c r="BF31" s="177"/>
    </row>
    <row r="32" spans="1:58" ht="16.350000000000001" customHeight="1">
      <c r="A32" s="177"/>
      <c r="B32" s="177"/>
      <c r="C32" s="177"/>
      <c r="D32" s="177"/>
      <c r="E32" s="177"/>
      <c r="F32" s="177"/>
      <c r="G32" s="177"/>
      <c r="H32" s="177"/>
      <c r="I32" s="177"/>
      <c r="J32" s="177"/>
      <c r="K32" s="177"/>
      <c r="L32" s="177"/>
      <c r="M32" s="177"/>
      <c r="N32" s="240"/>
      <c r="O32" s="369"/>
      <c r="P32" s="1118"/>
      <c r="Q32" s="1118"/>
      <c r="R32" s="1118"/>
      <c r="S32" s="1118"/>
      <c r="T32" s="1118"/>
      <c r="U32" s="526"/>
      <c r="V32" s="1384" t="str">
        <f>M02S03F15</f>
        <v/>
      </c>
      <c r="W32" s="1384"/>
      <c r="X32" s="1384"/>
      <c r="Y32" s="1384"/>
      <c r="Z32" s="1384"/>
      <c r="AA32" s="1384"/>
      <c r="AB32" s="508"/>
      <c r="AC32" s="1384" t="str">
        <f>IF(M02S03F06="","",M02S03F06)</f>
        <v/>
      </c>
      <c r="AD32" s="1384"/>
      <c r="AE32" s="1384"/>
      <c r="AF32" s="1384"/>
      <c r="AG32" s="1384"/>
      <c r="AH32" s="1384"/>
      <c r="AI32" s="527"/>
      <c r="AJ32" s="527"/>
      <c r="AK32" s="527"/>
      <c r="AL32" s="527"/>
      <c r="AM32" s="527"/>
      <c r="AN32" s="527"/>
      <c r="AO32" s="527"/>
      <c r="AP32" s="527"/>
      <c r="AQ32" s="260"/>
      <c r="AR32" s="177"/>
      <c r="AS32" s="177"/>
      <c r="AT32" s="177"/>
      <c r="AU32" s="177"/>
      <c r="AV32" s="177"/>
      <c r="AW32" s="177"/>
      <c r="AX32" s="177"/>
      <c r="AY32" s="177"/>
      <c r="AZ32" s="177"/>
      <c r="BA32" s="177"/>
      <c r="BB32" s="177"/>
      <c r="BC32" s="177"/>
      <c r="BD32" s="177"/>
      <c r="BE32" s="177"/>
      <c r="BF32" s="177"/>
    </row>
    <row r="33" spans="1:59" ht="16.350000000000001" customHeight="1">
      <c r="A33" s="177"/>
      <c r="B33" s="177"/>
      <c r="C33" s="177"/>
      <c r="D33" s="177"/>
      <c r="E33" s="177"/>
      <c r="F33" s="177"/>
      <c r="G33" s="177"/>
      <c r="H33" s="177"/>
      <c r="I33" s="177"/>
      <c r="J33" s="177"/>
      <c r="K33" s="177"/>
      <c r="L33" s="177"/>
      <c r="M33" s="177"/>
      <c r="N33" s="240"/>
      <c r="O33" s="369"/>
      <c r="P33" s="1118"/>
      <c r="Q33" s="1118"/>
      <c r="R33" s="1118"/>
      <c r="S33" s="1118"/>
      <c r="T33" s="1118"/>
      <c r="U33" s="526"/>
      <c r="V33" s="1115" t="str">
        <f>TEXT(M02S03F16,"(###) ###-####")</f>
        <v/>
      </c>
      <c r="W33" s="1115"/>
      <c r="X33" s="1115"/>
      <c r="Y33" s="1115"/>
      <c r="Z33" s="1115"/>
      <c r="AA33" s="1115"/>
      <c r="AB33" s="508"/>
      <c r="AC33" s="1115" t="str">
        <f>TEXT(M02S03F07,"(###) ###-####")</f>
        <v>() -</v>
      </c>
      <c r="AD33" s="1115"/>
      <c r="AE33" s="1115"/>
      <c r="AF33" s="1115"/>
      <c r="AG33" s="1115"/>
      <c r="AH33" s="1115"/>
      <c r="AI33" s="508"/>
      <c r="AJ33" s="508"/>
      <c r="AK33" s="508"/>
      <c r="AL33" s="508"/>
      <c r="AM33" s="508"/>
      <c r="AN33" s="508"/>
      <c r="AO33" s="508"/>
      <c r="AP33" s="508"/>
      <c r="AQ33" s="260"/>
      <c r="AR33" s="177"/>
      <c r="AS33" s="177"/>
      <c r="AT33" s="177"/>
      <c r="AU33" s="177"/>
      <c r="AV33" s="177"/>
      <c r="AW33" s="177"/>
      <c r="AX33" s="177"/>
      <c r="AY33" s="177"/>
      <c r="AZ33" s="177"/>
      <c r="BA33" s="177"/>
      <c r="BB33" s="177"/>
      <c r="BC33" s="177"/>
      <c r="BD33" s="177"/>
      <c r="BE33" s="177"/>
      <c r="BF33" s="177"/>
    </row>
    <row r="34" spans="1:59" ht="16.350000000000001" customHeight="1">
      <c r="A34" s="177"/>
      <c r="B34" s="177"/>
      <c r="C34" s="177"/>
      <c r="D34" s="177"/>
      <c r="E34" s="177"/>
      <c r="F34" s="177"/>
      <c r="G34" s="177"/>
      <c r="H34" s="177"/>
      <c r="I34" s="177"/>
      <c r="J34" s="177"/>
      <c r="K34" s="177"/>
      <c r="L34" s="177"/>
      <c r="M34" s="177"/>
      <c r="N34" s="240"/>
      <c r="O34" s="369"/>
      <c r="P34" s="199"/>
      <c r="Q34" s="199"/>
      <c r="R34" s="199"/>
      <c r="S34" s="199"/>
      <c r="T34" s="199"/>
      <c r="U34" s="199"/>
      <c r="V34" s="371"/>
      <c r="W34" s="371"/>
      <c r="X34" s="371"/>
      <c r="Y34" s="371"/>
      <c r="Z34" s="371"/>
      <c r="AA34" s="371"/>
      <c r="AB34" s="371"/>
      <c r="AC34" s="371"/>
      <c r="AD34" s="371"/>
      <c r="AE34" s="371"/>
      <c r="AF34" s="371"/>
      <c r="AG34" s="371"/>
      <c r="AH34" s="371"/>
      <c r="AI34" s="371"/>
      <c r="AJ34" s="371"/>
      <c r="AK34" s="371"/>
      <c r="AL34" s="371"/>
      <c r="AM34" s="371"/>
      <c r="AN34" s="371"/>
      <c r="AO34" s="371"/>
      <c r="AP34" s="371"/>
      <c r="AQ34" s="260"/>
      <c r="AR34" s="177"/>
      <c r="AS34" s="177"/>
      <c r="AT34" s="177"/>
      <c r="AU34" s="177"/>
      <c r="AV34" s="177"/>
      <c r="AW34" s="177"/>
      <c r="AX34" s="177"/>
      <c r="AY34" s="177"/>
      <c r="AZ34" s="177"/>
      <c r="BA34" s="177"/>
      <c r="BB34" s="177"/>
      <c r="BC34" s="177"/>
      <c r="BD34" s="177"/>
      <c r="BE34" s="177"/>
      <c r="BF34" s="177"/>
    </row>
    <row r="35" spans="1:59" ht="16.350000000000001" customHeight="1">
      <c r="A35" s="177"/>
      <c r="B35" s="177"/>
      <c r="C35" s="177"/>
      <c r="D35" s="177"/>
      <c r="E35" s="177"/>
      <c r="F35" s="177"/>
      <c r="G35" s="177"/>
      <c r="H35" s="177"/>
      <c r="I35" s="177"/>
      <c r="J35" s="177"/>
      <c r="K35" s="177"/>
      <c r="L35" s="177"/>
      <c r="M35" s="177"/>
      <c r="N35" s="177"/>
      <c r="O35" s="369"/>
      <c r="P35" s="1118" t="s">
        <v>1645</v>
      </c>
      <c r="Q35" s="1118"/>
      <c r="R35" s="1118"/>
      <c r="S35" s="1118"/>
      <c r="T35" s="1118"/>
      <c r="U35" s="526"/>
      <c r="V35" s="1131" t="s">
        <v>758</v>
      </c>
      <c r="W35" s="1131"/>
      <c r="X35" s="1131"/>
      <c r="Y35" s="1131"/>
      <c r="Z35" s="1131"/>
      <c r="AA35" s="1131"/>
      <c r="AB35" s="528"/>
      <c r="AC35" s="1132" t="s">
        <v>1507</v>
      </c>
      <c r="AD35" s="1132"/>
      <c r="AE35" s="1132"/>
      <c r="AF35" s="1132"/>
      <c r="AG35" s="1132"/>
      <c r="AH35" s="1132"/>
      <c r="AI35" s="528"/>
      <c r="AJ35" s="528"/>
      <c r="AK35" s="528"/>
      <c r="AL35" s="528"/>
      <c r="AM35" s="528"/>
      <c r="AN35" s="528"/>
      <c r="AO35" s="528"/>
      <c r="AP35" s="528"/>
      <c r="AQ35" s="260"/>
      <c r="AR35" s="177"/>
      <c r="AS35" s="177"/>
      <c r="AT35" s="177"/>
      <c r="AU35" s="177"/>
      <c r="AV35" s="177"/>
      <c r="AW35" s="177"/>
      <c r="AX35" s="177"/>
      <c r="AY35" s="177"/>
      <c r="AZ35" s="177"/>
      <c r="BA35" s="177"/>
      <c r="BB35" s="177"/>
      <c r="BC35" s="177"/>
      <c r="BD35" s="177"/>
      <c r="BE35" s="177"/>
      <c r="BF35" s="177"/>
    </row>
    <row r="36" spans="1:59" ht="16.350000000000001" customHeight="1">
      <c r="A36" s="177"/>
      <c r="B36" s="177"/>
      <c r="C36" s="177"/>
      <c r="D36" s="177"/>
      <c r="E36" s="177"/>
      <c r="F36" s="177"/>
      <c r="G36" s="177"/>
      <c r="H36" s="177"/>
      <c r="I36" s="177"/>
      <c r="J36" s="177"/>
      <c r="K36" s="177"/>
      <c r="L36" s="177"/>
      <c r="M36" s="177"/>
      <c r="N36" s="177"/>
      <c r="O36" s="369"/>
      <c r="P36" s="1118"/>
      <c r="Q36" s="1118"/>
      <c r="R36" s="1118"/>
      <c r="S36" s="1118"/>
      <c r="T36" s="1118"/>
      <c r="U36" s="526"/>
      <c r="V36" s="1126" t="str">
        <f>IF(M02S04F02="","",M02S04F02)</f>
        <v/>
      </c>
      <c r="W36" s="1126"/>
      <c r="X36" s="1126"/>
      <c r="Y36" s="1126"/>
      <c r="Z36" s="1126"/>
      <c r="AA36" s="1126"/>
      <c r="AB36" s="516"/>
      <c r="AC36" s="1126" t="str">
        <f>CONCATENATE(M02S04F08," ",M02S04F09)</f>
        <v xml:space="preserve"> </v>
      </c>
      <c r="AD36" s="1126"/>
      <c r="AE36" s="1126"/>
      <c r="AF36" s="1126"/>
      <c r="AG36" s="1126"/>
      <c r="AH36" s="1126"/>
      <c r="AI36" s="529"/>
      <c r="AJ36" s="529"/>
      <c r="AK36" s="516"/>
      <c r="AL36" s="516"/>
      <c r="AM36" s="516"/>
      <c r="AN36" s="516"/>
      <c r="AO36" s="516"/>
      <c r="AP36" s="530"/>
      <c r="AQ36" s="260"/>
      <c r="AR36" s="177"/>
      <c r="AS36" s="177"/>
      <c r="AT36" s="177"/>
      <c r="AU36" s="177"/>
      <c r="AV36" s="177"/>
      <c r="AW36" s="177"/>
      <c r="AX36" s="177"/>
      <c r="AY36" s="177"/>
      <c r="AZ36" s="177"/>
      <c r="BA36" s="177"/>
      <c r="BB36" s="177"/>
      <c r="BC36" s="177"/>
      <c r="BD36" s="177"/>
      <c r="BE36" s="177"/>
      <c r="BF36" s="177"/>
    </row>
    <row r="37" spans="1:59" ht="16.350000000000001" customHeight="1">
      <c r="A37" s="177"/>
      <c r="B37" s="177"/>
      <c r="C37" s="177"/>
      <c r="D37" s="177"/>
      <c r="E37" s="177"/>
      <c r="F37" s="177"/>
      <c r="G37" s="177"/>
      <c r="H37" s="177"/>
      <c r="I37" s="177"/>
      <c r="J37" s="177"/>
      <c r="K37" s="177"/>
      <c r="L37" s="177"/>
      <c r="M37" s="177"/>
      <c r="N37" s="177"/>
      <c r="O37" s="369"/>
      <c r="P37" s="1118"/>
      <c r="Q37" s="1118"/>
      <c r="R37" s="1118"/>
      <c r="S37" s="1118"/>
      <c r="T37" s="1118"/>
      <c r="U37" s="526"/>
      <c r="V37" s="1126" t="str">
        <f>IF(M02S04F03="","",M02S04F03)</f>
        <v/>
      </c>
      <c r="W37" s="1126"/>
      <c r="X37" s="1126"/>
      <c r="Y37" s="1126"/>
      <c r="Z37" s="1126"/>
      <c r="AA37" s="1126"/>
      <c r="AB37" s="516"/>
      <c r="AC37" s="1134" t="str">
        <f>IF(M02S04F10="","",M02S04F10)</f>
        <v/>
      </c>
      <c r="AD37" s="1134"/>
      <c r="AE37" s="1134"/>
      <c r="AF37" s="1134"/>
      <c r="AG37" s="1134"/>
      <c r="AH37" s="1134"/>
      <c r="AI37" s="529"/>
      <c r="AJ37" s="529"/>
      <c r="AK37" s="517"/>
      <c r="AL37" s="517"/>
      <c r="AM37" s="517"/>
      <c r="AN37" s="517"/>
      <c r="AO37" s="517"/>
      <c r="AP37" s="531"/>
      <c r="AQ37" s="260"/>
      <c r="AR37" s="177"/>
      <c r="AS37" s="177"/>
      <c r="AT37" s="177"/>
      <c r="AU37" s="177"/>
      <c r="AV37" s="177"/>
      <c r="AW37" s="177"/>
      <c r="AX37" s="177"/>
      <c r="AY37" s="177"/>
      <c r="AZ37" s="177"/>
      <c r="BA37" s="177"/>
      <c r="BB37" s="177"/>
      <c r="BC37" s="177"/>
      <c r="BD37" s="177"/>
      <c r="BE37" s="177"/>
      <c r="BF37" s="177"/>
    </row>
    <row r="38" spans="1:59" ht="16.350000000000001" customHeight="1">
      <c r="A38" s="177"/>
      <c r="B38" s="177"/>
      <c r="C38" s="177"/>
      <c r="D38" s="177"/>
      <c r="E38" s="177"/>
      <c r="F38" s="177"/>
      <c r="G38" s="177"/>
      <c r="H38" s="177"/>
      <c r="I38" s="177"/>
      <c r="J38" s="177"/>
      <c r="K38" s="177"/>
      <c r="L38" s="177"/>
      <c r="M38" s="177"/>
      <c r="N38" s="240"/>
      <c r="O38" s="369"/>
      <c r="P38" s="1118"/>
      <c r="Q38" s="1118"/>
      <c r="R38" s="1118"/>
      <c r="S38" s="1118"/>
      <c r="T38" s="1118"/>
      <c r="U38" s="526"/>
      <c r="V38" s="1126" t="str">
        <f>CONCATENATE(M02S04F05,", ",M02S04F06," ",TEXT(M02S04F07,"00000"))</f>
        <v>,  00000</v>
      </c>
      <c r="W38" s="1126"/>
      <c r="X38" s="1126"/>
      <c r="Y38" s="1126"/>
      <c r="Z38" s="1126"/>
      <c r="AA38" s="1126"/>
      <c r="AB38" s="516"/>
      <c r="AC38" s="1126" t="str">
        <f>TEXT(M02S04F11,"(###) ###-####")</f>
        <v>() -</v>
      </c>
      <c r="AD38" s="1126"/>
      <c r="AE38" s="1126"/>
      <c r="AF38" s="1126"/>
      <c r="AG38" s="1126"/>
      <c r="AH38" s="1126"/>
      <c r="AI38" s="529"/>
      <c r="AJ38" s="529"/>
      <c r="AK38" s="516"/>
      <c r="AL38" s="516"/>
      <c r="AM38" s="516"/>
      <c r="AN38" s="516"/>
      <c r="AO38" s="516"/>
      <c r="AP38" s="530"/>
      <c r="AQ38" s="260"/>
      <c r="AR38" s="177"/>
      <c r="AS38" s="177"/>
      <c r="AT38" s="177"/>
      <c r="AU38" s="177"/>
      <c r="AV38" s="177"/>
      <c r="AW38" s="177"/>
      <c r="AX38" s="177"/>
      <c r="AY38" s="177"/>
      <c r="AZ38" s="177"/>
      <c r="BA38" s="177"/>
      <c r="BB38" s="177"/>
      <c r="BC38" s="177"/>
      <c r="BD38" s="177"/>
      <c r="BE38" s="177"/>
      <c r="BF38" s="177"/>
    </row>
    <row r="39" spans="1:59" ht="16.350000000000001" customHeight="1">
      <c r="A39" s="177"/>
      <c r="B39" s="177"/>
      <c r="C39" s="177"/>
      <c r="D39" s="177"/>
      <c r="E39" s="177"/>
      <c r="F39" s="177"/>
      <c r="G39" s="177"/>
      <c r="H39" s="177"/>
      <c r="I39" s="177"/>
      <c r="J39" s="177"/>
      <c r="K39" s="177"/>
      <c r="L39" s="177"/>
      <c r="M39" s="177"/>
      <c r="N39" s="240"/>
      <c r="O39" s="36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260"/>
      <c r="AR39" s="177"/>
      <c r="AS39" s="177"/>
      <c r="AT39" s="177"/>
      <c r="AU39" s="177"/>
      <c r="AV39" s="177"/>
      <c r="AW39" s="177"/>
      <c r="AX39" s="177"/>
      <c r="AY39" s="177"/>
      <c r="AZ39" s="177"/>
      <c r="BA39" s="177"/>
      <c r="BB39" s="177"/>
      <c r="BC39" s="177"/>
      <c r="BD39" s="177"/>
      <c r="BE39" s="177"/>
      <c r="BF39" s="177"/>
    </row>
    <row r="40" spans="1:59" ht="16.350000000000001" hidden="1" customHeight="1">
      <c r="A40" s="177"/>
      <c r="B40" s="177"/>
      <c r="C40" s="177"/>
      <c r="D40" s="177"/>
      <c r="E40" s="177"/>
      <c r="F40" s="177"/>
      <c r="G40" s="177"/>
      <c r="H40" s="177"/>
      <c r="I40" s="177"/>
      <c r="J40" s="177"/>
      <c r="K40" s="177"/>
      <c r="L40" s="177"/>
      <c r="M40" s="177"/>
      <c r="N40" s="240"/>
      <c r="O40" s="369"/>
      <c r="P40" s="1411" t="s">
        <v>1549</v>
      </c>
      <c r="Q40" s="1411"/>
      <c r="R40" s="1411"/>
      <c r="S40" s="1411"/>
      <c r="T40" s="1411"/>
      <c r="U40" s="370"/>
      <c r="V40" s="1448" t="s">
        <v>1703</v>
      </c>
      <c r="W40" s="1448"/>
      <c r="X40" s="1448"/>
      <c r="Y40" s="1448"/>
      <c r="Z40" s="1438" t="s">
        <v>1624</v>
      </c>
      <c r="AA40" s="1438"/>
      <c r="AB40" s="1438"/>
      <c r="AC40" s="1438"/>
      <c r="AD40" s="1438" t="s">
        <v>1704</v>
      </c>
      <c r="AE40" s="1438"/>
      <c r="AF40" s="1438"/>
      <c r="AG40" s="1438"/>
      <c r="AH40" s="1438" t="s">
        <v>1705</v>
      </c>
      <c r="AI40" s="1438"/>
      <c r="AJ40" s="1438"/>
      <c r="AK40" s="1438"/>
      <c r="AL40" s="1438" t="s">
        <v>1706</v>
      </c>
      <c r="AM40" s="1438"/>
      <c r="AN40" s="1438"/>
      <c r="AO40" s="1438"/>
      <c r="AP40" s="372"/>
      <c r="AQ40" s="260"/>
      <c r="AR40" s="177"/>
      <c r="AS40"/>
      <c r="AT40"/>
      <c r="AU40"/>
      <c r="AV40"/>
      <c r="AW40"/>
      <c r="AX40"/>
      <c r="AY40"/>
      <c r="AZ40"/>
      <c r="BA40"/>
      <c r="BB40"/>
      <c r="BC40"/>
      <c r="BD40"/>
      <c r="BE40"/>
      <c r="BF40"/>
      <c r="BG40"/>
    </row>
    <row r="41" spans="1:59" ht="16.350000000000001" hidden="1" customHeight="1">
      <c r="A41" s="177"/>
      <c r="B41" s="177"/>
      <c r="C41" s="177"/>
      <c r="D41" s="177"/>
      <c r="E41" s="177"/>
      <c r="F41" s="177"/>
      <c r="G41" s="177"/>
      <c r="H41" s="177"/>
      <c r="I41" s="177"/>
      <c r="J41" s="177"/>
      <c r="K41" s="177"/>
      <c r="L41" s="177"/>
      <c r="M41" s="177"/>
      <c r="N41" s="240"/>
      <c r="O41" s="369"/>
      <c r="P41" s="1411"/>
      <c r="Q41" s="1411"/>
      <c r="R41" s="1411"/>
      <c r="S41" s="1411"/>
      <c r="T41" s="1411"/>
      <c r="U41" s="370"/>
      <c r="V41" s="1449" t="s">
        <v>909</v>
      </c>
      <c r="W41" s="1449"/>
      <c r="X41" s="1449"/>
      <c r="Y41" s="1450"/>
      <c r="Z41" s="1445" t="e">
        <f>kWh_Customer_Total_Presc</f>
        <v>#NAME?</v>
      </c>
      <c r="AA41" s="1446"/>
      <c r="AB41" s="1446"/>
      <c r="AC41" s="1447"/>
      <c r="AD41" s="1442" t="e">
        <f>Thm_Customer_Total_Presc</f>
        <v>#REF!</v>
      </c>
      <c r="AE41" s="1443"/>
      <c r="AF41" s="1443"/>
      <c r="AG41" s="1444"/>
      <c r="AH41" s="1439" t="e">
        <f>Cost_Total_Presc</f>
        <v>#REF!</v>
      </c>
      <c r="AI41" s="1440"/>
      <c r="AJ41" s="1440"/>
      <c r="AK41" s="1441"/>
      <c r="AL41" s="1439" t="e">
        <f>Incent_Total_Cap_Presc</f>
        <v>#NAME?</v>
      </c>
      <c r="AM41" s="1440"/>
      <c r="AN41" s="1440"/>
      <c r="AO41" s="1440"/>
      <c r="AP41" s="374"/>
      <c r="AQ41" s="260"/>
      <c r="AR41" s="177"/>
      <c r="AS41"/>
      <c r="AT41"/>
      <c r="AU41"/>
      <c r="AV41"/>
      <c r="AW41"/>
      <c r="AX41"/>
      <c r="AY41"/>
      <c r="AZ41"/>
      <c r="BA41"/>
      <c r="BB41"/>
      <c r="BC41"/>
      <c r="BD41"/>
      <c r="BE41"/>
      <c r="BF41"/>
      <c r="BG41"/>
    </row>
    <row r="42" spans="1:59" ht="16.350000000000001" hidden="1" customHeight="1">
      <c r="A42" s="177"/>
      <c r="B42" s="177"/>
      <c r="C42" s="177"/>
      <c r="D42" s="177"/>
      <c r="E42" s="177"/>
      <c r="F42" s="177"/>
      <c r="G42" s="177"/>
      <c r="H42" s="177"/>
      <c r="I42" s="177"/>
      <c r="J42" s="177"/>
      <c r="K42" s="177"/>
      <c r="L42" s="177"/>
      <c r="M42" s="177"/>
      <c r="N42" s="240"/>
      <c r="O42" s="369"/>
      <c r="P42" s="1411"/>
      <c r="Q42" s="1411"/>
      <c r="R42" s="1411"/>
      <c r="S42" s="1411"/>
      <c r="T42" s="1411"/>
      <c r="U42" s="370"/>
      <c r="V42" s="1425" t="s">
        <v>230</v>
      </c>
      <c r="W42" s="1425"/>
      <c r="X42" s="1425"/>
      <c r="Y42" s="1426"/>
      <c r="Z42" s="1419">
        <f>kWh_Customer_Total_Cust</f>
        <v>0</v>
      </c>
      <c r="AA42" s="1420"/>
      <c r="AB42" s="1420"/>
      <c r="AC42" s="1421"/>
      <c r="AD42" s="1429">
        <f>Thm_Customer_Total_Cust</f>
        <v>0</v>
      </c>
      <c r="AE42" s="1430"/>
      <c r="AF42" s="1430"/>
      <c r="AG42" s="1431"/>
      <c r="AH42" s="1413">
        <f>Cost_Total_Cust</f>
        <v>0</v>
      </c>
      <c r="AI42" s="1414"/>
      <c r="AJ42" s="1414"/>
      <c r="AK42" s="1415"/>
      <c r="AL42" s="1413">
        <f>Incent_Total_Cap_Cust</f>
        <v>0</v>
      </c>
      <c r="AM42" s="1414"/>
      <c r="AN42" s="1414"/>
      <c r="AO42" s="1414"/>
      <c r="AP42" s="374"/>
      <c r="AQ42" s="260"/>
      <c r="AR42" s="177"/>
      <c r="AS42"/>
      <c r="AT42"/>
      <c r="AU42"/>
      <c r="AV42"/>
      <c r="AW42"/>
      <c r="AX42"/>
      <c r="AY42"/>
      <c r="AZ42"/>
      <c r="BA42"/>
      <c r="BB42"/>
      <c r="BC42"/>
      <c r="BD42"/>
      <c r="BE42"/>
      <c r="BF42"/>
      <c r="BG42"/>
    </row>
    <row r="43" spans="1:59" ht="16.350000000000001" hidden="1" customHeight="1">
      <c r="A43" s="177"/>
      <c r="B43" s="177"/>
      <c r="C43" s="177"/>
      <c r="D43" s="177"/>
      <c r="E43" s="177"/>
      <c r="F43" s="177"/>
      <c r="G43" s="177"/>
      <c r="H43" s="177"/>
      <c r="I43" s="177"/>
      <c r="J43" s="177"/>
      <c r="K43" s="177"/>
      <c r="L43" s="177"/>
      <c r="M43" s="177"/>
      <c r="N43" s="240"/>
      <c r="O43" s="369"/>
      <c r="P43" s="1411"/>
      <c r="Q43" s="1411"/>
      <c r="R43" s="1411"/>
      <c r="S43" s="1411"/>
      <c r="T43" s="1411"/>
      <c r="U43" s="370"/>
      <c r="V43" s="1427" t="s">
        <v>341</v>
      </c>
      <c r="W43" s="1427"/>
      <c r="X43" s="1427"/>
      <c r="Y43" s="1428"/>
      <c r="Z43" s="1422">
        <f>kWh_Customer_Total_All</f>
        <v>0</v>
      </c>
      <c r="AA43" s="1423"/>
      <c r="AB43" s="1423"/>
      <c r="AC43" s="1424"/>
      <c r="AD43" s="1432">
        <f>Thm_Customer_Total_All</f>
        <v>0</v>
      </c>
      <c r="AE43" s="1433"/>
      <c r="AF43" s="1433"/>
      <c r="AG43" s="1434"/>
      <c r="AH43" s="1416">
        <f>Cost_Total_All</f>
        <v>0</v>
      </c>
      <c r="AI43" s="1417"/>
      <c r="AJ43" s="1417"/>
      <c r="AK43" s="1418"/>
      <c r="AL43" s="1416">
        <f>Incent_Total_Cap_All</f>
        <v>0</v>
      </c>
      <c r="AM43" s="1417"/>
      <c r="AN43" s="1417"/>
      <c r="AO43" s="1417"/>
      <c r="AP43" s="373"/>
      <c r="AQ43" s="260"/>
      <c r="AR43" s="177"/>
      <c r="AS43"/>
      <c r="AT43"/>
      <c r="AU43"/>
      <c r="AV43"/>
      <c r="AW43"/>
      <c r="AX43"/>
      <c r="AY43"/>
      <c r="AZ43"/>
      <c r="BA43"/>
      <c r="BB43"/>
      <c r="BC43"/>
      <c r="BD43"/>
      <c r="BE43"/>
      <c r="BF43"/>
      <c r="BG43"/>
    </row>
    <row r="44" spans="1:59" ht="16.350000000000001" hidden="1" customHeight="1">
      <c r="A44" s="177"/>
      <c r="B44" s="177"/>
      <c r="C44" s="177"/>
      <c r="D44" s="177"/>
      <c r="E44" s="177"/>
      <c r="F44" s="177"/>
      <c r="G44" s="177"/>
      <c r="H44" s="177"/>
      <c r="I44" s="177"/>
      <c r="J44" s="177"/>
      <c r="K44" s="177"/>
      <c r="L44" s="177"/>
      <c r="M44" s="177"/>
      <c r="N44" s="240"/>
      <c r="O44" s="369"/>
      <c r="P44" s="453"/>
      <c r="Q44" s="453"/>
      <c r="R44" s="454"/>
      <c r="S44" s="454"/>
      <c r="T44" s="454"/>
      <c r="U44" s="454"/>
      <c r="V44" s="454"/>
      <c r="W44" s="454"/>
      <c r="X44" s="454"/>
      <c r="Y44" s="454"/>
      <c r="Z44" s="454"/>
      <c r="AA44" s="454"/>
      <c r="AB44" s="455"/>
      <c r="AC44" s="199"/>
      <c r="AD44" s="453"/>
      <c r="AE44" s="453"/>
      <c r="AF44" s="454"/>
      <c r="AG44" s="454"/>
      <c r="AH44" s="454"/>
      <c r="AI44" s="454"/>
      <c r="AJ44" s="454"/>
      <c r="AK44" s="454"/>
      <c r="AL44" s="454"/>
      <c r="AM44" s="454"/>
      <c r="AN44" s="454"/>
      <c r="AO44" s="454"/>
      <c r="AP44" s="455"/>
      <c r="AQ44" s="260"/>
      <c r="AR44" s="177"/>
      <c r="AS44"/>
      <c r="AT44"/>
      <c r="AU44"/>
      <c r="AV44"/>
      <c r="AW44"/>
      <c r="AX44"/>
      <c r="AY44"/>
      <c r="AZ44"/>
      <c r="BA44"/>
      <c r="BB44"/>
      <c r="BC44"/>
      <c r="BD44"/>
      <c r="BE44"/>
      <c r="BF44"/>
      <c r="BG44"/>
    </row>
    <row r="45" spans="1:59" ht="16.350000000000001" customHeight="1">
      <c r="A45" s="177"/>
      <c r="B45" s="177"/>
      <c r="C45" s="177"/>
      <c r="D45" s="177"/>
      <c r="E45" s="177"/>
      <c r="F45" s="177"/>
      <c r="G45" s="177"/>
      <c r="H45" s="177"/>
      <c r="I45" s="177"/>
      <c r="J45" s="177"/>
      <c r="K45" s="177"/>
      <c r="L45" s="177"/>
      <c r="M45" s="177"/>
      <c r="N45" s="240"/>
      <c r="O45" s="369"/>
      <c r="P45" s="532"/>
      <c r="Q45" s="1435" t="s">
        <v>1707</v>
      </c>
      <c r="R45" s="1435"/>
      <c r="S45" s="1435"/>
      <c r="T45" s="1435"/>
      <c r="U45" s="1435"/>
      <c r="V45" s="1435"/>
      <c r="W45" s="1435"/>
      <c r="X45" s="1435"/>
      <c r="Y45" s="1435"/>
      <c r="Z45" s="1435"/>
      <c r="AA45" s="1435"/>
      <c r="AB45" s="533"/>
      <c r="AC45" s="199"/>
      <c r="AD45" s="532"/>
      <c r="AE45" s="1435" t="s">
        <v>1708</v>
      </c>
      <c r="AF45" s="1435"/>
      <c r="AG45" s="1435"/>
      <c r="AH45" s="1435"/>
      <c r="AI45" s="1435"/>
      <c r="AJ45" s="1435"/>
      <c r="AK45" s="1435"/>
      <c r="AL45" s="1435"/>
      <c r="AM45" s="1435"/>
      <c r="AN45" s="1435"/>
      <c r="AO45" s="1435"/>
      <c r="AP45" s="533"/>
      <c r="AQ45" s="260"/>
      <c r="AR45" s="177"/>
      <c r="AS45"/>
      <c r="AT45"/>
      <c r="AU45"/>
      <c r="AV45"/>
      <c r="AW45"/>
      <c r="AX45"/>
      <c r="AY45"/>
      <c r="AZ45"/>
      <c r="BA45"/>
      <c r="BB45"/>
      <c r="BC45"/>
      <c r="BD45"/>
      <c r="BE45"/>
      <c r="BF45"/>
      <c r="BG45"/>
    </row>
    <row r="46" spans="1:59" ht="16.350000000000001" customHeight="1">
      <c r="A46" s="177"/>
      <c r="B46" s="177"/>
      <c r="C46" s="177"/>
      <c r="D46" s="177"/>
      <c r="E46" s="177"/>
      <c r="F46" s="177"/>
      <c r="G46" s="177"/>
      <c r="H46" s="177"/>
      <c r="I46" s="177"/>
      <c r="J46" s="177"/>
      <c r="K46" s="177"/>
      <c r="L46" s="177"/>
      <c r="M46" s="177"/>
      <c r="N46" s="240"/>
      <c r="O46" s="369"/>
      <c r="P46" s="533"/>
      <c r="Q46" s="1435"/>
      <c r="R46" s="1435"/>
      <c r="S46" s="1435"/>
      <c r="T46" s="1435"/>
      <c r="U46" s="1435"/>
      <c r="V46" s="1435"/>
      <c r="W46" s="1435"/>
      <c r="X46" s="1435"/>
      <c r="Y46" s="1435"/>
      <c r="Z46" s="1435"/>
      <c r="AA46" s="1435"/>
      <c r="AB46" s="533"/>
      <c r="AC46" s="199"/>
      <c r="AD46" s="533"/>
      <c r="AE46" s="1435"/>
      <c r="AF46" s="1435"/>
      <c r="AG46" s="1435"/>
      <c r="AH46" s="1435"/>
      <c r="AI46" s="1435"/>
      <c r="AJ46" s="1435"/>
      <c r="AK46" s="1435"/>
      <c r="AL46" s="1435"/>
      <c r="AM46" s="1435"/>
      <c r="AN46" s="1435"/>
      <c r="AO46" s="1435"/>
      <c r="AP46" s="533"/>
      <c r="AQ46" s="260"/>
      <c r="AR46" s="177"/>
      <c r="AS46" s="177"/>
      <c r="AT46" s="177"/>
      <c r="AU46" s="177"/>
      <c r="AV46" s="177"/>
      <c r="AW46" s="177"/>
      <c r="AX46" s="177"/>
      <c r="AY46" s="177"/>
      <c r="AZ46" s="177"/>
      <c r="BA46" s="177"/>
      <c r="BB46" s="177"/>
      <c r="BC46" s="177"/>
      <c r="BD46" s="177"/>
      <c r="BE46" s="177"/>
      <c r="BF46" s="177"/>
    </row>
    <row r="47" spans="1:59" ht="16.350000000000001" customHeight="1">
      <c r="A47" s="177"/>
      <c r="B47" s="177"/>
      <c r="C47" s="177"/>
      <c r="D47" s="177"/>
      <c r="E47" s="177"/>
      <c r="F47" s="177"/>
      <c r="G47" s="177"/>
      <c r="H47" s="177"/>
      <c r="I47" s="177"/>
      <c r="J47" s="177"/>
      <c r="K47" s="177"/>
      <c r="L47" s="177"/>
      <c r="M47" s="177"/>
      <c r="N47" s="240"/>
      <c r="O47" s="369"/>
      <c r="P47" s="1115" t="s">
        <v>1709</v>
      </c>
      <c r="Q47" s="1115"/>
      <c r="R47" s="1115"/>
      <c r="S47" s="1115"/>
      <c r="T47" s="1115"/>
      <c r="U47" s="1115"/>
      <c r="V47" s="1115"/>
      <c r="W47" s="1115"/>
      <c r="X47" s="1115"/>
      <c r="Y47" s="1115"/>
      <c r="Z47" s="1115"/>
      <c r="AA47" s="1115"/>
      <c r="AB47" s="1115"/>
      <c r="AC47" s="453"/>
      <c r="AD47" s="1115" t="s">
        <v>1710</v>
      </c>
      <c r="AE47" s="1115"/>
      <c r="AF47" s="1115"/>
      <c r="AG47" s="1115"/>
      <c r="AH47" s="1115"/>
      <c r="AI47" s="1115"/>
      <c r="AJ47" s="1115"/>
      <c r="AK47" s="1115"/>
      <c r="AL47" s="1115"/>
      <c r="AM47" s="1115"/>
      <c r="AN47" s="1115"/>
      <c r="AO47" s="1115"/>
      <c r="AP47" s="1115"/>
      <c r="AQ47" s="260"/>
      <c r="AR47" s="177"/>
      <c r="AS47" s="177"/>
      <c r="AT47" s="177"/>
      <c r="AU47" s="177"/>
      <c r="AV47" s="177"/>
      <c r="AW47" s="177"/>
      <c r="AX47" s="177"/>
      <c r="AY47" s="177"/>
      <c r="AZ47" s="177"/>
      <c r="BA47" s="177"/>
      <c r="BB47" s="177"/>
      <c r="BC47" s="177"/>
      <c r="BD47" s="177"/>
      <c r="BE47" s="177"/>
      <c r="BF47" s="177"/>
    </row>
    <row r="48" spans="1:59" ht="16.350000000000001" customHeight="1">
      <c r="A48" s="177"/>
      <c r="B48" s="177"/>
      <c r="C48" s="177"/>
      <c r="D48" s="177"/>
      <c r="E48" s="177"/>
      <c r="F48" s="177"/>
      <c r="G48" s="177"/>
      <c r="H48" s="177"/>
      <c r="I48" s="177"/>
      <c r="J48" s="177"/>
      <c r="K48" s="177"/>
      <c r="L48" s="177"/>
      <c r="M48" s="177"/>
      <c r="N48" s="240"/>
      <c r="O48" s="369"/>
      <c r="P48" s="1115"/>
      <c r="Q48" s="1115"/>
      <c r="R48" s="1115"/>
      <c r="S48" s="1115"/>
      <c r="T48" s="1115"/>
      <c r="U48" s="1115"/>
      <c r="V48" s="1115"/>
      <c r="W48" s="1115"/>
      <c r="X48" s="1115"/>
      <c r="Y48" s="1115"/>
      <c r="Z48" s="1115"/>
      <c r="AA48" s="1115"/>
      <c r="AB48" s="1115"/>
      <c r="AC48" s="453"/>
      <c r="AD48" s="1115"/>
      <c r="AE48" s="1115"/>
      <c r="AF48" s="1115"/>
      <c r="AG48" s="1115"/>
      <c r="AH48" s="1115"/>
      <c r="AI48" s="1115"/>
      <c r="AJ48" s="1115"/>
      <c r="AK48" s="1115"/>
      <c r="AL48" s="1115"/>
      <c r="AM48" s="1115"/>
      <c r="AN48" s="1115"/>
      <c r="AO48" s="1115"/>
      <c r="AP48" s="1115"/>
      <c r="AQ48" s="260"/>
      <c r="AR48" s="177"/>
      <c r="AS48" s="177"/>
      <c r="AT48" s="177"/>
      <c r="AU48" s="177"/>
      <c r="AV48" s="177"/>
      <c r="AW48" s="177"/>
      <c r="AX48" s="177"/>
      <c r="AY48" s="177"/>
      <c r="AZ48" s="177"/>
      <c r="BA48" s="177"/>
      <c r="BB48" s="177"/>
      <c r="BC48" s="177"/>
      <c r="BD48" s="177"/>
      <c r="BE48" s="177"/>
      <c r="BF48" s="177"/>
    </row>
    <row r="49" spans="1:58" ht="16.350000000000001" customHeight="1">
      <c r="A49" s="177"/>
      <c r="B49" s="177"/>
      <c r="C49" s="177"/>
      <c r="D49" s="177"/>
      <c r="E49" s="177"/>
      <c r="F49" s="177"/>
      <c r="G49" s="177"/>
      <c r="H49" s="177"/>
      <c r="I49" s="177"/>
      <c r="J49" s="177"/>
      <c r="K49" s="177"/>
      <c r="L49" s="177"/>
      <c r="M49" s="177"/>
      <c r="N49" s="240"/>
      <c r="O49" s="369"/>
      <c r="P49" s="1115"/>
      <c r="Q49" s="1115"/>
      <c r="R49" s="1115"/>
      <c r="S49" s="1115"/>
      <c r="T49" s="1115"/>
      <c r="U49" s="1115"/>
      <c r="V49" s="1115"/>
      <c r="W49" s="1115"/>
      <c r="X49" s="1115"/>
      <c r="Y49" s="1115"/>
      <c r="Z49" s="1115"/>
      <c r="AA49" s="1115"/>
      <c r="AB49" s="1115"/>
      <c r="AC49" s="453"/>
      <c r="AD49" s="528" t="s">
        <v>1711</v>
      </c>
      <c r="AE49" s="532"/>
      <c r="AF49" s="528"/>
      <c r="AG49" s="528"/>
      <c r="AH49" s="1126" t="str">
        <f>IF(M05S01AF01="","",M05S01AF01)</f>
        <v/>
      </c>
      <c r="AI49" s="1126"/>
      <c r="AJ49" s="1126"/>
      <c r="AK49" s="1126"/>
      <c r="AL49" s="1126"/>
      <c r="AM49" s="1126"/>
      <c r="AN49" s="530"/>
      <c r="AO49" s="530"/>
      <c r="AP49" s="530"/>
      <c r="AQ49" s="260"/>
      <c r="AR49" s="177"/>
      <c r="AS49" s="177"/>
      <c r="AT49" s="177"/>
      <c r="AU49" s="177"/>
      <c r="AV49" s="177"/>
      <c r="AW49" s="177"/>
      <c r="AX49" s="177"/>
      <c r="AY49" s="177"/>
      <c r="AZ49" s="177"/>
      <c r="BA49" s="177"/>
      <c r="BB49" s="177"/>
      <c r="BC49" s="177"/>
      <c r="BD49" s="177"/>
      <c r="BE49" s="177"/>
      <c r="BF49" s="177"/>
    </row>
    <row r="50" spans="1:58" ht="16.350000000000001" customHeight="1">
      <c r="A50" s="177"/>
      <c r="B50" s="177"/>
      <c r="C50" s="177"/>
      <c r="D50" s="177"/>
      <c r="E50" s="177"/>
      <c r="F50" s="177"/>
      <c r="G50" s="177"/>
      <c r="H50" s="177"/>
      <c r="I50" s="177"/>
      <c r="J50" s="177"/>
      <c r="K50" s="177"/>
      <c r="L50" s="177"/>
      <c r="M50" s="177"/>
      <c r="N50" s="240"/>
      <c r="O50" s="369"/>
      <c r="P50" s="1115"/>
      <c r="Q50" s="1115"/>
      <c r="R50" s="1115"/>
      <c r="S50" s="1115"/>
      <c r="T50" s="1115"/>
      <c r="U50" s="1115"/>
      <c r="V50" s="1115"/>
      <c r="W50" s="1115"/>
      <c r="X50" s="1115"/>
      <c r="Y50" s="1115"/>
      <c r="Z50" s="1115"/>
      <c r="AA50" s="1115"/>
      <c r="AB50" s="1115"/>
      <c r="AC50" s="453"/>
      <c r="AD50" s="528" t="s">
        <v>1712</v>
      </c>
      <c r="AE50" s="532"/>
      <c r="AF50" s="528"/>
      <c r="AG50" s="528"/>
      <c r="AH50" s="1126" t="str">
        <f>M05S01AF02</f>
        <v/>
      </c>
      <c r="AI50" s="1126"/>
      <c r="AJ50" s="1126"/>
      <c r="AK50" s="1126"/>
      <c r="AL50" s="1126"/>
      <c r="AM50" s="1126"/>
      <c r="AN50" s="530"/>
      <c r="AO50" s="530"/>
      <c r="AP50" s="530"/>
      <c r="AQ50" s="260"/>
      <c r="AR50" s="177"/>
      <c r="AS50" s="177"/>
      <c r="AT50" s="177"/>
      <c r="AU50" s="177"/>
      <c r="AV50" s="177"/>
      <c r="AW50" s="177"/>
      <c r="AX50" s="177"/>
      <c r="AY50" s="177"/>
      <c r="AZ50" s="177"/>
      <c r="BA50" s="177"/>
      <c r="BB50" s="177"/>
      <c r="BC50" s="177"/>
      <c r="BD50" s="177"/>
      <c r="BE50" s="177"/>
      <c r="BF50" s="177"/>
    </row>
    <row r="51" spans="1:58" ht="16.350000000000001" customHeight="1">
      <c r="A51" s="177"/>
      <c r="B51" s="177"/>
      <c r="C51" s="177"/>
      <c r="D51" s="177"/>
      <c r="E51" s="177"/>
      <c r="F51" s="177"/>
      <c r="G51" s="177"/>
      <c r="H51" s="177"/>
      <c r="I51" s="177"/>
      <c r="J51" s="177"/>
      <c r="K51" s="177"/>
      <c r="L51" s="177"/>
      <c r="M51" s="177"/>
      <c r="N51" s="240"/>
      <c r="O51" s="369"/>
      <c r="P51" s="1115"/>
      <c r="Q51" s="1115"/>
      <c r="R51" s="1115"/>
      <c r="S51" s="1115"/>
      <c r="T51" s="1115"/>
      <c r="U51" s="1115"/>
      <c r="V51" s="1115"/>
      <c r="W51" s="1115"/>
      <c r="X51" s="1115"/>
      <c r="Y51" s="1115"/>
      <c r="Z51" s="1115"/>
      <c r="AA51" s="1115"/>
      <c r="AB51" s="1115"/>
      <c r="AC51" s="453"/>
      <c r="AD51" s="530"/>
      <c r="AE51" s="528"/>
      <c r="AF51" s="528"/>
      <c r="AG51" s="528"/>
      <c r="AH51" s="1412" t="str">
        <f>CONCATENATE(M05S01AF06," ",M05S01AF07)</f>
        <v xml:space="preserve"> </v>
      </c>
      <c r="AI51" s="1412"/>
      <c r="AJ51" s="1412"/>
      <c r="AK51" s="1412"/>
      <c r="AL51" s="1412"/>
      <c r="AM51" s="1412"/>
      <c r="AN51" s="530"/>
      <c r="AO51" s="530"/>
      <c r="AP51" s="530"/>
      <c r="AQ51" s="260"/>
      <c r="AR51" s="177"/>
      <c r="AS51" s="177"/>
      <c r="AT51" s="177"/>
      <c r="AU51" s="177"/>
      <c r="AV51" s="177"/>
      <c r="AW51" s="177"/>
      <c r="AX51" s="177"/>
      <c r="AY51" s="177"/>
      <c r="AZ51" s="177"/>
      <c r="BA51" s="177"/>
      <c r="BB51" s="177"/>
      <c r="BC51" s="177"/>
      <c r="BD51" s="177"/>
      <c r="BE51" s="177"/>
      <c r="BF51" s="177"/>
    </row>
    <row r="52" spans="1:58" ht="16.350000000000001" customHeight="1">
      <c r="A52" s="177"/>
      <c r="B52" s="177"/>
      <c r="C52" s="177"/>
      <c r="D52" s="177"/>
      <c r="E52" s="177"/>
      <c r="F52" s="177"/>
      <c r="G52" s="177"/>
      <c r="H52" s="177"/>
      <c r="I52" s="177"/>
      <c r="J52" s="177"/>
      <c r="K52" s="177"/>
      <c r="L52" s="177"/>
      <c r="M52" s="177"/>
      <c r="N52" s="240"/>
      <c r="O52" s="369"/>
      <c r="P52" s="534"/>
      <c r="Q52" s="535"/>
      <c r="R52" s="1410" t="s">
        <v>1713</v>
      </c>
      <c r="S52" s="1410"/>
      <c r="T52" s="1410"/>
      <c r="U52" s="1410"/>
      <c r="V52" s="1410"/>
      <c r="W52" s="1410"/>
      <c r="X52" s="1410"/>
      <c r="Y52" s="1410"/>
      <c r="Z52" s="1410"/>
      <c r="AA52" s="1410"/>
      <c r="AB52" s="534"/>
      <c r="AC52" s="453"/>
      <c r="AD52" s="530"/>
      <c r="AE52" s="528"/>
      <c r="AF52" s="528"/>
      <c r="AG52" s="528"/>
      <c r="AH52" s="1412" t="str">
        <f>M05S01AF08</f>
        <v/>
      </c>
      <c r="AI52" s="1412"/>
      <c r="AJ52" s="1412"/>
      <c r="AK52" s="1412"/>
      <c r="AL52" s="1412"/>
      <c r="AM52" s="1412"/>
      <c r="AN52" s="530"/>
      <c r="AO52" s="530"/>
      <c r="AP52" s="530"/>
      <c r="AQ52" s="260"/>
      <c r="AR52" s="177"/>
      <c r="AS52" s="177"/>
      <c r="AT52" s="177"/>
      <c r="AU52" s="177"/>
      <c r="AV52" s="177"/>
      <c r="AW52" s="177"/>
      <c r="AX52" s="177"/>
      <c r="AY52" s="177"/>
      <c r="AZ52" s="177"/>
      <c r="BA52" s="177"/>
      <c r="BB52" s="177"/>
      <c r="BC52" s="177"/>
      <c r="BD52" s="177"/>
      <c r="BE52" s="177"/>
      <c r="BF52" s="177"/>
    </row>
    <row r="53" spans="1:58" ht="16.350000000000001" customHeight="1">
      <c r="A53" s="177"/>
      <c r="B53" s="177"/>
      <c r="C53" s="177"/>
      <c r="D53" s="177"/>
      <c r="E53" s="177"/>
      <c r="F53" s="177"/>
      <c r="G53" s="177"/>
      <c r="H53" s="177"/>
      <c r="I53" s="177"/>
      <c r="J53" s="177"/>
      <c r="K53" s="177"/>
      <c r="L53" s="177"/>
      <c r="M53" s="177"/>
      <c r="N53" s="240"/>
      <c r="O53" s="369"/>
      <c r="P53" s="534"/>
      <c r="Q53" s="535"/>
      <c r="R53" s="1410"/>
      <c r="S53" s="1410"/>
      <c r="T53" s="1410"/>
      <c r="U53" s="1410"/>
      <c r="V53" s="1410"/>
      <c r="W53" s="1410"/>
      <c r="X53" s="1410"/>
      <c r="Y53" s="1410"/>
      <c r="Z53" s="1410"/>
      <c r="AA53" s="1410"/>
      <c r="AB53" s="534"/>
      <c r="AC53" s="453"/>
      <c r="AD53" s="536"/>
      <c r="AE53" s="528"/>
      <c r="AF53" s="528"/>
      <c r="AG53" s="528"/>
      <c r="AH53" s="1412" t="str">
        <f>CONCATENATE(M05S01AF11,", ",M05S01AF12," ",TEXT(M05S01AF13,"00000"))</f>
        <v xml:space="preserve">,  </v>
      </c>
      <c r="AI53" s="1412"/>
      <c r="AJ53" s="1412"/>
      <c r="AK53" s="1412"/>
      <c r="AL53" s="1412"/>
      <c r="AM53" s="1412"/>
      <c r="AN53" s="530"/>
      <c r="AO53" s="530"/>
      <c r="AP53" s="536"/>
      <c r="AQ53" s="260"/>
      <c r="AR53" s="177"/>
      <c r="AS53" s="177"/>
      <c r="AT53" s="177"/>
      <c r="AU53" s="177"/>
      <c r="AV53" s="177"/>
      <c r="AW53" s="177"/>
      <c r="AX53" s="177"/>
      <c r="AY53" s="177"/>
      <c r="AZ53" s="177"/>
      <c r="BA53" s="177"/>
      <c r="BB53" s="177"/>
      <c r="BC53" s="177"/>
      <c r="BD53" s="177"/>
      <c r="BE53" s="177"/>
      <c r="BF53" s="177"/>
    </row>
    <row r="54" spans="1:58" s="177" customFormat="1" ht="16.350000000000001" customHeight="1">
      <c r="O54" s="369"/>
      <c r="P54" s="508"/>
      <c r="Q54" s="535"/>
      <c r="R54" s="1437" t="s">
        <v>1714</v>
      </c>
      <c r="S54" s="1437"/>
      <c r="T54" s="1437"/>
      <c r="U54" s="1437"/>
      <c r="V54" s="1437"/>
      <c r="W54" s="1437"/>
      <c r="X54" s="1437"/>
      <c r="Y54" s="1437"/>
      <c r="Z54" s="1437"/>
      <c r="AA54" s="1437"/>
      <c r="AB54" s="508"/>
      <c r="AC54" s="453"/>
      <c r="AD54" s="528" t="s">
        <v>1715</v>
      </c>
      <c r="AE54" s="532"/>
      <c r="AF54" s="528"/>
      <c r="AG54" s="528"/>
      <c r="AH54" s="1126" t="str">
        <f>IF(M05S01F11="","",M05S01F11)</f>
        <v/>
      </c>
      <c r="AI54" s="1126"/>
      <c r="AJ54" s="1126"/>
      <c r="AK54" s="1126"/>
      <c r="AL54" s="1126"/>
      <c r="AM54" s="1126"/>
      <c r="AN54" s="1126" t="str">
        <f>IF(ISBLANK(M05S01F12),"",CONCATENATE(M05S01F12,"-",M05S01F13))</f>
        <v/>
      </c>
      <c r="AO54" s="1126"/>
      <c r="AP54" s="1126"/>
      <c r="AQ54" s="260"/>
    </row>
    <row r="55" spans="1:58" ht="16.350000000000001" customHeight="1">
      <c r="A55" s="177"/>
      <c r="B55" s="177"/>
      <c r="C55" s="177"/>
      <c r="D55" s="177"/>
      <c r="E55" s="177"/>
      <c r="F55" s="177"/>
      <c r="G55" s="177"/>
      <c r="H55" s="177"/>
      <c r="I55" s="177"/>
      <c r="J55" s="177"/>
      <c r="K55" s="177"/>
      <c r="L55" s="177"/>
      <c r="M55" s="177"/>
      <c r="N55" s="240"/>
      <c r="O55" s="369"/>
      <c r="P55" s="508"/>
      <c r="Q55" s="535"/>
      <c r="R55" s="1437"/>
      <c r="S55" s="1437"/>
      <c r="T55" s="1437"/>
      <c r="U55" s="1437"/>
      <c r="V55" s="1437"/>
      <c r="W55" s="1437"/>
      <c r="X55" s="1437"/>
      <c r="Y55" s="1437"/>
      <c r="Z55" s="1437"/>
      <c r="AA55" s="1437"/>
      <c r="AB55" s="508"/>
      <c r="AC55" s="453"/>
      <c r="AD55" s="532"/>
      <c r="AE55" s="532"/>
      <c r="AF55" s="532"/>
      <c r="AG55" s="532"/>
      <c r="AH55" s="532"/>
      <c r="AI55" s="532"/>
      <c r="AJ55" s="532"/>
      <c r="AK55" s="532"/>
      <c r="AL55" s="532"/>
      <c r="AM55" s="532"/>
      <c r="AN55" s="532"/>
      <c r="AO55" s="532"/>
      <c r="AP55" s="532"/>
      <c r="AQ55" s="260"/>
      <c r="AR55" s="177"/>
      <c r="AS55" s="177"/>
      <c r="AT55" s="177"/>
      <c r="AU55" s="177"/>
      <c r="AV55" s="177"/>
      <c r="AW55" s="177"/>
      <c r="AX55" s="177"/>
      <c r="AY55" s="177"/>
      <c r="AZ55" s="177"/>
      <c r="BA55" s="177"/>
      <c r="BB55" s="177"/>
      <c r="BC55" s="177"/>
      <c r="BD55" s="177"/>
      <c r="BE55" s="177"/>
      <c r="BF55" s="177"/>
    </row>
    <row r="56" spans="1:58" ht="16.350000000000001" customHeight="1">
      <c r="A56" s="177"/>
      <c r="B56" s="177"/>
      <c r="C56" s="177"/>
      <c r="D56" s="177"/>
      <c r="E56" s="177"/>
      <c r="F56" s="177"/>
      <c r="G56" s="177"/>
      <c r="H56" s="177"/>
      <c r="I56" s="177"/>
      <c r="J56" s="177"/>
      <c r="K56" s="177"/>
      <c r="L56" s="177"/>
      <c r="M56" s="177"/>
      <c r="N56" s="240"/>
      <c r="O56" s="369"/>
      <c r="P56" s="453"/>
      <c r="Q56" s="453"/>
      <c r="R56" s="454"/>
      <c r="S56" s="454"/>
      <c r="T56" s="454"/>
      <c r="U56" s="454"/>
      <c r="V56" s="454"/>
      <c r="W56" s="454"/>
      <c r="X56" s="454"/>
      <c r="Y56" s="454"/>
      <c r="Z56" s="454"/>
      <c r="AA56" s="454"/>
      <c r="AB56" s="456"/>
      <c r="AC56" s="453"/>
      <c r="AD56" s="453"/>
      <c r="AE56" s="453"/>
      <c r="AF56" s="457"/>
      <c r="AG56" s="457"/>
      <c r="AH56" s="457"/>
      <c r="AI56" s="457"/>
      <c r="AJ56" s="457"/>
      <c r="AK56" s="457"/>
      <c r="AL56" s="457"/>
      <c r="AM56" s="457"/>
      <c r="AN56" s="457"/>
      <c r="AO56" s="457"/>
      <c r="AP56" s="453"/>
      <c r="AQ56" s="260"/>
      <c r="AR56" s="177"/>
      <c r="AS56" s="177"/>
      <c r="AT56" s="177"/>
      <c r="AU56" s="177"/>
      <c r="AV56" s="177"/>
      <c r="AW56" s="177"/>
      <c r="AX56" s="177"/>
      <c r="AY56" s="177"/>
      <c r="AZ56" s="177"/>
      <c r="BA56" s="177"/>
      <c r="BB56" s="177"/>
      <c r="BC56" s="177"/>
      <c r="BD56" s="177"/>
      <c r="BE56" s="177"/>
      <c r="BF56" s="177"/>
    </row>
    <row r="57" spans="1:58" s="177" customFormat="1" ht="16.350000000000001" customHeight="1">
      <c r="O57" s="369"/>
      <c r="P57" s="532"/>
      <c r="Q57" s="1435" t="s">
        <v>1716</v>
      </c>
      <c r="R57" s="1435"/>
      <c r="S57" s="1435"/>
      <c r="T57" s="1435"/>
      <c r="U57" s="1435"/>
      <c r="V57" s="1435"/>
      <c r="W57" s="1435"/>
      <c r="X57" s="1435"/>
      <c r="Y57" s="1435"/>
      <c r="Z57" s="1435"/>
      <c r="AA57" s="1435"/>
      <c r="AB57" s="534"/>
      <c r="AC57" s="453"/>
      <c r="AD57" s="532"/>
      <c r="AE57" s="1436" t="s">
        <v>1717</v>
      </c>
      <c r="AF57" s="1436"/>
      <c r="AG57" s="1436"/>
      <c r="AH57" s="1436"/>
      <c r="AI57" s="1436"/>
      <c r="AJ57" s="1436"/>
      <c r="AK57" s="1436"/>
      <c r="AL57" s="1436"/>
      <c r="AM57" s="1436"/>
      <c r="AN57" s="1436"/>
      <c r="AO57" s="1436"/>
      <c r="AP57" s="532"/>
      <c r="AQ57" s="260"/>
    </row>
    <row r="58" spans="1:58" ht="16.350000000000001" customHeight="1">
      <c r="A58" s="177"/>
      <c r="B58" s="177"/>
      <c r="C58" s="177"/>
      <c r="D58" s="177"/>
      <c r="E58" s="177"/>
      <c r="F58" s="177"/>
      <c r="G58" s="177"/>
      <c r="H58" s="177"/>
      <c r="I58" s="177"/>
      <c r="J58" s="177"/>
      <c r="K58" s="177"/>
      <c r="L58" s="177"/>
      <c r="M58" s="177"/>
      <c r="N58" s="240"/>
      <c r="O58" s="369"/>
      <c r="P58" s="533"/>
      <c r="Q58" s="1435"/>
      <c r="R58" s="1435"/>
      <c r="S58" s="1435"/>
      <c r="T58" s="1435"/>
      <c r="U58" s="1435"/>
      <c r="V58" s="1435"/>
      <c r="W58" s="1435"/>
      <c r="X58" s="1435"/>
      <c r="Y58" s="1435"/>
      <c r="Z58" s="1435"/>
      <c r="AA58" s="1435"/>
      <c r="AB58" s="533"/>
      <c r="AC58" s="453"/>
      <c r="AD58" s="532"/>
      <c r="AE58" s="1436"/>
      <c r="AF58" s="1436"/>
      <c r="AG58" s="1436"/>
      <c r="AH58" s="1436"/>
      <c r="AI58" s="1436"/>
      <c r="AJ58" s="1436"/>
      <c r="AK58" s="1436"/>
      <c r="AL58" s="1436"/>
      <c r="AM58" s="1436"/>
      <c r="AN58" s="1436"/>
      <c r="AO58" s="1436"/>
      <c r="AP58" s="532"/>
      <c r="AQ58" s="260"/>
      <c r="AR58" s="177"/>
      <c r="AS58" s="177"/>
      <c r="AT58" s="177"/>
      <c r="AU58" s="177"/>
      <c r="AV58" s="177"/>
      <c r="AW58" s="177"/>
      <c r="AX58" s="177"/>
      <c r="AY58" s="177"/>
      <c r="AZ58" s="177"/>
      <c r="BA58" s="177"/>
      <c r="BB58" s="177"/>
      <c r="BC58" s="177"/>
      <c r="BD58" s="177"/>
      <c r="BE58" s="177"/>
      <c r="BF58" s="177"/>
    </row>
    <row r="59" spans="1:58" s="177" customFormat="1" ht="16.350000000000001" customHeight="1">
      <c r="O59" s="369"/>
      <c r="P59" s="1115" t="s">
        <v>1718</v>
      </c>
      <c r="Q59" s="1115"/>
      <c r="R59" s="1115"/>
      <c r="S59" s="1115"/>
      <c r="T59" s="1115"/>
      <c r="U59" s="1115"/>
      <c r="V59" s="1115"/>
      <c r="W59" s="1115"/>
      <c r="X59" s="1115"/>
      <c r="Y59" s="1115"/>
      <c r="Z59" s="1115"/>
      <c r="AA59" s="1115"/>
      <c r="AB59" s="1115"/>
      <c r="AC59" s="453"/>
      <c r="AD59" s="1115" t="str">
        <f>IF(OR(M01S02F02="Online Portal",M01S02F02=""),"The button below will launch your web browser and take you to the online portal. Please upload all documents using the Online Application Portal.",
IF(M01S02F02="Encrypted Email","The button below will create a draft email. Please attach your application and supporting documentation and then hit send.",""))</f>
        <v>The button below will launch your web browser and take you to the online portal. Please upload all documents using the Online Application Portal.</v>
      </c>
      <c r="AE59" s="1115"/>
      <c r="AF59" s="1115"/>
      <c r="AG59" s="1115"/>
      <c r="AH59" s="1115"/>
      <c r="AI59" s="1115"/>
      <c r="AJ59" s="1115"/>
      <c r="AK59" s="1115"/>
      <c r="AL59" s="1115"/>
      <c r="AM59" s="1115"/>
      <c r="AN59" s="1115"/>
      <c r="AO59" s="1115"/>
      <c r="AP59" s="1115"/>
      <c r="AQ59" s="260"/>
    </row>
    <row r="60" spans="1:58" ht="16.350000000000001" customHeight="1">
      <c r="A60" s="177"/>
      <c r="B60" s="177"/>
      <c r="C60" s="177"/>
      <c r="D60" s="177"/>
      <c r="E60" s="177"/>
      <c r="F60" s="177"/>
      <c r="G60" s="177"/>
      <c r="H60" s="177"/>
      <c r="I60" s="177"/>
      <c r="J60" s="177"/>
      <c r="K60" s="177"/>
      <c r="L60" s="177"/>
      <c r="M60" s="177"/>
      <c r="N60" s="240"/>
      <c r="O60" s="369"/>
      <c r="P60" s="1115"/>
      <c r="Q60" s="1115"/>
      <c r="R60" s="1115"/>
      <c r="S60" s="1115"/>
      <c r="T60" s="1115"/>
      <c r="U60" s="1115"/>
      <c r="V60" s="1115"/>
      <c r="W60" s="1115"/>
      <c r="X60" s="1115"/>
      <c r="Y60" s="1115"/>
      <c r="Z60" s="1115"/>
      <c r="AA60" s="1115"/>
      <c r="AB60" s="1115"/>
      <c r="AC60" s="453"/>
      <c r="AD60" s="1115"/>
      <c r="AE60" s="1115"/>
      <c r="AF60" s="1115"/>
      <c r="AG60" s="1115"/>
      <c r="AH60" s="1115"/>
      <c r="AI60" s="1115"/>
      <c r="AJ60" s="1115"/>
      <c r="AK60" s="1115"/>
      <c r="AL60" s="1115"/>
      <c r="AM60" s="1115"/>
      <c r="AN60" s="1115"/>
      <c r="AO60" s="1115"/>
      <c r="AP60" s="1115"/>
      <c r="AQ60" s="260"/>
      <c r="AR60" s="177"/>
      <c r="AS60" s="177"/>
      <c r="AT60" s="177"/>
      <c r="AU60" s="177"/>
      <c r="AV60" s="177"/>
      <c r="AW60" s="177"/>
      <c r="AX60" s="177"/>
      <c r="AY60" s="177"/>
      <c r="AZ60" s="177"/>
      <c r="BA60" s="177"/>
      <c r="BB60" s="177"/>
      <c r="BC60" s="177"/>
      <c r="BD60" s="177"/>
      <c r="BE60" s="177"/>
      <c r="BF60" s="177"/>
    </row>
    <row r="61" spans="1:58" ht="16.350000000000001" customHeight="1">
      <c r="A61" s="177"/>
      <c r="B61" s="177"/>
      <c r="C61" s="177"/>
      <c r="D61" s="177"/>
      <c r="E61" s="177"/>
      <c r="F61" s="177"/>
      <c r="G61" s="177"/>
      <c r="H61" s="177"/>
      <c r="I61" s="177"/>
      <c r="J61" s="177"/>
      <c r="K61" s="177"/>
      <c r="L61" s="177"/>
      <c r="M61" s="177"/>
      <c r="N61" s="240"/>
      <c r="O61" s="369"/>
      <c r="P61" s="1115"/>
      <c r="Q61" s="1115"/>
      <c r="R61" s="1115"/>
      <c r="S61" s="1115"/>
      <c r="T61" s="1115"/>
      <c r="U61" s="1115"/>
      <c r="V61" s="1115"/>
      <c r="W61" s="1115"/>
      <c r="X61" s="1115"/>
      <c r="Y61" s="1115"/>
      <c r="Z61" s="1115"/>
      <c r="AA61" s="1115"/>
      <c r="AB61" s="1115"/>
      <c r="AC61" s="457"/>
      <c r="AD61" s="1115"/>
      <c r="AE61" s="1115"/>
      <c r="AF61" s="1115"/>
      <c r="AG61" s="1115"/>
      <c r="AH61" s="1115"/>
      <c r="AI61" s="1115"/>
      <c r="AJ61" s="1115"/>
      <c r="AK61" s="1115"/>
      <c r="AL61" s="1115"/>
      <c r="AM61" s="1115"/>
      <c r="AN61" s="1115"/>
      <c r="AO61" s="1115"/>
      <c r="AP61" s="1115"/>
      <c r="AQ61" s="260"/>
      <c r="AR61" s="177"/>
      <c r="AS61" s="177"/>
      <c r="AT61" s="177"/>
      <c r="AU61" s="177"/>
      <c r="AV61" s="177"/>
      <c r="AW61" s="177"/>
      <c r="AX61" s="177"/>
      <c r="AY61" s="177"/>
      <c r="AZ61" s="177"/>
      <c r="BA61" s="177"/>
      <c r="BB61" s="177"/>
      <c r="BC61" s="177"/>
      <c r="BD61" s="177"/>
      <c r="BE61" s="177"/>
      <c r="BF61" s="177"/>
    </row>
    <row r="62" spans="1:58" s="177" customFormat="1" ht="16.350000000000001" customHeight="1">
      <c r="O62" s="369"/>
      <c r="P62" s="532"/>
      <c r="Q62" s="532"/>
      <c r="R62" s="532"/>
      <c r="S62" s="532"/>
      <c r="T62" s="532"/>
      <c r="U62" s="532"/>
      <c r="V62" s="532"/>
      <c r="W62" s="532"/>
      <c r="X62" s="532"/>
      <c r="Y62" s="532"/>
      <c r="Z62" s="532"/>
      <c r="AA62" s="532"/>
      <c r="AB62" s="532"/>
      <c r="AC62" s="457"/>
      <c r="AD62" s="537" t="s">
        <v>1719</v>
      </c>
      <c r="AE62" s="538" t="s">
        <v>1720</v>
      </c>
      <c r="AF62" s="539"/>
      <c r="AG62" s="539"/>
      <c r="AH62" s="539"/>
      <c r="AI62" s="539"/>
      <c r="AJ62" s="539"/>
      <c r="AK62" s="539"/>
      <c r="AL62" s="539"/>
      <c r="AM62" s="539"/>
      <c r="AN62" s="539"/>
      <c r="AO62" s="539"/>
      <c r="AP62" s="532"/>
      <c r="AQ62" s="260"/>
    </row>
    <row r="63" spans="1:58" s="177" customFormat="1" ht="16.350000000000001" customHeight="1">
      <c r="O63" s="369"/>
      <c r="P63" s="532"/>
      <c r="Q63" s="1406"/>
      <c r="R63" s="1406"/>
      <c r="S63" s="1406"/>
      <c r="T63" s="1406"/>
      <c r="U63" s="1406"/>
      <c r="V63" s="1406"/>
      <c r="W63" s="1406"/>
      <c r="X63" s="532"/>
      <c r="Y63" s="1409"/>
      <c r="Z63" s="1409"/>
      <c r="AA63" s="1409"/>
      <c r="AB63" s="532"/>
      <c r="AC63" s="453"/>
      <c r="AD63" s="540" t="s">
        <v>1721</v>
      </c>
      <c r="AE63" s="541" t="s">
        <v>1722</v>
      </c>
      <c r="AF63" s="539"/>
      <c r="AG63" s="539"/>
      <c r="AH63" s="539"/>
      <c r="AI63" s="539"/>
      <c r="AJ63" s="539"/>
      <c r="AK63" s="539"/>
      <c r="AL63" s="539"/>
      <c r="AM63" s="539"/>
      <c r="AN63" s="539"/>
      <c r="AO63" s="539"/>
      <c r="AP63" s="532"/>
      <c r="AQ63" s="260"/>
    </row>
    <row r="64" spans="1:58" s="177" customFormat="1" ht="16.350000000000001" customHeight="1">
      <c r="O64" s="369"/>
      <c r="P64" s="532"/>
      <c r="Q64" s="1405" t="s">
        <v>1723</v>
      </c>
      <c r="R64" s="1405"/>
      <c r="S64" s="1405"/>
      <c r="T64" s="1405"/>
      <c r="U64" s="1405"/>
      <c r="V64" s="1405"/>
      <c r="W64" s="1405"/>
      <c r="X64" s="532"/>
      <c r="Y64" s="1405" t="s">
        <v>1664</v>
      </c>
      <c r="Z64" s="1405"/>
      <c r="AA64" s="1405"/>
      <c r="AB64" s="532"/>
      <c r="AC64" s="453"/>
      <c r="AD64" s="540"/>
      <c r="AE64" s="541"/>
      <c r="AF64" s="539"/>
      <c r="AG64" s="539"/>
      <c r="AH64" s="539"/>
      <c r="AI64" s="539"/>
      <c r="AJ64" s="539"/>
      <c r="AK64" s="539"/>
      <c r="AL64" s="539"/>
      <c r="AM64" s="539"/>
      <c r="AN64" s="539"/>
      <c r="AO64" s="539"/>
      <c r="AP64" s="532"/>
      <c r="AQ64" s="260"/>
    </row>
    <row r="65" spans="1:62" ht="16.350000000000001" customHeight="1">
      <c r="A65" s="177"/>
      <c r="B65" s="177"/>
      <c r="C65" s="177"/>
      <c r="D65" s="177"/>
      <c r="E65" s="177"/>
      <c r="F65" s="177"/>
      <c r="G65" s="177"/>
      <c r="H65" s="177"/>
      <c r="I65" s="177"/>
      <c r="J65" s="177"/>
      <c r="K65" s="177"/>
      <c r="L65" s="177"/>
      <c r="M65" s="177"/>
      <c r="N65" s="177"/>
      <c r="O65" s="369"/>
      <c r="P65" s="532"/>
      <c r="Q65" s="1406"/>
      <c r="R65" s="1406"/>
      <c r="S65" s="1406"/>
      <c r="T65" s="1406"/>
      <c r="U65" s="1406"/>
      <c r="V65" s="1406"/>
      <c r="W65" s="1406"/>
      <c r="X65" s="532"/>
      <c r="Y65" s="709"/>
      <c r="Z65" s="709"/>
      <c r="AA65" s="709"/>
      <c r="AB65" s="532"/>
      <c r="AC65" s="453"/>
      <c r="AD65" s="540"/>
      <c r="AE65" s="541"/>
      <c r="AF65" s="539"/>
      <c r="AG65" s="539"/>
      <c r="AH65" s="539"/>
      <c r="AI65" s="539"/>
      <c r="AJ65" s="539"/>
      <c r="AK65" s="539"/>
      <c r="AL65" s="539"/>
      <c r="AM65" s="539"/>
      <c r="AN65" s="539"/>
      <c r="AO65" s="539"/>
      <c r="AP65" s="532"/>
      <c r="AQ65" s="260"/>
      <c r="AR65" s="177"/>
      <c r="AS65" s="177"/>
      <c r="AT65" s="177"/>
      <c r="AU65" s="177"/>
      <c r="AV65" s="177"/>
      <c r="AW65" s="177"/>
      <c r="AX65" s="177"/>
      <c r="AY65" s="177"/>
      <c r="AZ65" s="177"/>
      <c r="BA65" s="177"/>
      <c r="BB65" s="177"/>
      <c r="BC65" s="177"/>
      <c r="BD65" s="177"/>
      <c r="BE65" s="177"/>
      <c r="BF65" s="177"/>
    </row>
    <row r="66" spans="1:62" ht="16.350000000000001" customHeight="1">
      <c r="A66" s="177"/>
      <c r="B66" s="177"/>
      <c r="C66" s="177"/>
      <c r="D66" s="177"/>
      <c r="E66" s="177"/>
      <c r="F66" s="177"/>
      <c r="G66" s="177"/>
      <c r="H66" s="177"/>
      <c r="I66" s="177"/>
      <c r="J66" s="177"/>
      <c r="K66" s="177"/>
      <c r="L66" s="177"/>
      <c r="M66" s="177"/>
      <c r="N66" s="177"/>
      <c r="O66" s="369"/>
      <c r="P66" s="532"/>
      <c r="Q66" s="1405" t="s">
        <v>1515</v>
      </c>
      <c r="R66" s="1405"/>
      <c r="S66" s="1405"/>
      <c r="T66" s="1405"/>
      <c r="U66" s="1405"/>
      <c r="V66" s="1405"/>
      <c r="W66" s="1405"/>
      <c r="X66" s="532"/>
      <c r="Y66" s="709"/>
      <c r="Z66" s="709"/>
      <c r="AA66" s="709"/>
      <c r="AB66" s="532"/>
      <c r="AC66" s="453"/>
      <c r="AD66" s="532"/>
      <c r="AE66" s="532"/>
      <c r="AF66" s="539"/>
      <c r="AG66" s="539"/>
      <c r="AH66" s="539"/>
      <c r="AI66" s="539"/>
      <c r="AJ66" s="539"/>
      <c r="AK66" s="539"/>
      <c r="AL66" s="539"/>
      <c r="AM66" s="539"/>
      <c r="AN66" s="539"/>
      <c r="AO66" s="539"/>
      <c r="AP66" s="532"/>
      <c r="AQ66" s="260"/>
      <c r="AR66" s="177"/>
      <c r="AS66" s="177"/>
      <c r="AT66" s="177"/>
      <c r="AU66"/>
      <c r="AV66"/>
      <c r="AW66"/>
      <c r="AX66"/>
      <c r="AY66"/>
      <c r="AZ66"/>
      <c r="BA66" s="177"/>
      <c r="BB66" s="177"/>
      <c r="BC66" s="177"/>
      <c r="BD66" s="177"/>
      <c r="BE66" s="177"/>
      <c r="BF66" s="177"/>
    </row>
    <row r="67" spans="1:62" ht="16.350000000000001" customHeight="1">
      <c r="A67" s="177"/>
      <c r="B67" s="177"/>
      <c r="C67" s="177"/>
      <c r="D67" s="177"/>
      <c r="E67" s="177"/>
      <c r="F67" s="177"/>
      <c r="G67" s="177"/>
      <c r="H67" s="177"/>
      <c r="I67" s="177"/>
      <c r="J67" s="177"/>
      <c r="K67" s="177"/>
      <c r="L67" s="177"/>
      <c r="M67" s="177"/>
      <c r="N67" s="240"/>
      <c r="O67" s="369"/>
      <c r="P67" s="532"/>
      <c r="Q67" s="532"/>
      <c r="R67" s="532"/>
      <c r="S67" s="532"/>
      <c r="T67" s="532"/>
      <c r="U67" s="532"/>
      <c r="V67" s="532"/>
      <c r="W67" s="532"/>
      <c r="X67" s="532"/>
      <c r="Y67" s="532"/>
      <c r="Z67" s="532"/>
      <c r="AA67" s="532"/>
      <c r="AB67" s="532"/>
      <c r="AC67" s="453"/>
      <c r="AD67" s="532"/>
      <c r="AE67" s="538"/>
      <c r="AF67" s="539"/>
      <c r="AG67" s="1407" t="str">
        <f>HYPERLINK(IF(OR(M01S02F02="Online Portal",M01S02F02=""),PortalLink,
IF(M01S02F02="Encrypted Email","mailto:"&amp;FOOT3&amp;"?subject=Standard/Custom Incentive Application Submission","")),
IF(OR(M01S02F02="Online Portal",M01S02F02=""),"Submit via Online Portal",
IF(M01S02F02="Encrypted Email","✉ Draft Email","")))</f>
        <v>Submit via Online Portal</v>
      </c>
      <c r="AH67" s="1407"/>
      <c r="AI67" s="1407"/>
      <c r="AJ67" s="1407"/>
      <c r="AK67" s="1407"/>
      <c r="AL67" s="1407"/>
      <c r="AM67" s="539"/>
      <c r="AN67" s="539"/>
      <c r="AO67" s="539"/>
      <c r="AP67" s="532"/>
      <c r="AQ67" s="260"/>
      <c r="AR67"/>
      <c r="AS67"/>
      <c r="AT67"/>
      <c r="AU67"/>
      <c r="AV67"/>
      <c r="AW67"/>
      <c r="AX67"/>
      <c r="AY67"/>
      <c r="AZ67"/>
      <c r="BA67" s="177"/>
      <c r="BB67" s="177"/>
      <c r="BC67" s="177"/>
      <c r="BD67" s="177"/>
      <c r="BE67" s="177"/>
      <c r="BF67" s="177"/>
    </row>
    <row r="68" spans="1:62" ht="16.350000000000001" customHeight="1">
      <c r="A68" s="177"/>
      <c r="B68" s="177"/>
      <c r="C68" s="177"/>
      <c r="D68" s="177"/>
      <c r="E68" s="177"/>
      <c r="F68" s="177"/>
      <c r="G68" s="177"/>
      <c r="H68" s="177"/>
      <c r="I68" s="177"/>
      <c r="J68" s="177"/>
      <c r="K68" s="177"/>
      <c r="L68" s="177"/>
      <c r="M68" s="177"/>
      <c r="N68" s="240"/>
      <c r="O68" s="369"/>
      <c r="P68" s="532"/>
      <c r="Q68" s="1406"/>
      <c r="R68" s="1406"/>
      <c r="S68" s="1406"/>
      <c r="T68" s="1406"/>
      <c r="U68" s="1406"/>
      <c r="V68" s="1406"/>
      <c r="W68" s="1406"/>
      <c r="X68" s="532"/>
      <c r="Y68" s="1409"/>
      <c r="Z68" s="1409"/>
      <c r="AA68" s="1409"/>
      <c r="AB68" s="532"/>
      <c r="AC68" s="453"/>
      <c r="AD68" s="532"/>
      <c r="AE68" s="542"/>
      <c r="AF68" s="539"/>
      <c r="AG68" s="1407"/>
      <c r="AH68" s="1407"/>
      <c r="AI68" s="1407"/>
      <c r="AJ68" s="1407"/>
      <c r="AK68" s="1407"/>
      <c r="AL68" s="1407"/>
      <c r="AM68" s="539"/>
      <c r="AN68" s="539"/>
      <c r="AO68" s="539"/>
      <c r="AP68" s="532"/>
      <c r="AQ68" s="260"/>
      <c r="AR68"/>
      <c r="AS68"/>
      <c r="AT68"/>
      <c r="AU68"/>
      <c r="AV68"/>
      <c r="AW68"/>
      <c r="AX68"/>
      <c r="AY68"/>
      <c r="AZ68"/>
      <c r="BA68" s="177"/>
      <c r="BB68" s="177"/>
      <c r="BC68" s="177"/>
      <c r="BD68" s="177"/>
      <c r="BE68" s="177"/>
      <c r="BF68" s="177"/>
    </row>
    <row r="69" spans="1:62" ht="16.350000000000001" customHeight="1">
      <c r="A69" s="177"/>
      <c r="B69" s="177"/>
      <c r="C69" s="177"/>
      <c r="D69" s="177"/>
      <c r="E69" s="177"/>
      <c r="F69" s="177"/>
      <c r="G69" s="177"/>
      <c r="H69" s="177"/>
      <c r="I69" s="177"/>
      <c r="J69" s="177"/>
      <c r="K69" s="177"/>
      <c r="L69" s="177"/>
      <c r="M69" s="177"/>
      <c r="N69" s="240"/>
      <c r="O69" s="369"/>
      <c r="P69" s="532"/>
      <c r="Q69" s="1405" t="s">
        <v>1724</v>
      </c>
      <c r="R69" s="1405"/>
      <c r="S69" s="1405"/>
      <c r="T69" s="1405"/>
      <c r="U69" s="1405"/>
      <c r="V69" s="1405"/>
      <c r="W69" s="1405"/>
      <c r="X69" s="532"/>
      <c r="Y69" s="1405" t="s">
        <v>1664</v>
      </c>
      <c r="Z69" s="1405"/>
      <c r="AA69" s="1405"/>
      <c r="AB69" s="532"/>
      <c r="AC69" s="453"/>
      <c r="AD69" s="532"/>
      <c r="AE69" s="542"/>
      <c r="AF69" s="539"/>
      <c r="AG69" s="1407"/>
      <c r="AH69" s="1407"/>
      <c r="AI69" s="1407"/>
      <c r="AJ69" s="1407"/>
      <c r="AK69" s="1407"/>
      <c r="AL69" s="1407"/>
      <c r="AM69" s="539"/>
      <c r="AN69" s="539"/>
      <c r="AO69" s="539"/>
      <c r="AP69" s="532"/>
      <c r="AQ69" s="260"/>
      <c r="AR69"/>
      <c r="AS69"/>
      <c r="AT69"/>
      <c r="AU69"/>
      <c r="AV69"/>
      <c r="AW69"/>
      <c r="AX69"/>
      <c r="AY69"/>
      <c r="AZ69"/>
      <c r="BA69" s="177"/>
      <c r="BB69" s="177"/>
      <c r="BC69" s="177"/>
      <c r="BD69" s="177"/>
      <c r="BE69" s="177"/>
      <c r="BF69" s="177"/>
    </row>
    <row r="70" spans="1:62" ht="16.350000000000001" customHeight="1">
      <c r="A70" s="177"/>
      <c r="B70" s="177"/>
      <c r="C70" s="177"/>
      <c r="D70" s="177"/>
      <c r="E70" s="177"/>
      <c r="F70" s="177"/>
      <c r="G70" s="177"/>
      <c r="H70" s="177"/>
      <c r="I70" s="177"/>
      <c r="J70" s="177"/>
      <c r="K70" s="177"/>
      <c r="L70" s="177"/>
      <c r="M70" s="177"/>
      <c r="N70" s="240"/>
      <c r="O70" s="369"/>
      <c r="P70" s="532"/>
      <c r="Q70" s="1406"/>
      <c r="R70" s="1406"/>
      <c r="S70" s="1406"/>
      <c r="T70" s="1406"/>
      <c r="U70" s="1406"/>
      <c r="V70" s="1406"/>
      <c r="W70" s="1406"/>
      <c r="X70" s="532"/>
      <c r="Y70" s="709"/>
      <c r="Z70" s="709"/>
      <c r="AA70" s="709"/>
      <c r="AB70" s="532"/>
      <c r="AC70" s="453"/>
      <c r="AD70" s="532"/>
      <c r="AE70" s="542"/>
      <c r="AF70" s="539"/>
      <c r="AG70" s="708"/>
      <c r="AH70" s="708"/>
      <c r="AI70" s="708"/>
      <c r="AJ70" s="708"/>
      <c r="AK70" s="708"/>
      <c r="AL70" s="708"/>
      <c r="AM70" s="539"/>
      <c r="AN70" s="539"/>
      <c r="AO70" s="539"/>
      <c r="AP70" s="532"/>
      <c r="AQ70" s="260"/>
      <c r="AR70"/>
      <c r="AS70"/>
      <c r="AT70"/>
      <c r="AU70"/>
      <c r="AV70"/>
      <c r="AW70"/>
      <c r="AX70"/>
      <c r="AY70"/>
      <c r="AZ70"/>
      <c r="BA70" s="177"/>
      <c r="BB70" s="177"/>
      <c r="BC70" s="177"/>
      <c r="BD70" s="177"/>
      <c r="BE70" s="177"/>
      <c r="BF70" s="177"/>
    </row>
    <row r="71" spans="1:62" ht="16.350000000000001" customHeight="1">
      <c r="A71" s="177"/>
      <c r="B71" s="177"/>
      <c r="C71" s="177"/>
      <c r="D71" s="177"/>
      <c r="E71" s="177"/>
      <c r="F71" s="177"/>
      <c r="G71" s="177"/>
      <c r="H71" s="177"/>
      <c r="I71" s="177"/>
      <c r="J71" s="177"/>
      <c r="K71" s="177"/>
      <c r="L71" s="177"/>
      <c r="M71" s="177"/>
      <c r="N71" s="240"/>
      <c r="O71" s="369"/>
      <c r="P71" s="532"/>
      <c r="Q71" s="1405" t="s">
        <v>1515</v>
      </c>
      <c r="R71" s="1405"/>
      <c r="S71" s="1405"/>
      <c r="T71" s="1405"/>
      <c r="U71" s="1405"/>
      <c r="V71" s="1405"/>
      <c r="W71" s="1405"/>
      <c r="X71" s="532"/>
      <c r="Y71" s="709"/>
      <c r="Z71" s="709"/>
      <c r="AA71" s="709"/>
      <c r="AB71" s="532"/>
      <c r="AC71" s="453"/>
      <c r="AD71" s="532"/>
      <c r="AE71" s="542"/>
      <c r="AF71" s="539"/>
      <c r="AG71" s="708"/>
      <c r="AH71" s="708"/>
      <c r="AI71" s="708"/>
      <c r="AJ71" s="708"/>
      <c r="AK71" s="708"/>
      <c r="AL71" s="708"/>
      <c r="AM71" s="539"/>
      <c r="AN71" s="539"/>
      <c r="AO71" s="539"/>
      <c r="AP71" s="532"/>
      <c r="AQ71" s="260"/>
      <c r="AR71"/>
      <c r="AS71"/>
      <c r="AT71"/>
      <c r="AU71"/>
      <c r="AV71"/>
      <c r="AW71"/>
      <c r="AX71"/>
      <c r="AY71"/>
      <c r="AZ71"/>
      <c r="BA71" s="177"/>
      <c r="BB71" s="177"/>
      <c r="BC71" s="177"/>
      <c r="BD71" s="177"/>
      <c r="BE71" s="177"/>
      <c r="BF71" s="177"/>
    </row>
    <row r="72" spans="1:62" ht="16.350000000000001" customHeight="1">
      <c r="A72" s="177"/>
      <c r="B72" s="177"/>
      <c r="C72" s="177"/>
      <c r="D72" s="177"/>
      <c r="E72" s="177"/>
      <c r="F72" s="177"/>
      <c r="G72" s="177"/>
      <c r="H72" s="177"/>
      <c r="I72" s="177"/>
      <c r="J72" s="177"/>
      <c r="K72" s="177"/>
      <c r="L72" s="177"/>
      <c r="M72" s="177"/>
      <c r="N72" s="240"/>
      <c r="O72" s="369"/>
      <c r="P72" s="532"/>
      <c r="Q72" s="532"/>
      <c r="R72" s="532"/>
      <c r="S72" s="532"/>
      <c r="T72" s="532"/>
      <c r="U72" s="532"/>
      <c r="V72" s="532"/>
      <c r="W72" s="532"/>
      <c r="X72" s="532"/>
      <c r="Y72" s="532"/>
      <c r="Z72" s="532"/>
      <c r="AA72" s="532"/>
      <c r="AB72" s="532"/>
      <c r="AC72" s="458"/>
      <c r="AD72" s="532"/>
      <c r="AE72" s="532"/>
      <c r="AF72" s="532"/>
      <c r="AG72" s="532"/>
      <c r="AH72" s="532"/>
      <c r="AI72" s="532"/>
      <c r="AJ72" s="532"/>
      <c r="AK72" s="532"/>
      <c r="AL72" s="532"/>
      <c r="AM72" s="532"/>
      <c r="AN72" s="532"/>
      <c r="AO72" s="532"/>
      <c r="AP72" s="532"/>
      <c r="AQ72" s="260"/>
      <c r="AR72"/>
      <c r="AS72"/>
      <c r="AT72"/>
      <c r="AU72"/>
      <c r="AV72"/>
      <c r="AW72"/>
      <c r="AX72"/>
      <c r="AY72"/>
      <c r="AZ72"/>
      <c r="BA72" s="177"/>
      <c r="BB72" s="177"/>
      <c r="BC72" s="177"/>
      <c r="BD72" s="177"/>
      <c r="BE72" s="177"/>
      <c r="BF72" s="177"/>
    </row>
    <row r="73" spans="1:62" ht="16.350000000000001" customHeight="1">
      <c r="A73" s="177"/>
      <c r="B73" s="177"/>
      <c r="C73" s="177"/>
      <c r="D73" s="177"/>
      <c r="E73" s="177"/>
      <c r="F73" s="177"/>
      <c r="G73" s="177"/>
      <c r="H73" s="177"/>
      <c r="I73" s="177"/>
      <c r="J73" s="177"/>
      <c r="K73" s="177"/>
      <c r="L73" s="177"/>
      <c r="M73" s="177"/>
      <c r="N73" s="240"/>
      <c r="O73" s="369"/>
      <c r="P73" s="1408" t="s">
        <v>1725</v>
      </c>
      <c r="Q73" s="1408"/>
      <c r="R73" s="1408"/>
      <c r="S73" s="1408"/>
      <c r="T73" s="1408"/>
      <c r="U73" s="1408"/>
      <c r="V73" s="1408"/>
      <c r="W73" s="1408"/>
      <c r="X73" s="1408"/>
      <c r="Y73" s="1408"/>
      <c r="Z73" s="1408"/>
      <c r="AA73" s="1408"/>
      <c r="AB73" s="1408"/>
      <c r="AC73" s="1408"/>
      <c r="AD73" s="1408"/>
      <c r="AE73" s="1408"/>
      <c r="AF73" s="1408"/>
      <c r="AG73" s="1408"/>
      <c r="AH73" s="1408"/>
      <c r="AI73" s="1408"/>
      <c r="AJ73" s="1408"/>
      <c r="AK73" s="1408"/>
      <c r="AL73" s="1408"/>
      <c r="AM73" s="1408"/>
      <c r="AN73" s="1408"/>
      <c r="AO73" s="1408"/>
      <c r="AP73" s="1408"/>
      <c r="AQ73" s="260"/>
      <c r="AR73"/>
      <c r="AS73"/>
      <c r="AT73"/>
      <c r="AU73"/>
      <c r="AV73"/>
      <c r="AW73"/>
      <c r="AX73"/>
      <c r="AY73"/>
      <c r="AZ73" s="177"/>
      <c r="BA73" s="177"/>
      <c r="BB73" s="177"/>
      <c r="BC73" s="177"/>
      <c r="BD73" s="177"/>
      <c r="BE73" s="177"/>
      <c r="BF73" s="177"/>
    </row>
    <row r="74" spans="1:62" ht="16.350000000000001" customHeight="1">
      <c r="A74" s="177"/>
      <c r="B74" s="177"/>
      <c r="C74" s="177"/>
      <c r="D74" s="177"/>
      <c r="E74" s="177"/>
      <c r="F74" s="177"/>
      <c r="G74" s="177"/>
      <c r="H74" s="177"/>
      <c r="I74" s="177"/>
      <c r="J74" s="177"/>
      <c r="K74" s="177"/>
      <c r="L74" s="177"/>
      <c r="M74" s="177"/>
      <c r="N74" s="240"/>
      <c r="O74" s="369"/>
      <c r="P74" s="1408"/>
      <c r="Q74" s="1408"/>
      <c r="R74" s="1408"/>
      <c r="S74" s="1408"/>
      <c r="T74" s="1408"/>
      <c r="U74" s="1408"/>
      <c r="V74" s="1408"/>
      <c r="W74" s="1408"/>
      <c r="X74" s="1408"/>
      <c r="Y74" s="1408"/>
      <c r="Z74" s="1408"/>
      <c r="AA74" s="1408"/>
      <c r="AB74" s="1408"/>
      <c r="AC74" s="1408"/>
      <c r="AD74" s="1408"/>
      <c r="AE74" s="1408"/>
      <c r="AF74" s="1408"/>
      <c r="AG74" s="1408"/>
      <c r="AH74" s="1408"/>
      <c r="AI74" s="1408"/>
      <c r="AJ74" s="1408"/>
      <c r="AK74" s="1408"/>
      <c r="AL74" s="1408"/>
      <c r="AM74" s="1408"/>
      <c r="AN74" s="1408"/>
      <c r="AO74" s="1408"/>
      <c r="AP74" s="1408"/>
      <c r="AQ74" s="260"/>
      <c r="AR74" s="177"/>
      <c r="AS74" s="177"/>
      <c r="AT74" s="177"/>
      <c r="AU74" s="177"/>
      <c r="AV74" s="177"/>
      <c r="AW74" s="177"/>
      <c r="AX74" s="177"/>
      <c r="AY74" s="177"/>
      <c r="AZ74" s="177"/>
      <c r="BA74" s="177"/>
      <c r="BB74" s="177"/>
      <c r="BC74" s="177"/>
      <c r="BD74" s="177"/>
      <c r="BE74" s="177"/>
      <c r="BF74" s="177"/>
    </row>
    <row r="75" spans="1:62" ht="16.350000000000001" customHeight="1">
      <c r="A75" s="177"/>
      <c r="B75" s="177"/>
      <c r="C75" s="177"/>
      <c r="D75" s="177"/>
      <c r="E75" s="177"/>
      <c r="F75" s="177"/>
      <c r="G75" s="177"/>
      <c r="H75" s="177"/>
      <c r="I75" s="177"/>
      <c r="J75" s="177"/>
      <c r="K75" s="177"/>
      <c r="L75" s="177"/>
      <c r="M75" s="177"/>
      <c r="N75" s="240"/>
      <c r="O75" s="369"/>
      <c r="P75" s="1408"/>
      <c r="Q75" s="1408"/>
      <c r="R75" s="1408"/>
      <c r="S75" s="1408"/>
      <c r="T75" s="1408"/>
      <c r="U75" s="1408"/>
      <c r="V75" s="1408"/>
      <c r="W75" s="1408"/>
      <c r="X75" s="1408"/>
      <c r="Y75" s="1408"/>
      <c r="Z75" s="1408"/>
      <c r="AA75" s="1408"/>
      <c r="AB75" s="1408"/>
      <c r="AC75" s="1408"/>
      <c r="AD75" s="1408"/>
      <c r="AE75" s="1408"/>
      <c r="AF75" s="1408"/>
      <c r="AG75" s="1408"/>
      <c r="AH75" s="1408"/>
      <c r="AI75" s="1408"/>
      <c r="AJ75" s="1408"/>
      <c r="AK75" s="1408"/>
      <c r="AL75" s="1408"/>
      <c r="AM75" s="1408"/>
      <c r="AN75" s="1408"/>
      <c r="AO75" s="1408"/>
      <c r="AP75" s="1408"/>
      <c r="AQ75" s="260"/>
      <c r="AR75" s="177"/>
      <c r="AS75" s="177"/>
      <c r="AT75" s="177"/>
      <c r="AU75" s="177"/>
      <c r="AV75" s="177"/>
      <c r="AW75" s="177"/>
      <c r="AX75" s="177"/>
      <c r="AY75" s="177"/>
      <c r="AZ75" s="177"/>
      <c r="BA75" s="177"/>
      <c r="BB75" s="177"/>
      <c r="BC75" s="177"/>
      <c r="BD75" s="177"/>
      <c r="BE75" s="461"/>
      <c r="BF75" s="461"/>
      <c r="BG75" s="461"/>
      <c r="BH75" s="461"/>
      <c r="BI75" s="461"/>
      <c r="BJ75" s="461"/>
    </row>
    <row r="76" spans="1:62" ht="16.350000000000001" customHeight="1">
      <c r="A76" s="177"/>
      <c r="B76" s="177"/>
      <c r="C76" s="177"/>
      <c r="D76" s="177"/>
      <c r="E76" s="177"/>
      <c r="F76" s="177"/>
      <c r="G76" s="177"/>
      <c r="H76" s="177"/>
      <c r="I76" s="177"/>
      <c r="J76" s="177"/>
      <c r="K76" s="177"/>
      <c r="L76" s="177"/>
      <c r="M76" s="177"/>
      <c r="N76" s="240"/>
      <c r="O76" s="369"/>
      <c r="P76" s="1408"/>
      <c r="Q76" s="1408"/>
      <c r="R76" s="1408"/>
      <c r="S76" s="1408"/>
      <c r="T76" s="1408"/>
      <c r="U76" s="1408"/>
      <c r="V76" s="1408"/>
      <c r="W76" s="1408"/>
      <c r="X76" s="1408"/>
      <c r="Y76" s="1408"/>
      <c r="Z76" s="1408"/>
      <c r="AA76" s="1408"/>
      <c r="AB76" s="1408"/>
      <c r="AC76" s="1408"/>
      <c r="AD76" s="1408"/>
      <c r="AE76" s="1408"/>
      <c r="AF76" s="1408"/>
      <c r="AG76" s="1408"/>
      <c r="AH76" s="1408"/>
      <c r="AI76" s="1408"/>
      <c r="AJ76" s="1408"/>
      <c r="AK76" s="1408"/>
      <c r="AL76" s="1408"/>
      <c r="AM76" s="1408"/>
      <c r="AN76" s="1408"/>
      <c r="AO76" s="1408"/>
      <c r="AP76" s="1408"/>
      <c r="AQ76" s="260"/>
      <c r="AR76" s="177"/>
      <c r="AS76" s="177"/>
      <c r="AT76" s="177"/>
      <c r="AU76" s="177"/>
      <c r="AV76" s="177"/>
      <c r="AW76" s="177"/>
      <c r="AX76" s="177"/>
      <c r="AY76" s="177"/>
      <c r="AZ76" s="177"/>
      <c r="BA76" s="177"/>
      <c r="BB76" s="177"/>
      <c r="BC76" s="177"/>
      <c r="BD76" s="177"/>
      <c r="BE76" s="461"/>
      <c r="BF76" s="461"/>
      <c r="BG76" s="461"/>
      <c r="BH76" s="461"/>
      <c r="BI76" s="461"/>
      <c r="BJ76" s="461"/>
    </row>
    <row r="77" spans="1:62" ht="16.350000000000001" customHeight="1">
      <c r="A77" s="177"/>
      <c r="B77" s="177"/>
      <c r="C77" s="177"/>
      <c r="D77" s="177"/>
      <c r="E77" s="177"/>
      <c r="F77" s="177"/>
      <c r="G77" s="177"/>
      <c r="H77" s="177"/>
      <c r="I77" s="177"/>
      <c r="J77" s="177"/>
      <c r="K77" s="177"/>
      <c r="L77" s="177"/>
      <c r="M77" s="177"/>
      <c r="N77" s="240"/>
      <c r="O77" s="369"/>
      <c r="P77" s="1408"/>
      <c r="Q77" s="1408"/>
      <c r="R77" s="1408"/>
      <c r="S77" s="1408"/>
      <c r="T77" s="1408"/>
      <c r="U77" s="1408"/>
      <c r="V77" s="1408"/>
      <c r="W77" s="1408"/>
      <c r="X77" s="1408"/>
      <c r="Y77" s="1408"/>
      <c r="Z77" s="1408"/>
      <c r="AA77" s="1408"/>
      <c r="AB77" s="1408"/>
      <c r="AC77" s="1408"/>
      <c r="AD77" s="1408"/>
      <c r="AE77" s="1408"/>
      <c r="AF77" s="1408"/>
      <c r="AG77" s="1408"/>
      <c r="AH77" s="1408"/>
      <c r="AI77" s="1408"/>
      <c r="AJ77" s="1408"/>
      <c r="AK77" s="1408"/>
      <c r="AL77" s="1408"/>
      <c r="AM77" s="1408"/>
      <c r="AN77" s="1408"/>
      <c r="AO77" s="1408"/>
      <c r="AP77" s="1408"/>
      <c r="AQ77" s="260"/>
      <c r="AR77" s="177"/>
      <c r="AS77" s="177"/>
      <c r="AT77" s="177"/>
      <c r="AU77" s="177"/>
      <c r="AV77" s="177"/>
      <c r="AW77" s="177"/>
      <c r="AX77" s="177"/>
      <c r="AY77" s="177"/>
      <c r="AZ77" s="177"/>
      <c r="BA77" s="177"/>
      <c r="BB77" s="177"/>
      <c r="BC77" s="177"/>
      <c r="BD77" s="177"/>
      <c r="BE77" s="461"/>
      <c r="BF77" s="461"/>
      <c r="BG77" s="461"/>
      <c r="BH77" s="461"/>
      <c r="BI77" s="461"/>
      <c r="BJ77" s="461"/>
    </row>
    <row r="78" spans="1:62" ht="16.350000000000001" customHeight="1">
      <c r="A78" s="177"/>
      <c r="B78" s="177"/>
      <c r="C78" s="177"/>
      <c r="D78" s="177"/>
      <c r="E78" s="177"/>
      <c r="F78" s="177"/>
      <c r="G78" s="177"/>
      <c r="H78" s="177"/>
      <c r="I78" s="177"/>
      <c r="J78" s="177"/>
      <c r="K78" s="177"/>
      <c r="L78" s="177"/>
      <c r="M78" s="177"/>
      <c r="N78" s="240"/>
      <c r="O78" s="369"/>
      <c r="P78" s="1408"/>
      <c r="Q78" s="1408"/>
      <c r="R78" s="1408"/>
      <c r="S78" s="1408"/>
      <c r="T78" s="1408"/>
      <c r="U78" s="1408"/>
      <c r="V78" s="1408"/>
      <c r="W78" s="1408"/>
      <c r="X78" s="1408"/>
      <c r="Y78" s="1408"/>
      <c r="Z78" s="1408"/>
      <c r="AA78" s="1408"/>
      <c r="AB78" s="1408"/>
      <c r="AC78" s="1408"/>
      <c r="AD78" s="1408"/>
      <c r="AE78" s="1408"/>
      <c r="AF78" s="1408"/>
      <c r="AG78" s="1408"/>
      <c r="AH78" s="1408"/>
      <c r="AI78" s="1408"/>
      <c r="AJ78" s="1408"/>
      <c r="AK78" s="1408"/>
      <c r="AL78" s="1408"/>
      <c r="AM78" s="1408"/>
      <c r="AN78" s="1408"/>
      <c r="AO78" s="1408"/>
      <c r="AP78" s="1408"/>
      <c r="AQ78" s="260"/>
      <c r="AR78" s="177"/>
      <c r="AS78" s="177"/>
      <c r="AT78" s="177"/>
      <c r="AU78" s="177"/>
      <c r="AV78" s="177"/>
      <c r="AW78" s="177"/>
      <c r="AX78" s="177"/>
      <c r="AY78" s="177"/>
      <c r="AZ78" s="177"/>
      <c r="BA78" s="177"/>
      <c r="BB78" s="177"/>
      <c r="BC78" s="177"/>
      <c r="BD78" s="177"/>
      <c r="BE78" s="461"/>
      <c r="BF78" s="461"/>
      <c r="BG78" s="461"/>
      <c r="BH78" s="461"/>
      <c r="BI78" s="461"/>
      <c r="BJ78" s="461"/>
    </row>
    <row r="79" spans="1:62" ht="16.350000000000001" customHeight="1">
      <c r="A79" s="177"/>
      <c r="B79" s="177"/>
      <c r="C79" s="177"/>
      <c r="D79" s="177"/>
      <c r="E79" s="177"/>
      <c r="F79" s="177"/>
      <c r="G79" s="177"/>
      <c r="H79" s="177"/>
      <c r="I79" s="177"/>
      <c r="J79" s="177"/>
      <c r="K79" s="177"/>
      <c r="L79" s="177"/>
      <c r="M79" s="177"/>
      <c r="N79" s="240"/>
      <c r="O79" s="369"/>
      <c r="P79" s="1408"/>
      <c r="Q79" s="1408"/>
      <c r="R79" s="1408"/>
      <c r="S79" s="1408"/>
      <c r="T79" s="1408"/>
      <c r="U79" s="1408"/>
      <c r="V79" s="1408"/>
      <c r="W79" s="1408"/>
      <c r="X79" s="1408"/>
      <c r="Y79" s="1408"/>
      <c r="Z79" s="1408"/>
      <c r="AA79" s="1408"/>
      <c r="AB79" s="1408"/>
      <c r="AC79" s="1408"/>
      <c r="AD79" s="1408"/>
      <c r="AE79" s="1408"/>
      <c r="AF79" s="1408"/>
      <c r="AG79" s="1408"/>
      <c r="AH79" s="1408"/>
      <c r="AI79" s="1408"/>
      <c r="AJ79" s="1408"/>
      <c r="AK79" s="1408"/>
      <c r="AL79" s="1408"/>
      <c r="AM79" s="1408"/>
      <c r="AN79" s="1408"/>
      <c r="AO79" s="1408"/>
      <c r="AP79" s="1408"/>
      <c r="AQ79" s="260"/>
      <c r="AR79" s="177"/>
      <c r="AS79" s="177"/>
      <c r="AT79" s="177"/>
      <c r="AU79" s="177"/>
      <c r="AV79" s="177"/>
      <c r="AW79" s="177"/>
      <c r="AX79" s="177"/>
      <c r="AY79" s="177"/>
      <c r="AZ79" s="177"/>
      <c r="BA79" s="177"/>
      <c r="BB79" s="177"/>
      <c r="BC79" s="177"/>
      <c r="BD79" s="177"/>
      <c r="BE79" s="177"/>
      <c r="BF79" s="177"/>
    </row>
    <row r="80" spans="1:62" ht="16.350000000000001" customHeight="1">
      <c r="A80" s="177"/>
      <c r="B80" s="177"/>
      <c r="C80" s="177"/>
      <c r="D80" s="177"/>
      <c r="E80" s="177"/>
      <c r="F80" s="177"/>
      <c r="G80" s="177"/>
      <c r="H80" s="177"/>
      <c r="I80" s="177"/>
      <c r="J80" s="177"/>
      <c r="K80" s="177"/>
      <c r="L80" s="177"/>
      <c r="M80" s="177"/>
      <c r="N80" s="240"/>
      <c r="O80" s="369"/>
      <c r="P80" s="1408"/>
      <c r="Q80" s="1408"/>
      <c r="R80" s="1408"/>
      <c r="S80" s="1408"/>
      <c r="T80" s="1408"/>
      <c r="U80" s="1408"/>
      <c r="V80" s="1408"/>
      <c r="W80" s="1408"/>
      <c r="X80" s="1408"/>
      <c r="Y80" s="1408"/>
      <c r="Z80" s="1408"/>
      <c r="AA80" s="1408"/>
      <c r="AB80" s="1408"/>
      <c r="AC80" s="1408"/>
      <c r="AD80" s="1408"/>
      <c r="AE80" s="1408"/>
      <c r="AF80" s="1408"/>
      <c r="AG80" s="1408"/>
      <c r="AH80" s="1408"/>
      <c r="AI80" s="1408"/>
      <c r="AJ80" s="1408"/>
      <c r="AK80" s="1408"/>
      <c r="AL80" s="1408"/>
      <c r="AM80" s="1408"/>
      <c r="AN80" s="1408"/>
      <c r="AO80" s="1408"/>
      <c r="AP80" s="1408"/>
      <c r="AQ80" s="260"/>
      <c r="AR80" s="177"/>
      <c r="AS80" s="177"/>
      <c r="AT80" s="177"/>
      <c r="AU80" s="177"/>
      <c r="AV80" s="177"/>
      <c r="AW80" s="177"/>
      <c r="AX80" s="177"/>
      <c r="AY80" s="177"/>
      <c r="AZ80" s="177"/>
      <c r="BA80" s="177"/>
      <c r="BB80" s="177"/>
      <c r="BC80" s="177"/>
      <c r="BD80" s="177"/>
      <c r="BE80" s="177"/>
      <c r="BF80" s="177"/>
    </row>
    <row r="81" spans="1:58" ht="16.350000000000001" customHeight="1">
      <c r="A81" s="177"/>
      <c r="B81" s="177"/>
      <c r="C81" s="177"/>
      <c r="D81" s="177"/>
      <c r="E81" s="177"/>
      <c r="F81" s="177"/>
      <c r="G81" s="177"/>
      <c r="H81" s="177"/>
      <c r="I81" s="177"/>
      <c r="J81" s="177"/>
      <c r="K81" s="177"/>
      <c r="L81" s="177"/>
      <c r="M81" s="177"/>
      <c r="N81" s="240"/>
      <c r="O81" s="369"/>
      <c r="P81" s="1408"/>
      <c r="Q81" s="1408"/>
      <c r="R81" s="1408"/>
      <c r="S81" s="1408"/>
      <c r="T81" s="1408"/>
      <c r="U81" s="1408"/>
      <c r="V81" s="1408"/>
      <c r="W81" s="1408"/>
      <c r="X81" s="1408"/>
      <c r="Y81" s="1408"/>
      <c r="Z81" s="1408"/>
      <c r="AA81" s="1408"/>
      <c r="AB81" s="1408"/>
      <c r="AC81" s="1408"/>
      <c r="AD81" s="1408"/>
      <c r="AE81" s="1408"/>
      <c r="AF81" s="1408"/>
      <c r="AG81" s="1408"/>
      <c r="AH81" s="1408"/>
      <c r="AI81" s="1408"/>
      <c r="AJ81" s="1408"/>
      <c r="AK81" s="1408"/>
      <c r="AL81" s="1408"/>
      <c r="AM81" s="1408"/>
      <c r="AN81" s="1408"/>
      <c r="AO81" s="1408"/>
      <c r="AP81" s="1408"/>
      <c r="AQ81" s="260"/>
      <c r="AR81" s="177"/>
      <c r="AS81" s="177"/>
      <c r="AT81" s="177"/>
      <c r="AU81" s="177"/>
      <c r="AV81" s="177"/>
      <c r="AW81" s="177"/>
      <c r="AX81" s="177"/>
      <c r="AY81" s="177"/>
      <c r="AZ81" s="177"/>
      <c r="BA81" s="177"/>
      <c r="BB81" s="177"/>
      <c r="BC81" s="177"/>
      <c r="BD81" s="177"/>
      <c r="BE81" s="177"/>
      <c r="BF81" s="177"/>
    </row>
    <row r="82" spans="1:58" ht="16.350000000000001" customHeight="1">
      <c r="A82" s="177"/>
      <c r="B82" s="177"/>
      <c r="C82" s="177"/>
      <c r="D82" s="177"/>
      <c r="E82" s="177"/>
      <c r="F82" s="177"/>
      <c r="G82" s="177"/>
      <c r="H82" s="177"/>
      <c r="I82" s="177"/>
      <c r="J82" s="177"/>
      <c r="K82" s="177"/>
      <c r="L82" s="177"/>
      <c r="M82" s="177"/>
      <c r="N82" s="240"/>
      <c r="O82" s="369"/>
      <c r="P82" s="1408"/>
      <c r="Q82" s="1408"/>
      <c r="R82" s="1408"/>
      <c r="S82" s="1408"/>
      <c r="T82" s="1408"/>
      <c r="U82" s="1408"/>
      <c r="V82" s="1408"/>
      <c r="W82" s="1408"/>
      <c r="X82" s="1408"/>
      <c r="Y82" s="1408"/>
      <c r="Z82" s="1408"/>
      <c r="AA82" s="1408"/>
      <c r="AB82" s="1408"/>
      <c r="AC82" s="1408"/>
      <c r="AD82" s="1408"/>
      <c r="AE82" s="1408"/>
      <c r="AF82" s="1408"/>
      <c r="AG82" s="1408"/>
      <c r="AH82" s="1408"/>
      <c r="AI82" s="1408"/>
      <c r="AJ82" s="1408"/>
      <c r="AK82" s="1408"/>
      <c r="AL82" s="1408"/>
      <c r="AM82" s="1408"/>
      <c r="AN82" s="1408"/>
      <c r="AO82" s="1408"/>
      <c r="AP82" s="1408"/>
      <c r="AQ82" s="260"/>
      <c r="AR82" s="177"/>
      <c r="AS82" s="177"/>
      <c r="AT82" s="177"/>
      <c r="AU82" s="177"/>
      <c r="AV82" s="177"/>
      <c r="AW82" s="177"/>
      <c r="AX82" s="177"/>
      <c r="AY82" s="177"/>
      <c r="AZ82" s="177"/>
      <c r="BA82" s="177"/>
      <c r="BB82" s="177"/>
      <c r="BC82" s="177"/>
      <c r="BD82" s="177"/>
      <c r="BE82" s="177"/>
      <c r="BF82" s="177"/>
    </row>
    <row r="83" spans="1:58" ht="16.350000000000001" customHeight="1">
      <c r="A83" s="177"/>
      <c r="B83" s="177"/>
      <c r="C83" s="177"/>
      <c r="D83" s="177"/>
      <c r="E83" s="177"/>
      <c r="F83" s="177"/>
      <c r="G83" s="177"/>
      <c r="H83" s="177"/>
      <c r="I83" s="177"/>
      <c r="J83" s="177"/>
      <c r="K83" s="177"/>
      <c r="L83" s="177"/>
      <c r="M83" s="177"/>
      <c r="N83" s="240"/>
      <c r="O83" s="369"/>
      <c r="P83" s="1408"/>
      <c r="Q83" s="1408"/>
      <c r="R83" s="1408"/>
      <c r="S83" s="1408"/>
      <c r="T83" s="1408"/>
      <c r="U83" s="1408"/>
      <c r="V83" s="1408"/>
      <c r="W83" s="1408"/>
      <c r="X83" s="1408"/>
      <c r="Y83" s="1408"/>
      <c r="Z83" s="1408"/>
      <c r="AA83" s="1408"/>
      <c r="AB83" s="1408"/>
      <c r="AC83" s="1408"/>
      <c r="AD83" s="1408"/>
      <c r="AE83" s="1408"/>
      <c r="AF83" s="1408"/>
      <c r="AG83" s="1408"/>
      <c r="AH83" s="1408"/>
      <c r="AI83" s="1408"/>
      <c r="AJ83" s="1408"/>
      <c r="AK83" s="1408"/>
      <c r="AL83" s="1408"/>
      <c r="AM83" s="1408"/>
      <c r="AN83" s="1408"/>
      <c r="AO83" s="1408"/>
      <c r="AP83" s="1408"/>
      <c r="AQ83" s="260"/>
      <c r="AR83" s="177"/>
      <c r="AS83" s="177"/>
      <c r="AT83" s="177"/>
      <c r="AU83" s="177"/>
      <c r="AV83" s="177"/>
      <c r="AW83" s="177"/>
      <c r="AX83" s="177"/>
      <c r="AY83" s="177"/>
      <c r="AZ83" s="177"/>
      <c r="BA83" s="177"/>
      <c r="BB83" s="177"/>
      <c r="BC83" s="177"/>
      <c r="BD83" s="177"/>
      <c r="BE83" s="177"/>
      <c r="BF83" s="177"/>
    </row>
    <row r="84" spans="1:58" ht="16.350000000000001" customHeight="1">
      <c r="A84" s="177"/>
      <c r="B84" s="177"/>
      <c r="C84" s="177"/>
      <c r="D84" s="177"/>
      <c r="E84" s="177"/>
      <c r="F84" s="177"/>
      <c r="G84" s="177"/>
      <c r="H84" s="177"/>
      <c r="I84" s="177"/>
      <c r="J84" s="177"/>
      <c r="K84" s="177"/>
      <c r="L84" s="177"/>
      <c r="M84" s="177"/>
      <c r="N84" s="240"/>
      <c r="O84" s="369"/>
      <c r="P84" s="1125" t="str">
        <f>FOOT1&amp;"  • "&amp; FOOT2 &amp;" • "&amp;FOOT3</f>
        <v>PSE&amp;G C&amp;I Energy Efficiency Program  • 1-844-300-PSEG (7734) • PSEGenergysaver@TRCcompanies.com</v>
      </c>
      <c r="Q84" s="1125"/>
      <c r="R84" s="1125"/>
      <c r="S84" s="1125"/>
      <c r="T84" s="1125"/>
      <c r="U84" s="1125"/>
      <c r="V84" s="1125"/>
      <c r="W84" s="1125"/>
      <c r="X84" s="1125"/>
      <c r="Y84" s="1125"/>
      <c r="Z84" s="1125"/>
      <c r="AA84" s="1125"/>
      <c r="AB84" s="1125"/>
      <c r="AC84" s="1125"/>
      <c r="AD84" s="1125"/>
      <c r="AE84" s="1125"/>
      <c r="AF84" s="1125"/>
      <c r="AG84" s="1125"/>
      <c r="AH84" s="1125"/>
      <c r="AI84" s="1125"/>
      <c r="AJ84" s="1125"/>
      <c r="AK84" s="1125"/>
      <c r="AL84" s="1125"/>
      <c r="AM84" s="1125"/>
      <c r="AN84" s="1125"/>
      <c r="AO84" s="1125"/>
      <c r="AP84" s="1125"/>
      <c r="AQ84" s="260"/>
      <c r="AR84" s="177"/>
      <c r="AS84" s="177"/>
      <c r="AT84" s="177"/>
      <c r="AU84" s="177"/>
      <c r="AV84" s="177"/>
      <c r="AW84" s="177"/>
      <c r="AX84" s="177"/>
      <c r="AY84" s="177"/>
      <c r="AZ84" s="177"/>
      <c r="BA84" s="177"/>
      <c r="BB84" s="177"/>
      <c r="BC84" s="177"/>
      <c r="BD84" s="177"/>
      <c r="BE84" s="177"/>
      <c r="BF84" s="177"/>
    </row>
    <row r="85" spans="1:58" ht="16.350000000000001" customHeight="1">
      <c r="A85" s="177"/>
      <c r="B85" s="177"/>
      <c r="C85" s="177"/>
      <c r="D85" s="177"/>
      <c r="E85" s="177"/>
      <c r="F85" s="177"/>
      <c r="G85" s="177"/>
      <c r="H85" s="177"/>
      <c r="I85" s="177"/>
      <c r="J85" s="177"/>
      <c r="K85" s="177"/>
      <c r="L85" s="177"/>
      <c r="M85" s="177"/>
      <c r="N85" s="240"/>
      <c r="O85" s="369"/>
      <c r="P85" s="1125"/>
      <c r="Q85" s="1125"/>
      <c r="R85" s="1125"/>
      <c r="S85" s="1125"/>
      <c r="T85" s="1125"/>
      <c r="U85" s="1125"/>
      <c r="V85" s="1125"/>
      <c r="W85" s="1125"/>
      <c r="X85" s="1125"/>
      <c r="Y85" s="1125"/>
      <c r="Z85" s="1125"/>
      <c r="AA85" s="1125"/>
      <c r="AB85" s="1125"/>
      <c r="AC85" s="1125"/>
      <c r="AD85" s="1125"/>
      <c r="AE85" s="1125"/>
      <c r="AF85" s="1125"/>
      <c r="AG85" s="1125"/>
      <c r="AH85" s="1125"/>
      <c r="AI85" s="1125"/>
      <c r="AJ85" s="1125"/>
      <c r="AK85" s="1125"/>
      <c r="AL85" s="1125"/>
      <c r="AM85" s="1125"/>
      <c r="AN85" s="1125"/>
      <c r="AO85" s="1125"/>
      <c r="AP85" s="1125"/>
      <c r="AQ85" s="260"/>
      <c r="AR85" s="177"/>
      <c r="AS85" s="177"/>
      <c r="AT85" s="177"/>
      <c r="AU85" s="177"/>
      <c r="AV85" s="177"/>
      <c r="AW85" s="177"/>
      <c r="AX85" s="177"/>
      <c r="AY85" s="177"/>
      <c r="AZ85" s="177"/>
      <c r="BA85" s="177"/>
      <c r="BB85" s="177"/>
      <c r="BC85" s="177"/>
      <c r="BD85" s="177"/>
      <c r="BE85" s="177"/>
      <c r="BF85" s="177"/>
    </row>
    <row r="86" spans="1:58" ht="16.350000000000001" customHeight="1">
      <c r="A86" s="177"/>
      <c r="B86" s="177"/>
      <c r="C86" s="177"/>
      <c r="D86" s="177"/>
      <c r="E86" s="177"/>
      <c r="F86" s="177"/>
      <c r="G86" s="177"/>
      <c r="H86" s="177"/>
      <c r="I86" s="177"/>
      <c r="J86" s="177"/>
      <c r="K86" s="177"/>
      <c r="L86" s="177"/>
      <c r="M86" s="177"/>
      <c r="N86" s="240"/>
      <c r="O86" s="379"/>
      <c r="P86" s="459"/>
      <c r="Q86" s="460"/>
      <c r="R86" s="380"/>
      <c r="S86" s="380"/>
      <c r="T86" s="380"/>
      <c r="U86" s="380"/>
      <c r="V86" s="380"/>
      <c r="W86" s="380"/>
      <c r="X86" s="380"/>
      <c r="Y86" s="380"/>
      <c r="Z86" s="380"/>
      <c r="AA86" s="380"/>
      <c r="AB86" s="380"/>
      <c r="AC86" s="380"/>
      <c r="AD86" s="380"/>
      <c r="AE86" s="380"/>
      <c r="AF86" s="380"/>
      <c r="AG86" s="380"/>
      <c r="AH86" s="380"/>
      <c r="AI86" s="380"/>
      <c r="AJ86" s="380"/>
      <c r="AK86" s="380"/>
      <c r="AL86" s="380"/>
      <c r="AM86" s="380"/>
      <c r="AN86" s="380"/>
      <c r="AO86" s="380"/>
      <c r="AP86" s="380"/>
      <c r="AQ86" s="381"/>
      <c r="AR86" s="177"/>
      <c r="AS86" s="177"/>
      <c r="AT86" s="177"/>
      <c r="AU86" s="177"/>
      <c r="AV86" s="177"/>
      <c r="AW86" s="177"/>
      <c r="AX86" s="177"/>
      <c r="AY86" s="177"/>
      <c r="AZ86" s="177"/>
      <c r="BA86" s="177"/>
      <c r="BB86" s="177"/>
      <c r="BC86" s="177"/>
      <c r="BD86" s="177"/>
      <c r="BE86" s="177"/>
      <c r="BF86" s="177"/>
    </row>
    <row r="87" spans="1:58" s="177" customFormat="1" ht="16.350000000000001" customHeight="1"/>
    <row r="88" spans="1:58" s="177" customFormat="1" ht="16.350000000000001" hidden="1" customHeight="1"/>
    <row r="89" spans="1:58" s="177" customFormat="1" ht="16.350000000000001" hidden="1" customHeight="1"/>
    <row r="90" spans="1:58" s="177" customFormat="1" ht="16.350000000000001" hidden="1" customHeight="1"/>
    <row r="91" spans="1:58" s="177" customFormat="1" ht="16.350000000000001" hidden="1" customHeight="1"/>
    <row r="92" spans="1:58" s="177" customFormat="1" ht="16.350000000000001" hidden="1" customHeight="1"/>
    <row r="93" spans="1:58" s="177" customFormat="1" ht="16.350000000000001" hidden="1" customHeight="1"/>
    <row r="94" spans="1:58" s="177" customFormat="1" ht="16.350000000000001" hidden="1" customHeight="1"/>
    <row r="95" spans="1:58" s="177" customFormat="1" ht="16.350000000000001" hidden="1" customHeight="1"/>
    <row r="96" spans="1:58" s="177" customFormat="1" ht="16.350000000000001" hidden="1" customHeight="1"/>
    <row r="97" s="177" customFormat="1" ht="16.350000000000001" hidden="1" customHeight="1"/>
    <row r="98" s="177" customFormat="1" ht="16.350000000000001" hidden="1" customHeight="1"/>
    <row r="99" s="177" customFormat="1" ht="16.350000000000001" hidden="1" customHeight="1"/>
    <row r="100" s="177" customFormat="1" ht="16.350000000000001" hidden="1" customHeight="1"/>
    <row r="101" s="177" customFormat="1" ht="16.350000000000001" hidden="1" customHeight="1"/>
    <row r="102" s="177" customFormat="1" ht="16.350000000000001" hidden="1" customHeight="1"/>
    <row r="103" s="177" customFormat="1" ht="16.350000000000001" hidden="1" customHeight="1"/>
    <row r="104" s="177" customFormat="1" ht="16.350000000000001" hidden="1" customHeight="1"/>
    <row r="105" s="177" customFormat="1" ht="16.350000000000001" hidden="1" customHeight="1"/>
    <row r="106" s="177" customFormat="1" ht="16.350000000000001" hidden="1" customHeight="1"/>
    <row r="107" s="177" customFormat="1" ht="16.350000000000001" hidden="1" customHeight="1"/>
    <row r="108" s="177" customFormat="1" ht="16.350000000000001" hidden="1" customHeight="1"/>
    <row r="109" s="177" customFormat="1" ht="16.350000000000001" hidden="1" customHeight="1"/>
    <row r="110" s="177" customFormat="1" ht="16.350000000000001" hidden="1" customHeight="1"/>
    <row r="111" s="177" customFormat="1" ht="16.350000000000001" hidden="1" customHeight="1"/>
    <row r="112" s="177" customFormat="1" ht="16.350000000000001" hidden="1" customHeight="1"/>
    <row r="113" s="177" customFormat="1" ht="16.350000000000001" hidden="1" customHeight="1"/>
    <row r="114" s="177" customFormat="1" ht="16.350000000000001" hidden="1" customHeight="1"/>
    <row r="115" s="177" customFormat="1" ht="16.350000000000001" hidden="1" customHeight="1"/>
    <row r="116" s="177" customFormat="1" ht="16.350000000000001" hidden="1" customHeight="1"/>
    <row r="117" s="177" customFormat="1" ht="16.350000000000001" hidden="1" customHeight="1"/>
    <row r="118" s="177" customFormat="1" ht="16.350000000000001" hidden="1" customHeight="1"/>
    <row r="119" s="177" customFormat="1" ht="16.350000000000001" hidden="1" customHeight="1"/>
    <row r="120" s="177" customFormat="1" ht="16.350000000000001" hidden="1" customHeight="1"/>
    <row r="121" s="177" customFormat="1" ht="16.350000000000001" hidden="1" customHeight="1"/>
    <row r="122" s="177" customFormat="1" ht="16.350000000000001" hidden="1" customHeight="1"/>
    <row r="123" s="177" customFormat="1" ht="16.350000000000001" hidden="1" customHeight="1"/>
    <row r="124" s="177" customFormat="1" ht="16.350000000000001" hidden="1" customHeight="1"/>
    <row r="125" s="177" customFormat="1" ht="16.350000000000001" hidden="1" customHeight="1"/>
    <row r="126" s="177" customFormat="1" ht="16.350000000000001" hidden="1" customHeight="1"/>
    <row r="127" s="177" customFormat="1" ht="16.350000000000001" hidden="1" customHeight="1"/>
    <row r="128" s="177" customFormat="1" ht="16.350000000000001" hidden="1" customHeight="1"/>
    <row r="129" s="177" customFormat="1" ht="16.350000000000001" hidden="1" customHeight="1"/>
    <row r="130" s="177" customFormat="1" ht="16.350000000000001" hidden="1" customHeight="1"/>
    <row r="131" s="177" customFormat="1" ht="16.350000000000001" hidden="1" customHeight="1"/>
    <row r="132" s="177" customFormat="1" ht="16.350000000000001" hidden="1" customHeight="1"/>
    <row r="133" s="177" customFormat="1" ht="16.350000000000001" hidden="1" customHeight="1"/>
    <row r="134" s="177" customFormat="1" ht="16.350000000000001" hidden="1" customHeight="1"/>
    <row r="135" s="177" customFormat="1" ht="16.350000000000001" hidden="1" customHeight="1"/>
    <row r="136" s="177" customFormat="1" ht="16.350000000000001" hidden="1" customHeight="1"/>
    <row r="137" s="177" customFormat="1" ht="16.350000000000001" hidden="1" customHeight="1"/>
    <row r="138" s="177" customFormat="1" ht="16.350000000000001" hidden="1" customHeight="1"/>
    <row r="139" s="177" customFormat="1" ht="16.350000000000001" hidden="1" customHeight="1"/>
    <row r="140" s="177" customFormat="1" ht="16.350000000000001" hidden="1" customHeight="1"/>
    <row r="141" s="177" customFormat="1" ht="16.350000000000001" hidden="1" customHeight="1"/>
    <row r="142" s="177" customFormat="1" ht="16.350000000000001" hidden="1" customHeight="1"/>
    <row r="143" s="177" customFormat="1" ht="16.350000000000001" hidden="1" customHeight="1"/>
    <row r="144" s="177" customFormat="1" ht="16.350000000000001" hidden="1" customHeight="1"/>
    <row r="145" s="177" customFormat="1" ht="16.350000000000001" hidden="1" customHeight="1"/>
    <row r="146" s="177" customFormat="1" ht="16.350000000000001" hidden="1" customHeight="1"/>
    <row r="147" s="177" customFormat="1" ht="16.350000000000001" hidden="1" customHeight="1"/>
    <row r="148" s="177" customFormat="1" ht="16.350000000000001" hidden="1" customHeight="1"/>
    <row r="149" s="177" customFormat="1" ht="16.350000000000001" hidden="1" customHeight="1"/>
    <row r="150" s="177" customFormat="1" ht="16.350000000000001" hidden="1" customHeight="1"/>
    <row r="151" s="177" customFormat="1" ht="16.350000000000001" hidden="1" customHeight="1"/>
    <row r="152" s="177" customFormat="1" ht="16.350000000000001" hidden="1" customHeight="1"/>
    <row r="153" s="177" customFormat="1" ht="16.350000000000001" hidden="1" customHeight="1"/>
    <row r="154" s="177" customFormat="1" ht="16.350000000000001" hidden="1" customHeight="1"/>
    <row r="155" s="177" customFormat="1" ht="16.350000000000001" hidden="1" customHeight="1"/>
    <row r="156" s="177" customFormat="1" ht="16.350000000000001" hidden="1" customHeight="1"/>
    <row r="157" s="177" customFormat="1" ht="16.350000000000001" hidden="1" customHeight="1"/>
    <row r="158" s="177" customFormat="1" ht="16.350000000000001" hidden="1" customHeight="1"/>
    <row r="159" s="177" customFormat="1" ht="16.350000000000001" hidden="1" customHeight="1"/>
    <row r="160" s="177" customFormat="1" ht="16.350000000000001" hidden="1" customHeight="1"/>
    <row r="161" s="177" customFormat="1" ht="16.350000000000001" hidden="1" customHeight="1"/>
    <row r="162" s="177" customFormat="1" ht="16.350000000000001" hidden="1" customHeight="1"/>
    <row r="163" s="177" customFormat="1" ht="16.350000000000001" hidden="1" customHeight="1"/>
    <row r="164" s="177" customFormat="1" ht="16.350000000000001" hidden="1" customHeight="1"/>
    <row r="165" s="177" customFormat="1" ht="16.350000000000001" hidden="1" customHeight="1"/>
    <row r="166" s="177" customFormat="1" ht="16.350000000000001" hidden="1" customHeight="1"/>
    <row r="167" s="177" customFormat="1" ht="16.350000000000001" hidden="1" customHeight="1"/>
    <row r="168" s="177" customFormat="1" ht="16.350000000000001" hidden="1" customHeight="1"/>
    <row r="169" s="177" customFormat="1" ht="16.350000000000001" hidden="1" customHeight="1"/>
    <row r="170" s="177" customFormat="1" ht="16.350000000000001" hidden="1" customHeight="1"/>
    <row r="171" s="177" customFormat="1" ht="16.350000000000001" hidden="1" customHeight="1"/>
    <row r="172" s="177" customFormat="1" ht="16.350000000000001" hidden="1" customHeight="1"/>
    <row r="173" s="177" customFormat="1" ht="16.350000000000001" hidden="1" customHeight="1"/>
    <row r="174" s="177" customFormat="1" ht="16.350000000000001" hidden="1" customHeight="1"/>
    <row r="175" s="177" customFormat="1" ht="16.350000000000001" hidden="1" customHeight="1"/>
    <row r="176" s="177" customFormat="1" ht="16.350000000000001" hidden="1" customHeight="1"/>
    <row r="177" s="177" customFormat="1" ht="16.350000000000001" hidden="1" customHeight="1"/>
    <row r="178" s="177" customFormat="1" ht="16.350000000000001" hidden="1" customHeight="1"/>
    <row r="179" s="177" customFormat="1" ht="16.350000000000001" hidden="1" customHeight="1"/>
    <row r="180" s="177" customFormat="1" ht="16.350000000000001" hidden="1" customHeight="1"/>
    <row r="181" s="177" customFormat="1" ht="16.350000000000001" hidden="1" customHeight="1"/>
    <row r="182" s="177" customFormat="1" ht="16.350000000000001" hidden="1" customHeight="1"/>
    <row r="183" s="177" customFormat="1" ht="16.350000000000001" hidden="1" customHeight="1"/>
    <row r="184" s="177" customFormat="1" ht="16.350000000000001" hidden="1" customHeight="1"/>
    <row r="185" s="177" customFormat="1" ht="16.350000000000001" hidden="1" customHeight="1"/>
    <row r="186" s="177" customFormat="1" ht="16.350000000000001" hidden="1" customHeight="1"/>
    <row r="187" s="177" customFormat="1" ht="16.350000000000001" hidden="1" customHeight="1"/>
    <row r="188" s="177" customFormat="1" ht="16.350000000000001" hidden="1" customHeight="1"/>
    <row r="189" s="177" customFormat="1" ht="16.350000000000001" hidden="1" customHeight="1"/>
    <row r="190" s="177" customFormat="1" ht="16.350000000000001" hidden="1" customHeight="1"/>
    <row r="191" s="177" customFormat="1" ht="16.350000000000001" hidden="1" customHeight="1"/>
    <row r="192" s="177" customFormat="1" ht="16.350000000000001" hidden="1" customHeight="1"/>
    <row r="193" spans="1:59" ht="16.350000000000001" hidden="1" customHeight="1">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c r="AE193" s="177"/>
      <c r="AF193" s="177"/>
      <c r="AG193" s="177"/>
      <c r="AH193" s="177"/>
      <c r="AI193" s="177"/>
      <c r="AJ193" s="177"/>
      <c r="AK193" s="177"/>
      <c r="AL193" s="177"/>
      <c r="AM193" s="177"/>
      <c r="AN193" s="177"/>
      <c r="AO193" s="177"/>
      <c r="AP193" s="177"/>
      <c r="AQ193" s="177"/>
      <c r="AR193" s="177"/>
      <c r="AS193" s="177"/>
      <c r="AT193" s="177"/>
      <c r="AU193" s="177"/>
      <c r="AV193" s="177"/>
      <c r="AW193" s="177"/>
      <c r="AX193" s="177"/>
      <c r="AY193" s="177"/>
      <c r="AZ193" s="177"/>
      <c r="BA193" s="177"/>
      <c r="BB193" s="177"/>
      <c r="BC193" s="177"/>
      <c r="BD193" s="177"/>
      <c r="BE193" s="177"/>
      <c r="BF193" s="177"/>
    </row>
    <row r="194" spans="1:59" ht="16.350000000000001" hidden="1" customHeight="1">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c r="AR194" s="177"/>
      <c r="AS194" s="177"/>
      <c r="AT194" s="177"/>
      <c r="AU194" s="177"/>
      <c r="AV194" s="177"/>
      <c r="AW194" s="177"/>
      <c r="AX194" s="177"/>
      <c r="AY194" s="177"/>
      <c r="AZ194" s="177"/>
      <c r="BA194" s="177"/>
      <c r="BB194" s="177"/>
      <c r="BC194" s="177"/>
      <c r="BD194" s="177"/>
      <c r="BE194" s="177"/>
      <c r="BF194" s="177"/>
    </row>
    <row r="195" spans="1:59" ht="16.350000000000001" hidden="1" customHeight="1">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77"/>
      <c r="AN195" s="177"/>
      <c r="AO195" s="177"/>
      <c r="AP195" s="177"/>
      <c r="AQ195" s="177"/>
      <c r="AR195" s="177"/>
      <c r="AS195" s="177"/>
      <c r="AT195" s="177"/>
      <c r="AU195" s="177"/>
      <c r="AV195" s="177"/>
      <c r="AW195" s="177"/>
      <c r="AX195" s="177"/>
      <c r="AY195" s="177"/>
      <c r="AZ195" s="177"/>
      <c r="BA195" s="177"/>
      <c r="BB195" s="177"/>
      <c r="BC195" s="177"/>
      <c r="BD195" s="177"/>
      <c r="BE195" s="177"/>
      <c r="BF195" s="177"/>
    </row>
    <row r="196" spans="1:59" ht="16.350000000000001" hidden="1" customHeight="1">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77"/>
      <c r="AN196" s="177"/>
      <c r="AO196" s="177"/>
      <c r="AP196" s="177"/>
      <c r="AQ196" s="177"/>
      <c r="AR196" s="177"/>
      <c r="AS196" s="177"/>
      <c r="AT196" s="177"/>
      <c r="AU196" s="177"/>
      <c r="AV196" s="177"/>
      <c r="AW196" s="177"/>
      <c r="AX196" s="177"/>
      <c r="AY196" s="177"/>
      <c r="AZ196" s="177"/>
      <c r="BA196" s="177"/>
      <c r="BB196" s="177"/>
      <c r="BC196" s="177"/>
      <c r="BD196" s="177"/>
      <c r="BE196" s="177"/>
      <c r="BF196" s="177"/>
    </row>
    <row r="197" spans="1:59" ht="16.350000000000001" hidden="1" customHeight="1">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77"/>
      <c r="AN197" s="177"/>
      <c r="AO197" s="177"/>
      <c r="AP197" s="177"/>
      <c r="AQ197" s="177"/>
      <c r="AR197" s="177"/>
      <c r="AS197" s="177"/>
      <c r="AT197" s="177"/>
      <c r="AU197" s="177"/>
      <c r="AV197" s="177"/>
      <c r="AW197" s="177"/>
      <c r="AX197" s="177"/>
      <c r="AY197" s="177"/>
      <c r="AZ197" s="177"/>
      <c r="BA197" s="177"/>
      <c r="BB197" s="177"/>
      <c r="BC197" s="177"/>
      <c r="BD197" s="177"/>
      <c r="BE197" s="177"/>
      <c r="BF197" s="177"/>
    </row>
    <row r="198" spans="1:59" ht="16.350000000000001" hidden="1" customHeight="1">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177"/>
      <c r="AQ198" s="177"/>
      <c r="AR198" s="177"/>
      <c r="AS198" s="177"/>
      <c r="AT198" s="177"/>
      <c r="AU198" s="177"/>
      <c r="AV198" s="177"/>
      <c r="AW198" s="177"/>
      <c r="AX198" s="177"/>
      <c r="AY198" s="177"/>
      <c r="AZ198" s="177"/>
      <c r="BA198" s="177"/>
      <c r="BB198" s="177"/>
      <c r="BC198" s="177"/>
      <c r="BD198" s="177"/>
      <c r="BE198" s="177"/>
      <c r="BF198" s="177"/>
    </row>
    <row r="199" spans="1:59" ht="16.350000000000001" hidden="1" customHeight="1">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row>
    <row r="200" spans="1:59" ht="16.350000000000001" hidden="1" customHeight="1">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c r="AR200" s="177"/>
      <c r="AS200" s="177"/>
      <c r="AT200" s="177"/>
      <c r="AU200" s="177"/>
      <c r="AV200" s="177"/>
      <c r="AW200" s="177"/>
      <c r="AX200" s="177"/>
      <c r="AY200" s="177"/>
      <c r="AZ200" s="177"/>
      <c r="BA200" s="177"/>
      <c r="BB200" s="177"/>
      <c r="BC200" s="177"/>
      <c r="BD200" s="177"/>
      <c r="BE200" s="177"/>
      <c r="BF200" s="177"/>
    </row>
    <row r="201" spans="1:59" ht="16.350000000000001" hidden="1" customHeight="1">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77"/>
      <c r="AN201" s="177"/>
      <c r="AO201" s="177"/>
      <c r="AP201" s="177"/>
      <c r="AQ201" s="177"/>
      <c r="AR201" s="177"/>
      <c r="AS201" s="177"/>
      <c r="AT201" s="177"/>
      <c r="AU201" s="177"/>
      <c r="AV201" s="177"/>
      <c r="AW201" s="177"/>
      <c r="AX201" s="177"/>
      <c r="AY201" s="177"/>
      <c r="AZ201" s="177"/>
      <c r="BA201" s="177"/>
      <c r="BB201" s="177"/>
      <c r="BC201" s="177"/>
      <c r="BD201" s="177"/>
      <c r="BE201" s="177"/>
      <c r="BF201" s="177"/>
    </row>
    <row r="202" spans="1:59" ht="16.350000000000001" hidden="1" customHeight="1">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c r="AE202" s="177"/>
      <c r="AF202" s="177"/>
      <c r="AG202" s="177"/>
      <c r="AH202" s="177"/>
      <c r="AI202" s="177"/>
      <c r="AJ202" s="177"/>
      <c r="AK202" s="177"/>
      <c r="AL202" s="177"/>
      <c r="AM202" s="177"/>
      <c r="AN202" s="177"/>
      <c r="AO202" s="177"/>
      <c r="AP202" s="177"/>
      <c r="AQ202" s="177"/>
      <c r="AR202" s="177"/>
      <c r="AS202" s="177"/>
      <c r="AT202" s="177"/>
      <c r="AU202" s="177"/>
      <c r="AV202" s="177"/>
      <c r="AW202" s="177"/>
      <c r="AX202" s="177"/>
      <c r="AY202" s="177"/>
      <c r="AZ202" s="177"/>
      <c r="BA202" s="177"/>
      <c r="BB202" s="177"/>
      <c r="BC202" s="177"/>
      <c r="BD202" s="177"/>
      <c r="BE202" s="177"/>
      <c r="BF202" s="177"/>
    </row>
    <row r="203" spans="1:59" ht="16.350000000000001" hidden="1" customHeight="1">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c r="AA203" s="177"/>
      <c r="AB203" s="177"/>
      <c r="AC203" s="177"/>
      <c r="AD203" s="177"/>
      <c r="AE203" s="177"/>
      <c r="AF203" s="177"/>
      <c r="AG203" s="177"/>
      <c r="AH203" s="177"/>
      <c r="AI203" s="177"/>
      <c r="AJ203" s="177"/>
      <c r="AK203" s="177"/>
      <c r="AL203" s="177"/>
      <c r="AM203" s="177"/>
      <c r="AN203" s="177"/>
      <c r="AO203" s="177"/>
      <c r="AP203" s="177"/>
      <c r="AQ203" s="177"/>
      <c r="AR203" s="177"/>
      <c r="AS203" s="177"/>
      <c r="AT203" s="177"/>
      <c r="AU203" s="177"/>
      <c r="AV203" s="177"/>
      <c r="AW203" s="177"/>
      <c r="AX203" s="177"/>
      <c r="AY203" s="177"/>
      <c r="AZ203" s="177"/>
      <c r="BA203" s="177"/>
      <c r="BB203" s="177"/>
      <c r="BC203" s="177"/>
      <c r="BD203" s="177"/>
      <c r="BE203" s="177"/>
      <c r="BF203" s="177"/>
    </row>
    <row r="204" spans="1:59" ht="16.350000000000001" customHeight="1">
      <c r="A204" s="504"/>
      <c r="B204" s="504" t="str">
        <f>FOOT1</f>
        <v>PSE&amp;G C&amp;I Energy Efficiency Program</v>
      </c>
      <c r="C204" s="504"/>
      <c r="D204" s="504"/>
      <c r="E204" s="504"/>
      <c r="F204" s="504"/>
      <c r="G204" s="504"/>
      <c r="H204" s="504"/>
      <c r="I204" s="504"/>
      <c r="J204" s="504"/>
      <c r="K204" s="504"/>
      <c r="L204" s="504"/>
      <c r="M204" s="504"/>
      <c r="N204" s="504"/>
      <c r="O204" s="504"/>
      <c r="P204" s="504"/>
      <c r="Q204" s="504"/>
      <c r="R204" s="721" t="s">
        <v>137</v>
      </c>
      <c r="S204" s="721"/>
      <c r="T204" s="721"/>
      <c r="U204" s="721"/>
      <c r="V204" s="721"/>
      <c r="W204" s="721"/>
      <c r="X204" s="721"/>
      <c r="Y204" s="721"/>
      <c r="Z204" s="721"/>
      <c r="AA204" s="721"/>
      <c r="AB204" s="721"/>
      <c r="AC204" s="721"/>
      <c r="AD204" s="721"/>
      <c r="AE204" s="721"/>
      <c r="AF204" s="721"/>
      <c r="AG204" s="721"/>
      <c r="AH204" s="721"/>
      <c r="AI204" s="721"/>
      <c r="AJ204" s="721"/>
      <c r="AK204" s="721"/>
      <c r="AL204" s="721"/>
      <c r="AM204" s="721"/>
      <c r="AN204" s="721"/>
      <c r="AO204" s="721"/>
      <c r="AP204" s="721"/>
      <c r="AQ204" s="721"/>
      <c r="AR204" s="721"/>
      <c r="AS204" s="504"/>
      <c r="AT204" s="504"/>
      <c r="AU204" s="504"/>
      <c r="AV204" s="504"/>
      <c r="AW204" s="504"/>
      <c r="AX204" s="504"/>
      <c r="AY204" s="504"/>
      <c r="AZ204" s="504"/>
      <c r="BA204" s="504"/>
      <c r="BB204" s="504"/>
      <c r="BC204" s="504"/>
      <c r="BD204" s="504"/>
      <c r="BE204" s="701"/>
      <c r="BF204" s="701" t="str">
        <f>FOOT4</f>
        <v>Engineered Solutions Tier 2 Advance Custom Incentive Application</v>
      </c>
      <c r="BG204" s="522"/>
    </row>
    <row r="205" spans="1:59" ht="16.350000000000001" customHeight="1">
      <c r="A205" s="504"/>
      <c r="B205" s="504" t="str">
        <f>FOOT2</f>
        <v>1-844-300-PSEG (7734)</v>
      </c>
      <c r="C205" s="504"/>
      <c r="D205" s="504"/>
      <c r="E205" s="504"/>
      <c r="F205" s="504"/>
      <c r="G205" s="504"/>
      <c r="H205" s="504"/>
      <c r="I205" s="504"/>
      <c r="J205" s="504"/>
      <c r="K205" s="504"/>
      <c r="L205" s="504"/>
      <c r="M205" s="504"/>
      <c r="N205" s="504"/>
      <c r="O205" s="504"/>
      <c r="P205" s="504"/>
      <c r="Q205" s="504"/>
      <c r="R205" s="721"/>
      <c r="S205" s="721"/>
      <c r="T205" s="721"/>
      <c r="U205" s="721"/>
      <c r="V205" s="721"/>
      <c r="W205" s="721"/>
      <c r="X205" s="721"/>
      <c r="Y205" s="721"/>
      <c r="Z205" s="721"/>
      <c r="AA205" s="721"/>
      <c r="AB205" s="721"/>
      <c r="AC205" s="721"/>
      <c r="AD205" s="721"/>
      <c r="AE205" s="721"/>
      <c r="AF205" s="721"/>
      <c r="AG205" s="721"/>
      <c r="AH205" s="721"/>
      <c r="AI205" s="721"/>
      <c r="AJ205" s="721"/>
      <c r="AK205" s="721"/>
      <c r="AL205" s="721"/>
      <c r="AM205" s="721"/>
      <c r="AN205" s="721"/>
      <c r="AO205" s="721"/>
      <c r="AP205" s="721"/>
      <c r="AQ205" s="721"/>
      <c r="AR205" s="721"/>
      <c r="AS205" s="504"/>
      <c r="AT205" s="504"/>
      <c r="AU205" s="504"/>
      <c r="AV205" s="504"/>
      <c r="AW205" s="504"/>
      <c r="AX205" s="504"/>
      <c r="AY205" s="504"/>
      <c r="AZ205" s="504"/>
      <c r="BA205" s="504"/>
      <c r="BB205" s="504"/>
      <c r="BC205" s="504"/>
      <c r="BD205" s="504"/>
      <c r="BE205" s="701"/>
      <c r="BF205" s="701"/>
      <c r="BG205" s="522"/>
    </row>
    <row r="206" spans="1:59" ht="16.350000000000001" customHeight="1">
      <c r="A206" s="504"/>
      <c r="B206" s="504" t="str">
        <f>FOOT3</f>
        <v>PSEGenergysaver@TRCcompanies.com</v>
      </c>
      <c r="C206" s="504"/>
      <c r="D206" s="504"/>
      <c r="E206" s="504"/>
      <c r="F206" s="504"/>
      <c r="G206" s="504"/>
      <c r="H206" s="504"/>
      <c r="I206" s="504"/>
      <c r="J206" s="504"/>
      <c r="K206" s="504"/>
      <c r="L206" s="504"/>
      <c r="M206" s="504"/>
      <c r="N206" s="504"/>
      <c r="O206" s="504"/>
      <c r="P206" s="504"/>
      <c r="Q206" s="504"/>
      <c r="R206" s="504"/>
      <c r="S206" s="504"/>
      <c r="T206" s="504"/>
      <c r="U206" s="504"/>
      <c r="V206" s="504"/>
      <c r="W206" s="504"/>
      <c r="X206" s="504"/>
      <c r="Y206" s="504"/>
      <c r="Z206" s="504"/>
      <c r="AA206" s="504"/>
      <c r="AB206" s="504"/>
      <c r="AC206" s="504"/>
      <c r="AD206" s="702" t="str">
        <f>VERSION</f>
        <v>V1.0          Effective Date 1/1/25</v>
      </c>
      <c r="AE206" s="504"/>
      <c r="AF206" s="504"/>
      <c r="AG206" s="504"/>
      <c r="AH206" s="504"/>
      <c r="AI206" s="504"/>
      <c r="AJ206" s="504"/>
      <c r="AK206" s="504"/>
      <c r="AL206" s="504"/>
      <c r="AM206" s="504"/>
      <c r="AN206" s="504"/>
      <c r="AO206" s="504"/>
      <c r="AP206" s="504"/>
      <c r="AQ206" s="504"/>
      <c r="AR206" s="504"/>
      <c r="AS206" s="504"/>
      <c r="AT206" s="504"/>
      <c r="AU206" s="504"/>
      <c r="AV206" s="504"/>
      <c r="AW206" s="504"/>
      <c r="AX206" s="504"/>
      <c r="AY206" s="504"/>
      <c r="AZ206" s="504"/>
      <c r="BA206" s="504"/>
      <c r="BB206" s="504"/>
      <c r="BC206" s="504"/>
      <c r="BD206" s="504"/>
      <c r="BE206" s="701"/>
      <c r="BF206" s="701" t="str">
        <f>FOOT6</f>
        <v>This is a TRC tool</v>
      </c>
      <c r="BG206" s="522"/>
    </row>
    <row r="207" spans="1:59" ht="16.350000000000001" hidden="1" customHeight="1">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c r="AE207" s="177"/>
      <c r="AF207" s="177"/>
      <c r="AG207" s="177"/>
      <c r="AH207" s="177"/>
      <c r="AI207" s="177"/>
      <c r="AJ207" s="177"/>
      <c r="AK207" s="177"/>
      <c r="AL207" s="177"/>
      <c r="AM207" s="177"/>
      <c r="AN207" s="177"/>
      <c r="AO207" s="177"/>
      <c r="AP207" s="177"/>
      <c r="AQ207" s="177"/>
      <c r="AR207" s="177"/>
      <c r="AS207" s="177"/>
      <c r="AT207" s="177"/>
      <c r="AU207" s="177"/>
      <c r="AV207" s="177"/>
      <c r="AW207" s="177"/>
      <c r="AX207" s="177"/>
      <c r="AY207" s="177"/>
      <c r="AZ207" s="177"/>
      <c r="BA207" s="177"/>
      <c r="BB207" s="177"/>
      <c r="BC207" s="177"/>
      <c r="BD207" s="177"/>
      <c r="BE207" s="177"/>
      <c r="BF207" s="177"/>
    </row>
    <row r="208" spans="1:59" ht="16.350000000000001" hidden="1" customHeight="1">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c r="AA208" s="177"/>
      <c r="AB208" s="177"/>
      <c r="AC208" s="177"/>
      <c r="AD208" s="177"/>
      <c r="AE208" s="177"/>
      <c r="AF208" s="177"/>
      <c r="AG208" s="177"/>
      <c r="AH208" s="177"/>
      <c r="AI208" s="177"/>
      <c r="AJ208" s="177"/>
      <c r="AK208" s="177"/>
      <c r="AL208" s="177"/>
      <c r="AM208" s="177"/>
      <c r="AN208" s="177"/>
      <c r="AO208" s="177"/>
      <c r="AP208" s="177"/>
      <c r="AQ208" s="177"/>
      <c r="AR208" s="177"/>
      <c r="AS208" s="177"/>
      <c r="AT208" s="177"/>
      <c r="AU208" s="177"/>
      <c r="AV208" s="177"/>
      <c r="AW208" s="177"/>
      <c r="AX208" s="177"/>
      <c r="AY208" s="177"/>
      <c r="AZ208" s="177"/>
      <c r="BA208" s="177"/>
      <c r="BB208" s="177"/>
      <c r="BC208" s="177"/>
      <c r="BD208" s="177"/>
      <c r="BE208" s="177"/>
      <c r="BF208" s="177"/>
    </row>
    <row r="209" s="177" customFormat="1" ht="16.350000000000001" hidden="1" customHeight="1"/>
    <row r="210" s="177" customFormat="1" ht="16.350000000000001" hidden="1" customHeight="1"/>
    <row r="211" s="177" customFormat="1" ht="16.350000000000001" hidden="1" customHeight="1"/>
    <row r="212" customFormat="1" ht="16.350000000000001" hidden="1" customHeight="1"/>
    <row r="213" customFormat="1" ht="16.350000000000001" hidden="1" customHeight="1"/>
  </sheetData>
  <sheetProtection algorithmName="SHA-512" hashValue="kNf9qvlUM/tUDg/0EOST6s0uqUpUlWgxbjDffbt7M2VvGR+l8H70K5onm5+HLQxr5HaiYPnwt608CSqtzN3HRA==" saltValue="NUlkQMUk+bgYPyShXvaQXQ==" spinCount="100000" sheet="1" objects="1" scenarios="1" selectLockedCells="1"/>
  <mergeCells count="104">
    <mergeCell ref="BG5:BI7"/>
    <mergeCell ref="BG8:BI8"/>
    <mergeCell ref="P22:AC23"/>
    <mergeCell ref="AD22:AP23"/>
    <mergeCell ref="P25:T28"/>
    <mergeCell ref="V25:AA25"/>
    <mergeCell ref="V26:AA26"/>
    <mergeCell ref="V28:AA28"/>
    <mergeCell ref="V27:AA27"/>
    <mergeCell ref="AC28:AI28"/>
    <mergeCell ref="K11:AU12"/>
    <mergeCell ref="F1:I3"/>
    <mergeCell ref="J1:M3"/>
    <mergeCell ref="AT4:AW4"/>
    <mergeCell ref="AX4:BB4"/>
    <mergeCell ref="BC4:BF4"/>
    <mergeCell ref="AB4:AG4"/>
    <mergeCell ref="AN1:AQ3"/>
    <mergeCell ref="AR1:AU3"/>
    <mergeCell ref="AV1:AY3"/>
    <mergeCell ref="AZ1:BE3"/>
    <mergeCell ref="BF1:BI3"/>
    <mergeCell ref="AC35:AH35"/>
    <mergeCell ref="V36:AA36"/>
    <mergeCell ref="AC36:AH36"/>
    <mergeCell ref="V37:AA37"/>
    <mergeCell ref="AC37:AH37"/>
    <mergeCell ref="AL40:AO40"/>
    <mergeCell ref="AL41:AO41"/>
    <mergeCell ref="AJ28:AP28"/>
    <mergeCell ref="F9:AX10"/>
    <mergeCell ref="P19:AC21"/>
    <mergeCell ref="AI19:AP21"/>
    <mergeCell ref="P30:T33"/>
    <mergeCell ref="V30:AA30"/>
    <mergeCell ref="AC30:AH30"/>
    <mergeCell ref="V31:AA31"/>
    <mergeCell ref="AC31:AH31"/>
    <mergeCell ref="V32:AA32"/>
    <mergeCell ref="AC32:AH32"/>
    <mergeCell ref="V41:Y41"/>
    <mergeCell ref="P35:T38"/>
    <mergeCell ref="V35:AA35"/>
    <mergeCell ref="V33:AA33"/>
    <mergeCell ref="AC33:AH33"/>
    <mergeCell ref="AC25:AI25"/>
    <mergeCell ref="V38:AA38"/>
    <mergeCell ref="AC38:AH38"/>
    <mergeCell ref="AH40:AK40"/>
    <mergeCell ref="AH41:AK41"/>
    <mergeCell ref="Z40:AC40"/>
    <mergeCell ref="AD40:AG40"/>
    <mergeCell ref="AD41:AG41"/>
    <mergeCell ref="Z41:AC41"/>
    <mergeCell ref="V40:Y40"/>
    <mergeCell ref="Q63:W63"/>
    <mergeCell ref="Y63:AA63"/>
    <mergeCell ref="AN54:AP54"/>
    <mergeCell ref="Q57:AA58"/>
    <mergeCell ref="AE57:AO58"/>
    <mergeCell ref="P59:AB61"/>
    <mergeCell ref="R54:AA55"/>
    <mergeCell ref="AH54:AM54"/>
    <mergeCell ref="Q45:AA46"/>
    <mergeCell ref="AE45:AO46"/>
    <mergeCell ref="AH53:AM53"/>
    <mergeCell ref="AH49:AM49"/>
    <mergeCell ref="AD47:AP48"/>
    <mergeCell ref="AH50:AM50"/>
    <mergeCell ref="P47:AB51"/>
    <mergeCell ref="AH42:AK42"/>
    <mergeCell ref="AH43:AK43"/>
    <mergeCell ref="AL42:AO42"/>
    <mergeCell ref="AL43:AO43"/>
    <mergeCell ref="Z42:AC42"/>
    <mergeCell ref="Z43:AC43"/>
    <mergeCell ref="V42:Y42"/>
    <mergeCell ref="V43:Y43"/>
    <mergeCell ref="AD42:AG42"/>
    <mergeCell ref="AD43:AG43"/>
    <mergeCell ref="Q71:W71"/>
    <mergeCell ref="Q64:W64"/>
    <mergeCell ref="Y64:AA64"/>
    <mergeCell ref="Q65:W65"/>
    <mergeCell ref="Q70:W70"/>
    <mergeCell ref="R204:AR205"/>
    <mergeCell ref="AJ25:AP25"/>
    <mergeCell ref="AC26:AI26"/>
    <mergeCell ref="AJ26:AP26"/>
    <mergeCell ref="AC27:AI27"/>
    <mergeCell ref="AJ27:AP27"/>
    <mergeCell ref="AD59:AP61"/>
    <mergeCell ref="Y69:AA69"/>
    <mergeCell ref="AG67:AL69"/>
    <mergeCell ref="P73:AP83"/>
    <mergeCell ref="Q68:W68"/>
    <mergeCell ref="Y68:AA68"/>
    <mergeCell ref="Q69:W69"/>
    <mergeCell ref="P84:AP85"/>
    <mergeCell ref="Q66:W66"/>
    <mergeCell ref="R52:AA53"/>
    <mergeCell ref="P40:T43"/>
    <mergeCell ref="AH51:AM51"/>
    <mergeCell ref="AH52:AM52"/>
  </mergeCells>
  <conditionalFormatting sqref="Q63">
    <cfRule type="expression" dxfId="148" priority="10">
      <formula>Q63&lt;&gt;"Customer Signature"</formula>
    </cfRule>
    <cfRule type="containsBlanks" dxfId="147" priority="11">
      <formula>LEN(TRIM(Q63))=0</formula>
    </cfRule>
  </conditionalFormatting>
  <conditionalFormatting sqref="Q65">
    <cfRule type="expression" dxfId="146" priority="6">
      <formula>Q65&lt;&gt;"Customer Signature"</formula>
    </cfRule>
    <cfRule type="containsBlanks" dxfId="145" priority="7">
      <formula>LEN(TRIM(Q65))=0</formula>
    </cfRule>
  </conditionalFormatting>
  <conditionalFormatting sqref="Q68">
    <cfRule type="expression" dxfId="144" priority="19">
      <formula>Q68&lt;&gt;"Customer Signature"</formula>
    </cfRule>
    <cfRule type="containsBlanks" dxfId="143" priority="31">
      <formula>LEN(TRIM(Q68))=0</formula>
    </cfRule>
  </conditionalFormatting>
  <conditionalFormatting sqref="Q70">
    <cfRule type="expression" dxfId="142" priority="2">
      <formula>Q70&lt;&gt;"Customer Signature"</formula>
    </cfRule>
    <cfRule type="containsBlanks" dxfId="141" priority="3">
      <formula>LEN(TRIM(Q70))=0</formula>
    </cfRule>
  </conditionalFormatting>
  <conditionalFormatting sqref="Y63">
    <cfRule type="expression" dxfId="140" priority="9">
      <formula>Y63&lt;&gt;"Date"</formula>
    </cfRule>
    <cfRule type="containsBlanks" dxfId="139" priority="12">
      <formula>LEN(TRIM(Y63))=0</formula>
    </cfRule>
  </conditionalFormatting>
  <conditionalFormatting sqref="Y68">
    <cfRule type="expression" dxfId="138" priority="17">
      <formula>Y68&lt;&gt;"Date"</formula>
    </cfRule>
    <cfRule type="containsBlanks" dxfId="137" priority="32">
      <formula>LEN(TRIM(Y68))=0</formula>
    </cfRule>
  </conditionalFormatting>
  <conditionalFormatting sqref="BA8:BF8">
    <cfRule type="expression" dxfId="136" priority="13">
      <formula>IF($AO$8=PROJSTATMEASURE,FALSE,TRUE)</formula>
    </cfRule>
  </conditionalFormatting>
  <hyperlinks>
    <hyperlink ref="J1:M3" location="'M01-S02'!J1" tooltip="Instructions" display="'M01-S02'!J1" xr:uid="{6AA44BA7-2A98-4F84-A011-4FB8B3B63FF1}"/>
    <hyperlink ref="AV1:AY3" location="'M05-S05'!AL1" tooltip=" " display="'M05-S05'!AL1" xr:uid="{FEABF2FA-6A4D-4C68-8EA6-413CFF444ED8}"/>
    <hyperlink ref="BF1:BI3" location="'M01-S03'!AP1" tooltip="Contact" display="'M01-S03'!AP1" xr:uid="{D9086985-6CFF-4900-B260-DC14DE2134BC}"/>
    <hyperlink ref="AR1:AU3" location="'M05-S04'!AH1" tooltip=" " display="'M05-S04'!AH1" xr:uid="{08765023-78D2-4E4D-BF01-1C784D685E4C}"/>
    <hyperlink ref="AN1:AQ3" location="'M05-S05'!AL1" tooltip=" " display="'M05-S05'!AL1" xr:uid="{E15C0BD8-A023-42AC-9152-0DD7AE7A11AF}"/>
  </hyperlinks>
  <printOptions horizontalCentered="1" verticalCentered="1"/>
  <pageMargins left="0" right="0" top="0" bottom="0" header="0.25" footer="0.25"/>
  <pageSetup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moveWithCells="1">
                  <from>
                    <xdr:col>16</xdr:col>
                    <xdr:colOff>28575</xdr:colOff>
                    <xdr:row>51</xdr:row>
                    <xdr:rowOff>104775</xdr:rowOff>
                  </from>
                  <to>
                    <xdr:col>16</xdr:col>
                    <xdr:colOff>257175</xdr:colOff>
                    <xdr:row>52</xdr:row>
                    <xdr:rowOff>114300</xdr:rowOff>
                  </to>
                </anchor>
              </controlPr>
            </control>
          </mc:Choice>
        </mc:AlternateContent>
        <mc:AlternateContent xmlns:mc="http://schemas.openxmlformats.org/markup-compatibility/2006">
          <mc:Choice Requires="x14">
            <control shapeId="59394" r:id="rId5" name="Check Box 2">
              <controlPr defaultSize="0" autoFill="0" autoLine="0" autoPict="0">
                <anchor moveWithCells="1">
                  <from>
                    <xdr:col>16</xdr:col>
                    <xdr:colOff>28575</xdr:colOff>
                    <xdr:row>53</xdr:row>
                    <xdr:rowOff>28575</xdr:rowOff>
                  </from>
                  <to>
                    <xdr:col>16</xdr:col>
                    <xdr:colOff>257175</xdr:colOff>
                    <xdr:row>54</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8" id="{041E571E-43F7-4604-8E0B-C74D8ABACBA6}">
            <xm:f>'M01-S01'!I57-TODAY()&gt;=7</xm:f>
            <x14:dxf>
              <font>
                <b val="0"/>
                <i val="0"/>
                <color theme="1"/>
              </font>
            </x14:dxf>
          </x14:cfRule>
          <x14:cfRule type="expression" priority="29" id="{24AD2262-CADE-433D-B3E2-B401794218E9}">
            <xm:f>AND('M01-S01'!I57-TODAY()&lt;7,'M01-S01'!I57-TODAY()&gt;2)</xm:f>
            <x14:dxf>
              <font>
                <b/>
                <i val="0"/>
                <color rgb="FFFF0000"/>
              </font>
            </x14:dxf>
          </x14:cfRule>
          <x14:cfRule type="expression" priority="30" id="{81C0909E-B1E2-4DA1-9766-9AE50367F8B6}">
            <xm:f>AND('M01-S01'!I57-TODAY()&lt;=2,'M01-S01'!I57-TODAY()&gt;=0)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K11</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EC1C8-6A1C-4C95-BD38-73390B55C967}">
  <sheetPr codeName="Sheet51">
    <pageSetUpPr fitToPage="1"/>
  </sheetPr>
  <dimension ref="A1:BI351"/>
  <sheetViews>
    <sheetView showGridLines="0" showRowColHeaders="0" zoomScale="90" zoomScaleNormal="90" zoomScaleSheetLayoutView="111" workbookViewId="0">
      <selection activeCell="W42" sqref="W42:AB42"/>
    </sheetView>
  </sheetViews>
  <sheetFormatPr defaultColWidth="0" defaultRowHeight="0" customHeight="1" zeroHeight="1"/>
  <cols>
    <col min="1" max="61" width="4.5703125" style="503" customWidth="1"/>
    <col min="62" max="16384" width="4.5703125" style="503" hidden="1"/>
  </cols>
  <sheetData>
    <row r="1" spans="1:61" s="518" customFormat="1" ht="16.350000000000001" customHeight="1">
      <c r="A1" s="628"/>
      <c r="F1" s="1128" t="str">
        <f>M1S1</f>
        <v>WELCOME</v>
      </c>
      <c r="G1" s="1128"/>
      <c r="H1" s="1128"/>
      <c r="I1" s="1128"/>
      <c r="J1" s="1127" t="str">
        <f>M1S2</f>
        <v>INSTRUCTIONS</v>
      </c>
      <c r="K1" s="1127"/>
      <c r="L1" s="1127"/>
      <c r="M1" s="1127"/>
      <c r="T1" s="629"/>
      <c r="U1" s="629" t="s">
        <v>118</v>
      </c>
      <c r="V1" s="629"/>
      <c r="W1" s="629"/>
      <c r="X1" s="629"/>
      <c r="AE1"/>
      <c r="AF1"/>
      <c r="AG1"/>
      <c r="AH1"/>
      <c r="AI1"/>
      <c r="AJ1"/>
      <c r="AK1"/>
      <c r="AL1"/>
      <c r="AM1"/>
      <c r="AN1" s="734" t="str">
        <f>IF(ACTIVEINSPECT="Yes","Complete "&amp;M5S4,"")</f>
        <v/>
      </c>
      <c r="AO1" s="734"/>
      <c r="AP1" s="734"/>
      <c r="AQ1" s="734"/>
      <c r="AR1" s="1451" t="str">
        <f>IF(ACTIVEOFFER="Yes","Sign "&amp;M5S6,"")</f>
        <v>Sign OBR: Repayment Agreement</v>
      </c>
      <c r="AS1" s="1451"/>
      <c r="AT1" s="1451"/>
      <c r="AU1" s="1451"/>
      <c r="AV1" s="730" t="str">
        <f>IF(ACTIVECOMPL="Yes","Sign "&amp;M5S5,"")</f>
        <v xml:space="preserve">Sign Project Completion Certification </v>
      </c>
      <c r="AW1" s="730"/>
      <c r="AX1" s="730"/>
      <c r="AY1" s="730"/>
      <c r="AZ1" s="732" t="str">
        <f>M1S4</f>
        <v>INCENTIVE RATES &amp; REQUIREMENTS</v>
      </c>
      <c r="BA1" s="732"/>
      <c r="BB1" s="732"/>
      <c r="BC1" s="732"/>
      <c r="BD1" s="732"/>
      <c r="BE1" s="732"/>
      <c r="BF1" s="722" t="s">
        <v>119</v>
      </c>
      <c r="BG1" s="723"/>
      <c r="BH1" s="723"/>
      <c r="BI1" s="723"/>
    </row>
    <row r="2" spans="1:61" s="518" customFormat="1" ht="16.350000000000001" customHeight="1">
      <c r="F2" s="1128"/>
      <c r="G2" s="1128"/>
      <c r="H2" s="1128"/>
      <c r="I2" s="1128"/>
      <c r="J2" s="1128"/>
      <c r="K2" s="1128"/>
      <c r="L2" s="1128"/>
      <c r="M2" s="1128"/>
      <c r="T2" s="629"/>
      <c r="U2" s="629"/>
      <c r="V2" s="629"/>
      <c r="W2" s="629"/>
      <c r="X2" s="629"/>
      <c r="AE2"/>
      <c r="AF2"/>
      <c r="AG2"/>
      <c r="AH2"/>
      <c r="AI2"/>
      <c r="AJ2"/>
      <c r="AK2"/>
      <c r="AL2"/>
      <c r="AM2"/>
      <c r="AN2" s="734"/>
      <c r="AO2" s="734"/>
      <c r="AP2" s="734"/>
      <c r="AQ2" s="734"/>
      <c r="AR2" s="1451"/>
      <c r="AS2" s="1451"/>
      <c r="AT2" s="1451"/>
      <c r="AU2" s="1451"/>
      <c r="AV2" s="730"/>
      <c r="AW2" s="730"/>
      <c r="AX2" s="730"/>
      <c r="AY2" s="730"/>
      <c r="AZ2" s="732"/>
      <c r="BA2" s="732"/>
      <c r="BB2" s="732"/>
      <c r="BC2" s="732"/>
      <c r="BD2" s="732"/>
      <c r="BE2" s="732"/>
      <c r="BF2" s="723"/>
      <c r="BG2" s="723"/>
      <c r="BH2" s="723"/>
      <c r="BI2" s="723"/>
    </row>
    <row r="3" spans="1:61" s="518" customFormat="1" ht="16.350000000000001" customHeight="1" thickBot="1">
      <c r="A3" s="630"/>
      <c r="B3" s="630"/>
      <c r="C3" s="630"/>
      <c r="D3" s="630"/>
      <c r="E3" s="630"/>
      <c r="F3" s="1129"/>
      <c r="G3" s="1129"/>
      <c r="H3" s="1129"/>
      <c r="I3" s="1129"/>
      <c r="J3" s="1129"/>
      <c r="K3" s="1129"/>
      <c r="L3" s="1129"/>
      <c r="M3" s="1129"/>
      <c r="N3" s="631"/>
      <c r="O3" s="631"/>
      <c r="P3" s="631"/>
      <c r="Q3" s="631"/>
      <c r="R3" s="631"/>
      <c r="S3" s="631"/>
      <c r="T3" s="631"/>
      <c r="U3" s="631"/>
      <c r="V3" s="631"/>
      <c r="W3" s="631"/>
      <c r="X3" s="631"/>
      <c r="Y3" s="630"/>
      <c r="Z3" s="630"/>
      <c r="AA3" s="630"/>
      <c r="AB3" s="630"/>
      <c r="AC3" s="630"/>
      <c r="AD3" s="630"/>
      <c r="AE3" s="614"/>
      <c r="AF3" s="614"/>
      <c r="AG3" s="614"/>
      <c r="AH3" s="614"/>
      <c r="AI3" s="614"/>
      <c r="AJ3" s="614"/>
      <c r="AK3" s="614"/>
      <c r="AL3" s="614"/>
      <c r="AM3" s="614"/>
      <c r="AN3" s="868"/>
      <c r="AO3" s="868"/>
      <c r="AP3" s="868"/>
      <c r="AQ3" s="868"/>
      <c r="AR3" s="1452"/>
      <c r="AS3" s="1452"/>
      <c r="AT3" s="1452"/>
      <c r="AU3" s="1452"/>
      <c r="AV3" s="869"/>
      <c r="AW3" s="869"/>
      <c r="AX3" s="869"/>
      <c r="AY3" s="869"/>
      <c r="AZ3" s="1009"/>
      <c r="BA3" s="1009"/>
      <c r="BB3" s="1009"/>
      <c r="BC3" s="1009"/>
      <c r="BD3" s="1009"/>
      <c r="BE3" s="1009"/>
      <c r="BF3" s="871"/>
      <c r="BG3" s="871"/>
      <c r="BH3" s="871"/>
      <c r="BI3" s="871"/>
    </row>
    <row r="4" spans="1:61" customFormat="1" ht="16.350000000000001" customHeight="1">
      <c r="A4" s="632"/>
      <c r="B4" s="632"/>
      <c r="C4" s="632"/>
      <c r="D4" s="632"/>
      <c r="E4" s="632"/>
      <c r="F4" s="632"/>
      <c r="G4" s="632"/>
      <c r="H4" s="632"/>
      <c r="I4" s="632"/>
      <c r="J4" s="632"/>
      <c r="K4" s="632"/>
      <c r="L4" s="633"/>
      <c r="M4" s="498"/>
      <c r="N4" s="632"/>
      <c r="O4" s="632"/>
      <c r="P4" s="632"/>
      <c r="Q4" s="632"/>
      <c r="R4" s="632"/>
      <c r="S4" s="634" t="s">
        <v>707</v>
      </c>
      <c r="T4" s="635" t="str">
        <f>M05S07F07</f>
        <v>Custom</v>
      </c>
      <c r="U4" s="636"/>
      <c r="V4" s="636"/>
      <c r="W4" s="636"/>
      <c r="X4" s="632"/>
      <c r="Y4" s="632"/>
      <c r="Z4" s="632"/>
      <c r="AA4" s="634" t="s">
        <v>708</v>
      </c>
      <c r="AB4" s="874" t="str">
        <f>IF(M02S02F02="","[Project Name]",LEFT(M02S02F02,25))</f>
        <v>[Project Name]</v>
      </c>
      <c r="AC4" s="874"/>
      <c r="AD4" s="874"/>
      <c r="AE4" s="874"/>
      <c r="AF4" s="874"/>
      <c r="AG4" s="874"/>
      <c r="AH4" s="632"/>
      <c r="AI4" s="634" t="s">
        <v>709</v>
      </c>
      <c r="AJ4" s="637" t="str">
        <f>IF(M02S02F27="Yes",Status_Final,Status_Pre)</f>
        <v>Draft Pre-Application</v>
      </c>
      <c r="AK4" s="498"/>
      <c r="AL4" s="632"/>
      <c r="AM4" s="632"/>
      <c r="AN4" s="498"/>
      <c r="AO4" s="498"/>
      <c r="AP4" s="632"/>
      <c r="AQ4" s="632"/>
      <c r="AR4" s="615"/>
      <c r="AS4" s="613" t="s">
        <v>710</v>
      </c>
      <c r="AT4" s="1047">
        <f>Incent_Total_Cap_All</f>
        <v>0</v>
      </c>
      <c r="AU4" s="1047"/>
      <c r="AV4" s="872"/>
      <c r="AW4" s="872"/>
      <c r="AX4" s="873" t="s">
        <v>711</v>
      </c>
      <c r="AY4" s="873"/>
      <c r="AZ4" s="873"/>
      <c r="BA4" s="873"/>
      <c r="BB4" s="873"/>
      <c r="BC4" s="872" t="str">
        <f>OBR_Amount_Requested</f>
        <v/>
      </c>
      <c r="BD4" s="872"/>
      <c r="BE4" s="872"/>
      <c r="BF4" s="872"/>
      <c r="BG4" s="498"/>
      <c r="BH4" s="638"/>
      <c r="BI4" s="638"/>
    </row>
    <row r="5" spans="1:61" customFormat="1"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row>
    <row r="6" spans="1:61" customFormat="1"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61" customFormat="1"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61" s="614"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row>
    <row r="9" spans="1:61" customFormat="1" ht="16.350000000000001" customHeight="1">
      <c r="F9" s="764" t="str">
        <f>M5S6</f>
        <v>OBR: Repayment Agreement</v>
      </c>
      <c r="G9" s="764"/>
      <c r="H9" s="764"/>
      <c r="I9" s="764"/>
      <c r="J9" s="764"/>
      <c r="K9" s="764"/>
      <c r="L9" s="764"/>
      <c r="M9" s="764"/>
      <c r="N9" s="764"/>
      <c r="O9" s="764"/>
      <c r="P9" s="764"/>
      <c r="Q9" s="764"/>
      <c r="R9" s="764"/>
      <c r="S9" s="764"/>
      <c r="T9" s="764"/>
      <c r="U9" s="764"/>
      <c r="V9" s="764"/>
      <c r="W9" s="764"/>
      <c r="X9" s="764"/>
      <c r="Y9" s="764"/>
      <c r="Z9" s="764"/>
      <c r="AA9" s="764"/>
      <c r="AB9" s="764"/>
      <c r="AC9" s="764"/>
      <c r="AD9" s="764"/>
      <c r="AE9" s="764"/>
      <c r="AF9" s="764"/>
      <c r="AG9" s="764"/>
      <c r="AH9" s="764"/>
      <c r="AI9" s="764"/>
      <c r="AJ9" s="764"/>
      <c r="AK9" s="764"/>
      <c r="AL9" s="764"/>
      <c r="AM9" s="764"/>
      <c r="AN9" s="764"/>
      <c r="AO9" s="764"/>
      <c r="AP9" s="764"/>
      <c r="AQ9" s="764"/>
      <c r="AR9" s="764"/>
      <c r="AS9" s="764"/>
      <c r="AT9" s="764"/>
      <c r="AU9" s="764"/>
      <c r="AV9" s="764"/>
      <c r="AW9" s="764"/>
      <c r="AX9" s="764"/>
    </row>
    <row r="10" spans="1:61" customFormat="1" ht="16.350000000000001" customHeight="1">
      <c r="F10" s="765"/>
      <c r="G10" s="765"/>
      <c r="H10" s="765"/>
      <c r="I10" s="765"/>
      <c r="J10" s="765"/>
      <c r="K10" s="765"/>
      <c r="L10" s="765"/>
      <c r="M10" s="765"/>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5"/>
      <c r="AO10" s="765"/>
      <c r="AP10" s="765"/>
      <c r="AQ10" s="765"/>
      <c r="AR10" s="765"/>
      <c r="AS10" s="765"/>
      <c r="AT10" s="765"/>
      <c r="AU10" s="765"/>
      <c r="AV10" s="765"/>
      <c r="AW10" s="765"/>
      <c r="AX10" s="765"/>
    </row>
    <row r="11" spans="1:61" customFormat="1" ht="16.350000000000001" customHeight="1">
      <c r="F11" s="200"/>
      <c r="G11" s="200"/>
      <c r="H11" s="200"/>
      <c r="I11" s="200"/>
      <c r="J11" s="200"/>
      <c r="K11" s="1501" t="str">
        <f>"Please review the "&amp;M5S6&amp; " for accuracy, download and sign the terms and conditions, and fill out applicable fields upon completion of the project."</f>
        <v>Please review the OBR: Repayment Agreement for accuracy, download and sign the terms and conditions, and fill out applicable fields upon completion of the project.</v>
      </c>
      <c r="L11" s="1501"/>
      <c r="M11" s="1501"/>
      <c r="N11" s="1501"/>
      <c r="O11" s="1501"/>
      <c r="P11" s="1501"/>
      <c r="Q11" s="1501"/>
      <c r="R11" s="1501"/>
      <c r="S11" s="1501"/>
      <c r="T11" s="1501"/>
      <c r="U11" s="1501"/>
      <c r="V11" s="1501"/>
      <c r="W11" s="1501"/>
      <c r="X11" s="1501"/>
      <c r="Y11" s="1501"/>
      <c r="Z11" s="1501"/>
      <c r="AA11" s="1501"/>
      <c r="AB11" s="1501"/>
      <c r="AC11" s="1501"/>
      <c r="AD11" s="1501"/>
      <c r="AE11" s="1501"/>
      <c r="AF11" s="1501"/>
      <c r="AG11" s="1501"/>
      <c r="AH11" s="1501"/>
      <c r="AI11" s="1501"/>
      <c r="AJ11" s="1501"/>
      <c r="AK11" s="1501"/>
      <c r="AL11" s="1501"/>
      <c r="AM11" s="1501"/>
      <c r="AN11" s="1501"/>
      <c r="AO11" s="1501"/>
      <c r="AP11" s="1501"/>
      <c r="AQ11" s="1501"/>
      <c r="AR11" s="1501"/>
      <c r="AS11" s="1501"/>
      <c r="AT11" s="1501"/>
      <c r="AU11" s="1501"/>
      <c r="AV11" s="200"/>
      <c r="AW11" s="200"/>
      <c r="AX11" s="200"/>
    </row>
    <row r="12" spans="1:61" customFormat="1" ht="16.350000000000001" customHeight="1">
      <c r="F12" s="200"/>
      <c r="G12" s="200"/>
      <c r="H12" s="200"/>
      <c r="I12" s="200"/>
      <c r="J12" s="200"/>
      <c r="K12" s="1501"/>
      <c r="L12" s="1501"/>
      <c r="M12" s="1501"/>
      <c r="N12" s="1501"/>
      <c r="O12" s="1501"/>
      <c r="P12" s="1501"/>
      <c r="Q12" s="1501"/>
      <c r="R12" s="1501"/>
      <c r="S12" s="1501"/>
      <c r="T12" s="1501"/>
      <c r="U12" s="1501"/>
      <c r="V12" s="1501"/>
      <c r="W12" s="1501"/>
      <c r="X12" s="1501"/>
      <c r="Y12" s="1501"/>
      <c r="Z12" s="1501"/>
      <c r="AA12" s="1501"/>
      <c r="AB12" s="1501"/>
      <c r="AC12" s="1501"/>
      <c r="AD12" s="1501"/>
      <c r="AE12" s="1501"/>
      <c r="AF12" s="1501"/>
      <c r="AG12" s="1501"/>
      <c r="AH12" s="1501"/>
      <c r="AI12" s="1501"/>
      <c r="AJ12" s="1501"/>
      <c r="AK12" s="1501"/>
      <c r="AL12" s="1501"/>
      <c r="AM12" s="1501"/>
      <c r="AN12" s="1501"/>
      <c r="AO12" s="1501"/>
      <c r="AP12" s="1501"/>
      <c r="AQ12" s="1501"/>
      <c r="AR12" s="1501"/>
      <c r="AS12" s="1501"/>
      <c r="AT12" s="1501"/>
      <c r="AU12" s="1501"/>
      <c r="AV12" s="200"/>
      <c r="AW12" s="200"/>
      <c r="AX12" s="200"/>
    </row>
    <row r="13" spans="1:61" customFormat="1" ht="16.350000000000001" customHeight="1">
      <c r="F13" s="200"/>
      <c r="G13" s="200"/>
      <c r="H13" s="200"/>
      <c r="I13" s="200"/>
      <c r="J13" s="200"/>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00"/>
      <c r="AW13" s="200"/>
      <c r="AX13" s="200"/>
    </row>
    <row r="14" spans="1:61" customFormat="1" ht="16.350000000000001" customHeight="1">
      <c r="N14" s="166"/>
      <c r="O14" s="53"/>
      <c r="P14" s="54"/>
      <c r="Q14" s="54"/>
      <c r="R14" s="54"/>
      <c r="S14" s="54"/>
      <c r="T14" s="54"/>
      <c r="U14" s="54"/>
      <c r="V14" s="54"/>
      <c r="W14" s="54"/>
      <c r="X14" s="54"/>
      <c r="Y14" s="54"/>
      <c r="Z14" s="54"/>
      <c r="AA14" s="54"/>
      <c r="AB14" s="123"/>
      <c r="AC14" s="123"/>
      <c r="AD14" s="123"/>
      <c r="AE14" s="123"/>
      <c r="AF14" s="123"/>
      <c r="AG14" s="123"/>
      <c r="AH14" s="54"/>
      <c r="AI14" s="54"/>
      <c r="AJ14" s="54"/>
      <c r="AK14" s="54"/>
      <c r="AL14" s="54"/>
      <c r="AM14" s="54"/>
      <c r="AN14" s="54"/>
      <c r="AO14" s="54"/>
      <c r="AP14" s="54"/>
      <c r="AQ14" s="55"/>
    </row>
    <row r="15" spans="1:61" customFormat="1" ht="16.350000000000001" customHeight="1">
      <c r="N15" s="166"/>
      <c r="O15" s="17"/>
      <c r="P15" s="504"/>
      <c r="Q15" s="504"/>
      <c r="R15" s="504"/>
      <c r="S15" s="504"/>
      <c r="T15" s="504"/>
      <c r="U15" s="504"/>
      <c r="V15" s="504"/>
      <c r="W15" s="504"/>
      <c r="X15" s="504"/>
      <c r="Y15" s="504"/>
      <c r="Z15" s="504"/>
      <c r="AA15" s="504"/>
      <c r="AB15" s="504"/>
      <c r="AC15" s="504"/>
      <c r="AD15" s="504"/>
      <c r="AE15" s="504"/>
      <c r="AF15" s="504"/>
      <c r="AG15" s="504"/>
      <c r="AH15" s="504"/>
      <c r="AI15" s="504"/>
      <c r="AJ15" s="504"/>
      <c r="AK15" s="504"/>
      <c r="AL15" s="504"/>
      <c r="AM15" s="504"/>
      <c r="AN15" s="504"/>
      <c r="AO15" s="504"/>
      <c r="AP15" s="504"/>
      <c r="AQ15" s="56"/>
    </row>
    <row r="16" spans="1:61" customFormat="1" ht="16.350000000000001" customHeight="1">
      <c r="N16" s="166"/>
      <c r="O16" s="17"/>
      <c r="P16" s="504"/>
      <c r="Q16" s="504"/>
      <c r="R16" s="504"/>
      <c r="S16" s="504"/>
      <c r="T16" s="504"/>
      <c r="U16" s="504"/>
      <c r="V16" s="504"/>
      <c r="W16" s="504"/>
      <c r="X16" s="504"/>
      <c r="Y16" s="504"/>
      <c r="Z16" s="504"/>
      <c r="AA16" s="504"/>
      <c r="AB16" s="504"/>
      <c r="AC16" s="504"/>
      <c r="AD16" s="504"/>
      <c r="AE16" s="504"/>
      <c r="AF16" s="504"/>
      <c r="AG16" s="504"/>
      <c r="AH16" s="504"/>
      <c r="AI16" s="504"/>
      <c r="AJ16" s="504"/>
      <c r="AK16" s="504"/>
      <c r="AL16" s="504"/>
      <c r="AM16" s="504"/>
      <c r="AN16" s="504"/>
      <c r="AO16" s="504"/>
      <c r="AP16" s="504"/>
      <c r="AQ16" s="56"/>
    </row>
    <row r="17" spans="14:48" customFormat="1" ht="16.350000000000001" customHeight="1">
      <c r="N17" s="166"/>
      <c r="O17" s="17"/>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504"/>
      <c r="AO17" s="504"/>
      <c r="AP17" s="504"/>
      <c r="AQ17" s="56"/>
    </row>
    <row r="18" spans="14:48" customFormat="1" ht="16.350000000000001" customHeight="1">
      <c r="N18" s="166"/>
      <c r="O18" s="17"/>
      <c r="P18" s="504"/>
      <c r="Q18" s="504"/>
      <c r="R18" s="504"/>
      <c r="S18" s="504"/>
      <c r="T18" s="504"/>
      <c r="U18" s="504"/>
      <c r="V18" s="504"/>
      <c r="W18" s="504"/>
      <c r="X18" s="504"/>
      <c r="Y18" s="504"/>
      <c r="Z18" s="504"/>
      <c r="AA18" s="504"/>
      <c r="AB18" s="504"/>
      <c r="AC18" s="504"/>
      <c r="AD18" s="504"/>
      <c r="AE18" s="504"/>
      <c r="AF18" s="504"/>
      <c r="AG18" s="504"/>
      <c r="AH18" s="504"/>
      <c r="AI18" s="504"/>
      <c r="AJ18" s="504"/>
      <c r="AK18" s="504"/>
      <c r="AL18" s="504"/>
      <c r="AM18" s="504"/>
      <c r="AN18" s="504"/>
      <c r="AO18" s="504"/>
      <c r="AP18" s="504"/>
      <c r="AQ18" s="56"/>
    </row>
    <row r="19" spans="14:48" customFormat="1" ht="16.350000000000001" customHeight="1">
      <c r="N19" s="166"/>
      <c r="O19" s="17"/>
      <c r="P19" s="1502" t="str">
        <f>M5S6</f>
        <v>OBR: Repayment Agreement</v>
      </c>
      <c r="Q19" s="1502"/>
      <c r="R19" s="1502"/>
      <c r="S19" s="1502"/>
      <c r="T19" s="1502"/>
      <c r="U19" s="1502"/>
      <c r="V19" s="1502"/>
      <c r="W19" s="1502"/>
      <c r="X19" s="1502"/>
      <c r="Y19" s="1502"/>
      <c r="Z19" s="1502"/>
      <c r="AA19" s="1502"/>
      <c r="AB19" s="1502"/>
      <c r="AC19" s="1502"/>
      <c r="AD19" s="505"/>
      <c r="AE19" s="505"/>
      <c r="AF19" s="505"/>
      <c r="AG19" s="505"/>
      <c r="AH19" s="505"/>
      <c r="AI19" s="1503" t="str">
        <f>CONCATENATE("Project # ",PROJID)</f>
        <v xml:space="preserve">Project # </v>
      </c>
      <c r="AJ19" s="1503"/>
      <c r="AK19" s="1503"/>
      <c r="AL19" s="1503"/>
      <c r="AM19" s="1503"/>
      <c r="AN19" s="1503"/>
      <c r="AO19" s="1503"/>
      <c r="AP19" s="1503"/>
      <c r="AQ19" s="56"/>
    </row>
    <row r="20" spans="14:48" customFormat="1" ht="16.350000000000001" customHeight="1">
      <c r="N20" s="166"/>
      <c r="O20" s="17"/>
      <c r="P20" s="1502"/>
      <c r="Q20" s="1502"/>
      <c r="R20" s="1502"/>
      <c r="S20" s="1502"/>
      <c r="T20" s="1502"/>
      <c r="U20" s="1502"/>
      <c r="V20" s="1502"/>
      <c r="W20" s="1502"/>
      <c r="X20" s="1502"/>
      <c r="Y20" s="1502"/>
      <c r="Z20" s="1502"/>
      <c r="AA20" s="1502"/>
      <c r="AB20" s="1502"/>
      <c r="AC20" s="1502"/>
      <c r="AD20" s="505"/>
      <c r="AE20" s="505"/>
      <c r="AF20" s="505"/>
      <c r="AG20" s="505"/>
      <c r="AH20" s="505"/>
      <c r="AI20" s="1503"/>
      <c r="AJ20" s="1503"/>
      <c r="AK20" s="1503"/>
      <c r="AL20" s="1503"/>
      <c r="AM20" s="1503"/>
      <c r="AN20" s="1503"/>
      <c r="AO20" s="1503"/>
      <c r="AP20" s="1503"/>
      <c r="AQ20" s="56"/>
    </row>
    <row r="21" spans="14:48" customFormat="1" ht="16.350000000000001" customHeight="1">
      <c r="N21" s="166"/>
      <c r="O21" s="17"/>
      <c r="P21" s="1502"/>
      <c r="Q21" s="1502"/>
      <c r="R21" s="1502"/>
      <c r="S21" s="1502"/>
      <c r="T21" s="1502"/>
      <c r="U21" s="1502"/>
      <c r="V21" s="1502"/>
      <c r="W21" s="1502"/>
      <c r="X21" s="1502"/>
      <c r="Y21" s="1502"/>
      <c r="Z21" s="1502"/>
      <c r="AA21" s="1502"/>
      <c r="AB21" s="1502"/>
      <c r="AC21" s="1502"/>
      <c r="AD21" s="505"/>
      <c r="AE21" s="505"/>
      <c r="AF21" s="505"/>
      <c r="AG21" s="505"/>
      <c r="AH21" s="505"/>
      <c r="AI21" s="1503"/>
      <c r="AJ21" s="1503"/>
      <c r="AK21" s="1503"/>
      <c r="AL21" s="1503"/>
      <c r="AM21" s="1503"/>
      <c r="AN21" s="1503"/>
      <c r="AO21" s="1503"/>
      <c r="AP21" s="1503"/>
      <c r="AQ21" s="56"/>
    </row>
    <row r="22" spans="14:48" customFormat="1" ht="16.350000000000001" customHeight="1">
      <c r="N22" s="166"/>
      <c r="O22" s="17"/>
      <c r="P22" s="1499" t="str">
        <f>IF(M02S03F01="","",M02S03F01)</f>
        <v/>
      </c>
      <c r="Q22" s="1499"/>
      <c r="R22" s="1499"/>
      <c r="S22" s="1499"/>
      <c r="T22" s="1499"/>
      <c r="U22" s="1499"/>
      <c r="V22" s="1499"/>
      <c r="W22" s="1499"/>
      <c r="X22" s="1499"/>
      <c r="Y22" s="1499"/>
      <c r="Z22" s="1499"/>
      <c r="AA22" s="1499"/>
      <c r="AB22" s="1499"/>
      <c r="AC22" s="1499"/>
      <c r="AD22" s="1500" t="str">
        <f>IF(M02S02F25="","",M02S02F25)</f>
        <v/>
      </c>
      <c r="AE22" s="1500"/>
      <c r="AF22" s="1500"/>
      <c r="AG22" s="1500"/>
      <c r="AH22" s="1500"/>
      <c r="AI22" s="1500"/>
      <c r="AJ22" s="1500"/>
      <c r="AK22" s="1500"/>
      <c r="AL22" s="1500"/>
      <c r="AM22" s="1500"/>
      <c r="AN22" s="1500"/>
      <c r="AO22" s="1500"/>
      <c r="AP22" s="1500"/>
      <c r="AQ22" s="56"/>
    </row>
    <row r="23" spans="14:48" customFormat="1" ht="16.350000000000001" customHeight="1">
      <c r="N23" s="166"/>
      <c r="O23" s="17"/>
      <c r="P23" s="1499"/>
      <c r="Q23" s="1499"/>
      <c r="R23" s="1499"/>
      <c r="S23" s="1499"/>
      <c r="T23" s="1499"/>
      <c r="U23" s="1499"/>
      <c r="V23" s="1499"/>
      <c r="W23" s="1499"/>
      <c r="X23" s="1499"/>
      <c r="Y23" s="1499"/>
      <c r="Z23" s="1499"/>
      <c r="AA23" s="1499"/>
      <c r="AB23" s="1499"/>
      <c r="AC23" s="1499"/>
      <c r="AD23" s="1500"/>
      <c r="AE23" s="1500"/>
      <c r="AF23" s="1500"/>
      <c r="AG23" s="1500"/>
      <c r="AH23" s="1500"/>
      <c r="AI23" s="1500"/>
      <c r="AJ23" s="1500"/>
      <c r="AK23" s="1500"/>
      <c r="AL23" s="1500"/>
      <c r="AM23" s="1500"/>
      <c r="AN23" s="1500"/>
      <c r="AO23" s="1500"/>
      <c r="AP23" s="1500"/>
      <c r="AQ23" s="56"/>
      <c r="AV23" t="s">
        <v>118</v>
      </c>
    </row>
    <row r="24" spans="14:48" customFormat="1" ht="16.350000000000001" customHeight="1">
      <c r="N24" s="166"/>
      <c r="O24" s="17"/>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56"/>
    </row>
    <row r="25" spans="14:48" customFormat="1" ht="16.350000000000001" customHeight="1">
      <c r="N25" s="166"/>
      <c r="O25" s="17"/>
      <c r="P25" s="1492" t="s">
        <v>247</v>
      </c>
      <c r="Q25" s="1492"/>
      <c r="R25" s="1492"/>
      <c r="S25" s="1492"/>
      <c r="T25" s="1492"/>
      <c r="U25" s="506"/>
      <c r="V25" s="1119" t="s">
        <v>1498</v>
      </c>
      <c r="W25" s="1119"/>
      <c r="X25" s="1119"/>
      <c r="Y25" s="1119"/>
      <c r="Z25" s="1119"/>
      <c r="AA25" s="1119"/>
      <c r="AB25" s="507"/>
      <c r="AC25" s="1119" t="s">
        <v>1499</v>
      </c>
      <c r="AD25" s="1119"/>
      <c r="AE25" s="1119"/>
      <c r="AF25" s="1119"/>
      <c r="AG25" s="1119"/>
      <c r="AH25" s="1119"/>
      <c r="AI25" s="1119"/>
      <c r="AJ25" s="1107" t="s">
        <v>1500</v>
      </c>
      <c r="AK25" s="1107"/>
      <c r="AL25" s="1107"/>
      <c r="AM25" s="1107"/>
      <c r="AN25" s="1107"/>
      <c r="AO25" s="1107"/>
      <c r="AP25" s="1107"/>
      <c r="AQ25" s="56"/>
    </row>
    <row r="26" spans="14:48" customFormat="1" ht="16.350000000000001" customHeight="1">
      <c r="N26" s="166"/>
      <c r="O26" s="17"/>
      <c r="P26" s="1492"/>
      <c r="Q26" s="1492"/>
      <c r="R26" s="1492"/>
      <c r="S26" s="1492"/>
      <c r="T26" s="1492"/>
      <c r="U26" s="506"/>
      <c r="V26" s="1115" t="str">
        <f>IF(M02S02F02="","",M02S02F02)</f>
        <v/>
      </c>
      <c r="W26" s="1115"/>
      <c r="X26" s="1115"/>
      <c r="Y26" s="1115"/>
      <c r="Z26" s="1115"/>
      <c r="AA26" s="1115"/>
      <c r="AB26" s="508"/>
      <c r="AC26" s="1115" t="str">
        <f>M02S02F13</f>
        <v/>
      </c>
      <c r="AD26" s="1115"/>
      <c r="AE26" s="1115"/>
      <c r="AF26" s="1115"/>
      <c r="AG26" s="1115"/>
      <c r="AH26" s="1115"/>
      <c r="AI26" s="1115"/>
      <c r="AJ26" s="1115" t="str">
        <f>M02S02F15</f>
        <v/>
      </c>
      <c r="AK26" s="1115"/>
      <c r="AL26" s="1115"/>
      <c r="AM26" s="1115"/>
      <c r="AN26" s="1115"/>
      <c r="AO26" s="1115"/>
      <c r="AP26" s="1115"/>
      <c r="AQ26" s="56"/>
    </row>
    <row r="27" spans="14:48" customFormat="1" ht="16.350000000000001" customHeight="1">
      <c r="N27" s="166"/>
      <c r="O27" s="17"/>
      <c r="P27" s="1492"/>
      <c r="Q27" s="1492"/>
      <c r="R27" s="1492"/>
      <c r="S27" s="1492"/>
      <c r="T27" s="1492"/>
      <c r="U27" s="506"/>
      <c r="V27" s="1115" t="str">
        <f>IF(M02S02F03="","",M02S02F03)</f>
        <v/>
      </c>
      <c r="W27" s="1115"/>
      <c r="X27" s="1115"/>
      <c r="Y27" s="1115"/>
      <c r="Z27" s="1115"/>
      <c r="AA27" s="1115"/>
      <c r="AB27" s="508"/>
      <c r="AC27" s="1119" t="s">
        <v>1504</v>
      </c>
      <c r="AD27" s="1119"/>
      <c r="AE27" s="1119"/>
      <c r="AF27" s="1119"/>
      <c r="AG27" s="1119"/>
      <c r="AH27" s="1119"/>
      <c r="AI27" s="1119"/>
      <c r="AJ27" s="1107" t="s">
        <v>1505</v>
      </c>
      <c r="AK27" s="1107"/>
      <c r="AL27" s="1107"/>
      <c r="AM27" s="1107"/>
      <c r="AN27" s="1107"/>
      <c r="AO27" s="1107"/>
      <c r="AP27" s="1107"/>
      <c r="AQ27" s="56"/>
    </row>
    <row r="28" spans="14:48" customFormat="1" ht="16.350000000000001" customHeight="1">
      <c r="N28" s="166"/>
      <c r="O28" s="17"/>
      <c r="P28" s="1492"/>
      <c r="Q28" s="1492"/>
      <c r="R28" s="1492"/>
      <c r="S28" s="1492"/>
      <c r="T28" s="1492"/>
      <c r="U28" s="506"/>
      <c r="V28" s="1115" t="str">
        <f>CONCATENATE(M02S02F06,", ",M02S02F07," ",TEXT(M02S02F08,"00000"))</f>
        <v>, NJ 00000</v>
      </c>
      <c r="W28" s="1115"/>
      <c r="X28" s="1115"/>
      <c r="Y28" s="1115"/>
      <c r="Z28" s="1115"/>
      <c r="AA28" s="1115"/>
      <c r="AB28" s="508"/>
      <c r="AC28" s="1120" t="str">
        <f>IF(M02S02F14="","",M02S02F14)</f>
        <v/>
      </c>
      <c r="AD28" s="1120"/>
      <c r="AE28" s="1120"/>
      <c r="AF28" s="1120"/>
      <c r="AG28" s="1120"/>
      <c r="AH28" s="1120"/>
      <c r="AI28" s="1120"/>
      <c r="AJ28" s="1120" t="str">
        <f>IF(M02S02F16="","",M02S02F16)</f>
        <v/>
      </c>
      <c r="AK28" s="1120"/>
      <c r="AL28" s="1120"/>
      <c r="AM28" s="1120"/>
      <c r="AN28" s="1120"/>
      <c r="AO28" s="1120"/>
      <c r="AP28" s="1120"/>
      <c r="AQ28" s="56"/>
    </row>
    <row r="29" spans="14:48" customFormat="1" ht="16.350000000000001" customHeight="1">
      <c r="N29" s="166"/>
      <c r="O29" s="17"/>
      <c r="P29" s="33"/>
      <c r="Q29" s="33"/>
      <c r="R29" s="33"/>
      <c r="S29" s="33"/>
      <c r="T29" s="33"/>
      <c r="U29" s="33"/>
      <c r="V29" s="212"/>
      <c r="W29" s="212"/>
      <c r="X29" s="212"/>
      <c r="Y29" s="212"/>
      <c r="Z29" s="212"/>
      <c r="AA29" s="212"/>
      <c r="AB29" s="212"/>
      <c r="AC29" s="212"/>
      <c r="AD29" s="212"/>
      <c r="AE29" s="212"/>
      <c r="AF29" s="212"/>
      <c r="AG29" s="212"/>
      <c r="AH29" s="212"/>
      <c r="AI29" s="212"/>
      <c r="AJ29" s="212"/>
      <c r="AK29" s="212"/>
      <c r="AL29" s="212"/>
      <c r="AM29" s="212"/>
      <c r="AN29" s="212"/>
      <c r="AO29" s="212"/>
      <c r="AP29" s="212"/>
      <c r="AQ29" s="56"/>
    </row>
    <row r="30" spans="14:48" customFormat="1" ht="16.350000000000001" customHeight="1">
      <c r="N30" s="166"/>
      <c r="O30" s="17"/>
      <c r="P30" s="1492" t="s">
        <v>1506</v>
      </c>
      <c r="Q30" s="1492"/>
      <c r="R30" s="1492"/>
      <c r="S30" s="1492"/>
      <c r="T30" s="1492"/>
      <c r="U30" s="506"/>
      <c r="V30" s="1504" t="s">
        <v>758</v>
      </c>
      <c r="W30" s="1504"/>
      <c r="X30" s="1504"/>
      <c r="Y30" s="1504"/>
      <c r="Z30" s="1504"/>
      <c r="AA30" s="1504"/>
      <c r="AB30" s="509"/>
      <c r="AC30" s="1505" t="s">
        <v>1507</v>
      </c>
      <c r="AD30" s="1505"/>
      <c r="AE30" s="1505"/>
      <c r="AF30" s="1505"/>
      <c r="AG30" s="1505"/>
      <c r="AH30" s="1505"/>
      <c r="AI30" s="509"/>
      <c r="AJ30" s="509"/>
      <c r="AK30" s="509"/>
      <c r="AL30" s="509"/>
      <c r="AM30" s="509"/>
      <c r="AN30" s="509"/>
      <c r="AO30" s="509"/>
      <c r="AP30" s="509"/>
      <c r="AQ30" s="56"/>
    </row>
    <row r="31" spans="14:48" customFormat="1" ht="16.350000000000001" customHeight="1">
      <c r="N31" s="166"/>
      <c r="O31" s="17"/>
      <c r="P31" s="1492"/>
      <c r="Q31" s="1492"/>
      <c r="R31" s="1492"/>
      <c r="S31" s="1492"/>
      <c r="T31" s="1492"/>
      <c r="U31" s="506"/>
      <c r="V31" s="1126" t="str">
        <f>IF(M02S04F02="","",M02S04F02)</f>
        <v/>
      </c>
      <c r="W31" s="1126"/>
      <c r="X31" s="1126"/>
      <c r="Y31" s="1126"/>
      <c r="Z31" s="1126"/>
      <c r="AA31" s="1126"/>
      <c r="AB31" s="511"/>
      <c r="AC31" s="1126" t="str">
        <f>CONCATENATE(M02S04F08," ",M02S04F09)</f>
        <v xml:space="preserve"> </v>
      </c>
      <c r="AD31" s="1126"/>
      <c r="AE31" s="1126"/>
      <c r="AF31" s="1126"/>
      <c r="AG31" s="1126"/>
      <c r="AH31" s="1126"/>
      <c r="AI31" s="510"/>
      <c r="AJ31" s="510"/>
      <c r="AK31" s="511"/>
      <c r="AL31" s="511"/>
      <c r="AM31" s="511"/>
      <c r="AN31" s="511"/>
      <c r="AO31" s="511"/>
      <c r="AP31" s="512"/>
      <c r="AQ31" s="56"/>
    </row>
    <row r="32" spans="14:48" customFormat="1" ht="16.350000000000001" customHeight="1">
      <c r="N32" s="166"/>
      <c r="O32" s="17"/>
      <c r="P32" s="1492"/>
      <c r="Q32" s="1492"/>
      <c r="R32" s="1492"/>
      <c r="S32" s="1492"/>
      <c r="T32" s="1492"/>
      <c r="U32" s="506"/>
      <c r="V32" s="1126" t="str">
        <f>IF(M02S04F03="","",M02S04F03)</f>
        <v/>
      </c>
      <c r="W32" s="1126"/>
      <c r="X32" s="1126"/>
      <c r="Y32" s="1126"/>
      <c r="Z32" s="1126"/>
      <c r="AA32" s="1126"/>
      <c r="AB32" s="511"/>
      <c r="AC32" s="1134" t="str">
        <f>IF(M02S04F10="","",M02S04F10)</f>
        <v/>
      </c>
      <c r="AD32" s="1134"/>
      <c r="AE32" s="1134"/>
      <c r="AF32" s="1134"/>
      <c r="AG32" s="1134"/>
      <c r="AH32" s="1134"/>
      <c r="AI32" s="510"/>
      <c r="AJ32" s="510"/>
      <c r="AK32" s="513"/>
      <c r="AL32" s="513"/>
      <c r="AM32" s="513"/>
      <c r="AN32" s="513"/>
      <c r="AO32" s="513"/>
      <c r="AP32" s="514"/>
      <c r="AQ32" s="56"/>
    </row>
    <row r="33" spans="13:43" customFormat="1" ht="16.350000000000001" customHeight="1">
      <c r="N33" s="166"/>
      <c r="O33" s="17"/>
      <c r="P33" s="1492"/>
      <c r="Q33" s="1492"/>
      <c r="R33" s="1492"/>
      <c r="S33" s="1492"/>
      <c r="T33" s="1492"/>
      <c r="U33" s="506"/>
      <c r="V33" s="1126" t="str">
        <f>CONCATENATE(M02S04F05,", ",M02S04F06," ",TEXT(M02S04F07,"00000"))</f>
        <v>,  00000</v>
      </c>
      <c r="W33" s="1126"/>
      <c r="X33" s="1126"/>
      <c r="Y33" s="1126"/>
      <c r="Z33" s="1126"/>
      <c r="AA33" s="1126"/>
      <c r="AB33" s="511"/>
      <c r="AC33" s="1126" t="str">
        <f>TEXT(M02S04F11,"(###) ###-####")</f>
        <v>() -</v>
      </c>
      <c r="AD33" s="1126"/>
      <c r="AE33" s="1126"/>
      <c r="AF33" s="1126"/>
      <c r="AG33" s="1126"/>
      <c r="AH33" s="1126"/>
      <c r="AI33" s="510"/>
      <c r="AJ33" s="510"/>
      <c r="AK33" s="511"/>
      <c r="AL33" s="511"/>
      <c r="AM33" s="511"/>
      <c r="AN33" s="511"/>
      <c r="AO33" s="511"/>
      <c r="AP33" s="512"/>
      <c r="AQ33" s="56"/>
    </row>
    <row r="34" spans="13:43" customFormat="1" ht="16.350000000000001" customHeight="1">
      <c r="N34" s="166"/>
      <c r="O34" s="17"/>
      <c r="AQ34" s="56"/>
    </row>
    <row r="35" spans="13:43" customFormat="1" ht="16.350000000000001" customHeight="1">
      <c r="N35" s="166"/>
      <c r="O35" s="17"/>
      <c r="AQ35" s="56"/>
    </row>
    <row r="36" spans="13:43" customFormat="1" ht="23.25">
      <c r="N36" s="166"/>
      <c r="O36" s="17"/>
      <c r="P36" s="1472" t="s">
        <v>1527</v>
      </c>
      <c r="Q36" s="1472"/>
      <c r="R36" s="1472"/>
      <c r="S36" s="1472"/>
      <c r="T36" s="1472"/>
      <c r="U36" s="1472"/>
      <c r="V36" s="1472"/>
      <c r="W36" s="1472"/>
      <c r="X36" s="1472"/>
      <c r="Y36" s="1472"/>
      <c r="Z36" s="1472"/>
      <c r="AA36" s="1472"/>
      <c r="AB36" s="1472"/>
      <c r="AC36" s="1472"/>
      <c r="AD36" s="1472"/>
      <c r="AE36" s="1472"/>
      <c r="AF36" s="1472"/>
      <c r="AG36" s="1472"/>
      <c r="AH36" s="1472"/>
      <c r="AI36" s="1472"/>
      <c r="AJ36" s="1472"/>
      <c r="AK36" s="1472"/>
      <c r="AL36" s="1472"/>
      <c r="AM36" s="1472"/>
      <c r="AN36" s="1472"/>
      <c r="AO36" s="1472"/>
      <c r="AP36" s="1472"/>
      <c r="AQ36" s="56"/>
    </row>
    <row r="37" spans="13:43" customFormat="1" ht="16.350000000000001" customHeight="1">
      <c r="N37" s="166"/>
      <c r="O37" s="17"/>
      <c r="P37" s="227"/>
      <c r="Q37" s="227"/>
      <c r="R37" s="227"/>
      <c r="S37" s="227"/>
      <c r="T37" s="227"/>
      <c r="U37" s="227"/>
      <c r="V37" s="227"/>
      <c r="W37" s="227"/>
      <c r="X37" s="227"/>
      <c r="Y37" s="227"/>
      <c r="Z37" s="227"/>
      <c r="AA37" s="227"/>
      <c r="AB37" s="227"/>
      <c r="AC37" s="228"/>
      <c r="AD37" s="227"/>
      <c r="AE37" s="227"/>
      <c r="AF37" s="227"/>
      <c r="AG37" s="227"/>
      <c r="AH37" s="227"/>
      <c r="AI37" s="227"/>
      <c r="AJ37" s="227"/>
      <c r="AK37" s="227"/>
      <c r="AL37" s="227"/>
      <c r="AM37" s="227"/>
      <c r="AN37" s="227"/>
      <c r="AO37" s="227"/>
      <c r="AP37" s="227"/>
      <c r="AQ37" s="56"/>
    </row>
    <row r="38" spans="13:43" customFormat="1" ht="16.350000000000001" customHeight="1">
      <c r="N38" s="166"/>
      <c r="O38" s="17"/>
      <c r="P38" s="1482" t="s">
        <v>1726</v>
      </c>
      <c r="Q38" s="1482"/>
      <c r="R38" s="1482"/>
      <c r="S38" s="1482"/>
      <c r="T38" s="1482"/>
      <c r="U38" s="1482"/>
      <c r="V38" s="1482"/>
      <c r="W38" s="1480">
        <f>Cost_Total_All</f>
        <v>0</v>
      </c>
      <c r="X38" s="1480"/>
      <c r="Y38" s="1480"/>
      <c r="Z38" s="1480"/>
      <c r="AA38" s="1480"/>
      <c r="AB38" s="1481"/>
      <c r="AD38" s="1482" t="s">
        <v>1727</v>
      </c>
      <c r="AE38" s="1482"/>
      <c r="AF38" s="1482"/>
      <c r="AG38" s="1482"/>
      <c r="AH38" s="1482"/>
      <c r="AI38" s="1482"/>
      <c r="AJ38" s="1482"/>
      <c r="AK38" s="1482"/>
      <c r="AL38" s="1498">
        <f>kWh_Customer_Total_All</f>
        <v>0</v>
      </c>
      <c r="AM38" s="1498"/>
      <c r="AN38" s="1498"/>
      <c r="AO38" s="1498"/>
      <c r="AP38" s="1498"/>
      <c r="AQ38" s="56"/>
    </row>
    <row r="39" spans="13:43" customFormat="1" ht="16.350000000000001" customHeight="1">
      <c r="M39" s="166"/>
      <c r="N39" s="166"/>
      <c r="O39" s="17"/>
      <c r="P39" s="1482" t="s">
        <v>1728</v>
      </c>
      <c r="Q39" s="1482"/>
      <c r="R39" s="1482"/>
      <c r="S39" s="1482"/>
      <c r="T39" s="1482"/>
      <c r="U39" s="1482"/>
      <c r="V39" s="1482"/>
      <c r="W39" s="1480">
        <f>Incent_Total_Cap_All</f>
        <v>0</v>
      </c>
      <c r="X39" s="1480"/>
      <c r="Y39" s="1480"/>
      <c r="Z39" s="1480"/>
      <c r="AA39" s="1480"/>
      <c r="AB39" s="1481"/>
      <c r="AD39" s="1482" t="s">
        <v>1729</v>
      </c>
      <c r="AE39" s="1482"/>
      <c r="AF39" s="1482"/>
      <c r="AG39" s="1482"/>
      <c r="AH39" s="1482"/>
      <c r="AI39" s="1482"/>
      <c r="AJ39" s="1482"/>
      <c r="AK39" s="1482"/>
      <c r="AL39" s="1487"/>
      <c r="AM39" s="1487"/>
      <c r="AN39" s="1487"/>
      <c r="AO39" s="1487"/>
      <c r="AP39" s="1487"/>
      <c r="AQ39" s="56"/>
    </row>
    <row r="40" spans="13:43" customFormat="1" ht="16.350000000000001" customHeight="1">
      <c r="M40" s="166"/>
      <c r="N40" s="166"/>
      <c r="O40" s="226"/>
      <c r="P40" s="1497" t="s">
        <v>1730</v>
      </c>
      <c r="Q40" s="1497"/>
      <c r="R40" s="1497"/>
      <c r="S40" s="1497"/>
      <c r="T40" s="1497"/>
      <c r="U40" s="1497"/>
      <c r="V40" s="1497"/>
      <c r="W40" s="1480">
        <f>MIN(IF(W38-W39&gt;250000,250000+0.8*(W38-W39-250000),W38-W39),IF(W39&gt;250000,250000+0.8*(W39-250000),W39),W39)</f>
        <v>0</v>
      </c>
      <c r="X40" s="1480"/>
      <c r="Y40" s="1480"/>
      <c r="Z40" s="1480"/>
      <c r="AA40" s="1480"/>
      <c r="AB40" s="1481"/>
      <c r="AD40" s="1482" t="s">
        <v>1731</v>
      </c>
      <c r="AE40" s="1482"/>
      <c r="AF40" s="1482"/>
      <c r="AG40" s="1482"/>
      <c r="AH40" s="1482"/>
      <c r="AI40" s="1482"/>
      <c r="AJ40" s="1482"/>
      <c r="AK40" s="1482"/>
      <c r="AL40" s="1498">
        <f>Thm_Customer_Total_All</f>
        <v>0</v>
      </c>
      <c r="AM40" s="1498"/>
      <c r="AN40" s="1498"/>
      <c r="AO40" s="1498"/>
      <c r="AP40" s="1498"/>
      <c r="AQ40" s="56"/>
    </row>
    <row r="41" spans="13:43" customFormat="1" ht="16.350000000000001" customHeight="1">
      <c r="M41" s="166"/>
      <c r="N41" s="166"/>
      <c r="O41" s="226"/>
      <c r="P41" s="1497" t="s">
        <v>1732</v>
      </c>
      <c r="Q41" s="1497"/>
      <c r="R41" s="1497"/>
      <c r="S41" s="1497"/>
      <c r="T41" s="1497"/>
      <c r="U41" s="1497"/>
      <c r="V41" s="1497"/>
      <c r="W41" s="1480">
        <f>W38-W39-W40</f>
        <v>0</v>
      </c>
      <c r="X41" s="1480"/>
      <c r="Y41" s="1480"/>
      <c r="Z41" s="1480"/>
      <c r="AA41" s="1480"/>
      <c r="AB41" s="1481"/>
      <c r="AD41" s="1482" t="s">
        <v>1733</v>
      </c>
      <c r="AE41" s="1482"/>
      <c r="AF41" s="1482"/>
      <c r="AG41" s="1482"/>
      <c r="AH41" s="1482"/>
      <c r="AI41" s="1482"/>
      <c r="AJ41" s="1482"/>
      <c r="AK41" s="1482"/>
      <c r="AL41" s="1487"/>
      <c r="AM41" s="1487"/>
      <c r="AN41" s="1487"/>
      <c r="AO41" s="1487"/>
      <c r="AP41" s="1487"/>
      <c r="AQ41" s="56"/>
    </row>
    <row r="42" spans="13:43" customFormat="1" ht="16.350000000000001" customHeight="1">
      <c r="M42" s="166"/>
      <c r="N42" s="166"/>
      <c r="O42" s="226"/>
      <c r="P42" s="1482" t="s">
        <v>1734</v>
      </c>
      <c r="Q42" s="1482"/>
      <c r="R42" s="1482"/>
      <c r="S42" s="1482"/>
      <c r="T42" s="1482"/>
      <c r="U42" s="1482"/>
      <c r="V42" s="1482"/>
      <c r="W42" s="1483"/>
      <c r="X42" s="1484"/>
      <c r="Y42" s="1484"/>
      <c r="Z42" s="1484"/>
      <c r="AA42" s="1484"/>
      <c r="AB42" s="1484"/>
      <c r="AD42" s="1482" t="s">
        <v>1735</v>
      </c>
      <c r="AE42" s="1482"/>
      <c r="AF42" s="1482"/>
      <c r="AG42" s="1482"/>
      <c r="AH42" s="1482"/>
      <c r="AI42" s="1482"/>
      <c r="AJ42" s="1482"/>
      <c r="AK42" s="1482"/>
      <c r="AL42" s="1487"/>
      <c r="AM42" s="1487"/>
      <c r="AN42" s="1487"/>
      <c r="AO42" s="1487"/>
      <c r="AP42" s="1487"/>
      <c r="AQ42" s="56"/>
    </row>
    <row r="43" spans="13:43" customFormat="1" ht="16.350000000000001" customHeight="1">
      <c r="M43" s="166"/>
      <c r="N43" s="166"/>
      <c r="O43" s="226"/>
      <c r="P43" s="1482" t="s">
        <v>1736</v>
      </c>
      <c r="Q43" s="1482"/>
      <c r="R43" s="1482"/>
      <c r="S43" s="1482"/>
      <c r="T43" s="1482"/>
      <c r="U43" s="1482"/>
      <c r="V43" s="1482"/>
      <c r="W43" s="1481">
        <f>W40-M05S06F09</f>
        <v>0</v>
      </c>
      <c r="X43" s="1485"/>
      <c r="Y43" s="1485"/>
      <c r="Z43" s="1485"/>
      <c r="AA43" s="1485"/>
      <c r="AB43" s="1485"/>
      <c r="AD43" s="1482" t="s">
        <v>1737</v>
      </c>
      <c r="AE43" s="1482"/>
      <c r="AF43" s="1482"/>
      <c r="AG43" s="1482"/>
      <c r="AH43" s="1482"/>
      <c r="AI43" s="1482"/>
      <c r="AJ43" s="1482"/>
      <c r="AK43" s="1482"/>
      <c r="AL43" s="1486" t="str">
        <f>IF('M02-S02'!R51="",IF('M02-S02'!Y55="","",'M02-S02'!Y55),'M02-S02'!R51)</f>
        <v/>
      </c>
      <c r="AM43" s="1486"/>
      <c r="AN43" s="1486"/>
      <c r="AO43" s="1486"/>
      <c r="AP43" s="1486"/>
      <c r="AQ43" s="56"/>
    </row>
    <row r="44" spans="13:43" customFormat="1" ht="16.350000000000001" customHeight="1">
      <c r="N44" s="166"/>
      <c r="O44" s="17"/>
      <c r="P44" s="1488" t="s">
        <v>1738</v>
      </c>
      <c r="Q44" s="1489"/>
      <c r="R44" s="1489"/>
      <c r="S44" s="1489"/>
      <c r="T44" s="1489"/>
      <c r="U44" s="1489"/>
      <c r="V44" s="1490"/>
      <c r="W44" s="705">
        <v>5</v>
      </c>
      <c r="X44" s="705" t="s">
        <v>1739</v>
      </c>
      <c r="Y44" s="705"/>
      <c r="Z44" s="705">
        <f>W44*12</f>
        <v>60</v>
      </c>
      <c r="AA44" s="705" t="s">
        <v>1740</v>
      </c>
      <c r="AB44" s="706"/>
      <c r="AD44" s="1493" t="s">
        <v>1529</v>
      </c>
      <c r="AE44" s="1493"/>
      <c r="AF44" s="1493"/>
      <c r="AG44" s="1493"/>
      <c r="AH44" s="1493"/>
      <c r="AI44" s="1493"/>
      <c r="AJ44" s="1493"/>
      <c r="AK44" s="1493"/>
      <c r="AL44" s="1493"/>
      <c r="AM44" s="1493"/>
      <c r="AN44" s="1493"/>
      <c r="AO44" s="1491"/>
      <c r="AP44" s="1491"/>
      <c r="AQ44" s="56"/>
    </row>
    <row r="45" spans="13:43" customFormat="1" ht="16.350000000000001" customHeight="1">
      <c r="N45" s="166"/>
      <c r="O45" s="17"/>
      <c r="P45" s="1488" t="s">
        <v>1741</v>
      </c>
      <c r="Q45" s="1489"/>
      <c r="R45" s="1489"/>
      <c r="S45" s="1489"/>
      <c r="T45" s="1489"/>
      <c r="U45" s="1489"/>
      <c r="V45" s="1490"/>
      <c r="W45" s="1494">
        <f>W43/Z44</f>
        <v>0</v>
      </c>
      <c r="X45" s="1495"/>
      <c r="Y45" s="1495"/>
      <c r="Z45" s="1495"/>
      <c r="AA45" s="1495"/>
      <c r="AB45" s="1496"/>
      <c r="AQ45" s="56"/>
    </row>
    <row r="46" spans="13:43" customFormat="1" ht="16.350000000000001" customHeight="1">
      <c r="N46" s="166"/>
      <c r="O46" s="17"/>
      <c r="AQ46" s="56"/>
    </row>
    <row r="47" spans="13:43" customFormat="1" ht="16.350000000000001" customHeight="1">
      <c r="N47" s="166"/>
      <c r="O47" s="17"/>
      <c r="AQ47" s="56"/>
    </row>
    <row r="48" spans="13:43" customFormat="1" ht="23.25">
      <c r="N48" s="166"/>
      <c r="O48" s="17"/>
      <c r="P48" s="1472" t="s">
        <v>1742</v>
      </c>
      <c r="Q48" s="1472"/>
      <c r="R48" s="1472"/>
      <c r="S48" s="1472"/>
      <c r="T48" s="1472"/>
      <c r="U48" s="1472"/>
      <c r="V48" s="1472"/>
      <c r="W48" s="1472"/>
      <c r="X48" s="1472"/>
      <c r="Y48" s="1472"/>
      <c r="Z48" s="1472"/>
      <c r="AA48" s="1472"/>
      <c r="AB48" s="1472"/>
      <c r="AC48" s="1472"/>
      <c r="AD48" s="1472"/>
      <c r="AE48" s="1472"/>
      <c r="AF48" s="1472"/>
      <c r="AG48" s="1472"/>
      <c r="AH48" s="1472"/>
      <c r="AI48" s="1472"/>
      <c r="AJ48" s="1472"/>
      <c r="AK48" s="1472"/>
      <c r="AL48" s="1472"/>
      <c r="AM48" s="1472"/>
      <c r="AN48" s="1472"/>
      <c r="AO48" s="1472"/>
      <c r="AP48" s="1472"/>
      <c r="AQ48" s="56"/>
    </row>
    <row r="49" spans="14:43" customFormat="1" ht="16.350000000000001" customHeight="1">
      <c r="N49" s="166"/>
      <c r="O49" s="17"/>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228"/>
      <c r="AM49" s="228"/>
      <c r="AN49" s="228"/>
      <c r="AO49" s="228"/>
      <c r="AP49" s="228"/>
      <c r="AQ49" s="56"/>
    </row>
    <row r="50" spans="14:43" customFormat="1" ht="16.350000000000001" customHeight="1">
      <c r="N50" s="166"/>
      <c r="O50" s="17"/>
      <c r="P50" s="1456" t="s">
        <v>1743</v>
      </c>
      <c r="Q50" s="1457"/>
      <c r="R50" s="1457"/>
      <c r="S50" s="1457"/>
      <c r="T50" s="1457"/>
      <c r="U50" s="1457"/>
      <c r="V50" s="1457"/>
      <c r="W50" s="1457"/>
      <c r="X50" s="1457"/>
      <c r="Y50" s="1457"/>
      <c r="Z50" s="1457"/>
      <c r="AA50" s="1457"/>
      <c r="AB50" s="1457"/>
      <c r="AC50" s="1457"/>
      <c r="AD50" s="1457"/>
      <c r="AE50" s="1457"/>
      <c r="AF50" s="1457"/>
      <c r="AG50" s="1457"/>
      <c r="AH50" s="1457"/>
      <c r="AI50" s="1457"/>
      <c r="AJ50" s="1457"/>
      <c r="AK50" s="1457"/>
      <c r="AL50" s="1457"/>
      <c r="AM50" s="1457"/>
      <c r="AN50" s="1457"/>
      <c r="AO50" s="1457"/>
      <c r="AP50" s="1458"/>
      <c r="AQ50" s="56"/>
    </row>
    <row r="51" spans="14:43" customFormat="1" ht="16.350000000000001" customHeight="1">
      <c r="N51" s="166"/>
      <c r="O51" s="17"/>
      <c r="P51" s="1459"/>
      <c r="Q51" s="1460"/>
      <c r="R51" s="1460"/>
      <c r="S51" s="1460"/>
      <c r="T51" s="1460"/>
      <c r="U51" s="1460"/>
      <c r="V51" s="1460"/>
      <c r="W51" s="1460"/>
      <c r="X51" s="1460"/>
      <c r="Y51" s="1460"/>
      <c r="Z51" s="1460"/>
      <c r="AA51" s="1460"/>
      <c r="AB51" s="1460"/>
      <c r="AC51" s="1460"/>
      <c r="AD51" s="1460"/>
      <c r="AE51" s="1460"/>
      <c r="AF51" s="1460"/>
      <c r="AG51" s="1460"/>
      <c r="AH51" s="1460"/>
      <c r="AI51" s="1460"/>
      <c r="AJ51" s="1460"/>
      <c r="AK51" s="1460"/>
      <c r="AL51" s="1460"/>
      <c r="AM51" s="1460"/>
      <c r="AN51" s="1460"/>
      <c r="AO51" s="1460"/>
      <c r="AP51" s="1461"/>
      <c r="AQ51" s="56"/>
    </row>
    <row r="52" spans="14:43" customFormat="1" ht="16.350000000000001" customHeight="1">
      <c r="N52" s="166"/>
      <c r="O52" s="17"/>
      <c r="P52" s="1459"/>
      <c r="Q52" s="1460"/>
      <c r="R52" s="1460"/>
      <c r="S52" s="1460"/>
      <c r="T52" s="1460"/>
      <c r="U52" s="1460"/>
      <c r="V52" s="1460"/>
      <c r="W52" s="1460"/>
      <c r="X52" s="1460"/>
      <c r="Y52" s="1460"/>
      <c r="Z52" s="1460"/>
      <c r="AA52" s="1460"/>
      <c r="AB52" s="1460"/>
      <c r="AC52" s="1460"/>
      <c r="AD52" s="1460"/>
      <c r="AE52" s="1460"/>
      <c r="AF52" s="1460"/>
      <c r="AG52" s="1460"/>
      <c r="AH52" s="1460"/>
      <c r="AI52" s="1460"/>
      <c r="AJ52" s="1460"/>
      <c r="AK52" s="1460"/>
      <c r="AL52" s="1460"/>
      <c r="AM52" s="1460"/>
      <c r="AN52" s="1460"/>
      <c r="AO52" s="1460"/>
      <c r="AP52" s="1461"/>
      <c r="AQ52" s="56"/>
    </row>
    <row r="53" spans="14:43" customFormat="1" ht="16.350000000000001" customHeight="1">
      <c r="N53" s="166"/>
      <c r="O53" s="17"/>
      <c r="P53" s="1459"/>
      <c r="Q53" s="1460"/>
      <c r="R53" s="1460"/>
      <c r="S53" s="1460"/>
      <c r="T53" s="1460"/>
      <c r="U53" s="1460"/>
      <c r="V53" s="1460"/>
      <c r="W53" s="1460"/>
      <c r="X53" s="1460"/>
      <c r="Y53" s="1460"/>
      <c r="Z53" s="1460"/>
      <c r="AA53" s="1460"/>
      <c r="AB53" s="1460"/>
      <c r="AC53" s="1460"/>
      <c r="AD53" s="1460"/>
      <c r="AE53" s="1460"/>
      <c r="AF53" s="1460"/>
      <c r="AG53" s="1460"/>
      <c r="AH53" s="1460"/>
      <c r="AI53" s="1460"/>
      <c r="AJ53" s="1460"/>
      <c r="AK53" s="1460"/>
      <c r="AL53" s="1460"/>
      <c r="AM53" s="1460"/>
      <c r="AN53" s="1460"/>
      <c r="AO53" s="1460"/>
      <c r="AP53" s="1461"/>
      <c r="AQ53" s="56"/>
    </row>
    <row r="54" spans="14:43" customFormat="1" ht="16.350000000000001" customHeight="1">
      <c r="N54" s="166"/>
      <c r="O54" s="17"/>
      <c r="P54" s="1459"/>
      <c r="Q54" s="1460"/>
      <c r="R54" s="1460"/>
      <c r="S54" s="1460"/>
      <c r="T54" s="1460"/>
      <c r="U54" s="1460"/>
      <c r="V54" s="1460"/>
      <c r="W54" s="1460"/>
      <c r="X54" s="1460"/>
      <c r="Y54" s="1460"/>
      <c r="Z54" s="1460"/>
      <c r="AA54" s="1460"/>
      <c r="AB54" s="1460"/>
      <c r="AC54" s="1460"/>
      <c r="AD54" s="1460"/>
      <c r="AE54" s="1460"/>
      <c r="AF54" s="1460"/>
      <c r="AG54" s="1460"/>
      <c r="AH54" s="1460"/>
      <c r="AI54" s="1460"/>
      <c r="AJ54" s="1460"/>
      <c r="AK54" s="1460"/>
      <c r="AL54" s="1460"/>
      <c r="AM54" s="1460"/>
      <c r="AN54" s="1460"/>
      <c r="AO54" s="1460"/>
      <c r="AP54" s="1461"/>
      <c r="AQ54" s="56"/>
    </row>
    <row r="55" spans="14:43" customFormat="1" ht="16.350000000000001" customHeight="1">
      <c r="N55" s="166"/>
      <c r="O55" s="17"/>
      <c r="P55" s="1459"/>
      <c r="Q55" s="1460"/>
      <c r="R55" s="1460"/>
      <c r="S55" s="1460"/>
      <c r="T55" s="1460"/>
      <c r="U55" s="1460"/>
      <c r="V55" s="1460"/>
      <c r="W55" s="1460"/>
      <c r="X55" s="1460"/>
      <c r="Y55" s="1460"/>
      <c r="Z55" s="1460"/>
      <c r="AA55" s="1460"/>
      <c r="AB55" s="1460"/>
      <c r="AC55" s="1460"/>
      <c r="AD55" s="1460"/>
      <c r="AE55" s="1460"/>
      <c r="AF55" s="1460"/>
      <c r="AG55" s="1460"/>
      <c r="AH55" s="1460"/>
      <c r="AI55" s="1460"/>
      <c r="AJ55" s="1460"/>
      <c r="AK55" s="1460"/>
      <c r="AL55" s="1460"/>
      <c r="AM55" s="1460"/>
      <c r="AN55" s="1460"/>
      <c r="AO55" s="1460"/>
      <c r="AP55" s="1461"/>
      <c r="AQ55" s="56"/>
    </row>
    <row r="56" spans="14:43" customFormat="1" ht="16.350000000000001" customHeight="1">
      <c r="N56" s="166"/>
      <c r="O56" s="17"/>
      <c r="P56" s="1459"/>
      <c r="Q56" s="1460"/>
      <c r="R56" s="1460"/>
      <c r="S56" s="1460"/>
      <c r="T56" s="1460"/>
      <c r="U56" s="1460"/>
      <c r="V56" s="1460"/>
      <c r="W56" s="1460"/>
      <c r="X56" s="1460"/>
      <c r="Y56" s="1460"/>
      <c r="Z56" s="1460"/>
      <c r="AA56" s="1460"/>
      <c r="AB56" s="1460"/>
      <c r="AC56" s="1460"/>
      <c r="AD56" s="1460"/>
      <c r="AE56" s="1460"/>
      <c r="AF56" s="1460"/>
      <c r="AG56" s="1460"/>
      <c r="AH56" s="1460"/>
      <c r="AI56" s="1460"/>
      <c r="AJ56" s="1460"/>
      <c r="AK56" s="1460"/>
      <c r="AL56" s="1460"/>
      <c r="AM56" s="1460"/>
      <c r="AN56" s="1460"/>
      <c r="AO56" s="1460"/>
      <c r="AP56" s="1461"/>
      <c r="AQ56" s="56"/>
    </row>
    <row r="57" spans="14:43" customFormat="1" ht="16.350000000000001" customHeight="1">
      <c r="N57" s="166"/>
      <c r="O57" s="17"/>
      <c r="P57" s="1459"/>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460"/>
      <c r="AM57" s="1460"/>
      <c r="AN57" s="1460"/>
      <c r="AO57" s="1460"/>
      <c r="AP57" s="1461"/>
      <c r="AQ57" s="56"/>
    </row>
    <row r="58" spans="14:43" customFormat="1" ht="16.350000000000001" customHeight="1">
      <c r="N58" s="166"/>
      <c r="O58" s="17"/>
      <c r="P58" s="1459"/>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460"/>
      <c r="AM58" s="1460"/>
      <c r="AN58" s="1460"/>
      <c r="AO58" s="1460"/>
      <c r="AP58" s="1461"/>
      <c r="AQ58" s="56"/>
    </row>
    <row r="59" spans="14:43" customFormat="1" ht="16.350000000000001" customHeight="1">
      <c r="N59" s="166"/>
      <c r="O59" s="17"/>
      <c r="P59" s="1459"/>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460"/>
      <c r="AM59" s="1460"/>
      <c r="AN59" s="1460"/>
      <c r="AO59" s="1460"/>
      <c r="AP59" s="1461"/>
      <c r="AQ59" s="56"/>
    </row>
    <row r="60" spans="14:43" customFormat="1" ht="16.350000000000001" customHeight="1">
      <c r="N60" s="166"/>
      <c r="O60" s="17"/>
      <c r="P60" s="1459"/>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460"/>
      <c r="AM60" s="1460"/>
      <c r="AN60" s="1460"/>
      <c r="AO60" s="1460"/>
      <c r="AP60" s="1461"/>
      <c r="AQ60" s="56"/>
    </row>
    <row r="61" spans="14:43" customFormat="1" ht="16.350000000000001" customHeight="1">
      <c r="N61" s="166"/>
      <c r="O61" s="17"/>
      <c r="P61" s="1459"/>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460"/>
      <c r="AM61" s="1460"/>
      <c r="AN61" s="1460"/>
      <c r="AO61" s="1460"/>
      <c r="AP61" s="1461"/>
      <c r="AQ61" s="56"/>
    </row>
    <row r="62" spans="14:43" customFormat="1" ht="16.350000000000001" customHeight="1">
      <c r="N62" s="166"/>
      <c r="O62" s="17"/>
      <c r="P62" s="1459"/>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460"/>
      <c r="AM62" s="1460"/>
      <c r="AN62" s="1460"/>
      <c r="AO62" s="1460"/>
      <c r="AP62" s="1461"/>
      <c r="AQ62" s="56"/>
    </row>
    <row r="63" spans="14:43" customFormat="1" ht="16.350000000000001" customHeight="1">
      <c r="N63" s="166"/>
      <c r="O63" s="17"/>
      <c r="P63" s="1459"/>
      <c r="Q63" s="1460"/>
      <c r="R63" s="1460"/>
      <c r="S63" s="1460"/>
      <c r="T63" s="1460"/>
      <c r="U63" s="1460"/>
      <c r="V63" s="1460"/>
      <c r="W63" s="1460"/>
      <c r="X63" s="1460"/>
      <c r="Y63" s="1460"/>
      <c r="Z63" s="1460"/>
      <c r="AA63" s="1460"/>
      <c r="AB63" s="1460"/>
      <c r="AC63" s="1460"/>
      <c r="AD63" s="1460"/>
      <c r="AE63" s="1460"/>
      <c r="AF63" s="1460"/>
      <c r="AG63" s="1460"/>
      <c r="AH63" s="1460"/>
      <c r="AI63" s="1460"/>
      <c r="AJ63" s="1460"/>
      <c r="AK63" s="1460"/>
      <c r="AL63" s="1460"/>
      <c r="AM63" s="1460"/>
      <c r="AN63" s="1460"/>
      <c r="AO63" s="1460"/>
      <c r="AP63" s="1461"/>
      <c r="AQ63" s="56"/>
    </row>
    <row r="64" spans="14:43" customFormat="1" ht="16.350000000000001" customHeight="1">
      <c r="N64" s="166"/>
      <c r="O64" s="17"/>
      <c r="P64" s="1459"/>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460"/>
      <c r="AM64" s="1460"/>
      <c r="AN64" s="1460"/>
      <c r="AO64" s="1460"/>
      <c r="AP64" s="1461"/>
      <c r="AQ64" s="56"/>
    </row>
    <row r="65" spans="14:43" customFormat="1" ht="16.350000000000001" customHeight="1">
      <c r="N65" s="166"/>
      <c r="O65" s="17"/>
      <c r="P65" s="1459"/>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460"/>
      <c r="AM65" s="1460"/>
      <c r="AN65" s="1460"/>
      <c r="AO65" s="1460"/>
      <c r="AP65" s="1461"/>
      <c r="AQ65" s="56"/>
    </row>
    <row r="66" spans="14:43" customFormat="1" ht="16.350000000000001" customHeight="1">
      <c r="N66" s="166"/>
      <c r="O66" s="17"/>
      <c r="P66" s="1459"/>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460"/>
      <c r="AM66" s="1460"/>
      <c r="AN66" s="1460"/>
      <c r="AO66" s="1460"/>
      <c r="AP66" s="1461"/>
      <c r="AQ66" s="56"/>
    </row>
    <row r="67" spans="14:43" customFormat="1" ht="16.350000000000001" customHeight="1">
      <c r="N67" s="166"/>
      <c r="O67" s="17"/>
      <c r="P67" s="1459"/>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460"/>
      <c r="AM67" s="1460"/>
      <c r="AN67" s="1460"/>
      <c r="AO67" s="1460"/>
      <c r="AP67" s="1461"/>
      <c r="AQ67" s="56"/>
    </row>
    <row r="68" spans="14:43" customFormat="1" ht="16.350000000000001" customHeight="1">
      <c r="N68" s="166"/>
      <c r="O68" s="17"/>
      <c r="P68" s="1459"/>
      <c r="Q68" s="1460"/>
      <c r="R68" s="1460"/>
      <c r="S68" s="1460"/>
      <c r="T68" s="1460"/>
      <c r="U68" s="1460"/>
      <c r="V68" s="1460"/>
      <c r="W68" s="1460"/>
      <c r="X68" s="1460"/>
      <c r="Y68" s="1460"/>
      <c r="Z68" s="1460"/>
      <c r="AA68" s="1460"/>
      <c r="AB68" s="1460"/>
      <c r="AC68" s="1460"/>
      <c r="AD68" s="1460"/>
      <c r="AE68" s="1460"/>
      <c r="AF68" s="1460"/>
      <c r="AG68" s="1460"/>
      <c r="AH68" s="1460"/>
      <c r="AI68" s="1460"/>
      <c r="AJ68" s="1460"/>
      <c r="AK68" s="1460"/>
      <c r="AL68" s="1460"/>
      <c r="AM68" s="1460"/>
      <c r="AN68" s="1460"/>
      <c r="AO68" s="1460"/>
      <c r="AP68" s="1461"/>
      <c r="AQ68" s="56"/>
    </row>
    <row r="69" spans="14:43" customFormat="1" ht="16.350000000000001" customHeight="1">
      <c r="N69" s="166"/>
      <c r="O69" s="17"/>
      <c r="P69" s="1459"/>
      <c r="Q69" s="1460"/>
      <c r="R69" s="1460"/>
      <c r="S69" s="1460"/>
      <c r="T69" s="1460"/>
      <c r="U69" s="1460"/>
      <c r="V69" s="1460"/>
      <c r="W69" s="1460"/>
      <c r="X69" s="1460"/>
      <c r="Y69" s="1460"/>
      <c r="Z69" s="1460"/>
      <c r="AA69" s="1460"/>
      <c r="AB69" s="1460"/>
      <c r="AC69" s="1460"/>
      <c r="AD69" s="1460"/>
      <c r="AE69" s="1460"/>
      <c r="AF69" s="1460"/>
      <c r="AG69" s="1460"/>
      <c r="AH69" s="1460"/>
      <c r="AI69" s="1460"/>
      <c r="AJ69" s="1460"/>
      <c r="AK69" s="1460"/>
      <c r="AL69" s="1460"/>
      <c r="AM69" s="1460"/>
      <c r="AN69" s="1460"/>
      <c r="AO69" s="1460"/>
      <c r="AP69" s="1461"/>
      <c r="AQ69" s="56"/>
    </row>
    <row r="70" spans="14:43" customFormat="1" ht="16.350000000000001" customHeight="1">
      <c r="N70" s="166"/>
      <c r="O70" s="17"/>
      <c r="P70" s="1459"/>
      <c r="Q70" s="1460"/>
      <c r="R70" s="1460"/>
      <c r="S70" s="1460"/>
      <c r="T70" s="1460"/>
      <c r="U70" s="1460"/>
      <c r="V70" s="1460"/>
      <c r="W70" s="1460"/>
      <c r="X70" s="1460"/>
      <c r="Y70" s="1460"/>
      <c r="Z70" s="1460"/>
      <c r="AA70" s="1460"/>
      <c r="AB70" s="1460"/>
      <c r="AC70" s="1460"/>
      <c r="AD70" s="1460"/>
      <c r="AE70" s="1460"/>
      <c r="AF70" s="1460"/>
      <c r="AG70" s="1460"/>
      <c r="AH70" s="1460"/>
      <c r="AI70" s="1460"/>
      <c r="AJ70" s="1460"/>
      <c r="AK70" s="1460"/>
      <c r="AL70" s="1460"/>
      <c r="AM70" s="1460"/>
      <c r="AN70" s="1460"/>
      <c r="AO70" s="1460"/>
      <c r="AP70" s="1461"/>
      <c r="AQ70" s="56"/>
    </row>
    <row r="71" spans="14:43" customFormat="1" ht="16.350000000000001" customHeight="1">
      <c r="N71" s="166"/>
      <c r="O71" s="17"/>
      <c r="P71" s="1459"/>
      <c r="Q71" s="1460"/>
      <c r="R71" s="1460"/>
      <c r="S71" s="1460"/>
      <c r="T71" s="1460"/>
      <c r="U71" s="1460"/>
      <c r="V71" s="1460"/>
      <c r="W71" s="1460"/>
      <c r="X71" s="1460"/>
      <c r="Y71" s="1460"/>
      <c r="Z71" s="1460"/>
      <c r="AA71" s="1460"/>
      <c r="AB71" s="1460"/>
      <c r="AC71" s="1460"/>
      <c r="AD71" s="1460"/>
      <c r="AE71" s="1460"/>
      <c r="AF71" s="1460"/>
      <c r="AG71" s="1460"/>
      <c r="AH71" s="1460"/>
      <c r="AI71" s="1460"/>
      <c r="AJ71" s="1460"/>
      <c r="AK71" s="1460"/>
      <c r="AL71" s="1460"/>
      <c r="AM71" s="1460"/>
      <c r="AN71" s="1460"/>
      <c r="AO71" s="1460"/>
      <c r="AP71" s="1461"/>
      <c r="AQ71" s="56"/>
    </row>
    <row r="72" spans="14:43" customFormat="1" ht="16.350000000000001" customHeight="1">
      <c r="N72" s="166"/>
      <c r="O72" s="17"/>
      <c r="P72" s="1459"/>
      <c r="Q72" s="1460"/>
      <c r="R72" s="1460"/>
      <c r="S72" s="1460"/>
      <c r="T72" s="1460"/>
      <c r="U72" s="1460"/>
      <c r="V72" s="1460"/>
      <c r="W72" s="1460"/>
      <c r="X72" s="1460"/>
      <c r="Y72" s="1460"/>
      <c r="Z72" s="1460"/>
      <c r="AA72" s="1460"/>
      <c r="AB72" s="1460"/>
      <c r="AC72" s="1460"/>
      <c r="AD72" s="1460"/>
      <c r="AE72" s="1460"/>
      <c r="AF72" s="1460"/>
      <c r="AG72" s="1460"/>
      <c r="AH72" s="1460"/>
      <c r="AI72" s="1460"/>
      <c r="AJ72" s="1460"/>
      <c r="AK72" s="1460"/>
      <c r="AL72" s="1460"/>
      <c r="AM72" s="1460"/>
      <c r="AN72" s="1460"/>
      <c r="AO72" s="1460"/>
      <c r="AP72" s="1461"/>
      <c r="AQ72" s="56"/>
    </row>
    <row r="73" spans="14:43" customFormat="1" ht="16.350000000000001" customHeight="1">
      <c r="N73" s="166"/>
      <c r="O73" s="17"/>
      <c r="P73" s="1459"/>
      <c r="Q73" s="1460"/>
      <c r="R73" s="1460"/>
      <c r="S73" s="1460"/>
      <c r="T73" s="1460"/>
      <c r="U73" s="1460"/>
      <c r="V73" s="1460"/>
      <c r="W73" s="1460"/>
      <c r="X73" s="1460"/>
      <c r="Y73" s="1460"/>
      <c r="Z73" s="1460"/>
      <c r="AA73" s="1460"/>
      <c r="AB73" s="1460"/>
      <c r="AC73" s="1460"/>
      <c r="AD73" s="1460"/>
      <c r="AE73" s="1460"/>
      <c r="AF73" s="1460"/>
      <c r="AG73" s="1460"/>
      <c r="AH73" s="1460"/>
      <c r="AI73" s="1460"/>
      <c r="AJ73" s="1460"/>
      <c r="AK73" s="1460"/>
      <c r="AL73" s="1460"/>
      <c r="AM73" s="1460"/>
      <c r="AN73" s="1460"/>
      <c r="AO73" s="1460"/>
      <c r="AP73" s="1461"/>
      <c r="AQ73" s="56"/>
    </row>
    <row r="74" spans="14:43" customFormat="1" ht="16.350000000000001" customHeight="1">
      <c r="N74" s="166"/>
      <c r="O74" s="17"/>
      <c r="P74" s="1459"/>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460"/>
      <c r="AM74" s="1460"/>
      <c r="AN74" s="1460"/>
      <c r="AO74" s="1460"/>
      <c r="AP74" s="1461"/>
      <c r="AQ74" s="56"/>
    </row>
    <row r="75" spans="14:43" customFormat="1" ht="16.350000000000001" customHeight="1">
      <c r="N75" s="166"/>
      <c r="O75" s="17"/>
      <c r="P75" s="1459"/>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460"/>
      <c r="AM75" s="1460"/>
      <c r="AN75" s="1460"/>
      <c r="AO75" s="1460"/>
      <c r="AP75" s="1461"/>
      <c r="AQ75" s="56"/>
    </row>
    <row r="76" spans="14:43" customFormat="1" ht="16.350000000000001" customHeight="1">
      <c r="N76" s="166"/>
      <c r="O76" s="17"/>
      <c r="P76" s="1459"/>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460"/>
      <c r="AM76" s="1460"/>
      <c r="AN76" s="1460"/>
      <c r="AO76" s="1460"/>
      <c r="AP76" s="1461"/>
      <c r="AQ76" s="56"/>
    </row>
    <row r="77" spans="14:43" customFormat="1" ht="16.350000000000001" customHeight="1">
      <c r="N77" s="166"/>
      <c r="O77" s="17"/>
      <c r="P77" s="1459"/>
      <c r="Q77" s="1460"/>
      <c r="R77" s="1460"/>
      <c r="S77" s="1460"/>
      <c r="T77" s="1460"/>
      <c r="U77" s="1460"/>
      <c r="V77" s="1460"/>
      <c r="W77" s="1460"/>
      <c r="X77" s="1460"/>
      <c r="Y77" s="1460"/>
      <c r="Z77" s="1460"/>
      <c r="AA77" s="1460"/>
      <c r="AB77" s="1460"/>
      <c r="AC77" s="1460"/>
      <c r="AD77" s="1460"/>
      <c r="AE77" s="1460"/>
      <c r="AF77" s="1460"/>
      <c r="AG77" s="1460"/>
      <c r="AH77" s="1460"/>
      <c r="AI77" s="1460"/>
      <c r="AJ77" s="1460"/>
      <c r="AK77" s="1460"/>
      <c r="AL77" s="1460"/>
      <c r="AM77" s="1460"/>
      <c r="AN77" s="1460"/>
      <c r="AO77" s="1460"/>
      <c r="AP77" s="1461"/>
      <c r="AQ77" s="56"/>
    </row>
    <row r="78" spans="14:43" customFormat="1" ht="16.350000000000001" customHeight="1">
      <c r="N78" s="166"/>
      <c r="O78" s="17"/>
      <c r="P78" s="1459"/>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460"/>
      <c r="AM78" s="1460"/>
      <c r="AN78" s="1460"/>
      <c r="AO78" s="1460"/>
      <c r="AP78" s="1461"/>
      <c r="AQ78" s="56"/>
    </row>
    <row r="79" spans="14:43" customFormat="1" ht="16.350000000000001" customHeight="1">
      <c r="N79" s="166"/>
      <c r="O79" s="17"/>
      <c r="P79" s="1459"/>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460"/>
      <c r="AM79" s="1460"/>
      <c r="AN79" s="1460"/>
      <c r="AO79" s="1460"/>
      <c r="AP79" s="1461"/>
      <c r="AQ79" s="56"/>
    </row>
    <row r="80" spans="14:43" customFormat="1" ht="16.350000000000001" customHeight="1">
      <c r="N80" s="166"/>
      <c r="O80" s="17"/>
      <c r="P80" s="1459"/>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460"/>
      <c r="AM80" s="1460"/>
      <c r="AN80" s="1460"/>
      <c r="AO80" s="1460"/>
      <c r="AP80" s="1461"/>
      <c r="AQ80" s="56"/>
    </row>
    <row r="81" spans="14:43" customFormat="1" ht="16.350000000000001" customHeight="1">
      <c r="N81" s="166"/>
      <c r="O81" s="17"/>
      <c r="P81" s="1459"/>
      <c r="Q81" s="1460"/>
      <c r="R81" s="1460"/>
      <c r="S81" s="1460"/>
      <c r="T81" s="1460"/>
      <c r="U81" s="1460"/>
      <c r="V81" s="1460"/>
      <c r="W81" s="1460"/>
      <c r="X81" s="1460"/>
      <c r="Y81" s="1460"/>
      <c r="Z81" s="1460"/>
      <c r="AA81" s="1460"/>
      <c r="AB81" s="1460"/>
      <c r="AC81" s="1460"/>
      <c r="AD81" s="1460"/>
      <c r="AE81" s="1460"/>
      <c r="AF81" s="1460"/>
      <c r="AG81" s="1460"/>
      <c r="AH81" s="1460"/>
      <c r="AI81" s="1460"/>
      <c r="AJ81" s="1460"/>
      <c r="AK81" s="1460"/>
      <c r="AL81" s="1460"/>
      <c r="AM81" s="1460"/>
      <c r="AN81" s="1460"/>
      <c r="AO81" s="1460"/>
      <c r="AP81" s="1461"/>
      <c r="AQ81" s="56"/>
    </row>
    <row r="82" spans="14:43" customFormat="1" ht="16.350000000000001" customHeight="1">
      <c r="N82" s="166"/>
      <c r="O82" s="17"/>
      <c r="P82" s="1459"/>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460"/>
      <c r="AM82" s="1460"/>
      <c r="AN82" s="1460"/>
      <c r="AO82" s="1460"/>
      <c r="AP82" s="1461"/>
      <c r="AQ82" s="56"/>
    </row>
    <row r="83" spans="14:43" customFormat="1" ht="16.350000000000001" customHeight="1">
      <c r="N83" s="166"/>
      <c r="O83" s="17"/>
      <c r="P83" s="1459"/>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460"/>
      <c r="AM83" s="1460"/>
      <c r="AN83" s="1460"/>
      <c r="AO83" s="1460"/>
      <c r="AP83" s="1461"/>
      <c r="AQ83" s="56"/>
    </row>
    <row r="84" spans="14:43" customFormat="1" ht="16.350000000000001" customHeight="1">
      <c r="N84" s="166"/>
      <c r="O84" s="17"/>
      <c r="P84" s="1459"/>
      <c r="Q84" s="1460"/>
      <c r="R84" s="1460"/>
      <c r="S84" s="1460"/>
      <c r="T84" s="1460"/>
      <c r="U84" s="1460"/>
      <c r="V84" s="1460"/>
      <c r="W84" s="1460"/>
      <c r="X84" s="1460"/>
      <c r="Y84" s="1460"/>
      <c r="Z84" s="1460"/>
      <c r="AA84" s="1460"/>
      <c r="AB84" s="1460"/>
      <c r="AC84" s="1460"/>
      <c r="AD84" s="1460"/>
      <c r="AE84" s="1460"/>
      <c r="AF84" s="1460"/>
      <c r="AG84" s="1460"/>
      <c r="AH84" s="1460"/>
      <c r="AI84" s="1460"/>
      <c r="AJ84" s="1460"/>
      <c r="AK84" s="1460"/>
      <c r="AL84" s="1460"/>
      <c r="AM84" s="1460"/>
      <c r="AN84" s="1460"/>
      <c r="AO84" s="1460"/>
      <c r="AP84" s="1461"/>
      <c r="AQ84" s="56"/>
    </row>
    <row r="85" spans="14:43" customFormat="1" ht="16.350000000000001" customHeight="1">
      <c r="N85" s="166"/>
      <c r="O85" s="17"/>
      <c r="P85" s="1459"/>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460"/>
      <c r="AM85" s="1460"/>
      <c r="AN85" s="1460"/>
      <c r="AO85" s="1460"/>
      <c r="AP85" s="1461"/>
      <c r="AQ85" s="56"/>
    </row>
    <row r="86" spans="14:43" customFormat="1" ht="16.350000000000001" customHeight="1">
      <c r="N86" s="166"/>
      <c r="O86" s="17"/>
      <c r="P86" s="1459"/>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460"/>
      <c r="AM86" s="1460"/>
      <c r="AN86" s="1460"/>
      <c r="AO86" s="1460"/>
      <c r="AP86" s="1461"/>
      <c r="AQ86" s="56"/>
    </row>
    <row r="87" spans="14:43" customFormat="1" ht="16.350000000000001" customHeight="1">
      <c r="N87" s="166"/>
      <c r="O87" s="17"/>
      <c r="P87" s="1459"/>
      <c r="Q87" s="1460"/>
      <c r="R87" s="1460"/>
      <c r="S87" s="1460"/>
      <c r="T87" s="1460"/>
      <c r="U87" s="1460"/>
      <c r="V87" s="1460"/>
      <c r="W87" s="1460"/>
      <c r="X87" s="1460"/>
      <c r="Y87" s="1460"/>
      <c r="Z87" s="1460"/>
      <c r="AA87" s="1460"/>
      <c r="AB87" s="1460"/>
      <c r="AC87" s="1460"/>
      <c r="AD87" s="1460"/>
      <c r="AE87" s="1460"/>
      <c r="AF87" s="1460"/>
      <c r="AG87" s="1460"/>
      <c r="AH87" s="1460"/>
      <c r="AI87" s="1460"/>
      <c r="AJ87" s="1460"/>
      <c r="AK87" s="1460"/>
      <c r="AL87" s="1460"/>
      <c r="AM87" s="1460"/>
      <c r="AN87" s="1460"/>
      <c r="AO87" s="1460"/>
      <c r="AP87" s="1461"/>
      <c r="AQ87" s="56"/>
    </row>
    <row r="88" spans="14:43" customFormat="1" ht="16.350000000000001" customHeight="1">
      <c r="N88" s="166"/>
      <c r="O88" s="17"/>
      <c r="P88" s="1459"/>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460"/>
      <c r="AM88" s="1460"/>
      <c r="AN88" s="1460"/>
      <c r="AO88" s="1460"/>
      <c r="AP88" s="1461"/>
      <c r="AQ88" s="56"/>
    </row>
    <row r="89" spans="14:43" customFormat="1" ht="16.350000000000001" customHeight="1">
      <c r="N89" s="166"/>
      <c r="O89" s="17"/>
      <c r="P89" s="1459"/>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460"/>
      <c r="AM89" s="1460"/>
      <c r="AN89" s="1460"/>
      <c r="AO89" s="1460"/>
      <c r="AP89" s="1461"/>
      <c r="AQ89" s="56"/>
    </row>
    <row r="90" spans="14:43" customFormat="1" ht="16.350000000000001" customHeight="1">
      <c r="N90" s="166"/>
      <c r="O90" s="17"/>
      <c r="P90" s="1459"/>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460"/>
      <c r="AM90" s="1460"/>
      <c r="AN90" s="1460"/>
      <c r="AO90" s="1460"/>
      <c r="AP90" s="1461"/>
      <c r="AQ90" s="56"/>
    </row>
    <row r="91" spans="14:43" customFormat="1" ht="16.350000000000001" customHeight="1">
      <c r="N91" s="166"/>
      <c r="O91" s="17"/>
      <c r="P91" s="1459"/>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460"/>
      <c r="AM91" s="1460"/>
      <c r="AN91" s="1460"/>
      <c r="AO91" s="1460"/>
      <c r="AP91" s="1461"/>
      <c r="AQ91" s="56"/>
    </row>
    <row r="92" spans="14:43" customFormat="1" ht="16.350000000000001" customHeight="1">
      <c r="N92" s="166"/>
      <c r="O92" s="17"/>
      <c r="P92" s="1459"/>
      <c r="Q92" s="1460"/>
      <c r="R92" s="1460"/>
      <c r="S92" s="1460"/>
      <c r="T92" s="1460"/>
      <c r="U92" s="1460"/>
      <c r="V92" s="1460"/>
      <c r="W92" s="1460"/>
      <c r="X92" s="1460"/>
      <c r="Y92" s="1460"/>
      <c r="Z92" s="1460"/>
      <c r="AA92" s="1460"/>
      <c r="AB92" s="1460"/>
      <c r="AC92" s="1460"/>
      <c r="AD92" s="1460"/>
      <c r="AE92" s="1460"/>
      <c r="AF92" s="1460"/>
      <c r="AG92" s="1460"/>
      <c r="AH92" s="1460"/>
      <c r="AI92" s="1460"/>
      <c r="AJ92" s="1460"/>
      <c r="AK92" s="1460"/>
      <c r="AL92" s="1460"/>
      <c r="AM92" s="1460"/>
      <c r="AN92" s="1460"/>
      <c r="AO92" s="1460"/>
      <c r="AP92" s="1461"/>
      <c r="AQ92" s="56"/>
    </row>
    <row r="93" spans="14:43" customFormat="1" ht="16.350000000000001" customHeight="1">
      <c r="N93" s="166"/>
      <c r="O93" s="17"/>
      <c r="P93" s="1459"/>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460"/>
      <c r="AM93" s="1460"/>
      <c r="AN93" s="1460"/>
      <c r="AO93" s="1460"/>
      <c r="AP93" s="1461"/>
      <c r="AQ93" s="56"/>
    </row>
    <row r="94" spans="14:43" customFormat="1" ht="16.350000000000001" customHeight="1">
      <c r="N94" s="166"/>
      <c r="O94" s="17"/>
      <c r="P94" s="1459"/>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460"/>
      <c r="AM94" s="1460"/>
      <c r="AN94" s="1460"/>
      <c r="AO94" s="1460"/>
      <c r="AP94" s="1461"/>
      <c r="AQ94" s="56"/>
    </row>
    <row r="95" spans="14:43" customFormat="1" ht="16.350000000000001" customHeight="1">
      <c r="N95" s="166"/>
      <c r="O95" s="17"/>
      <c r="P95" s="1459"/>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460"/>
      <c r="AM95" s="1460"/>
      <c r="AN95" s="1460"/>
      <c r="AO95" s="1460"/>
      <c r="AP95" s="1461"/>
      <c r="AQ95" s="56"/>
    </row>
    <row r="96" spans="14:43" customFormat="1" ht="16.350000000000001" customHeight="1">
      <c r="N96" s="166"/>
      <c r="O96" s="17"/>
      <c r="P96" s="1459"/>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460"/>
      <c r="AM96" s="1460"/>
      <c r="AN96" s="1460"/>
      <c r="AO96" s="1460"/>
      <c r="AP96" s="1461"/>
      <c r="AQ96" s="56"/>
    </row>
    <row r="97" spans="14:43" customFormat="1" ht="16.350000000000001" customHeight="1">
      <c r="N97" s="166"/>
      <c r="O97" s="17"/>
      <c r="P97" s="1459"/>
      <c r="Q97" s="1460"/>
      <c r="R97" s="1460"/>
      <c r="S97" s="1460"/>
      <c r="T97" s="1460"/>
      <c r="U97" s="1460"/>
      <c r="V97" s="1460"/>
      <c r="W97" s="1460"/>
      <c r="X97" s="1460"/>
      <c r="Y97" s="1460"/>
      <c r="Z97" s="1460"/>
      <c r="AA97" s="1460"/>
      <c r="AB97" s="1460"/>
      <c r="AC97" s="1460"/>
      <c r="AD97" s="1460"/>
      <c r="AE97" s="1460"/>
      <c r="AF97" s="1460"/>
      <c r="AG97" s="1460"/>
      <c r="AH97" s="1460"/>
      <c r="AI97" s="1460"/>
      <c r="AJ97" s="1460"/>
      <c r="AK97" s="1460"/>
      <c r="AL97" s="1460"/>
      <c r="AM97" s="1460"/>
      <c r="AN97" s="1460"/>
      <c r="AO97" s="1460"/>
      <c r="AP97" s="1461"/>
      <c r="AQ97" s="56"/>
    </row>
    <row r="98" spans="14:43" customFormat="1" ht="16.350000000000001" customHeight="1">
      <c r="N98" s="166"/>
      <c r="O98" s="17"/>
      <c r="P98" s="1459"/>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460"/>
      <c r="AM98" s="1460"/>
      <c r="AN98" s="1460"/>
      <c r="AO98" s="1460"/>
      <c r="AP98" s="1461"/>
      <c r="AQ98" s="56"/>
    </row>
    <row r="99" spans="14:43" customFormat="1" ht="16.350000000000001" customHeight="1">
      <c r="N99" s="166"/>
      <c r="O99" s="17"/>
      <c r="P99" s="1459"/>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460"/>
      <c r="AM99" s="1460"/>
      <c r="AN99" s="1460"/>
      <c r="AO99" s="1460"/>
      <c r="AP99" s="1461"/>
      <c r="AQ99" s="56"/>
    </row>
    <row r="100" spans="14:43" customFormat="1" ht="16.350000000000001" customHeight="1">
      <c r="N100" s="166"/>
      <c r="O100" s="17"/>
      <c r="P100" s="1459"/>
      <c r="Q100" s="1460"/>
      <c r="R100" s="1460"/>
      <c r="S100" s="1460"/>
      <c r="T100" s="1460"/>
      <c r="U100" s="1460"/>
      <c r="V100" s="1460"/>
      <c r="W100" s="1460"/>
      <c r="X100" s="1460"/>
      <c r="Y100" s="1460"/>
      <c r="Z100" s="1460"/>
      <c r="AA100" s="1460"/>
      <c r="AB100" s="1460"/>
      <c r="AC100" s="1460"/>
      <c r="AD100" s="1460"/>
      <c r="AE100" s="1460"/>
      <c r="AF100" s="1460"/>
      <c r="AG100" s="1460"/>
      <c r="AH100" s="1460"/>
      <c r="AI100" s="1460"/>
      <c r="AJ100" s="1460"/>
      <c r="AK100" s="1460"/>
      <c r="AL100" s="1460"/>
      <c r="AM100" s="1460"/>
      <c r="AN100" s="1460"/>
      <c r="AO100" s="1460"/>
      <c r="AP100" s="1461"/>
      <c r="AQ100" s="56"/>
    </row>
    <row r="101" spans="14:43" customFormat="1" ht="16.350000000000001" customHeight="1">
      <c r="N101" s="166"/>
      <c r="O101" s="17"/>
      <c r="P101" s="1459"/>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460"/>
      <c r="AM101" s="1460"/>
      <c r="AN101" s="1460"/>
      <c r="AO101" s="1460"/>
      <c r="AP101" s="1461"/>
      <c r="AQ101" s="56"/>
    </row>
    <row r="102" spans="14:43" customFormat="1" ht="16.350000000000001" customHeight="1">
      <c r="N102" s="166"/>
      <c r="O102" s="17"/>
      <c r="P102" s="1459"/>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460"/>
      <c r="AM102" s="1460"/>
      <c r="AN102" s="1460"/>
      <c r="AO102" s="1460"/>
      <c r="AP102" s="1461"/>
      <c r="AQ102" s="56"/>
    </row>
    <row r="103" spans="14:43" customFormat="1" ht="16.350000000000001" customHeight="1">
      <c r="N103" s="166"/>
      <c r="O103" s="17"/>
      <c r="P103" s="1459"/>
      <c r="Q103" s="1460"/>
      <c r="R103" s="1460"/>
      <c r="S103" s="1460"/>
      <c r="T103" s="1460"/>
      <c r="U103" s="1460"/>
      <c r="V103" s="1460"/>
      <c r="W103" s="1460"/>
      <c r="X103" s="1460"/>
      <c r="Y103" s="1460"/>
      <c r="Z103" s="1460"/>
      <c r="AA103" s="1460"/>
      <c r="AB103" s="1460"/>
      <c r="AC103" s="1460"/>
      <c r="AD103" s="1460"/>
      <c r="AE103" s="1460"/>
      <c r="AF103" s="1460"/>
      <c r="AG103" s="1460"/>
      <c r="AH103" s="1460"/>
      <c r="AI103" s="1460"/>
      <c r="AJ103" s="1460"/>
      <c r="AK103" s="1460"/>
      <c r="AL103" s="1460"/>
      <c r="AM103" s="1460"/>
      <c r="AN103" s="1460"/>
      <c r="AO103" s="1460"/>
      <c r="AP103" s="1461"/>
      <c r="AQ103" s="56"/>
    </row>
    <row r="104" spans="14:43" customFormat="1" ht="16.350000000000001" customHeight="1">
      <c r="N104" s="166"/>
      <c r="O104" s="17"/>
      <c r="P104" s="1459"/>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460"/>
      <c r="AM104" s="1460"/>
      <c r="AN104" s="1460"/>
      <c r="AO104" s="1460"/>
      <c r="AP104" s="1461"/>
      <c r="AQ104" s="56"/>
    </row>
    <row r="105" spans="14:43" customFormat="1" ht="16.350000000000001" customHeight="1">
      <c r="N105" s="166"/>
      <c r="O105" s="17"/>
      <c r="P105" s="1459"/>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1460"/>
      <c r="AM105" s="1460"/>
      <c r="AN105" s="1460"/>
      <c r="AO105" s="1460"/>
      <c r="AP105" s="1461"/>
      <c r="AQ105" s="56"/>
    </row>
    <row r="106" spans="14:43" customFormat="1" ht="16.350000000000001" customHeight="1">
      <c r="N106" s="166"/>
      <c r="O106" s="17"/>
      <c r="P106" s="1459"/>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1460"/>
      <c r="AM106" s="1460"/>
      <c r="AN106" s="1460"/>
      <c r="AO106" s="1460"/>
      <c r="AP106" s="1461"/>
      <c r="AQ106" s="56"/>
    </row>
    <row r="107" spans="14:43" customFormat="1" ht="16.350000000000001" customHeight="1">
      <c r="N107" s="166"/>
      <c r="O107" s="17"/>
      <c r="P107" s="1459"/>
      <c r="Q107" s="1460"/>
      <c r="R107" s="1460"/>
      <c r="S107" s="1460"/>
      <c r="T107" s="1460"/>
      <c r="U107" s="1460"/>
      <c r="V107" s="1460"/>
      <c r="W107" s="1460"/>
      <c r="X107" s="1460"/>
      <c r="Y107" s="1460"/>
      <c r="Z107" s="1460"/>
      <c r="AA107" s="1460"/>
      <c r="AB107" s="1460"/>
      <c r="AC107" s="1460"/>
      <c r="AD107" s="1460"/>
      <c r="AE107" s="1460"/>
      <c r="AF107" s="1460"/>
      <c r="AG107" s="1460"/>
      <c r="AH107" s="1460"/>
      <c r="AI107" s="1460"/>
      <c r="AJ107" s="1460"/>
      <c r="AK107" s="1460"/>
      <c r="AL107" s="1460"/>
      <c r="AM107" s="1460"/>
      <c r="AN107" s="1460"/>
      <c r="AO107" s="1460"/>
      <c r="AP107" s="1461"/>
      <c r="AQ107" s="56"/>
    </row>
    <row r="108" spans="14:43" customFormat="1" ht="16.350000000000001" customHeight="1">
      <c r="N108" s="166"/>
      <c r="O108" s="17"/>
      <c r="P108" s="1459"/>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460"/>
      <c r="AM108" s="1460"/>
      <c r="AN108" s="1460"/>
      <c r="AO108" s="1460"/>
      <c r="AP108" s="1461"/>
      <c r="AQ108" s="56"/>
    </row>
    <row r="109" spans="14:43" customFormat="1" ht="16.350000000000001" customHeight="1">
      <c r="N109" s="166"/>
      <c r="O109" s="17"/>
      <c r="P109" s="1459"/>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460"/>
      <c r="AM109" s="1460"/>
      <c r="AN109" s="1460"/>
      <c r="AO109" s="1460"/>
      <c r="AP109" s="1461"/>
      <c r="AQ109" s="56"/>
    </row>
    <row r="110" spans="14:43" customFormat="1" ht="16.350000000000001" customHeight="1">
      <c r="N110" s="166"/>
      <c r="O110" s="17"/>
      <c r="P110" s="1459"/>
      <c r="Q110" s="1460"/>
      <c r="R110" s="1460"/>
      <c r="S110" s="1460"/>
      <c r="T110" s="1460"/>
      <c r="U110" s="1460"/>
      <c r="V110" s="1460"/>
      <c r="W110" s="1460"/>
      <c r="X110" s="1460"/>
      <c r="Y110" s="1460"/>
      <c r="Z110" s="1460"/>
      <c r="AA110" s="1460"/>
      <c r="AB110" s="1460"/>
      <c r="AC110" s="1460"/>
      <c r="AD110" s="1460"/>
      <c r="AE110" s="1460"/>
      <c r="AF110" s="1460"/>
      <c r="AG110" s="1460"/>
      <c r="AH110" s="1460"/>
      <c r="AI110" s="1460"/>
      <c r="AJ110" s="1460"/>
      <c r="AK110" s="1460"/>
      <c r="AL110" s="1460"/>
      <c r="AM110" s="1460"/>
      <c r="AN110" s="1460"/>
      <c r="AO110" s="1460"/>
      <c r="AP110" s="1461"/>
      <c r="AQ110" s="56"/>
    </row>
    <row r="111" spans="14:43" customFormat="1" ht="16.350000000000001" customHeight="1">
      <c r="N111" s="166"/>
      <c r="O111" s="17"/>
      <c r="P111" s="1459"/>
      <c r="Q111" s="1460"/>
      <c r="R111" s="1460"/>
      <c r="S111" s="1460"/>
      <c r="T111" s="1460"/>
      <c r="U111" s="1460"/>
      <c r="V111" s="1460"/>
      <c r="W111" s="1460"/>
      <c r="X111" s="1460"/>
      <c r="Y111" s="1460"/>
      <c r="Z111" s="1460"/>
      <c r="AA111" s="1460"/>
      <c r="AB111" s="1460"/>
      <c r="AC111" s="1460"/>
      <c r="AD111" s="1460"/>
      <c r="AE111" s="1460"/>
      <c r="AF111" s="1460"/>
      <c r="AG111" s="1460"/>
      <c r="AH111" s="1460"/>
      <c r="AI111" s="1460"/>
      <c r="AJ111" s="1460"/>
      <c r="AK111" s="1460"/>
      <c r="AL111" s="1460"/>
      <c r="AM111" s="1460"/>
      <c r="AN111" s="1460"/>
      <c r="AO111" s="1460"/>
      <c r="AP111" s="1461"/>
      <c r="AQ111" s="56"/>
    </row>
    <row r="112" spans="14:43" customFormat="1" ht="16.350000000000001" customHeight="1">
      <c r="N112" s="166"/>
      <c r="O112" s="17"/>
      <c r="P112" s="1459"/>
      <c r="Q112" s="1460"/>
      <c r="R112" s="1460"/>
      <c r="S112" s="1460"/>
      <c r="T112" s="1460"/>
      <c r="U112" s="1460"/>
      <c r="V112" s="1460"/>
      <c r="W112" s="1460"/>
      <c r="X112" s="1460"/>
      <c r="Y112" s="1460"/>
      <c r="Z112" s="1460"/>
      <c r="AA112" s="1460"/>
      <c r="AB112" s="1460"/>
      <c r="AC112" s="1460"/>
      <c r="AD112" s="1460"/>
      <c r="AE112" s="1460"/>
      <c r="AF112" s="1460"/>
      <c r="AG112" s="1460"/>
      <c r="AH112" s="1460"/>
      <c r="AI112" s="1460"/>
      <c r="AJ112" s="1460"/>
      <c r="AK112" s="1460"/>
      <c r="AL112" s="1460"/>
      <c r="AM112" s="1460"/>
      <c r="AN112" s="1460"/>
      <c r="AO112" s="1460"/>
      <c r="AP112" s="1461"/>
      <c r="AQ112" s="56"/>
    </row>
    <row r="113" spans="14:43" customFormat="1" ht="16.350000000000001" customHeight="1">
      <c r="N113" s="166"/>
      <c r="O113" s="17"/>
      <c r="P113" s="1459"/>
      <c r="Q113" s="1460"/>
      <c r="R113" s="1460"/>
      <c r="S113" s="1460"/>
      <c r="T113" s="1460"/>
      <c r="U113" s="1460"/>
      <c r="V113" s="1460"/>
      <c r="W113" s="1460"/>
      <c r="X113" s="1460"/>
      <c r="Y113" s="1460"/>
      <c r="Z113" s="1460"/>
      <c r="AA113" s="1460"/>
      <c r="AB113" s="1460"/>
      <c r="AC113" s="1460"/>
      <c r="AD113" s="1460"/>
      <c r="AE113" s="1460"/>
      <c r="AF113" s="1460"/>
      <c r="AG113" s="1460"/>
      <c r="AH113" s="1460"/>
      <c r="AI113" s="1460"/>
      <c r="AJ113" s="1460"/>
      <c r="AK113" s="1460"/>
      <c r="AL113" s="1460"/>
      <c r="AM113" s="1460"/>
      <c r="AN113" s="1460"/>
      <c r="AO113" s="1460"/>
      <c r="AP113" s="1461"/>
      <c r="AQ113" s="56"/>
    </row>
    <row r="114" spans="14:43" customFormat="1" ht="16.350000000000001" customHeight="1">
      <c r="N114" s="166"/>
      <c r="O114" s="17"/>
      <c r="P114" s="1459"/>
      <c r="Q114" s="1460"/>
      <c r="R114" s="1460"/>
      <c r="S114" s="1460"/>
      <c r="T114" s="1460"/>
      <c r="U114" s="1460"/>
      <c r="V114" s="1460"/>
      <c r="W114" s="1460"/>
      <c r="X114" s="1460"/>
      <c r="Y114" s="1460"/>
      <c r="Z114" s="1460"/>
      <c r="AA114" s="1460"/>
      <c r="AB114" s="1460"/>
      <c r="AC114" s="1460"/>
      <c r="AD114" s="1460"/>
      <c r="AE114" s="1460"/>
      <c r="AF114" s="1460"/>
      <c r="AG114" s="1460"/>
      <c r="AH114" s="1460"/>
      <c r="AI114" s="1460"/>
      <c r="AJ114" s="1460"/>
      <c r="AK114" s="1460"/>
      <c r="AL114" s="1460"/>
      <c r="AM114" s="1460"/>
      <c r="AN114" s="1460"/>
      <c r="AO114" s="1460"/>
      <c r="AP114" s="1461"/>
      <c r="AQ114" s="56"/>
    </row>
    <row r="115" spans="14:43" customFormat="1" ht="16.350000000000001" customHeight="1">
      <c r="N115" s="166"/>
      <c r="O115" s="17"/>
      <c r="P115" s="1459"/>
      <c r="Q115" s="1460"/>
      <c r="R115" s="1460"/>
      <c r="S115" s="1460"/>
      <c r="T115" s="1460"/>
      <c r="U115" s="1460"/>
      <c r="V115" s="1460"/>
      <c r="W115" s="1460"/>
      <c r="X115" s="1460"/>
      <c r="Y115" s="1460"/>
      <c r="Z115" s="1460"/>
      <c r="AA115" s="1460"/>
      <c r="AB115" s="1460"/>
      <c r="AC115" s="1460"/>
      <c r="AD115" s="1460"/>
      <c r="AE115" s="1460"/>
      <c r="AF115" s="1460"/>
      <c r="AG115" s="1460"/>
      <c r="AH115" s="1460"/>
      <c r="AI115" s="1460"/>
      <c r="AJ115" s="1460"/>
      <c r="AK115" s="1460"/>
      <c r="AL115" s="1460"/>
      <c r="AM115" s="1460"/>
      <c r="AN115" s="1460"/>
      <c r="AO115" s="1460"/>
      <c r="AP115" s="1461"/>
      <c r="AQ115" s="56"/>
    </row>
    <row r="116" spans="14:43" customFormat="1" ht="16.350000000000001" customHeight="1">
      <c r="N116" s="166"/>
      <c r="O116" s="17"/>
      <c r="P116" s="1459"/>
      <c r="Q116" s="1460"/>
      <c r="R116" s="1460"/>
      <c r="S116" s="1460"/>
      <c r="T116" s="1460"/>
      <c r="U116" s="1460"/>
      <c r="V116" s="1460"/>
      <c r="W116" s="1460"/>
      <c r="X116" s="1460"/>
      <c r="Y116" s="1460"/>
      <c r="Z116" s="1460"/>
      <c r="AA116" s="1460"/>
      <c r="AB116" s="1460"/>
      <c r="AC116" s="1460"/>
      <c r="AD116" s="1460"/>
      <c r="AE116" s="1460"/>
      <c r="AF116" s="1460"/>
      <c r="AG116" s="1460"/>
      <c r="AH116" s="1460"/>
      <c r="AI116" s="1460"/>
      <c r="AJ116" s="1460"/>
      <c r="AK116" s="1460"/>
      <c r="AL116" s="1460"/>
      <c r="AM116" s="1460"/>
      <c r="AN116" s="1460"/>
      <c r="AO116" s="1460"/>
      <c r="AP116" s="1461"/>
      <c r="AQ116" s="56"/>
    </row>
    <row r="117" spans="14:43" customFormat="1" ht="16.350000000000001" customHeight="1">
      <c r="N117" s="166"/>
      <c r="O117" s="17"/>
      <c r="P117" s="1459"/>
      <c r="Q117" s="1460"/>
      <c r="R117" s="1460"/>
      <c r="S117" s="1460"/>
      <c r="T117" s="1460"/>
      <c r="U117" s="1460"/>
      <c r="V117" s="1460"/>
      <c r="W117" s="1460"/>
      <c r="X117" s="1460"/>
      <c r="Y117" s="1460"/>
      <c r="Z117" s="1460"/>
      <c r="AA117" s="1460"/>
      <c r="AB117" s="1460"/>
      <c r="AC117" s="1460"/>
      <c r="AD117" s="1460"/>
      <c r="AE117" s="1460"/>
      <c r="AF117" s="1460"/>
      <c r="AG117" s="1460"/>
      <c r="AH117" s="1460"/>
      <c r="AI117" s="1460"/>
      <c r="AJ117" s="1460"/>
      <c r="AK117" s="1460"/>
      <c r="AL117" s="1460"/>
      <c r="AM117" s="1460"/>
      <c r="AN117" s="1460"/>
      <c r="AO117" s="1460"/>
      <c r="AP117" s="1461"/>
      <c r="AQ117" s="56"/>
    </row>
    <row r="118" spans="14:43" customFormat="1" ht="16.350000000000001" customHeight="1">
      <c r="N118" s="166"/>
      <c r="O118" s="17"/>
      <c r="P118" s="1459"/>
      <c r="Q118" s="1460"/>
      <c r="R118" s="1460"/>
      <c r="S118" s="1460"/>
      <c r="T118" s="1460"/>
      <c r="U118" s="1460"/>
      <c r="V118" s="1460"/>
      <c r="W118" s="1460"/>
      <c r="X118" s="1460"/>
      <c r="Y118" s="1460"/>
      <c r="Z118" s="1460"/>
      <c r="AA118" s="1460"/>
      <c r="AB118" s="1460"/>
      <c r="AC118" s="1460"/>
      <c r="AD118" s="1460"/>
      <c r="AE118" s="1460"/>
      <c r="AF118" s="1460"/>
      <c r="AG118" s="1460"/>
      <c r="AH118" s="1460"/>
      <c r="AI118" s="1460"/>
      <c r="AJ118" s="1460"/>
      <c r="AK118" s="1460"/>
      <c r="AL118" s="1460"/>
      <c r="AM118" s="1460"/>
      <c r="AN118" s="1460"/>
      <c r="AO118" s="1460"/>
      <c r="AP118" s="1461"/>
      <c r="AQ118" s="56"/>
    </row>
    <row r="119" spans="14:43" customFormat="1" ht="16.350000000000001" customHeight="1">
      <c r="N119" s="166"/>
      <c r="O119" s="17"/>
      <c r="P119" s="1459"/>
      <c r="Q119" s="1460"/>
      <c r="R119" s="1460"/>
      <c r="S119" s="1460"/>
      <c r="T119" s="1460"/>
      <c r="U119" s="1460"/>
      <c r="V119" s="1460"/>
      <c r="W119" s="1460"/>
      <c r="X119" s="1460"/>
      <c r="Y119" s="1460"/>
      <c r="Z119" s="1460"/>
      <c r="AA119" s="1460"/>
      <c r="AB119" s="1460"/>
      <c r="AC119" s="1460"/>
      <c r="AD119" s="1460"/>
      <c r="AE119" s="1460"/>
      <c r="AF119" s="1460"/>
      <c r="AG119" s="1460"/>
      <c r="AH119" s="1460"/>
      <c r="AI119" s="1460"/>
      <c r="AJ119" s="1460"/>
      <c r="AK119" s="1460"/>
      <c r="AL119" s="1460"/>
      <c r="AM119" s="1460"/>
      <c r="AN119" s="1460"/>
      <c r="AO119" s="1460"/>
      <c r="AP119" s="1461"/>
      <c r="AQ119" s="56"/>
    </row>
    <row r="120" spans="14:43" customFormat="1" ht="16.350000000000001" customHeight="1">
      <c r="N120" s="166"/>
      <c r="O120" s="17"/>
      <c r="P120" s="1459"/>
      <c r="Q120" s="1460"/>
      <c r="R120" s="1460"/>
      <c r="S120" s="1460"/>
      <c r="T120" s="1460"/>
      <c r="U120" s="1460"/>
      <c r="V120" s="1460"/>
      <c r="W120" s="1460"/>
      <c r="X120" s="1460"/>
      <c r="Y120" s="1460"/>
      <c r="Z120" s="1460"/>
      <c r="AA120" s="1460"/>
      <c r="AB120" s="1460"/>
      <c r="AC120" s="1460"/>
      <c r="AD120" s="1460"/>
      <c r="AE120" s="1460"/>
      <c r="AF120" s="1460"/>
      <c r="AG120" s="1460"/>
      <c r="AH120" s="1460"/>
      <c r="AI120" s="1460"/>
      <c r="AJ120" s="1460"/>
      <c r="AK120" s="1460"/>
      <c r="AL120" s="1460"/>
      <c r="AM120" s="1460"/>
      <c r="AN120" s="1460"/>
      <c r="AO120" s="1460"/>
      <c r="AP120" s="1461"/>
      <c r="AQ120" s="56"/>
    </row>
    <row r="121" spans="14:43" customFormat="1" ht="16.350000000000001" customHeight="1">
      <c r="N121" s="166"/>
      <c r="O121" s="17"/>
      <c r="P121" s="1459"/>
      <c r="Q121" s="1460"/>
      <c r="R121" s="1460"/>
      <c r="S121" s="1460"/>
      <c r="T121" s="1460"/>
      <c r="U121" s="1460"/>
      <c r="V121" s="1460"/>
      <c r="W121" s="1460"/>
      <c r="X121" s="1460"/>
      <c r="Y121" s="1460"/>
      <c r="Z121" s="1460"/>
      <c r="AA121" s="1460"/>
      <c r="AB121" s="1460"/>
      <c r="AC121" s="1460"/>
      <c r="AD121" s="1460"/>
      <c r="AE121" s="1460"/>
      <c r="AF121" s="1460"/>
      <c r="AG121" s="1460"/>
      <c r="AH121" s="1460"/>
      <c r="AI121" s="1460"/>
      <c r="AJ121" s="1460"/>
      <c r="AK121" s="1460"/>
      <c r="AL121" s="1460"/>
      <c r="AM121" s="1460"/>
      <c r="AN121" s="1460"/>
      <c r="AO121" s="1460"/>
      <c r="AP121" s="1461"/>
      <c r="AQ121" s="56"/>
    </row>
    <row r="122" spans="14:43" customFormat="1" ht="16.350000000000001" customHeight="1">
      <c r="N122" s="166"/>
      <c r="O122" s="17"/>
      <c r="P122" s="1459"/>
      <c r="Q122" s="1460"/>
      <c r="R122" s="1460"/>
      <c r="S122" s="1460"/>
      <c r="T122" s="1460"/>
      <c r="U122" s="1460"/>
      <c r="V122" s="1460"/>
      <c r="W122" s="1460"/>
      <c r="X122" s="1460"/>
      <c r="Y122" s="1460"/>
      <c r="Z122" s="1460"/>
      <c r="AA122" s="1460"/>
      <c r="AB122" s="1460"/>
      <c r="AC122" s="1460"/>
      <c r="AD122" s="1460"/>
      <c r="AE122" s="1460"/>
      <c r="AF122" s="1460"/>
      <c r="AG122" s="1460"/>
      <c r="AH122" s="1460"/>
      <c r="AI122" s="1460"/>
      <c r="AJ122" s="1460"/>
      <c r="AK122" s="1460"/>
      <c r="AL122" s="1460"/>
      <c r="AM122" s="1460"/>
      <c r="AN122" s="1460"/>
      <c r="AO122" s="1460"/>
      <c r="AP122" s="1461"/>
      <c r="AQ122" s="56"/>
    </row>
    <row r="123" spans="14:43" customFormat="1" ht="16.350000000000001" customHeight="1">
      <c r="N123" s="166"/>
      <c r="O123" s="17"/>
      <c r="P123" s="1459"/>
      <c r="Q123" s="1460"/>
      <c r="R123" s="1460"/>
      <c r="S123" s="1460"/>
      <c r="T123" s="1460"/>
      <c r="U123" s="1460"/>
      <c r="V123" s="1460"/>
      <c r="W123" s="1460"/>
      <c r="X123" s="1460"/>
      <c r="Y123" s="1460"/>
      <c r="Z123" s="1460"/>
      <c r="AA123" s="1460"/>
      <c r="AB123" s="1460"/>
      <c r="AC123" s="1460"/>
      <c r="AD123" s="1460"/>
      <c r="AE123" s="1460"/>
      <c r="AF123" s="1460"/>
      <c r="AG123" s="1460"/>
      <c r="AH123" s="1460"/>
      <c r="AI123" s="1460"/>
      <c r="AJ123" s="1460"/>
      <c r="AK123" s="1460"/>
      <c r="AL123" s="1460"/>
      <c r="AM123" s="1460"/>
      <c r="AN123" s="1460"/>
      <c r="AO123" s="1460"/>
      <c r="AP123" s="1461"/>
      <c r="AQ123" s="56"/>
    </row>
    <row r="124" spans="14:43" customFormat="1" ht="16.350000000000001" customHeight="1">
      <c r="N124" s="166"/>
      <c r="O124" s="17"/>
      <c r="P124" s="1459"/>
      <c r="Q124" s="1460"/>
      <c r="R124" s="1460"/>
      <c r="S124" s="1460"/>
      <c r="T124" s="1460"/>
      <c r="U124" s="1460"/>
      <c r="V124" s="1460"/>
      <c r="W124" s="1460"/>
      <c r="X124" s="1460"/>
      <c r="Y124" s="1460"/>
      <c r="Z124" s="1460"/>
      <c r="AA124" s="1460"/>
      <c r="AB124" s="1460"/>
      <c r="AC124" s="1460"/>
      <c r="AD124" s="1460"/>
      <c r="AE124" s="1460"/>
      <c r="AF124" s="1460"/>
      <c r="AG124" s="1460"/>
      <c r="AH124" s="1460"/>
      <c r="AI124" s="1460"/>
      <c r="AJ124" s="1460"/>
      <c r="AK124" s="1460"/>
      <c r="AL124" s="1460"/>
      <c r="AM124" s="1460"/>
      <c r="AN124" s="1460"/>
      <c r="AO124" s="1460"/>
      <c r="AP124" s="1461"/>
      <c r="AQ124" s="56"/>
    </row>
    <row r="125" spans="14:43" customFormat="1" ht="16.350000000000001" customHeight="1">
      <c r="N125" s="166"/>
      <c r="O125" s="17"/>
      <c r="P125" s="1459"/>
      <c r="Q125" s="1460"/>
      <c r="R125" s="1460"/>
      <c r="S125" s="1460"/>
      <c r="T125" s="1460"/>
      <c r="U125" s="1460"/>
      <c r="V125" s="1460"/>
      <c r="W125" s="1460"/>
      <c r="X125" s="1460"/>
      <c r="Y125" s="1460"/>
      <c r="Z125" s="1460"/>
      <c r="AA125" s="1460"/>
      <c r="AB125" s="1460"/>
      <c r="AC125" s="1460"/>
      <c r="AD125" s="1460"/>
      <c r="AE125" s="1460"/>
      <c r="AF125" s="1460"/>
      <c r="AG125" s="1460"/>
      <c r="AH125" s="1460"/>
      <c r="AI125" s="1460"/>
      <c r="AJ125" s="1460"/>
      <c r="AK125" s="1460"/>
      <c r="AL125" s="1460"/>
      <c r="AM125" s="1460"/>
      <c r="AN125" s="1460"/>
      <c r="AO125" s="1460"/>
      <c r="AP125" s="1461"/>
      <c r="AQ125" s="56"/>
    </row>
    <row r="126" spans="14:43" customFormat="1" ht="16.350000000000001" customHeight="1">
      <c r="N126" s="166"/>
      <c r="O126" s="17"/>
      <c r="P126" s="1459"/>
      <c r="Q126" s="1460"/>
      <c r="R126" s="1460"/>
      <c r="S126" s="1460"/>
      <c r="T126" s="1460"/>
      <c r="U126" s="1460"/>
      <c r="V126" s="1460"/>
      <c r="W126" s="1460"/>
      <c r="X126" s="1460"/>
      <c r="Y126" s="1460"/>
      <c r="Z126" s="1460"/>
      <c r="AA126" s="1460"/>
      <c r="AB126" s="1460"/>
      <c r="AC126" s="1460"/>
      <c r="AD126" s="1460"/>
      <c r="AE126" s="1460"/>
      <c r="AF126" s="1460"/>
      <c r="AG126" s="1460"/>
      <c r="AH126" s="1460"/>
      <c r="AI126" s="1460"/>
      <c r="AJ126" s="1460"/>
      <c r="AK126" s="1460"/>
      <c r="AL126" s="1460"/>
      <c r="AM126" s="1460"/>
      <c r="AN126" s="1460"/>
      <c r="AO126" s="1460"/>
      <c r="AP126" s="1461"/>
      <c r="AQ126" s="56"/>
    </row>
    <row r="127" spans="14:43" customFormat="1" ht="16.350000000000001" customHeight="1">
      <c r="N127" s="166"/>
      <c r="O127" s="17"/>
      <c r="P127" s="1459"/>
      <c r="Q127" s="1460"/>
      <c r="R127" s="1460"/>
      <c r="S127" s="1460"/>
      <c r="T127" s="1460"/>
      <c r="U127" s="1460"/>
      <c r="V127" s="1460"/>
      <c r="W127" s="1460"/>
      <c r="X127" s="1460"/>
      <c r="Y127" s="1460"/>
      <c r="Z127" s="1460"/>
      <c r="AA127" s="1460"/>
      <c r="AB127" s="1460"/>
      <c r="AC127" s="1460"/>
      <c r="AD127" s="1460"/>
      <c r="AE127" s="1460"/>
      <c r="AF127" s="1460"/>
      <c r="AG127" s="1460"/>
      <c r="AH127" s="1460"/>
      <c r="AI127" s="1460"/>
      <c r="AJ127" s="1460"/>
      <c r="AK127" s="1460"/>
      <c r="AL127" s="1460"/>
      <c r="AM127" s="1460"/>
      <c r="AN127" s="1460"/>
      <c r="AO127" s="1460"/>
      <c r="AP127" s="1461"/>
      <c r="AQ127" s="56"/>
    </row>
    <row r="128" spans="14:43" customFormat="1" ht="16.350000000000001" customHeight="1">
      <c r="N128" s="166"/>
      <c r="O128" s="17"/>
      <c r="P128" s="1459"/>
      <c r="Q128" s="1460"/>
      <c r="R128" s="1460"/>
      <c r="S128" s="1460"/>
      <c r="T128" s="1460"/>
      <c r="U128" s="1460"/>
      <c r="V128" s="1460"/>
      <c r="W128" s="1460"/>
      <c r="X128" s="1460"/>
      <c r="Y128" s="1460"/>
      <c r="Z128" s="1460"/>
      <c r="AA128" s="1460"/>
      <c r="AB128" s="1460"/>
      <c r="AC128" s="1460"/>
      <c r="AD128" s="1460"/>
      <c r="AE128" s="1460"/>
      <c r="AF128" s="1460"/>
      <c r="AG128" s="1460"/>
      <c r="AH128" s="1460"/>
      <c r="AI128" s="1460"/>
      <c r="AJ128" s="1460"/>
      <c r="AK128" s="1460"/>
      <c r="AL128" s="1460"/>
      <c r="AM128" s="1460"/>
      <c r="AN128" s="1460"/>
      <c r="AO128" s="1460"/>
      <c r="AP128" s="1461"/>
      <c r="AQ128" s="56"/>
    </row>
    <row r="129" spans="14:43" customFormat="1" ht="16.350000000000001" customHeight="1">
      <c r="N129" s="166"/>
      <c r="O129" s="17"/>
      <c r="P129" s="1459"/>
      <c r="Q129" s="1460"/>
      <c r="R129" s="1460"/>
      <c r="S129" s="1460"/>
      <c r="T129" s="1460"/>
      <c r="U129" s="1460"/>
      <c r="V129" s="1460"/>
      <c r="W129" s="1460"/>
      <c r="X129" s="1460"/>
      <c r="Y129" s="1460"/>
      <c r="Z129" s="1460"/>
      <c r="AA129" s="1460"/>
      <c r="AB129" s="1460"/>
      <c r="AC129" s="1460"/>
      <c r="AD129" s="1460"/>
      <c r="AE129" s="1460"/>
      <c r="AF129" s="1460"/>
      <c r="AG129" s="1460"/>
      <c r="AH129" s="1460"/>
      <c r="AI129" s="1460"/>
      <c r="AJ129" s="1460"/>
      <c r="AK129" s="1460"/>
      <c r="AL129" s="1460"/>
      <c r="AM129" s="1460"/>
      <c r="AN129" s="1460"/>
      <c r="AO129" s="1460"/>
      <c r="AP129" s="1461"/>
      <c r="AQ129" s="56"/>
    </row>
    <row r="130" spans="14:43" customFormat="1" ht="16.350000000000001" customHeight="1">
      <c r="N130" s="166"/>
      <c r="O130" s="17"/>
      <c r="P130" s="1459"/>
      <c r="Q130" s="1460"/>
      <c r="R130" s="1460"/>
      <c r="S130" s="1460"/>
      <c r="T130" s="1460"/>
      <c r="U130" s="1460"/>
      <c r="V130" s="1460"/>
      <c r="W130" s="1460"/>
      <c r="X130" s="1460"/>
      <c r="Y130" s="1460"/>
      <c r="Z130" s="1460"/>
      <c r="AA130" s="1460"/>
      <c r="AB130" s="1460"/>
      <c r="AC130" s="1460"/>
      <c r="AD130" s="1460"/>
      <c r="AE130" s="1460"/>
      <c r="AF130" s="1460"/>
      <c r="AG130" s="1460"/>
      <c r="AH130" s="1460"/>
      <c r="AI130" s="1460"/>
      <c r="AJ130" s="1460"/>
      <c r="AK130" s="1460"/>
      <c r="AL130" s="1460"/>
      <c r="AM130" s="1460"/>
      <c r="AN130" s="1460"/>
      <c r="AO130" s="1460"/>
      <c r="AP130" s="1461"/>
      <c r="AQ130" s="56"/>
    </row>
    <row r="131" spans="14:43" customFormat="1" ht="16.350000000000001" customHeight="1">
      <c r="N131" s="166"/>
      <c r="O131" s="17"/>
      <c r="P131" s="1459"/>
      <c r="Q131" s="1460"/>
      <c r="R131" s="1460"/>
      <c r="S131" s="1460"/>
      <c r="T131" s="1460"/>
      <c r="U131" s="1460"/>
      <c r="V131" s="1460"/>
      <c r="W131" s="1460"/>
      <c r="X131" s="1460"/>
      <c r="Y131" s="1460"/>
      <c r="Z131" s="1460"/>
      <c r="AA131" s="1460"/>
      <c r="AB131" s="1460"/>
      <c r="AC131" s="1460"/>
      <c r="AD131" s="1460"/>
      <c r="AE131" s="1460"/>
      <c r="AF131" s="1460"/>
      <c r="AG131" s="1460"/>
      <c r="AH131" s="1460"/>
      <c r="AI131" s="1460"/>
      <c r="AJ131" s="1460"/>
      <c r="AK131" s="1460"/>
      <c r="AL131" s="1460"/>
      <c r="AM131" s="1460"/>
      <c r="AN131" s="1460"/>
      <c r="AO131" s="1460"/>
      <c r="AP131" s="1461"/>
      <c r="AQ131" s="56"/>
    </row>
    <row r="132" spans="14:43" customFormat="1" ht="16.350000000000001" customHeight="1">
      <c r="N132" s="166"/>
      <c r="O132" s="17"/>
      <c r="P132" s="1459"/>
      <c r="Q132" s="1460"/>
      <c r="R132" s="1460"/>
      <c r="S132" s="1460"/>
      <c r="T132" s="1460"/>
      <c r="U132" s="1460"/>
      <c r="V132" s="1460"/>
      <c r="W132" s="1460"/>
      <c r="X132" s="1460"/>
      <c r="Y132" s="1460"/>
      <c r="Z132" s="1460"/>
      <c r="AA132" s="1460"/>
      <c r="AB132" s="1460"/>
      <c r="AC132" s="1460"/>
      <c r="AD132" s="1460"/>
      <c r="AE132" s="1460"/>
      <c r="AF132" s="1460"/>
      <c r="AG132" s="1460"/>
      <c r="AH132" s="1460"/>
      <c r="AI132" s="1460"/>
      <c r="AJ132" s="1460"/>
      <c r="AK132" s="1460"/>
      <c r="AL132" s="1460"/>
      <c r="AM132" s="1460"/>
      <c r="AN132" s="1460"/>
      <c r="AO132" s="1460"/>
      <c r="AP132" s="1461"/>
      <c r="AQ132" s="56"/>
    </row>
    <row r="133" spans="14:43" customFormat="1" ht="16.350000000000001" customHeight="1">
      <c r="N133" s="166"/>
      <c r="O133" s="17"/>
      <c r="P133" s="1459"/>
      <c r="Q133" s="1460"/>
      <c r="R133" s="1460"/>
      <c r="S133" s="1460"/>
      <c r="T133" s="1460"/>
      <c r="U133" s="1460"/>
      <c r="V133" s="1460"/>
      <c r="W133" s="1460"/>
      <c r="X133" s="1460"/>
      <c r="Y133" s="1460"/>
      <c r="Z133" s="1460"/>
      <c r="AA133" s="1460"/>
      <c r="AB133" s="1460"/>
      <c r="AC133" s="1460"/>
      <c r="AD133" s="1460"/>
      <c r="AE133" s="1460"/>
      <c r="AF133" s="1460"/>
      <c r="AG133" s="1460"/>
      <c r="AH133" s="1460"/>
      <c r="AI133" s="1460"/>
      <c r="AJ133" s="1460"/>
      <c r="AK133" s="1460"/>
      <c r="AL133" s="1460"/>
      <c r="AM133" s="1460"/>
      <c r="AN133" s="1460"/>
      <c r="AO133" s="1460"/>
      <c r="AP133" s="1461"/>
      <c r="AQ133" s="56"/>
    </row>
    <row r="134" spans="14:43" customFormat="1" ht="16.350000000000001" customHeight="1">
      <c r="N134" s="166"/>
      <c r="O134" s="17"/>
      <c r="P134" s="1459"/>
      <c r="Q134" s="1460"/>
      <c r="R134" s="1460"/>
      <c r="S134" s="1460"/>
      <c r="T134" s="1460"/>
      <c r="U134" s="1460"/>
      <c r="V134" s="1460"/>
      <c r="W134" s="1460"/>
      <c r="X134" s="1460"/>
      <c r="Y134" s="1460"/>
      <c r="Z134" s="1460"/>
      <c r="AA134" s="1460"/>
      <c r="AB134" s="1460"/>
      <c r="AC134" s="1460"/>
      <c r="AD134" s="1460"/>
      <c r="AE134" s="1460"/>
      <c r="AF134" s="1460"/>
      <c r="AG134" s="1460"/>
      <c r="AH134" s="1460"/>
      <c r="AI134" s="1460"/>
      <c r="AJ134" s="1460"/>
      <c r="AK134" s="1460"/>
      <c r="AL134" s="1460"/>
      <c r="AM134" s="1460"/>
      <c r="AN134" s="1460"/>
      <c r="AO134" s="1460"/>
      <c r="AP134" s="1461"/>
      <c r="AQ134" s="56"/>
    </row>
    <row r="135" spans="14:43" customFormat="1" ht="16.350000000000001" customHeight="1">
      <c r="N135" s="166"/>
      <c r="O135" s="17"/>
      <c r="P135" s="1459"/>
      <c r="Q135" s="1460"/>
      <c r="R135" s="1460"/>
      <c r="S135" s="1460"/>
      <c r="T135" s="1460"/>
      <c r="U135" s="1460"/>
      <c r="V135" s="1460"/>
      <c r="W135" s="1460"/>
      <c r="X135" s="1460"/>
      <c r="Y135" s="1460"/>
      <c r="Z135" s="1460"/>
      <c r="AA135" s="1460"/>
      <c r="AB135" s="1460"/>
      <c r="AC135" s="1460"/>
      <c r="AD135" s="1460"/>
      <c r="AE135" s="1460"/>
      <c r="AF135" s="1460"/>
      <c r="AG135" s="1460"/>
      <c r="AH135" s="1460"/>
      <c r="AI135" s="1460"/>
      <c r="AJ135" s="1460"/>
      <c r="AK135" s="1460"/>
      <c r="AL135" s="1460"/>
      <c r="AM135" s="1460"/>
      <c r="AN135" s="1460"/>
      <c r="AO135" s="1460"/>
      <c r="AP135" s="1461"/>
      <c r="AQ135" s="56"/>
    </row>
    <row r="136" spans="14:43" customFormat="1" ht="16.350000000000001" customHeight="1">
      <c r="N136" s="166"/>
      <c r="O136" s="17"/>
      <c r="P136" s="1459"/>
      <c r="Q136" s="1460"/>
      <c r="R136" s="1460"/>
      <c r="S136" s="1460"/>
      <c r="T136" s="1460"/>
      <c r="U136" s="1460"/>
      <c r="V136" s="1460"/>
      <c r="W136" s="1460"/>
      <c r="X136" s="1460"/>
      <c r="Y136" s="1460"/>
      <c r="Z136" s="1460"/>
      <c r="AA136" s="1460"/>
      <c r="AB136" s="1460"/>
      <c r="AC136" s="1460"/>
      <c r="AD136" s="1460"/>
      <c r="AE136" s="1460"/>
      <c r="AF136" s="1460"/>
      <c r="AG136" s="1460"/>
      <c r="AH136" s="1460"/>
      <c r="AI136" s="1460"/>
      <c r="AJ136" s="1460"/>
      <c r="AK136" s="1460"/>
      <c r="AL136" s="1460"/>
      <c r="AM136" s="1460"/>
      <c r="AN136" s="1460"/>
      <c r="AO136" s="1460"/>
      <c r="AP136" s="1461"/>
      <c r="AQ136" s="56"/>
    </row>
    <row r="137" spans="14:43" customFormat="1" ht="16.350000000000001" customHeight="1">
      <c r="N137" s="166"/>
      <c r="O137" s="17"/>
      <c r="P137" s="1459"/>
      <c r="Q137" s="1460"/>
      <c r="R137" s="1460"/>
      <c r="S137" s="1460"/>
      <c r="T137" s="1460"/>
      <c r="U137" s="1460"/>
      <c r="V137" s="1460"/>
      <c r="W137" s="1460"/>
      <c r="X137" s="1460"/>
      <c r="Y137" s="1460"/>
      <c r="Z137" s="1460"/>
      <c r="AA137" s="1460"/>
      <c r="AB137" s="1460"/>
      <c r="AC137" s="1460"/>
      <c r="AD137" s="1460"/>
      <c r="AE137" s="1460"/>
      <c r="AF137" s="1460"/>
      <c r="AG137" s="1460"/>
      <c r="AH137" s="1460"/>
      <c r="AI137" s="1460"/>
      <c r="AJ137" s="1460"/>
      <c r="AK137" s="1460"/>
      <c r="AL137" s="1460"/>
      <c r="AM137" s="1460"/>
      <c r="AN137" s="1460"/>
      <c r="AO137" s="1460"/>
      <c r="AP137" s="1461"/>
      <c r="AQ137" s="56"/>
    </row>
    <row r="138" spans="14:43" customFormat="1" ht="16.350000000000001" customHeight="1">
      <c r="N138" s="166"/>
      <c r="O138" s="17"/>
      <c r="P138" s="1459"/>
      <c r="Q138" s="1460"/>
      <c r="R138" s="1460"/>
      <c r="S138" s="1460"/>
      <c r="T138" s="1460"/>
      <c r="U138" s="1460"/>
      <c r="V138" s="1460"/>
      <c r="W138" s="1460"/>
      <c r="X138" s="1460"/>
      <c r="Y138" s="1460"/>
      <c r="Z138" s="1460"/>
      <c r="AA138" s="1460"/>
      <c r="AB138" s="1460"/>
      <c r="AC138" s="1460"/>
      <c r="AD138" s="1460"/>
      <c r="AE138" s="1460"/>
      <c r="AF138" s="1460"/>
      <c r="AG138" s="1460"/>
      <c r="AH138" s="1460"/>
      <c r="AI138" s="1460"/>
      <c r="AJ138" s="1460"/>
      <c r="AK138" s="1460"/>
      <c r="AL138" s="1460"/>
      <c r="AM138" s="1460"/>
      <c r="AN138" s="1460"/>
      <c r="AO138" s="1460"/>
      <c r="AP138" s="1461"/>
      <c r="AQ138" s="56"/>
    </row>
    <row r="139" spans="14:43" customFormat="1" ht="16.350000000000001" customHeight="1">
      <c r="N139" s="166"/>
      <c r="O139" s="17"/>
      <c r="P139" s="1459"/>
      <c r="Q139" s="1460"/>
      <c r="R139" s="1460"/>
      <c r="S139" s="1460"/>
      <c r="T139" s="1460"/>
      <c r="U139" s="1460"/>
      <c r="V139" s="1460"/>
      <c r="W139" s="1460"/>
      <c r="X139" s="1460"/>
      <c r="Y139" s="1460"/>
      <c r="Z139" s="1460"/>
      <c r="AA139" s="1460"/>
      <c r="AB139" s="1460"/>
      <c r="AC139" s="1460"/>
      <c r="AD139" s="1460"/>
      <c r="AE139" s="1460"/>
      <c r="AF139" s="1460"/>
      <c r="AG139" s="1460"/>
      <c r="AH139" s="1460"/>
      <c r="AI139" s="1460"/>
      <c r="AJ139" s="1460"/>
      <c r="AK139" s="1460"/>
      <c r="AL139" s="1460"/>
      <c r="AM139" s="1460"/>
      <c r="AN139" s="1460"/>
      <c r="AO139" s="1460"/>
      <c r="AP139" s="1461"/>
      <c r="AQ139" s="56"/>
    </row>
    <row r="140" spans="14:43" customFormat="1" ht="16.350000000000001" customHeight="1">
      <c r="N140" s="166"/>
      <c r="O140" s="17"/>
      <c r="P140" s="1459"/>
      <c r="Q140" s="1460"/>
      <c r="R140" s="1460"/>
      <c r="S140" s="1460"/>
      <c r="T140" s="1460"/>
      <c r="U140" s="1460"/>
      <c r="V140" s="1460"/>
      <c r="W140" s="1460"/>
      <c r="X140" s="1460"/>
      <c r="Y140" s="1460"/>
      <c r="Z140" s="1460"/>
      <c r="AA140" s="1460"/>
      <c r="AB140" s="1460"/>
      <c r="AC140" s="1460"/>
      <c r="AD140" s="1460"/>
      <c r="AE140" s="1460"/>
      <c r="AF140" s="1460"/>
      <c r="AG140" s="1460"/>
      <c r="AH140" s="1460"/>
      <c r="AI140" s="1460"/>
      <c r="AJ140" s="1460"/>
      <c r="AK140" s="1460"/>
      <c r="AL140" s="1460"/>
      <c r="AM140" s="1460"/>
      <c r="AN140" s="1460"/>
      <c r="AO140" s="1460"/>
      <c r="AP140" s="1461"/>
      <c r="AQ140" s="56"/>
    </row>
    <row r="141" spans="14:43" customFormat="1" ht="16.350000000000001" customHeight="1">
      <c r="N141" s="166"/>
      <c r="O141" s="17"/>
      <c r="P141" s="1459"/>
      <c r="Q141" s="1460"/>
      <c r="R141" s="1460"/>
      <c r="S141" s="1460"/>
      <c r="T141" s="1460"/>
      <c r="U141" s="1460"/>
      <c r="V141" s="1460"/>
      <c r="W141" s="1460"/>
      <c r="X141" s="1460"/>
      <c r="Y141" s="1460"/>
      <c r="Z141" s="1460"/>
      <c r="AA141" s="1460"/>
      <c r="AB141" s="1460"/>
      <c r="AC141" s="1460"/>
      <c r="AD141" s="1460"/>
      <c r="AE141" s="1460"/>
      <c r="AF141" s="1460"/>
      <c r="AG141" s="1460"/>
      <c r="AH141" s="1460"/>
      <c r="AI141" s="1460"/>
      <c r="AJ141" s="1460"/>
      <c r="AK141" s="1460"/>
      <c r="AL141" s="1460"/>
      <c r="AM141" s="1460"/>
      <c r="AN141" s="1460"/>
      <c r="AO141" s="1460"/>
      <c r="AP141" s="1461"/>
      <c r="AQ141" s="56"/>
    </row>
    <row r="142" spans="14:43" customFormat="1" ht="16.350000000000001" customHeight="1">
      <c r="N142" s="166"/>
      <c r="O142" s="17"/>
      <c r="P142" s="1459"/>
      <c r="Q142" s="1460"/>
      <c r="R142" s="1460"/>
      <c r="S142" s="1460"/>
      <c r="T142" s="1460"/>
      <c r="U142" s="1460"/>
      <c r="V142" s="1460"/>
      <c r="W142" s="1460"/>
      <c r="X142" s="1460"/>
      <c r="Y142" s="1460"/>
      <c r="Z142" s="1460"/>
      <c r="AA142" s="1460"/>
      <c r="AB142" s="1460"/>
      <c r="AC142" s="1460"/>
      <c r="AD142" s="1460"/>
      <c r="AE142" s="1460"/>
      <c r="AF142" s="1460"/>
      <c r="AG142" s="1460"/>
      <c r="AH142" s="1460"/>
      <c r="AI142" s="1460"/>
      <c r="AJ142" s="1460"/>
      <c r="AK142" s="1460"/>
      <c r="AL142" s="1460"/>
      <c r="AM142" s="1460"/>
      <c r="AN142" s="1460"/>
      <c r="AO142" s="1460"/>
      <c r="AP142" s="1461"/>
      <c r="AQ142" s="56"/>
    </row>
    <row r="143" spans="14:43" customFormat="1" ht="16.350000000000001" customHeight="1">
      <c r="N143" s="166"/>
      <c r="O143" s="17"/>
      <c r="P143" s="1459"/>
      <c r="Q143" s="1460"/>
      <c r="R143" s="1460"/>
      <c r="S143" s="1460"/>
      <c r="T143" s="1460"/>
      <c r="U143" s="1460"/>
      <c r="V143" s="1460"/>
      <c r="W143" s="1460"/>
      <c r="X143" s="1460"/>
      <c r="Y143" s="1460"/>
      <c r="Z143" s="1460"/>
      <c r="AA143" s="1460"/>
      <c r="AB143" s="1460"/>
      <c r="AC143" s="1460"/>
      <c r="AD143" s="1460"/>
      <c r="AE143" s="1460"/>
      <c r="AF143" s="1460"/>
      <c r="AG143" s="1460"/>
      <c r="AH143" s="1460"/>
      <c r="AI143" s="1460"/>
      <c r="AJ143" s="1460"/>
      <c r="AK143" s="1460"/>
      <c r="AL143" s="1460"/>
      <c r="AM143" s="1460"/>
      <c r="AN143" s="1460"/>
      <c r="AO143" s="1460"/>
      <c r="AP143" s="1461"/>
      <c r="AQ143" s="56"/>
    </row>
    <row r="144" spans="14:43" customFormat="1" ht="16.350000000000001" customHeight="1">
      <c r="N144" s="166"/>
      <c r="O144" s="17"/>
      <c r="P144" s="1459"/>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460"/>
      <c r="AM144" s="1460"/>
      <c r="AN144" s="1460"/>
      <c r="AO144" s="1460"/>
      <c r="AP144" s="1461"/>
      <c r="AQ144" s="56"/>
    </row>
    <row r="145" spans="14:43" customFormat="1" ht="16.350000000000001" customHeight="1">
      <c r="N145" s="166"/>
      <c r="O145" s="17"/>
      <c r="P145" s="1459"/>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460"/>
      <c r="AM145" s="1460"/>
      <c r="AN145" s="1460"/>
      <c r="AO145" s="1460"/>
      <c r="AP145" s="1461"/>
      <c r="AQ145" s="56"/>
    </row>
    <row r="146" spans="14:43" customFormat="1" ht="16.350000000000001" customHeight="1">
      <c r="N146" s="166"/>
      <c r="O146" s="17"/>
      <c r="P146" s="1459"/>
      <c r="Q146" s="1460"/>
      <c r="R146" s="1460"/>
      <c r="S146" s="1460"/>
      <c r="T146" s="1460"/>
      <c r="U146" s="1460"/>
      <c r="V146" s="1460"/>
      <c r="W146" s="1460"/>
      <c r="X146" s="1460"/>
      <c r="Y146" s="1460"/>
      <c r="Z146" s="1460"/>
      <c r="AA146" s="1460"/>
      <c r="AB146" s="1460"/>
      <c r="AC146" s="1460"/>
      <c r="AD146" s="1460"/>
      <c r="AE146" s="1460"/>
      <c r="AF146" s="1460"/>
      <c r="AG146" s="1460"/>
      <c r="AH146" s="1460"/>
      <c r="AI146" s="1460"/>
      <c r="AJ146" s="1460"/>
      <c r="AK146" s="1460"/>
      <c r="AL146" s="1460"/>
      <c r="AM146" s="1460"/>
      <c r="AN146" s="1460"/>
      <c r="AO146" s="1460"/>
      <c r="AP146" s="1461"/>
      <c r="AQ146" s="56"/>
    </row>
    <row r="147" spans="14:43" customFormat="1" ht="16.350000000000001" customHeight="1">
      <c r="N147" s="166"/>
      <c r="O147" s="17"/>
      <c r="P147" s="1459"/>
      <c r="Q147" s="1460"/>
      <c r="R147" s="1460"/>
      <c r="S147" s="1460"/>
      <c r="T147" s="1460"/>
      <c r="U147" s="1460"/>
      <c r="V147" s="1460"/>
      <c r="W147" s="1460"/>
      <c r="X147" s="1460"/>
      <c r="Y147" s="1460"/>
      <c r="Z147" s="1460"/>
      <c r="AA147" s="1460"/>
      <c r="AB147" s="1460"/>
      <c r="AC147" s="1460"/>
      <c r="AD147" s="1460"/>
      <c r="AE147" s="1460"/>
      <c r="AF147" s="1460"/>
      <c r="AG147" s="1460"/>
      <c r="AH147" s="1460"/>
      <c r="AI147" s="1460"/>
      <c r="AJ147" s="1460"/>
      <c r="AK147" s="1460"/>
      <c r="AL147" s="1460"/>
      <c r="AM147" s="1460"/>
      <c r="AN147" s="1460"/>
      <c r="AO147" s="1460"/>
      <c r="AP147" s="1461"/>
      <c r="AQ147" s="56"/>
    </row>
    <row r="148" spans="14:43" customFormat="1" ht="16.350000000000001" customHeight="1">
      <c r="N148" s="166"/>
      <c r="O148" s="17"/>
      <c r="P148" s="1459"/>
      <c r="Q148" s="1460"/>
      <c r="R148" s="1460"/>
      <c r="S148" s="1460"/>
      <c r="T148" s="1460"/>
      <c r="U148" s="1460"/>
      <c r="V148" s="1460"/>
      <c r="W148" s="1460"/>
      <c r="X148" s="1460"/>
      <c r="Y148" s="1460"/>
      <c r="Z148" s="1460"/>
      <c r="AA148" s="1460"/>
      <c r="AB148" s="1460"/>
      <c r="AC148" s="1460"/>
      <c r="AD148" s="1460"/>
      <c r="AE148" s="1460"/>
      <c r="AF148" s="1460"/>
      <c r="AG148" s="1460"/>
      <c r="AH148" s="1460"/>
      <c r="AI148" s="1460"/>
      <c r="AJ148" s="1460"/>
      <c r="AK148" s="1460"/>
      <c r="AL148" s="1460"/>
      <c r="AM148" s="1460"/>
      <c r="AN148" s="1460"/>
      <c r="AO148" s="1460"/>
      <c r="AP148" s="1461"/>
      <c r="AQ148" s="56"/>
    </row>
    <row r="149" spans="14:43" customFormat="1" ht="16.350000000000001" customHeight="1">
      <c r="N149" s="166"/>
      <c r="O149" s="17"/>
      <c r="P149" s="1459"/>
      <c r="Q149" s="1460"/>
      <c r="R149" s="1460"/>
      <c r="S149" s="1460"/>
      <c r="T149" s="1460"/>
      <c r="U149" s="1460"/>
      <c r="V149" s="1460"/>
      <c r="W149" s="1460"/>
      <c r="X149" s="1460"/>
      <c r="Y149" s="1460"/>
      <c r="Z149" s="1460"/>
      <c r="AA149" s="1460"/>
      <c r="AB149" s="1460"/>
      <c r="AC149" s="1460"/>
      <c r="AD149" s="1460"/>
      <c r="AE149" s="1460"/>
      <c r="AF149" s="1460"/>
      <c r="AG149" s="1460"/>
      <c r="AH149" s="1460"/>
      <c r="AI149" s="1460"/>
      <c r="AJ149" s="1460"/>
      <c r="AK149" s="1460"/>
      <c r="AL149" s="1460"/>
      <c r="AM149" s="1460"/>
      <c r="AN149" s="1460"/>
      <c r="AO149" s="1460"/>
      <c r="AP149" s="1461"/>
      <c r="AQ149" s="56"/>
    </row>
    <row r="150" spans="14:43" customFormat="1" ht="16.350000000000001" customHeight="1">
      <c r="N150" s="166"/>
      <c r="O150" s="17"/>
      <c r="P150" s="1459"/>
      <c r="Q150" s="1460"/>
      <c r="R150" s="1460"/>
      <c r="S150" s="1460"/>
      <c r="T150" s="1460"/>
      <c r="U150" s="1460"/>
      <c r="V150" s="1460"/>
      <c r="W150" s="1460"/>
      <c r="X150" s="1460"/>
      <c r="Y150" s="1460"/>
      <c r="Z150" s="1460"/>
      <c r="AA150" s="1460"/>
      <c r="AB150" s="1460"/>
      <c r="AC150" s="1460"/>
      <c r="AD150" s="1460"/>
      <c r="AE150" s="1460"/>
      <c r="AF150" s="1460"/>
      <c r="AG150" s="1460"/>
      <c r="AH150" s="1460"/>
      <c r="AI150" s="1460"/>
      <c r="AJ150" s="1460"/>
      <c r="AK150" s="1460"/>
      <c r="AL150" s="1460"/>
      <c r="AM150" s="1460"/>
      <c r="AN150" s="1460"/>
      <c r="AO150" s="1460"/>
      <c r="AP150" s="1461"/>
      <c r="AQ150" s="56"/>
    </row>
    <row r="151" spans="14:43" customFormat="1" ht="16.350000000000001" customHeight="1">
      <c r="N151" s="166"/>
      <c r="O151" s="17"/>
      <c r="P151" s="1459"/>
      <c r="Q151" s="1460"/>
      <c r="R151" s="1460"/>
      <c r="S151" s="1460"/>
      <c r="T151" s="1460"/>
      <c r="U151" s="1460"/>
      <c r="V151" s="1460"/>
      <c r="W151" s="1460"/>
      <c r="X151" s="1460"/>
      <c r="Y151" s="1460"/>
      <c r="Z151" s="1460"/>
      <c r="AA151" s="1460"/>
      <c r="AB151" s="1460"/>
      <c r="AC151" s="1460"/>
      <c r="AD151" s="1460"/>
      <c r="AE151" s="1460"/>
      <c r="AF151" s="1460"/>
      <c r="AG151" s="1460"/>
      <c r="AH151" s="1460"/>
      <c r="AI151" s="1460"/>
      <c r="AJ151" s="1460"/>
      <c r="AK151" s="1460"/>
      <c r="AL151" s="1460"/>
      <c r="AM151" s="1460"/>
      <c r="AN151" s="1460"/>
      <c r="AO151" s="1460"/>
      <c r="AP151" s="1461"/>
      <c r="AQ151" s="56"/>
    </row>
    <row r="152" spans="14:43" customFormat="1" ht="16.350000000000001" customHeight="1">
      <c r="N152" s="166"/>
      <c r="O152" s="17"/>
      <c r="P152" s="1459"/>
      <c r="Q152" s="1460"/>
      <c r="R152" s="1460"/>
      <c r="S152" s="1460"/>
      <c r="T152" s="1460"/>
      <c r="U152" s="1460"/>
      <c r="V152" s="1460"/>
      <c r="W152" s="1460"/>
      <c r="X152" s="1460"/>
      <c r="Y152" s="1460"/>
      <c r="Z152" s="1460"/>
      <c r="AA152" s="1460"/>
      <c r="AB152" s="1460"/>
      <c r="AC152" s="1460"/>
      <c r="AD152" s="1460"/>
      <c r="AE152" s="1460"/>
      <c r="AF152" s="1460"/>
      <c r="AG152" s="1460"/>
      <c r="AH152" s="1460"/>
      <c r="AI152" s="1460"/>
      <c r="AJ152" s="1460"/>
      <c r="AK152" s="1460"/>
      <c r="AL152" s="1460"/>
      <c r="AM152" s="1460"/>
      <c r="AN152" s="1460"/>
      <c r="AO152" s="1460"/>
      <c r="AP152" s="1461"/>
      <c r="AQ152" s="56"/>
    </row>
    <row r="153" spans="14:43" customFormat="1" ht="16.350000000000001" customHeight="1">
      <c r="N153" s="166"/>
      <c r="O153" s="17"/>
      <c r="P153" s="1459"/>
      <c r="Q153" s="1460"/>
      <c r="R153" s="1460"/>
      <c r="S153" s="1460"/>
      <c r="T153" s="1460"/>
      <c r="U153" s="1460"/>
      <c r="V153" s="1460"/>
      <c r="W153" s="1460"/>
      <c r="X153" s="1460"/>
      <c r="Y153" s="1460"/>
      <c r="Z153" s="1460"/>
      <c r="AA153" s="1460"/>
      <c r="AB153" s="1460"/>
      <c r="AC153" s="1460"/>
      <c r="AD153" s="1460"/>
      <c r="AE153" s="1460"/>
      <c r="AF153" s="1460"/>
      <c r="AG153" s="1460"/>
      <c r="AH153" s="1460"/>
      <c r="AI153" s="1460"/>
      <c r="AJ153" s="1460"/>
      <c r="AK153" s="1460"/>
      <c r="AL153" s="1460"/>
      <c r="AM153" s="1460"/>
      <c r="AN153" s="1460"/>
      <c r="AO153" s="1460"/>
      <c r="AP153" s="1461"/>
      <c r="AQ153" s="56"/>
    </row>
    <row r="154" spans="14:43" customFormat="1" ht="16.350000000000001" customHeight="1">
      <c r="N154" s="166"/>
      <c r="O154" s="17"/>
      <c r="P154" s="1459"/>
      <c r="Q154" s="1460"/>
      <c r="R154" s="1460"/>
      <c r="S154" s="1460"/>
      <c r="T154" s="1460"/>
      <c r="U154" s="1460"/>
      <c r="V154" s="1460"/>
      <c r="W154" s="1460"/>
      <c r="X154" s="1460"/>
      <c r="Y154" s="1460"/>
      <c r="Z154" s="1460"/>
      <c r="AA154" s="1460"/>
      <c r="AB154" s="1460"/>
      <c r="AC154" s="1460"/>
      <c r="AD154" s="1460"/>
      <c r="AE154" s="1460"/>
      <c r="AF154" s="1460"/>
      <c r="AG154" s="1460"/>
      <c r="AH154" s="1460"/>
      <c r="AI154" s="1460"/>
      <c r="AJ154" s="1460"/>
      <c r="AK154" s="1460"/>
      <c r="AL154" s="1460"/>
      <c r="AM154" s="1460"/>
      <c r="AN154" s="1460"/>
      <c r="AO154" s="1460"/>
      <c r="AP154" s="1461"/>
      <c r="AQ154" s="56"/>
    </row>
    <row r="155" spans="14:43" customFormat="1" ht="16.350000000000001" customHeight="1">
      <c r="N155" s="166"/>
      <c r="O155" s="17"/>
      <c r="P155" s="1459"/>
      <c r="Q155" s="1460"/>
      <c r="R155" s="1460"/>
      <c r="S155" s="1460"/>
      <c r="T155" s="1460"/>
      <c r="U155" s="1460"/>
      <c r="V155" s="1460"/>
      <c r="W155" s="1460"/>
      <c r="X155" s="1460"/>
      <c r="Y155" s="1460"/>
      <c r="Z155" s="1460"/>
      <c r="AA155" s="1460"/>
      <c r="AB155" s="1460"/>
      <c r="AC155" s="1460"/>
      <c r="AD155" s="1460"/>
      <c r="AE155" s="1460"/>
      <c r="AF155" s="1460"/>
      <c r="AG155" s="1460"/>
      <c r="AH155" s="1460"/>
      <c r="AI155" s="1460"/>
      <c r="AJ155" s="1460"/>
      <c r="AK155" s="1460"/>
      <c r="AL155" s="1460"/>
      <c r="AM155" s="1460"/>
      <c r="AN155" s="1460"/>
      <c r="AO155" s="1460"/>
      <c r="AP155" s="1461"/>
      <c r="AQ155" s="56"/>
    </row>
    <row r="156" spans="14:43" customFormat="1" ht="16.350000000000001" customHeight="1">
      <c r="N156" s="166"/>
      <c r="O156" s="17"/>
      <c r="P156" s="1459"/>
      <c r="Q156" s="1460"/>
      <c r="R156" s="1460"/>
      <c r="S156" s="1460"/>
      <c r="T156" s="1460"/>
      <c r="U156" s="1460"/>
      <c r="V156" s="1460"/>
      <c r="W156" s="1460"/>
      <c r="X156" s="1460"/>
      <c r="Y156" s="1460"/>
      <c r="Z156" s="1460"/>
      <c r="AA156" s="1460"/>
      <c r="AB156" s="1460"/>
      <c r="AC156" s="1460"/>
      <c r="AD156" s="1460"/>
      <c r="AE156" s="1460"/>
      <c r="AF156" s="1460"/>
      <c r="AG156" s="1460"/>
      <c r="AH156" s="1460"/>
      <c r="AI156" s="1460"/>
      <c r="AJ156" s="1460"/>
      <c r="AK156" s="1460"/>
      <c r="AL156" s="1460"/>
      <c r="AM156" s="1460"/>
      <c r="AN156" s="1460"/>
      <c r="AO156" s="1460"/>
      <c r="AP156" s="1461"/>
      <c r="AQ156" s="56"/>
    </row>
    <row r="157" spans="14:43" customFormat="1" ht="16.350000000000001" customHeight="1">
      <c r="N157" s="166"/>
      <c r="O157" s="17"/>
      <c r="P157" s="1459"/>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460"/>
      <c r="AM157" s="1460"/>
      <c r="AN157" s="1460"/>
      <c r="AO157" s="1460"/>
      <c r="AP157" s="1461"/>
      <c r="AQ157" s="56"/>
    </row>
    <row r="158" spans="14:43" customFormat="1" ht="16.350000000000001" customHeight="1">
      <c r="N158" s="166"/>
      <c r="O158" s="17"/>
      <c r="P158" s="1459"/>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460"/>
      <c r="AM158" s="1460"/>
      <c r="AN158" s="1460"/>
      <c r="AO158" s="1460"/>
      <c r="AP158" s="1461"/>
      <c r="AQ158" s="56"/>
    </row>
    <row r="159" spans="14:43" customFormat="1" ht="16.350000000000001" customHeight="1">
      <c r="N159" s="166"/>
      <c r="O159" s="17"/>
      <c r="P159" s="1459"/>
      <c r="Q159" s="1460"/>
      <c r="R159" s="1460"/>
      <c r="S159" s="1460"/>
      <c r="T159" s="1460"/>
      <c r="U159" s="1460"/>
      <c r="V159" s="1460"/>
      <c r="W159" s="1460"/>
      <c r="X159" s="1460"/>
      <c r="Y159" s="1460"/>
      <c r="Z159" s="1460"/>
      <c r="AA159" s="1460"/>
      <c r="AB159" s="1460"/>
      <c r="AC159" s="1460"/>
      <c r="AD159" s="1460"/>
      <c r="AE159" s="1460"/>
      <c r="AF159" s="1460"/>
      <c r="AG159" s="1460"/>
      <c r="AH159" s="1460"/>
      <c r="AI159" s="1460"/>
      <c r="AJ159" s="1460"/>
      <c r="AK159" s="1460"/>
      <c r="AL159" s="1460"/>
      <c r="AM159" s="1460"/>
      <c r="AN159" s="1460"/>
      <c r="AO159" s="1460"/>
      <c r="AP159" s="1461"/>
      <c r="AQ159" s="56"/>
    </row>
    <row r="160" spans="14:43" customFormat="1" ht="16.350000000000001" customHeight="1">
      <c r="N160" s="166"/>
      <c r="O160" s="17"/>
      <c r="P160" s="1459"/>
      <c r="Q160" s="1460"/>
      <c r="R160" s="1460"/>
      <c r="S160" s="1460"/>
      <c r="T160" s="1460"/>
      <c r="U160" s="1460"/>
      <c r="V160" s="1460"/>
      <c r="W160" s="1460"/>
      <c r="X160" s="1460"/>
      <c r="Y160" s="1460"/>
      <c r="Z160" s="1460"/>
      <c r="AA160" s="1460"/>
      <c r="AB160" s="1460"/>
      <c r="AC160" s="1460"/>
      <c r="AD160" s="1460"/>
      <c r="AE160" s="1460"/>
      <c r="AF160" s="1460"/>
      <c r="AG160" s="1460"/>
      <c r="AH160" s="1460"/>
      <c r="AI160" s="1460"/>
      <c r="AJ160" s="1460"/>
      <c r="AK160" s="1460"/>
      <c r="AL160" s="1460"/>
      <c r="AM160" s="1460"/>
      <c r="AN160" s="1460"/>
      <c r="AO160" s="1460"/>
      <c r="AP160" s="1461"/>
      <c r="AQ160" s="56"/>
    </row>
    <row r="161" spans="14:43" customFormat="1" ht="16.350000000000001" customHeight="1">
      <c r="N161" s="166"/>
      <c r="O161" s="17"/>
      <c r="P161" s="1459"/>
      <c r="Q161" s="1460"/>
      <c r="R161" s="1460"/>
      <c r="S161" s="1460"/>
      <c r="T161" s="1460"/>
      <c r="U161" s="1460"/>
      <c r="V161" s="1460"/>
      <c r="W161" s="1460"/>
      <c r="X161" s="1460"/>
      <c r="Y161" s="1460"/>
      <c r="Z161" s="1460"/>
      <c r="AA161" s="1460"/>
      <c r="AB161" s="1460"/>
      <c r="AC161" s="1460"/>
      <c r="AD161" s="1460"/>
      <c r="AE161" s="1460"/>
      <c r="AF161" s="1460"/>
      <c r="AG161" s="1460"/>
      <c r="AH161" s="1460"/>
      <c r="AI161" s="1460"/>
      <c r="AJ161" s="1460"/>
      <c r="AK161" s="1460"/>
      <c r="AL161" s="1460"/>
      <c r="AM161" s="1460"/>
      <c r="AN161" s="1460"/>
      <c r="AO161" s="1460"/>
      <c r="AP161" s="1461"/>
      <c r="AQ161" s="56"/>
    </row>
    <row r="162" spans="14:43" customFormat="1" ht="16.350000000000001" customHeight="1">
      <c r="N162" s="166"/>
      <c r="O162" s="17"/>
      <c r="P162" s="1459"/>
      <c r="Q162" s="1460"/>
      <c r="R162" s="1460"/>
      <c r="S162" s="1460"/>
      <c r="T162" s="1460"/>
      <c r="U162" s="1460"/>
      <c r="V162" s="1460"/>
      <c r="W162" s="1460"/>
      <c r="X162" s="1460"/>
      <c r="Y162" s="1460"/>
      <c r="Z162" s="1460"/>
      <c r="AA162" s="1460"/>
      <c r="AB162" s="1460"/>
      <c r="AC162" s="1460"/>
      <c r="AD162" s="1460"/>
      <c r="AE162" s="1460"/>
      <c r="AF162" s="1460"/>
      <c r="AG162" s="1460"/>
      <c r="AH162" s="1460"/>
      <c r="AI162" s="1460"/>
      <c r="AJ162" s="1460"/>
      <c r="AK162" s="1460"/>
      <c r="AL162" s="1460"/>
      <c r="AM162" s="1460"/>
      <c r="AN162" s="1460"/>
      <c r="AO162" s="1460"/>
      <c r="AP162" s="1461"/>
      <c r="AQ162" s="56"/>
    </row>
    <row r="163" spans="14:43" customFormat="1" ht="16.350000000000001" customHeight="1">
      <c r="N163" s="166"/>
      <c r="O163" s="17"/>
      <c r="P163" s="1459"/>
      <c r="Q163" s="1460"/>
      <c r="R163" s="1460"/>
      <c r="S163" s="1460"/>
      <c r="T163" s="1460"/>
      <c r="U163" s="1460"/>
      <c r="V163" s="1460"/>
      <c r="W163" s="1460"/>
      <c r="X163" s="1460"/>
      <c r="Y163" s="1460"/>
      <c r="Z163" s="1460"/>
      <c r="AA163" s="1460"/>
      <c r="AB163" s="1460"/>
      <c r="AC163" s="1460"/>
      <c r="AD163" s="1460"/>
      <c r="AE163" s="1460"/>
      <c r="AF163" s="1460"/>
      <c r="AG163" s="1460"/>
      <c r="AH163" s="1460"/>
      <c r="AI163" s="1460"/>
      <c r="AJ163" s="1460"/>
      <c r="AK163" s="1460"/>
      <c r="AL163" s="1460"/>
      <c r="AM163" s="1460"/>
      <c r="AN163" s="1460"/>
      <c r="AO163" s="1460"/>
      <c r="AP163" s="1461"/>
      <c r="AQ163" s="56"/>
    </row>
    <row r="164" spans="14:43" customFormat="1" ht="16.350000000000001" customHeight="1">
      <c r="N164" s="166"/>
      <c r="O164" s="17"/>
      <c r="P164" s="1459"/>
      <c r="Q164" s="1460"/>
      <c r="R164" s="1460"/>
      <c r="S164" s="1460"/>
      <c r="T164" s="1460"/>
      <c r="U164" s="1460"/>
      <c r="V164" s="1460"/>
      <c r="W164" s="1460"/>
      <c r="X164" s="1460"/>
      <c r="Y164" s="1460"/>
      <c r="Z164" s="1460"/>
      <c r="AA164" s="1460"/>
      <c r="AB164" s="1460"/>
      <c r="AC164" s="1460"/>
      <c r="AD164" s="1460"/>
      <c r="AE164" s="1460"/>
      <c r="AF164" s="1460"/>
      <c r="AG164" s="1460"/>
      <c r="AH164" s="1460"/>
      <c r="AI164" s="1460"/>
      <c r="AJ164" s="1460"/>
      <c r="AK164" s="1460"/>
      <c r="AL164" s="1460"/>
      <c r="AM164" s="1460"/>
      <c r="AN164" s="1460"/>
      <c r="AO164" s="1460"/>
      <c r="AP164" s="1461"/>
      <c r="AQ164" s="56"/>
    </row>
    <row r="165" spans="14:43" customFormat="1" ht="16.350000000000001" customHeight="1">
      <c r="N165" s="166"/>
      <c r="O165" s="17"/>
      <c r="P165" s="1459"/>
      <c r="Q165" s="1460"/>
      <c r="R165" s="1460"/>
      <c r="S165" s="1460"/>
      <c r="T165" s="1460"/>
      <c r="U165" s="1460"/>
      <c r="V165" s="1460"/>
      <c r="W165" s="1460"/>
      <c r="X165" s="1460"/>
      <c r="Y165" s="1460"/>
      <c r="Z165" s="1460"/>
      <c r="AA165" s="1460"/>
      <c r="AB165" s="1460"/>
      <c r="AC165" s="1460"/>
      <c r="AD165" s="1460"/>
      <c r="AE165" s="1460"/>
      <c r="AF165" s="1460"/>
      <c r="AG165" s="1460"/>
      <c r="AH165" s="1460"/>
      <c r="AI165" s="1460"/>
      <c r="AJ165" s="1460"/>
      <c r="AK165" s="1460"/>
      <c r="AL165" s="1460"/>
      <c r="AM165" s="1460"/>
      <c r="AN165" s="1460"/>
      <c r="AO165" s="1460"/>
      <c r="AP165" s="1461"/>
      <c r="AQ165" s="56"/>
    </row>
    <row r="166" spans="14:43" customFormat="1" ht="16.350000000000001" customHeight="1">
      <c r="N166" s="166"/>
      <c r="O166" s="17"/>
      <c r="P166" s="1459"/>
      <c r="Q166" s="1460"/>
      <c r="R166" s="1460"/>
      <c r="S166" s="1460"/>
      <c r="T166" s="1460"/>
      <c r="U166" s="1460"/>
      <c r="V166" s="1460"/>
      <c r="W166" s="1460"/>
      <c r="X166" s="1460"/>
      <c r="Y166" s="1460"/>
      <c r="Z166" s="1460"/>
      <c r="AA166" s="1460"/>
      <c r="AB166" s="1460"/>
      <c r="AC166" s="1460"/>
      <c r="AD166" s="1460"/>
      <c r="AE166" s="1460"/>
      <c r="AF166" s="1460"/>
      <c r="AG166" s="1460"/>
      <c r="AH166" s="1460"/>
      <c r="AI166" s="1460"/>
      <c r="AJ166" s="1460"/>
      <c r="AK166" s="1460"/>
      <c r="AL166" s="1460"/>
      <c r="AM166" s="1460"/>
      <c r="AN166" s="1460"/>
      <c r="AO166" s="1460"/>
      <c r="AP166" s="1461"/>
      <c r="AQ166" s="56"/>
    </row>
    <row r="167" spans="14:43" customFormat="1" ht="16.350000000000001" customHeight="1">
      <c r="N167" s="166"/>
      <c r="O167" s="17"/>
      <c r="P167" s="1459"/>
      <c r="Q167" s="1460"/>
      <c r="R167" s="1460"/>
      <c r="S167" s="1460"/>
      <c r="T167" s="1460"/>
      <c r="U167" s="1460"/>
      <c r="V167" s="1460"/>
      <c r="W167" s="1460"/>
      <c r="X167" s="1460"/>
      <c r="Y167" s="1460"/>
      <c r="Z167" s="1460"/>
      <c r="AA167" s="1460"/>
      <c r="AB167" s="1460"/>
      <c r="AC167" s="1460"/>
      <c r="AD167" s="1460"/>
      <c r="AE167" s="1460"/>
      <c r="AF167" s="1460"/>
      <c r="AG167" s="1460"/>
      <c r="AH167" s="1460"/>
      <c r="AI167" s="1460"/>
      <c r="AJ167" s="1460"/>
      <c r="AK167" s="1460"/>
      <c r="AL167" s="1460"/>
      <c r="AM167" s="1460"/>
      <c r="AN167" s="1460"/>
      <c r="AO167" s="1460"/>
      <c r="AP167" s="1461"/>
      <c r="AQ167" s="56"/>
    </row>
    <row r="168" spans="14:43" customFormat="1" ht="16.350000000000001" customHeight="1">
      <c r="N168" s="166"/>
      <c r="O168" s="17"/>
      <c r="P168" s="1459"/>
      <c r="Q168" s="1460"/>
      <c r="R168" s="1460"/>
      <c r="S168" s="1460"/>
      <c r="T168" s="1460"/>
      <c r="U168" s="1460"/>
      <c r="V168" s="1460"/>
      <c r="W168" s="1460"/>
      <c r="X168" s="1460"/>
      <c r="Y168" s="1460"/>
      <c r="Z168" s="1460"/>
      <c r="AA168" s="1460"/>
      <c r="AB168" s="1460"/>
      <c r="AC168" s="1460"/>
      <c r="AD168" s="1460"/>
      <c r="AE168" s="1460"/>
      <c r="AF168" s="1460"/>
      <c r="AG168" s="1460"/>
      <c r="AH168" s="1460"/>
      <c r="AI168" s="1460"/>
      <c r="AJ168" s="1460"/>
      <c r="AK168" s="1460"/>
      <c r="AL168" s="1460"/>
      <c r="AM168" s="1460"/>
      <c r="AN168" s="1460"/>
      <c r="AO168" s="1460"/>
      <c r="AP168" s="1461"/>
      <c r="AQ168" s="56"/>
    </row>
    <row r="169" spans="14:43" customFormat="1" ht="16.350000000000001" customHeight="1">
      <c r="N169" s="166"/>
      <c r="O169" s="17"/>
      <c r="P169" s="1459"/>
      <c r="Q169" s="1460"/>
      <c r="R169" s="1460"/>
      <c r="S169" s="1460"/>
      <c r="T169" s="1460"/>
      <c r="U169" s="1460"/>
      <c r="V169" s="1460"/>
      <c r="W169" s="1460"/>
      <c r="X169" s="1460"/>
      <c r="Y169" s="1460"/>
      <c r="Z169" s="1460"/>
      <c r="AA169" s="1460"/>
      <c r="AB169" s="1460"/>
      <c r="AC169" s="1460"/>
      <c r="AD169" s="1460"/>
      <c r="AE169" s="1460"/>
      <c r="AF169" s="1460"/>
      <c r="AG169" s="1460"/>
      <c r="AH169" s="1460"/>
      <c r="AI169" s="1460"/>
      <c r="AJ169" s="1460"/>
      <c r="AK169" s="1460"/>
      <c r="AL169" s="1460"/>
      <c r="AM169" s="1460"/>
      <c r="AN169" s="1460"/>
      <c r="AO169" s="1460"/>
      <c r="AP169" s="1461"/>
      <c r="AQ169" s="56"/>
    </row>
    <row r="170" spans="14:43" customFormat="1" ht="16.350000000000001" customHeight="1">
      <c r="N170" s="166"/>
      <c r="O170" s="17"/>
      <c r="P170" s="1459"/>
      <c r="Q170" s="1460"/>
      <c r="R170" s="1460"/>
      <c r="S170" s="1460"/>
      <c r="T170" s="1460"/>
      <c r="U170" s="1460"/>
      <c r="V170" s="1460"/>
      <c r="W170" s="1460"/>
      <c r="X170" s="1460"/>
      <c r="Y170" s="1460"/>
      <c r="Z170" s="1460"/>
      <c r="AA170" s="1460"/>
      <c r="AB170" s="1460"/>
      <c r="AC170" s="1460"/>
      <c r="AD170" s="1460"/>
      <c r="AE170" s="1460"/>
      <c r="AF170" s="1460"/>
      <c r="AG170" s="1460"/>
      <c r="AH170" s="1460"/>
      <c r="AI170" s="1460"/>
      <c r="AJ170" s="1460"/>
      <c r="AK170" s="1460"/>
      <c r="AL170" s="1460"/>
      <c r="AM170" s="1460"/>
      <c r="AN170" s="1460"/>
      <c r="AO170" s="1460"/>
      <c r="AP170" s="1461"/>
      <c r="AQ170" s="56"/>
    </row>
    <row r="171" spans="14:43" customFormat="1" ht="16.350000000000001" customHeight="1">
      <c r="N171" s="166"/>
      <c r="O171" s="17"/>
      <c r="P171" s="1459"/>
      <c r="Q171" s="1460"/>
      <c r="R171" s="1460"/>
      <c r="S171" s="1460"/>
      <c r="T171" s="1460"/>
      <c r="U171" s="1460"/>
      <c r="V171" s="1460"/>
      <c r="W171" s="1460"/>
      <c r="X171" s="1460"/>
      <c r="Y171" s="1460"/>
      <c r="Z171" s="1460"/>
      <c r="AA171" s="1460"/>
      <c r="AB171" s="1460"/>
      <c r="AC171" s="1460"/>
      <c r="AD171" s="1460"/>
      <c r="AE171" s="1460"/>
      <c r="AF171" s="1460"/>
      <c r="AG171" s="1460"/>
      <c r="AH171" s="1460"/>
      <c r="AI171" s="1460"/>
      <c r="AJ171" s="1460"/>
      <c r="AK171" s="1460"/>
      <c r="AL171" s="1460"/>
      <c r="AM171" s="1460"/>
      <c r="AN171" s="1460"/>
      <c r="AO171" s="1460"/>
      <c r="AP171" s="1461"/>
      <c r="AQ171" s="56"/>
    </row>
    <row r="172" spans="14:43" customFormat="1" ht="16.350000000000001" customHeight="1">
      <c r="N172" s="166"/>
      <c r="O172" s="17"/>
      <c r="P172" s="1459"/>
      <c r="Q172" s="1460"/>
      <c r="R172" s="1460"/>
      <c r="S172" s="1460"/>
      <c r="T172" s="1460"/>
      <c r="U172" s="1460"/>
      <c r="V172" s="1460"/>
      <c r="W172" s="1460"/>
      <c r="X172" s="1460"/>
      <c r="Y172" s="1460"/>
      <c r="Z172" s="1460"/>
      <c r="AA172" s="1460"/>
      <c r="AB172" s="1460"/>
      <c r="AC172" s="1460"/>
      <c r="AD172" s="1460"/>
      <c r="AE172" s="1460"/>
      <c r="AF172" s="1460"/>
      <c r="AG172" s="1460"/>
      <c r="AH172" s="1460"/>
      <c r="AI172" s="1460"/>
      <c r="AJ172" s="1460"/>
      <c r="AK172" s="1460"/>
      <c r="AL172" s="1460"/>
      <c r="AM172" s="1460"/>
      <c r="AN172" s="1460"/>
      <c r="AO172" s="1460"/>
      <c r="AP172" s="1461"/>
      <c r="AQ172" s="56"/>
    </row>
    <row r="173" spans="14:43" customFormat="1" ht="16.350000000000001" customHeight="1">
      <c r="N173" s="166"/>
      <c r="O173" s="17"/>
      <c r="P173" s="1459"/>
      <c r="Q173" s="1460"/>
      <c r="R173" s="1460"/>
      <c r="S173" s="1460"/>
      <c r="T173" s="1460"/>
      <c r="U173" s="1460"/>
      <c r="V173" s="1460"/>
      <c r="W173" s="1460"/>
      <c r="X173" s="1460"/>
      <c r="Y173" s="1460"/>
      <c r="Z173" s="1460"/>
      <c r="AA173" s="1460"/>
      <c r="AB173" s="1460"/>
      <c r="AC173" s="1460"/>
      <c r="AD173" s="1460"/>
      <c r="AE173" s="1460"/>
      <c r="AF173" s="1460"/>
      <c r="AG173" s="1460"/>
      <c r="AH173" s="1460"/>
      <c r="AI173" s="1460"/>
      <c r="AJ173" s="1460"/>
      <c r="AK173" s="1460"/>
      <c r="AL173" s="1460"/>
      <c r="AM173" s="1460"/>
      <c r="AN173" s="1460"/>
      <c r="AO173" s="1460"/>
      <c r="AP173" s="1461"/>
      <c r="AQ173" s="56"/>
    </row>
    <row r="174" spans="14:43" customFormat="1" ht="16.350000000000001" customHeight="1">
      <c r="N174" s="166"/>
      <c r="O174" s="17"/>
      <c r="P174" s="1459"/>
      <c r="Q174" s="1460"/>
      <c r="R174" s="1460"/>
      <c r="S174" s="1460"/>
      <c r="T174" s="1460"/>
      <c r="U174" s="1460"/>
      <c r="V174" s="1460"/>
      <c r="W174" s="1460"/>
      <c r="X174" s="1460"/>
      <c r="Y174" s="1460"/>
      <c r="Z174" s="1460"/>
      <c r="AA174" s="1460"/>
      <c r="AB174" s="1460"/>
      <c r="AC174" s="1460"/>
      <c r="AD174" s="1460"/>
      <c r="AE174" s="1460"/>
      <c r="AF174" s="1460"/>
      <c r="AG174" s="1460"/>
      <c r="AH174" s="1460"/>
      <c r="AI174" s="1460"/>
      <c r="AJ174" s="1460"/>
      <c r="AK174" s="1460"/>
      <c r="AL174" s="1460"/>
      <c r="AM174" s="1460"/>
      <c r="AN174" s="1460"/>
      <c r="AO174" s="1460"/>
      <c r="AP174" s="1461"/>
      <c r="AQ174" s="56"/>
    </row>
    <row r="175" spans="14:43" customFormat="1" ht="16.350000000000001" customHeight="1">
      <c r="N175" s="166"/>
      <c r="O175" s="17"/>
      <c r="P175" s="1459"/>
      <c r="Q175" s="1460"/>
      <c r="R175" s="1460"/>
      <c r="S175" s="1460"/>
      <c r="T175" s="1460"/>
      <c r="U175" s="1460"/>
      <c r="V175" s="1460"/>
      <c r="W175" s="1460"/>
      <c r="X175" s="1460"/>
      <c r="Y175" s="1460"/>
      <c r="Z175" s="1460"/>
      <c r="AA175" s="1460"/>
      <c r="AB175" s="1460"/>
      <c r="AC175" s="1460"/>
      <c r="AD175" s="1460"/>
      <c r="AE175" s="1460"/>
      <c r="AF175" s="1460"/>
      <c r="AG175" s="1460"/>
      <c r="AH175" s="1460"/>
      <c r="AI175" s="1460"/>
      <c r="AJ175" s="1460"/>
      <c r="AK175" s="1460"/>
      <c r="AL175" s="1460"/>
      <c r="AM175" s="1460"/>
      <c r="AN175" s="1460"/>
      <c r="AO175" s="1460"/>
      <c r="AP175" s="1461"/>
      <c r="AQ175" s="56"/>
    </row>
    <row r="176" spans="14:43" customFormat="1" ht="16.350000000000001" customHeight="1">
      <c r="N176" s="166"/>
      <c r="O176" s="17"/>
      <c r="P176" s="1459"/>
      <c r="Q176" s="1460"/>
      <c r="R176" s="1460"/>
      <c r="S176" s="1460"/>
      <c r="T176" s="1460"/>
      <c r="U176" s="1460"/>
      <c r="V176" s="1460"/>
      <c r="W176" s="1460"/>
      <c r="X176" s="1460"/>
      <c r="Y176" s="1460"/>
      <c r="Z176" s="1460"/>
      <c r="AA176" s="1460"/>
      <c r="AB176" s="1460"/>
      <c r="AC176" s="1460"/>
      <c r="AD176" s="1460"/>
      <c r="AE176" s="1460"/>
      <c r="AF176" s="1460"/>
      <c r="AG176" s="1460"/>
      <c r="AH176" s="1460"/>
      <c r="AI176" s="1460"/>
      <c r="AJ176" s="1460"/>
      <c r="AK176" s="1460"/>
      <c r="AL176" s="1460"/>
      <c r="AM176" s="1460"/>
      <c r="AN176" s="1460"/>
      <c r="AO176" s="1460"/>
      <c r="AP176" s="1461"/>
      <c r="AQ176" s="56"/>
    </row>
    <row r="177" spans="14:43" customFormat="1" ht="16.350000000000001" customHeight="1">
      <c r="N177" s="166"/>
      <c r="O177" s="17"/>
      <c r="P177" s="1459"/>
      <c r="Q177" s="1460"/>
      <c r="R177" s="1460"/>
      <c r="S177" s="1460"/>
      <c r="T177" s="1460"/>
      <c r="U177" s="1460"/>
      <c r="V177" s="1460"/>
      <c r="W177" s="1460"/>
      <c r="X177" s="1460"/>
      <c r="Y177" s="1460"/>
      <c r="Z177" s="1460"/>
      <c r="AA177" s="1460"/>
      <c r="AB177" s="1460"/>
      <c r="AC177" s="1460"/>
      <c r="AD177" s="1460"/>
      <c r="AE177" s="1460"/>
      <c r="AF177" s="1460"/>
      <c r="AG177" s="1460"/>
      <c r="AH177" s="1460"/>
      <c r="AI177" s="1460"/>
      <c r="AJ177" s="1460"/>
      <c r="AK177" s="1460"/>
      <c r="AL177" s="1460"/>
      <c r="AM177" s="1460"/>
      <c r="AN177" s="1460"/>
      <c r="AO177" s="1460"/>
      <c r="AP177" s="1461"/>
      <c r="AQ177" s="56"/>
    </row>
    <row r="178" spans="14:43" customFormat="1" ht="16.350000000000001" customHeight="1">
      <c r="N178" s="166"/>
      <c r="O178" s="17"/>
      <c r="P178" s="1459"/>
      <c r="Q178" s="1460"/>
      <c r="R178" s="1460"/>
      <c r="S178" s="1460"/>
      <c r="T178" s="1460"/>
      <c r="U178" s="1460"/>
      <c r="V178" s="1460"/>
      <c r="W178" s="1460"/>
      <c r="X178" s="1460"/>
      <c r="Y178" s="1460"/>
      <c r="Z178" s="1460"/>
      <c r="AA178" s="1460"/>
      <c r="AB178" s="1460"/>
      <c r="AC178" s="1460"/>
      <c r="AD178" s="1460"/>
      <c r="AE178" s="1460"/>
      <c r="AF178" s="1460"/>
      <c r="AG178" s="1460"/>
      <c r="AH178" s="1460"/>
      <c r="AI178" s="1460"/>
      <c r="AJ178" s="1460"/>
      <c r="AK178" s="1460"/>
      <c r="AL178" s="1460"/>
      <c r="AM178" s="1460"/>
      <c r="AN178" s="1460"/>
      <c r="AO178" s="1460"/>
      <c r="AP178" s="1461"/>
      <c r="AQ178" s="56"/>
    </row>
    <row r="179" spans="14:43" customFormat="1" ht="16.350000000000001" customHeight="1">
      <c r="N179" s="166"/>
      <c r="O179" s="17"/>
      <c r="P179" s="1459"/>
      <c r="Q179" s="1460"/>
      <c r="R179" s="1460"/>
      <c r="S179" s="1460"/>
      <c r="T179" s="1460"/>
      <c r="U179" s="1460"/>
      <c r="V179" s="1460"/>
      <c r="W179" s="1460"/>
      <c r="X179" s="1460"/>
      <c r="Y179" s="1460"/>
      <c r="Z179" s="1460"/>
      <c r="AA179" s="1460"/>
      <c r="AB179" s="1460"/>
      <c r="AC179" s="1460"/>
      <c r="AD179" s="1460"/>
      <c r="AE179" s="1460"/>
      <c r="AF179" s="1460"/>
      <c r="AG179" s="1460"/>
      <c r="AH179" s="1460"/>
      <c r="AI179" s="1460"/>
      <c r="AJ179" s="1460"/>
      <c r="AK179" s="1460"/>
      <c r="AL179" s="1460"/>
      <c r="AM179" s="1460"/>
      <c r="AN179" s="1460"/>
      <c r="AO179" s="1460"/>
      <c r="AP179" s="1461"/>
      <c r="AQ179" s="56"/>
    </row>
    <row r="180" spans="14:43" customFormat="1" ht="16.350000000000001" customHeight="1">
      <c r="N180" s="166"/>
      <c r="O180" s="17"/>
      <c r="P180" s="1459"/>
      <c r="Q180" s="1460"/>
      <c r="R180" s="1460"/>
      <c r="S180" s="1460"/>
      <c r="T180" s="1460"/>
      <c r="U180" s="1460"/>
      <c r="V180" s="1460"/>
      <c r="W180" s="1460"/>
      <c r="X180" s="1460"/>
      <c r="Y180" s="1460"/>
      <c r="Z180" s="1460"/>
      <c r="AA180" s="1460"/>
      <c r="AB180" s="1460"/>
      <c r="AC180" s="1460"/>
      <c r="AD180" s="1460"/>
      <c r="AE180" s="1460"/>
      <c r="AF180" s="1460"/>
      <c r="AG180" s="1460"/>
      <c r="AH180" s="1460"/>
      <c r="AI180" s="1460"/>
      <c r="AJ180" s="1460"/>
      <c r="AK180" s="1460"/>
      <c r="AL180" s="1460"/>
      <c r="AM180" s="1460"/>
      <c r="AN180" s="1460"/>
      <c r="AO180" s="1460"/>
      <c r="AP180" s="1461"/>
      <c r="AQ180" s="56"/>
    </row>
    <row r="181" spans="14:43" customFormat="1" ht="16.350000000000001" customHeight="1">
      <c r="N181" s="166"/>
      <c r="O181" s="17"/>
      <c r="P181" s="1459"/>
      <c r="Q181" s="1460"/>
      <c r="R181" s="1460"/>
      <c r="S181" s="1460"/>
      <c r="T181" s="1460"/>
      <c r="U181" s="1460"/>
      <c r="V181" s="1460"/>
      <c r="W181" s="1460"/>
      <c r="X181" s="1460"/>
      <c r="Y181" s="1460"/>
      <c r="Z181" s="1460"/>
      <c r="AA181" s="1460"/>
      <c r="AB181" s="1460"/>
      <c r="AC181" s="1460"/>
      <c r="AD181" s="1460"/>
      <c r="AE181" s="1460"/>
      <c r="AF181" s="1460"/>
      <c r="AG181" s="1460"/>
      <c r="AH181" s="1460"/>
      <c r="AI181" s="1460"/>
      <c r="AJ181" s="1460"/>
      <c r="AK181" s="1460"/>
      <c r="AL181" s="1460"/>
      <c r="AM181" s="1460"/>
      <c r="AN181" s="1460"/>
      <c r="AO181" s="1460"/>
      <c r="AP181" s="1461"/>
      <c r="AQ181" s="56"/>
    </row>
    <row r="182" spans="14:43" customFormat="1" ht="16.350000000000001" customHeight="1">
      <c r="N182" s="166"/>
      <c r="O182" s="17"/>
      <c r="P182" s="1459"/>
      <c r="Q182" s="1460"/>
      <c r="R182" s="1460"/>
      <c r="S182" s="1460"/>
      <c r="T182" s="1460"/>
      <c r="U182" s="1460"/>
      <c r="V182" s="1460"/>
      <c r="W182" s="1460"/>
      <c r="X182" s="1460"/>
      <c r="Y182" s="1460"/>
      <c r="Z182" s="1460"/>
      <c r="AA182" s="1460"/>
      <c r="AB182" s="1460"/>
      <c r="AC182" s="1460"/>
      <c r="AD182" s="1460"/>
      <c r="AE182" s="1460"/>
      <c r="AF182" s="1460"/>
      <c r="AG182" s="1460"/>
      <c r="AH182" s="1460"/>
      <c r="AI182" s="1460"/>
      <c r="AJ182" s="1460"/>
      <c r="AK182" s="1460"/>
      <c r="AL182" s="1460"/>
      <c r="AM182" s="1460"/>
      <c r="AN182" s="1460"/>
      <c r="AO182" s="1460"/>
      <c r="AP182" s="1461"/>
      <c r="AQ182" s="56"/>
    </row>
    <row r="183" spans="14:43" customFormat="1" ht="16.350000000000001" customHeight="1">
      <c r="N183" s="166"/>
      <c r="O183" s="17"/>
      <c r="P183" s="1459"/>
      <c r="Q183" s="1460"/>
      <c r="R183" s="1460"/>
      <c r="S183" s="1460"/>
      <c r="T183" s="1460"/>
      <c r="U183" s="1460"/>
      <c r="V183" s="1460"/>
      <c r="W183" s="1460"/>
      <c r="X183" s="1460"/>
      <c r="Y183" s="1460"/>
      <c r="Z183" s="1460"/>
      <c r="AA183" s="1460"/>
      <c r="AB183" s="1460"/>
      <c r="AC183" s="1460"/>
      <c r="AD183" s="1460"/>
      <c r="AE183" s="1460"/>
      <c r="AF183" s="1460"/>
      <c r="AG183" s="1460"/>
      <c r="AH183" s="1460"/>
      <c r="AI183" s="1460"/>
      <c r="AJ183" s="1460"/>
      <c r="AK183" s="1460"/>
      <c r="AL183" s="1460"/>
      <c r="AM183" s="1460"/>
      <c r="AN183" s="1460"/>
      <c r="AO183" s="1460"/>
      <c r="AP183" s="1461"/>
      <c r="AQ183" s="56"/>
    </row>
    <row r="184" spans="14:43" customFormat="1" ht="16.350000000000001" customHeight="1">
      <c r="N184" s="166"/>
      <c r="O184" s="17"/>
      <c r="P184" s="1459"/>
      <c r="Q184" s="1460"/>
      <c r="R184" s="1460"/>
      <c r="S184" s="1460"/>
      <c r="T184" s="1460"/>
      <c r="U184" s="1460"/>
      <c r="V184" s="1460"/>
      <c r="W184" s="1460"/>
      <c r="X184" s="1460"/>
      <c r="Y184" s="1460"/>
      <c r="Z184" s="1460"/>
      <c r="AA184" s="1460"/>
      <c r="AB184" s="1460"/>
      <c r="AC184" s="1460"/>
      <c r="AD184" s="1460"/>
      <c r="AE184" s="1460"/>
      <c r="AF184" s="1460"/>
      <c r="AG184" s="1460"/>
      <c r="AH184" s="1460"/>
      <c r="AI184" s="1460"/>
      <c r="AJ184" s="1460"/>
      <c r="AK184" s="1460"/>
      <c r="AL184" s="1460"/>
      <c r="AM184" s="1460"/>
      <c r="AN184" s="1460"/>
      <c r="AO184" s="1460"/>
      <c r="AP184" s="1461"/>
      <c r="AQ184" s="56"/>
    </row>
    <row r="185" spans="14:43" customFormat="1" ht="16.350000000000001" customHeight="1">
      <c r="N185" s="166"/>
      <c r="O185" s="17"/>
      <c r="P185" s="1459"/>
      <c r="Q185" s="1460"/>
      <c r="R185" s="1460"/>
      <c r="S185" s="1460"/>
      <c r="T185" s="1460"/>
      <c r="U185" s="1460"/>
      <c r="V185" s="1460"/>
      <c r="W185" s="1460"/>
      <c r="X185" s="1460"/>
      <c r="Y185" s="1460"/>
      <c r="Z185" s="1460"/>
      <c r="AA185" s="1460"/>
      <c r="AB185" s="1460"/>
      <c r="AC185" s="1460"/>
      <c r="AD185" s="1460"/>
      <c r="AE185" s="1460"/>
      <c r="AF185" s="1460"/>
      <c r="AG185" s="1460"/>
      <c r="AH185" s="1460"/>
      <c r="AI185" s="1460"/>
      <c r="AJ185" s="1460"/>
      <c r="AK185" s="1460"/>
      <c r="AL185" s="1460"/>
      <c r="AM185" s="1460"/>
      <c r="AN185" s="1460"/>
      <c r="AO185" s="1460"/>
      <c r="AP185" s="1461"/>
      <c r="AQ185" s="56"/>
    </row>
    <row r="186" spans="14:43" customFormat="1" ht="16.350000000000001" customHeight="1">
      <c r="N186" s="166"/>
      <c r="O186" s="17"/>
      <c r="P186" s="1459"/>
      <c r="Q186" s="1460"/>
      <c r="R186" s="1460"/>
      <c r="S186" s="1460"/>
      <c r="T186" s="1460"/>
      <c r="U186" s="1460"/>
      <c r="V186" s="1460"/>
      <c r="W186" s="1460"/>
      <c r="X186" s="1460"/>
      <c r="Y186" s="1460"/>
      <c r="Z186" s="1460"/>
      <c r="AA186" s="1460"/>
      <c r="AB186" s="1460"/>
      <c r="AC186" s="1460"/>
      <c r="AD186" s="1460"/>
      <c r="AE186" s="1460"/>
      <c r="AF186" s="1460"/>
      <c r="AG186" s="1460"/>
      <c r="AH186" s="1460"/>
      <c r="AI186" s="1460"/>
      <c r="AJ186" s="1460"/>
      <c r="AK186" s="1460"/>
      <c r="AL186" s="1460"/>
      <c r="AM186" s="1460"/>
      <c r="AN186" s="1460"/>
      <c r="AO186" s="1460"/>
      <c r="AP186" s="1461"/>
      <c r="AQ186" s="56"/>
    </row>
    <row r="187" spans="14:43" customFormat="1" ht="16.350000000000001" customHeight="1">
      <c r="N187" s="166"/>
      <c r="O187" s="17"/>
      <c r="P187" s="1459"/>
      <c r="Q187" s="1460"/>
      <c r="R187" s="1460"/>
      <c r="S187" s="1460"/>
      <c r="T187" s="1460"/>
      <c r="U187" s="1460"/>
      <c r="V187" s="1460"/>
      <c r="W187" s="1460"/>
      <c r="X187" s="1460"/>
      <c r="Y187" s="1460"/>
      <c r="Z187" s="1460"/>
      <c r="AA187" s="1460"/>
      <c r="AB187" s="1460"/>
      <c r="AC187" s="1460"/>
      <c r="AD187" s="1460"/>
      <c r="AE187" s="1460"/>
      <c r="AF187" s="1460"/>
      <c r="AG187" s="1460"/>
      <c r="AH187" s="1460"/>
      <c r="AI187" s="1460"/>
      <c r="AJ187" s="1460"/>
      <c r="AK187" s="1460"/>
      <c r="AL187" s="1460"/>
      <c r="AM187" s="1460"/>
      <c r="AN187" s="1460"/>
      <c r="AO187" s="1460"/>
      <c r="AP187" s="1461"/>
      <c r="AQ187" s="56"/>
    </row>
    <row r="188" spans="14:43" customFormat="1" ht="16.350000000000001" customHeight="1">
      <c r="N188" s="166"/>
      <c r="O188" s="17"/>
      <c r="P188" s="1459"/>
      <c r="Q188" s="1460"/>
      <c r="R188" s="1460"/>
      <c r="S188" s="1460"/>
      <c r="T188" s="1460"/>
      <c r="U188" s="1460"/>
      <c r="V188" s="1460"/>
      <c r="W188" s="1460"/>
      <c r="X188" s="1460"/>
      <c r="Y188" s="1460"/>
      <c r="Z188" s="1460"/>
      <c r="AA188" s="1460"/>
      <c r="AB188" s="1460"/>
      <c r="AC188" s="1460"/>
      <c r="AD188" s="1460"/>
      <c r="AE188" s="1460"/>
      <c r="AF188" s="1460"/>
      <c r="AG188" s="1460"/>
      <c r="AH188" s="1460"/>
      <c r="AI188" s="1460"/>
      <c r="AJ188" s="1460"/>
      <c r="AK188" s="1460"/>
      <c r="AL188" s="1460"/>
      <c r="AM188" s="1460"/>
      <c r="AN188" s="1460"/>
      <c r="AO188" s="1460"/>
      <c r="AP188" s="1461"/>
      <c r="AQ188" s="56"/>
    </row>
    <row r="189" spans="14:43" customFormat="1" ht="16.350000000000001" customHeight="1">
      <c r="N189" s="166"/>
      <c r="O189" s="17"/>
      <c r="P189" s="1459"/>
      <c r="Q189" s="1460"/>
      <c r="R189" s="1460"/>
      <c r="S189" s="1460"/>
      <c r="T189" s="1460"/>
      <c r="U189" s="1460"/>
      <c r="V189" s="1460"/>
      <c r="W189" s="1460"/>
      <c r="X189" s="1460"/>
      <c r="Y189" s="1460"/>
      <c r="Z189" s="1460"/>
      <c r="AA189" s="1460"/>
      <c r="AB189" s="1460"/>
      <c r="AC189" s="1460"/>
      <c r="AD189" s="1460"/>
      <c r="AE189" s="1460"/>
      <c r="AF189" s="1460"/>
      <c r="AG189" s="1460"/>
      <c r="AH189" s="1460"/>
      <c r="AI189" s="1460"/>
      <c r="AJ189" s="1460"/>
      <c r="AK189" s="1460"/>
      <c r="AL189" s="1460"/>
      <c r="AM189" s="1460"/>
      <c r="AN189" s="1460"/>
      <c r="AO189" s="1460"/>
      <c r="AP189" s="1461"/>
      <c r="AQ189" s="56"/>
    </row>
    <row r="190" spans="14:43" customFormat="1" ht="16.350000000000001" customHeight="1">
      <c r="N190" s="166"/>
      <c r="O190" s="17"/>
      <c r="P190" s="1459"/>
      <c r="Q190" s="1460"/>
      <c r="R190" s="1460"/>
      <c r="S190" s="1460"/>
      <c r="T190" s="1460"/>
      <c r="U190" s="1460"/>
      <c r="V190" s="1460"/>
      <c r="W190" s="1460"/>
      <c r="X190" s="1460"/>
      <c r="Y190" s="1460"/>
      <c r="Z190" s="1460"/>
      <c r="AA190" s="1460"/>
      <c r="AB190" s="1460"/>
      <c r="AC190" s="1460"/>
      <c r="AD190" s="1460"/>
      <c r="AE190" s="1460"/>
      <c r="AF190" s="1460"/>
      <c r="AG190" s="1460"/>
      <c r="AH190" s="1460"/>
      <c r="AI190" s="1460"/>
      <c r="AJ190" s="1460"/>
      <c r="AK190" s="1460"/>
      <c r="AL190" s="1460"/>
      <c r="AM190" s="1460"/>
      <c r="AN190" s="1460"/>
      <c r="AO190" s="1460"/>
      <c r="AP190" s="1461"/>
      <c r="AQ190" s="56"/>
    </row>
    <row r="191" spans="14:43" customFormat="1" ht="16.350000000000001" customHeight="1">
      <c r="N191" s="166"/>
      <c r="O191" s="17"/>
      <c r="P191" s="1459"/>
      <c r="Q191" s="1460"/>
      <c r="R191" s="1460"/>
      <c r="S191" s="1460"/>
      <c r="T191" s="1460"/>
      <c r="U191" s="1460"/>
      <c r="V191" s="1460"/>
      <c r="W191" s="1460"/>
      <c r="X191" s="1460"/>
      <c r="Y191" s="1460"/>
      <c r="Z191" s="1460"/>
      <c r="AA191" s="1460"/>
      <c r="AB191" s="1460"/>
      <c r="AC191" s="1460"/>
      <c r="AD191" s="1460"/>
      <c r="AE191" s="1460"/>
      <c r="AF191" s="1460"/>
      <c r="AG191" s="1460"/>
      <c r="AH191" s="1460"/>
      <c r="AI191" s="1460"/>
      <c r="AJ191" s="1460"/>
      <c r="AK191" s="1460"/>
      <c r="AL191" s="1460"/>
      <c r="AM191" s="1460"/>
      <c r="AN191" s="1460"/>
      <c r="AO191" s="1460"/>
      <c r="AP191" s="1461"/>
      <c r="AQ191" s="56"/>
    </row>
    <row r="192" spans="14:43" customFormat="1" ht="16.350000000000001" customHeight="1">
      <c r="N192" s="166"/>
      <c r="O192" s="17"/>
      <c r="P192" s="1462"/>
      <c r="Q192" s="1463"/>
      <c r="R192" s="1463"/>
      <c r="S192" s="1463"/>
      <c r="T192" s="1463"/>
      <c r="U192" s="1463"/>
      <c r="V192" s="1463"/>
      <c r="W192" s="1463"/>
      <c r="X192" s="1463"/>
      <c r="Y192" s="1463"/>
      <c r="Z192" s="1463"/>
      <c r="AA192" s="1463"/>
      <c r="AB192" s="1463"/>
      <c r="AC192" s="1463"/>
      <c r="AD192" s="1463"/>
      <c r="AE192" s="1463"/>
      <c r="AF192" s="1463"/>
      <c r="AG192" s="1463"/>
      <c r="AH192" s="1463"/>
      <c r="AI192" s="1463"/>
      <c r="AJ192" s="1463"/>
      <c r="AK192" s="1463"/>
      <c r="AL192" s="1463"/>
      <c r="AM192" s="1463"/>
      <c r="AN192" s="1463"/>
      <c r="AO192" s="1463"/>
      <c r="AP192" s="1464"/>
      <c r="AQ192" s="56"/>
    </row>
    <row r="193" spans="14:43" customFormat="1" ht="16.350000000000001" customHeight="1">
      <c r="N193" s="166"/>
      <c r="O193" s="17"/>
      <c r="AQ193" s="56"/>
    </row>
    <row r="194" spans="14:43" customFormat="1" ht="23.25">
      <c r="N194" s="166"/>
      <c r="O194" s="17"/>
      <c r="P194" s="1472" t="s">
        <v>1538</v>
      </c>
      <c r="Q194" s="1472"/>
      <c r="R194" s="1472"/>
      <c r="S194" s="1472"/>
      <c r="T194" s="1472"/>
      <c r="U194" s="1472"/>
      <c r="V194" s="1472"/>
      <c r="W194" s="1472"/>
      <c r="X194" s="1472"/>
      <c r="Y194" s="1472"/>
      <c r="Z194" s="1472"/>
      <c r="AA194" s="1472"/>
      <c r="AB194" s="1472"/>
      <c r="AC194" s="1472"/>
      <c r="AD194" s="1472"/>
      <c r="AE194" s="1472"/>
      <c r="AF194" s="1472"/>
      <c r="AG194" s="1472"/>
      <c r="AH194" s="1472"/>
      <c r="AI194" s="1472"/>
      <c r="AJ194" s="1472"/>
      <c r="AK194" s="1472"/>
      <c r="AL194" s="1472"/>
      <c r="AM194" s="1472"/>
      <c r="AN194" s="1472"/>
      <c r="AO194" s="1472"/>
      <c r="AP194" s="1472"/>
      <c r="AQ194" s="56"/>
    </row>
    <row r="195" spans="14:43" customFormat="1" ht="12" customHeight="1">
      <c r="N195" s="166"/>
      <c r="O195" s="17"/>
      <c r="P195" s="228"/>
      <c r="Q195" s="228"/>
      <c r="R195" s="228"/>
      <c r="S195" s="228"/>
      <c r="T195" s="228"/>
      <c r="U195" s="228"/>
      <c r="V195" s="228"/>
      <c r="W195" s="228"/>
      <c r="X195" s="228"/>
      <c r="Y195" s="228"/>
      <c r="Z195" s="228"/>
      <c r="AA195" s="228"/>
      <c r="AB195" s="228"/>
      <c r="AC195" s="228"/>
      <c r="AD195" s="228"/>
      <c r="AE195" s="228"/>
      <c r="AF195" s="228"/>
      <c r="AG195" s="228"/>
      <c r="AH195" s="228"/>
      <c r="AI195" s="228"/>
      <c r="AJ195" s="228"/>
      <c r="AK195" s="228"/>
      <c r="AL195" s="228"/>
      <c r="AM195" s="228"/>
      <c r="AN195" s="228"/>
      <c r="AO195" s="228"/>
      <c r="AP195" s="228"/>
      <c r="AQ195" s="56"/>
    </row>
    <row r="196" spans="14:43" customFormat="1" ht="16.350000000000001" customHeight="1">
      <c r="N196" s="166"/>
      <c r="O196" s="17"/>
      <c r="P196" s="585" t="s">
        <v>1744</v>
      </c>
      <c r="Q196" s="1465"/>
      <c r="R196" s="1465"/>
      <c r="S196" s="1465"/>
      <c r="T196" s="1465"/>
      <c r="U196" s="1465"/>
      <c r="V196" s="1465"/>
      <c r="W196" s="1465"/>
      <c r="X196" s="1466" t="s">
        <v>1745</v>
      </c>
      <c r="Y196" s="1466"/>
      <c r="Z196" s="1466"/>
      <c r="AA196" s="1466"/>
      <c r="AB196" s="1466"/>
      <c r="AC196" s="1466"/>
      <c r="AD196" s="1466"/>
      <c r="AE196" s="1466"/>
      <c r="AF196" s="1466"/>
      <c r="AG196" s="1466"/>
      <c r="AH196" s="1466"/>
      <c r="AI196" s="1466"/>
      <c r="AJ196" s="1466"/>
      <c r="AK196" s="1466"/>
      <c r="AL196" s="1466"/>
      <c r="AM196" s="1466"/>
      <c r="AN196" s="1466"/>
      <c r="AO196" s="1466"/>
      <c r="AP196" s="1467"/>
      <c r="AQ196" s="56"/>
    </row>
    <row r="197" spans="14:43" customFormat="1" ht="16.350000000000001" customHeight="1">
      <c r="N197" s="166"/>
      <c r="O197" s="17"/>
      <c r="P197" s="1468"/>
      <c r="Q197" s="1469"/>
      <c r="R197" s="1469"/>
      <c r="S197" s="1469"/>
      <c r="T197" s="1469"/>
      <c r="U197" s="1469"/>
      <c r="V197" s="1469"/>
      <c r="W197" s="1470" t="s">
        <v>1746</v>
      </c>
      <c r="X197" s="1470"/>
      <c r="Y197" s="1470"/>
      <c r="Z197" s="1470"/>
      <c r="AA197" s="1470"/>
      <c r="AB197" s="1470"/>
      <c r="AC197" s="1470"/>
      <c r="AD197" s="1470"/>
      <c r="AE197" s="1470"/>
      <c r="AF197" s="1470"/>
      <c r="AG197" s="1470"/>
      <c r="AH197" s="1470"/>
      <c r="AI197" s="1470"/>
      <c r="AJ197" s="1470"/>
      <c r="AK197" s="1470"/>
      <c r="AL197" s="1470"/>
      <c r="AM197" s="1470"/>
      <c r="AN197" s="1470"/>
      <c r="AO197" s="1470"/>
      <c r="AP197" s="1471"/>
      <c r="AQ197" s="56"/>
    </row>
    <row r="198" spans="14:43" customFormat="1" ht="16.350000000000001" customHeight="1">
      <c r="N198" s="166"/>
      <c r="O198" s="17"/>
      <c r="P198" s="1473" t="s">
        <v>1747</v>
      </c>
      <c r="Q198" s="1474"/>
      <c r="R198" s="1474"/>
      <c r="S198" s="1474"/>
      <c r="T198" s="1474"/>
      <c r="U198" s="1474"/>
      <c r="V198" s="1474"/>
      <c r="W198" s="1474"/>
      <c r="X198" s="1474"/>
      <c r="Y198" s="586"/>
      <c r="Z198" s="586"/>
      <c r="AA198" s="586"/>
      <c r="AB198" s="586"/>
      <c r="AC198" s="586"/>
      <c r="AD198" s="586"/>
      <c r="AE198" s="586"/>
      <c r="AF198" s="586"/>
      <c r="AG198" s="586"/>
      <c r="AH198" s="586"/>
      <c r="AI198" s="586"/>
      <c r="AJ198" s="586"/>
      <c r="AK198" s="586"/>
      <c r="AL198" s="586"/>
      <c r="AM198" s="586"/>
      <c r="AN198" s="586"/>
      <c r="AO198" s="586"/>
      <c r="AP198" s="587"/>
      <c r="AQ198" s="56"/>
    </row>
    <row r="199" spans="14:43" customFormat="1" ht="16.350000000000001" hidden="1" customHeight="1">
      <c r="N199" s="166"/>
      <c r="O199" s="17"/>
      <c r="P199" s="1475" t="s">
        <v>1748</v>
      </c>
      <c r="Q199" s="1475"/>
      <c r="R199" s="1475"/>
      <c r="S199" s="1475"/>
      <c r="T199" s="1475"/>
      <c r="U199" s="1475"/>
      <c r="V199" s="1475"/>
      <c r="W199" s="1475"/>
      <c r="X199" s="1475"/>
      <c r="Y199" s="1475"/>
      <c r="Z199" s="1475"/>
      <c r="AA199" s="47"/>
      <c r="AB199" s="132"/>
      <c r="AC199" s="132"/>
      <c r="AD199" s="132"/>
      <c r="AF199" s="132"/>
      <c r="AG199" s="132"/>
      <c r="AH199" s="132"/>
      <c r="AI199" s="132"/>
      <c r="AJ199" s="132"/>
      <c r="AK199" s="132"/>
      <c r="AL199" s="132"/>
      <c r="AM199" s="132"/>
      <c r="AN199" s="132"/>
      <c r="AO199" s="47"/>
      <c r="AP199" s="133"/>
      <c r="AQ199" s="56"/>
    </row>
    <row r="200" spans="14:43" customFormat="1" ht="16.350000000000001" hidden="1" customHeight="1">
      <c r="N200" s="166"/>
      <c r="O200" s="17"/>
      <c r="P200" s="1476"/>
      <c r="Q200" s="1476"/>
      <c r="R200" s="1476"/>
      <c r="S200" s="1476"/>
      <c r="T200" s="1476"/>
      <c r="U200" s="1476"/>
      <c r="V200" s="1476"/>
      <c r="W200" s="1476"/>
      <c r="X200" s="1476"/>
      <c r="Y200" s="1476"/>
      <c r="Z200" s="1476"/>
      <c r="AA200" s="48"/>
      <c r="AC200" s="47" t="s">
        <v>769</v>
      </c>
      <c r="AD200" s="47"/>
      <c r="AE200" s="47"/>
      <c r="AF200" s="47"/>
      <c r="AG200" s="47"/>
      <c r="AH200" s="47"/>
      <c r="AI200" s="47"/>
      <c r="AJ200" s="47"/>
      <c r="AK200" s="47"/>
      <c r="AM200" s="133"/>
      <c r="AN200" s="133"/>
      <c r="AO200" s="133"/>
      <c r="AP200" s="134" t="str">
        <f ca="1">M05S06F03disp</f>
        <v/>
      </c>
      <c r="AQ200" s="56"/>
    </row>
    <row r="201" spans="14:43" customFormat="1" ht="16.350000000000001" hidden="1" customHeight="1" thickBot="1">
      <c r="N201" s="166"/>
      <c r="O201" s="17"/>
      <c r="P201" s="800"/>
      <c r="Q201" s="801"/>
      <c r="R201" s="801"/>
      <c r="S201" s="801"/>
      <c r="T201" s="801"/>
      <c r="U201" s="801"/>
      <c r="V201" s="801"/>
      <c r="W201" s="801"/>
      <c r="X201" s="801"/>
      <c r="Y201" s="801"/>
      <c r="Z201" s="802"/>
      <c r="AA201" s="47"/>
      <c r="AC201" s="800"/>
      <c r="AD201" s="801"/>
      <c r="AE201" s="801"/>
      <c r="AF201" s="801"/>
      <c r="AG201" s="801"/>
      <c r="AH201" s="801"/>
      <c r="AI201" s="801"/>
      <c r="AJ201" s="801"/>
      <c r="AK201" s="802"/>
      <c r="AM201" s="133"/>
      <c r="AN201" s="133"/>
      <c r="AO201" s="133"/>
      <c r="AP201" s="134" t="str">
        <f ca="1">M05S06F03disp</f>
        <v/>
      </c>
      <c r="AQ201" s="56"/>
    </row>
    <row r="202" spans="14:43" customFormat="1" ht="16.350000000000001" hidden="1" customHeight="1">
      <c r="N202" s="166"/>
      <c r="O202" s="17"/>
      <c r="P202" s="132"/>
      <c r="Q202" s="132"/>
      <c r="R202" s="132"/>
      <c r="S202" s="132"/>
      <c r="T202" s="132"/>
      <c r="U202" s="132"/>
      <c r="V202" s="132"/>
      <c r="W202" s="132"/>
      <c r="X202" s="132"/>
      <c r="Y202" s="132"/>
      <c r="Z202" s="134" t="str">
        <f ca="1">M05S06F01disp</f>
        <v/>
      </c>
      <c r="AA202" s="47"/>
      <c r="AC202" s="132"/>
      <c r="AD202" s="132"/>
      <c r="AE202" s="132"/>
      <c r="AF202" s="132"/>
      <c r="AG202" s="132"/>
      <c r="AH202" s="132"/>
      <c r="AI202" s="132"/>
      <c r="AJ202" s="132"/>
      <c r="AK202" s="134" t="str">
        <f ca="1">M05S06F02disp</f>
        <v/>
      </c>
      <c r="AM202" s="133"/>
      <c r="AN202" s="133"/>
      <c r="AO202" s="133"/>
      <c r="AP202" s="134" t="str">
        <f ca="1">M05S06F03disp</f>
        <v/>
      </c>
      <c r="AQ202" s="56"/>
    </row>
    <row r="203" spans="14:43" customFormat="1" ht="16.350000000000001" hidden="1" customHeight="1">
      <c r="N203" s="166"/>
      <c r="O203" s="17"/>
      <c r="P203" s="1475" t="s">
        <v>1749</v>
      </c>
      <c r="Q203" s="1475"/>
      <c r="R203" s="1475"/>
      <c r="S203" s="1475"/>
      <c r="T203" s="1475"/>
      <c r="U203" s="1475"/>
      <c r="V203" s="1475"/>
      <c r="W203" s="1475"/>
      <c r="X203" s="1475"/>
      <c r="Y203" s="1475"/>
      <c r="Z203" s="1475"/>
      <c r="AA203" s="47"/>
      <c r="AB203" s="132"/>
      <c r="AC203" s="132"/>
      <c r="AD203" s="132"/>
      <c r="AF203" s="132"/>
      <c r="AG203" s="132"/>
      <c r="AH203" s="132"/>
      <c r="AI203" s="132"/>
      <c r="AJ203" s="132"/>
      <c r="AK203" s="132"/>
      <c r="AL203" s="132"/>
      <c r="AM203" s="132"/>
      <c r="AN203" s="132"/>
      <c r="AO203" s="47"/>
      <c r="AP203" s="133"/>
      <c r="AQ203" s="56"/>
    </row>
    <row r="204" spans="14:43" customFormat="1" ht="12.6" hidden="1" customHeight="1">
      <c r="N204" s="166"/>
      <c r="O204" s="17"/>
      <c r="P204" s="1476"/>
      <c r="Q204" s="1476"/>
      <c r="R204" s="1476"/>
      <c r="S204" s="1476"/>
      <c r="T204" s="1476"/>
      <c r="U204" s="1476"/>
      <c r="V204" s="1476"/>
      <c r="W204" s="1476"/>
      <c r="X204" s="1476"/>
      <c r="Y204" s="1476"/>
      <c r="Z204" s="1476"/>
      <c r="AA204" s="48"/>
      <c r="AC204" s="1478" t="s">
        <v>770</v>
      </c>
      <c r="AD204" s="1478"/>
      <c r="AE204" s="1478"/>
      <c r="AF204" s="1478"/>
      <c r="AG204" s="47"/>
      <c r="AH204" s="47"/>
      <c r="AI204" s="47"/>
      <c r="AJ204" s="47"/>
      <c r="AK204" s="47"/>
      <c r="AM204" s="132"/>
      <c r="AN204" s="132"/>
      <c r="AO204" s="47"/>
      <c r="AP204" s="133"/>
      <c r="AQ204" s="56"/>
    </row>
    <row r="205" spans="14:43" customFormat="1" ht="16.350000000000001" hidden="1" customHeight="1" thickBot="1">
      <c r="N205" s="166"/>
      <c r="O205" s="17"/>
      <c r="P205" s="800"/>
      <c r="Q205" s="801"/>
      <c r="R205" s="801"/>
      <c r="S205" s="801"/>
      <c r="T205" s="801"/>
      <c r="U205" s="801"/>
      <c r="V205" s="801"/>
      <c r="W205" s="801"/>
      <c r="X205" s="801"/>
      <c r="Y205" s="801"/>
      <c r="Z205" s="802"/>
      <c r="AA205" s="47"/>
      <c r="AC205" s="1453"/>
      <c r="AD205" s="1454"/>
      <c r="AE205" s="1454"/>
      <c r="AF205" s="1454"/>
      <c r="AG205" s="1454"/>
      <c r="AH205" s="1454"/>
      <c r="AI205" s="1454"/>
      <c r="AJ205" s="1454"/>
      <c r="AK205" s="1455"/>
      <c r="AM205" s="132"/>
      <c r="AN205" s="132"/>
      <c r="AO205" s="47"/>
      <c r="AP205" s="133"/>
      <c r="AQ205" s="56"/>
    </row>
    <row r="206" spans="14:43" customFormat="1" ht="16.350000000000001" hidden="1" customHeight="1">
      <c r="N206" s="166"/>
      <c r="O206" s="17"/>
      <c r="AQ206" s="56"/>
    </row>
    <row r="207" spans="14:43" customFormat="1" ht="16.350000000000001" hidden="1" customHeight="1">
      <c r="N207" s="166"/>
      <c r="O207" s="17"/>
      <c r="P207" s="1475" t="s">
        <v>1750</v>
      </c>
      <c r="Q207" s="1475"/>
      <c r="R207" s="1475"/>
      <c r="S207" s="1475"/>
      <c r="T207" s="1475"/>
      <c r="U207" s="1475"/>
      <c r="V207" s="1475"/>
      <c r="W207" s="1475"/>
      <c r="X207" s="1475"/>
      <c r="Y207" s="1475"/>
      <c r="Z207" s="1475"/>
      <c r="AA207" s="47"/>
      <c r="AB207" s="132"/>
      <c r="AC207" s="1478" t="s">
        <v>769</v>
      </c>
      <c r="AD207" s="1478"/>
      <c r="AE207" s="1478"/>
      <c r="AF207" s="1478"/>
      <c r="AG207" s="1478"/>
      <c r="AH207" s="1478"/>
      <c r="AI207" s="1478"/>
      <c r="AJ207" s="1478"/>
      <c r="AK207" s="1478"/>
      <c r="AL207" s="132"/>
      <c r="AQ207" s="56"/>
    </row>
    <row r="208" spans="14:43" customFormat="1" ht="11.45" hidden="1" customHeight="1">
      <c r="N208" s="166"/>
      <c r="O208" s="17"/>
      <c r="P208" s="1476"/>
      <c r="Q208" s="1476"/>
      <c r="R208" s="1476"/>
      <c r="S208" s="1476"/>
      <c r="T208" s="1476"/>
      <c r="U208" s="1476"/>
      <c r="V208" s="1476"/>
      <c r="W208" s="1476"/>
      <c r="X208" s="1476"/>
      <c r="Y208" s="1476"/>
      <c r="Z208" s="1476"/>
      <c r="AA208" s="48"/>
      <c r="AC208" s="1479"/>
      <c r="AD208" s="1479"/>
      <c r="AE208" s="1479"/>
      <c r="AF208" s="1479"/>
      <c r="AG208" s="1479"/>
      <c r="AH208" s="1479"/>
      <c r="AI208" s="1479"/>
      <c r="AJ208" s="1479"/>
      <c r="AK208" s="1479"/>
      <c r="AQ208" s="56"/>
    </row>
    <row r="209" spans="14:43" customFormat="1" ht="16.350000000000001" hidden="1" customHeight="1" thickBot="1">
      <c r="N209" s="166"/>
      <c r="O209" s="17"/>
      <c r="P209" s="800"/>
      <c r="Q209" s="801"/>
      <c r="R209" s="801"/>
      <c r="S209" s="801"/>
      <c r="T209" s="801"/>
      <c r="U209" s="801"/>
      <c r="V209" s="801"/>
      <c r="W209" s="801"/>
      <c r="X209" s="801"/>
      <c r="Y209" s="801"/>
      <c r="Z209" s="802"/>
      <c r="AA209" s="47"/>
      <c r="AC209" s="800"/>
      <c r="AD209" s="801"/>
      <c r="AE209" s="801"/>
      <c r="AF209" s="801"/>
      <c r="AG209" s="801"/>
      <c r="AH209" s="801"/>
      <c r="AI209" s="801"/>
      <c r="AJ209" s="801"/>
      <c r="AK209" s="802"/>
      <c r="AQ209" s="56"/>
    </row>
    <row r="210" spans="14:43" customFormat="1" ht="16.350000000000001" hidden="1" customHeight="1">
      <c r="N210" s="166"/>
      <c r="O210" s="17"/>
      <c r="P210" s="132"/>
      <c r="Q210" s="132"/>
      <c r="R210" s="132"/>
      <c r="S210" s="132"/>
      <c r="T210" s="132"/>
      <c r="U210" s="132"/>
      <c r="V210" s="132"/>
      <c r="W210" s="132"/>
      <c r="X210" s="132"/>
      <c r="Y210" s="132"/>
      <c r="Z210" s="134" t="str">
        <f ca="1">M05S06F01disp</f>
        <v/>
      </c>
      <c r="AA210" s="47"/>
      <c r="AC210" s="132"/>
      <c r="AD210" s="132"/>
      <c r="AE210" s="132"/>
      <c r="AF210" s="132"/>
      <c r="AG210" s="132"/>
      <c r="AH210" s="132"/>
      <c r="AI210" s="132"/>
      <c r="AJ210" s="132"/>
      <c r="AK210" s="134" t="str">
        <f ca="1">M05S06F02disp</f>
        <v/>
      </c>
      <c r="AQ210" s="56"/>
    </row>
    <row r="211" spans="14:43" customFormat="1" ht="16.350000000000001" hidden="1" customHeight="1">
      <c r="N211" s="166"/>
      <c r="O211" s="17"/>
      <c r="P211" s="1475" t="s">
        <v>1749</v>
      </c>
      <c r="Q211" s="1475"/>
      <c r="R211" s="1475"/>
      <c r="S211" s="1475"/>
      <c r="T211" s="1475"/>
      <c r="U211" s="1475"/>
      <c r="V211" s="1475"/>
      <c r="W211" s="1475"/>
      <c r="X211" s="1475"/>
      <c r="Y211" s="1475"/>
      <c r="Z211" s="1475"/>
      <c r="AA211" s="47"/>
      <c r="AB211" s="132"/>
      <c r="AC211" s="1478" t="s">
        <v>770</v>
      </c>
      <c r="AD211" s="1478"/>
      <c r="AE211" s="1478"/>
      <c r="AF211" s="1478"/>
      <c r="AG211" s="47"/>
      <c r="AH211" s="47"/>
      <c r="AI211" s="47"/>
      <c r="AJ211" s="47"/>
      <c r="AK211" s="47"/>
      <c r="AL211" s="132"/>
      <c r="AQ211" s="56"/>
    </row>
    <row r="212" spans="14:43" customFormat="1" ht="11.45" hidden="1" customHeight="1">
      <c r="N212" s="166"/>
      <c r="O212" s="17"/>
      <c r="P212" s="1476"/>
      <c r="Q212" s="1476"/>
      <c r="R212" s="1476"/>
      <c r="S212" s="1476"/>
      <c r="T212" s="1476"/>
      <c r="U212" s="1476"/>
      <c r="V212" s="1476"/>
      <c r="W212" s="1476"/>
      <c r="X212" s="1476"/>
      <c r="Y212" s="1476"/>
      <c r="Z212" s="1476"/>
      <c r="AA212" s="48"/>
      <c r="AC212" s="1479"/>
      <c r="AD212" s="1479"/>
      <c r="AE212" s="1479"/>
      <c r="AF212" s="1479"/>
      <c r="AG212" s="588"/>
      <c r="AH212" s="588"/>
      <c r="AI212" s="588"/>
      <c r="AJ212" s="588"/>
      <c r="AK212" s="588"/>
      <c r="AQ212" s="56"/>
    </row>
    <row r="213" spans="14:43" customFormat="1" ht="16.350000000000001" hidden="1" customHeight="1" thickBot="1">
      <c r="N213" s="166"/>
      <c r="O213" s="17"/>
      <c r="P213" s="800"/>
      <c r="Q213" s="801"/>
      <c r="R213" s="801"/>
      <c r="S213" s="801"/>
      <c r="T213" s="801"/>
      <c r="U213" s="801"/>
      <c r="V213" s="801"/>
      <c r="W213" s="801"/>
      <c r="X213" s="801"/>
      <c r="Y213" s="801"/>
      <c r="Z213" s="802"/>
      <c r="AA213" s="47"/>
      <c r="AC213" s="1453"/>
      <c r="AD213" s="1454"/>
      <c r="AE213" s="1454"/>
      <c r="AF213" s="1454"/>
      <c r="AG213" s="1454"/>
      <c r="AH213" s="1454"/>
      <c r="AI213" s="1454"/>
      <c r="AJ213" s="1454"/>
      <c r="AK213" s="1455"/>
      <c r="AQ213" s="56"/>
    </row>
    <row r="214" spans="14:43" customFormat="1" ht="16.350000000000001" customHeight="1">
      <c r="N214" s="166"/>
      <c r="O214" s="17"/>
      <c r="P214" s="132"/>
      <c r="Q214" s="132"/>
      <c r="R214" s="132"/>
      <c r="S214" s="132"/>
      <c r="T214" s="132"/>
      <c r="U214" s="132"/>
      <c r="V214" s="132"/>
      <c r="W214" s="132"/>
      <c r="X214" s="132"/>
      <c r="Y214" s="132"/>
      <c r="Z214" s="134" t="str">
        <f ca="1">M05S06F01disp</f>
        <v/>
      </c>
      <c r="AA214" s="47"/>
      <c r="AC214" s="132"/>
      <c r="AD214" s="132"/>
      <c r="AE214" s="132"/>
      <c r="AF214" s="132"/>
      <c r="AG214" s="132"/>
      <c r="AH214" s="132"/>
      <c r="AI214" s="132"/>
      <c r="AJ214" s="132"/>
      <c r="AK214" s="134" t="str">
        <f ca="1">M05S06F02disp</f>
        <v/>
      </c>
      <c r="AM214" s="133"/>
      <c r="AN214" s="133"/>
      <c r="AO214" s="133"/>
      <c r="AP214" s="134" t="str">
        <f ca="1">M05S06F03disp</f>
        <v/>
      </c>
      <c r="AQ214" s="56"/>
    </row>
    <row r="215" spans="14:43" customFormat="1" ht="16.350000000000001" customHeight="1">
      <c r="N215" s="166"/>
      <c r="O215" s="17"/>
      <c r="P215" s="1477" t="str">
        <f>FOOT1&amp;"  • "&amp; FOOT2 &amp;" • "&amp;FOOT3</f>
        <v>PSE&amp;G C&amp;I Energy Efficiency Program  • 1-844-300-PSEG (7734) • PSEGenergysaver@TRCcompanies.com</v>
      </c>
      <c r="Q215" s="1477"/>
      <c r="R215" s="1477"/>
      <c r="S215" s="1477"/>
      <c r="T215" s="1477"/>
      <c r="U215" s="1477"/>
      <c r="V215" s="1477"/>
      <c r="W215" s="1477"/>
      <c r="X215" s="1477"/>
      <c r="Y215" s="1477"/>
      <c r="Z215" s="1477"/>
      <c r="AA215" s="1477"/>
      <c r="AB215" s="1477"/>
      <c r="AC215" s="1477"/>
      <c r="AD215" s="1477"/>
      <c r="AE215" s="1477"/>
      <c r="AF215" s="1477"/>
      <c r="AG215" s="1477"/>
      <c r="AH215" s="1477"/>
      <c r="AI215" s="1477"/>
      <c r="AJ215" s="1477"/>
      <c r="AK215" s="1477"/>
      <c r="AL215" s="1477"/>
      <c r="AM215" s="1477"/>
      <c r="AN215" s="1477"/>
      <c r="AO215" s="1477"/>
      <c r="AP215" s="1477"/>
      <c r="AQ215" s="56"/>
    </row>
    <row r="216" spans="14:43" customFormat="1" ht="16.350000000000001" customHeight="1">
      <c r="N216" s="166"/>
      <c r="O216" s="17"/>
      <c r="P216" s="1477"/>
      <c r="Q216" s="1477"/>
      <c r="R216" s="1477"/>
      <c r="S216" s="1477"/>
      <c r="T216" s="1477"/>
      <c r="U216" s="1477"/>
      <c r="V216" s="1477"/>
      <c r="W216" s="1477"/>
      <c r="X216" s="1477"/>
      <c r="Y216" s="1477"/>
      <c r="Z216" s="1477"/>
      <c r="AA216" s="1477"/>
      <c r="AB216" s="1477"/>
      <c r="AC216" s="1477"/>
      <c r="AD216" s="1477"/>
      <c r="AE216" s="1477"/>
      <c r="AF216" s="1477"/>
      <c r="AG216" s="1477"/>
      <c r="AH216" s="1477"/>
      <c r="AI216" s="1477"/>
      <c r="AJ216" s="1477"/>
      <c r="AK216" s="1477"/>
      <c r="AL216" s="1477"/>
      <c r="AM216" s="1477"/>
      <c r="AN216" s="1477"/>
      <c r="AO216" s="1477"/>
      <c r="AP216" s="1477"/>
      <c r="AQ216" s="56"/>
    </row>
    <row r="217" spans="14:43" customFormat="1" ht="16.350000000000001" customHeight="1">
      <c r="N217" s="166"/>
      <c r="O217" s="18"/>
      <c r="P217" s="58"/>
      <c r="Q217" s="59"/>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9"/>
    </row>
    <row r="218" spans="14:43" customFormat="1" ht="16.350000000000001" customHeight="1"/>
    <row r="219" spans="14:43" customFormat="1" ht="16.350000000000001" hidden="1" customHeight="1"/>
    <row r="220" spans="14:43" customFormat="1" ht="16.350000000000001" hidden="1" customHeight="1"/>
    <row r="221" spans="14:43" customFormat="1" ht="16.350000000000001" hidden="1" customHeight="1"/>
    <row r="222" spans="14:43" customFormat="1" ht="16.350000000000001" hidden="1" customHeight="1"/>
    <row r="223" spans="14:43" customFormat="1" ht="16.350000000000001" hidden="1" customHeight="1"/>
    <row r="224" spans="14:43" customFormat="1" ht="16.350000000000001" hidden="1" customHeight="1"/>
    <row r="225" customFormat="1" ht="16.350000000000001" hidden="1" customHeight="1"/>
    <row r="226" customFormat="1" ht="16.350000000000001" hidden="1" customHeight="1"/>
    <row r="227" customFormat="1" ht="16.350000000000001" hidden="1" customHeight="1"/>
    <row r="228" customFormat="1" ht="16.350000000000001" hidden="1" customHeight="1"/>
    <row r="229" customFormat="1" ht="16.350000000000001" hidden="1" customHeight="1"/>
    <row r="230" customFormat="1" ht="16.350000000000001" hidden="1" customHeight="1"/>
    <row r="231" customFormat="1" ht="16.350000000000001" hidden="1" customHeight="1"/>
    <row r="232" customFormat="1" ht="16.350000000000001" hidden="1" customHeight="1"/>
    <row r="233" customFormat="1" ht="16.350000000000001" hidden="1" customHeight="1"/>
    <row r="234" customFormat="1" ht="16.350000000000001" hidden="1" customHeight="1"/>
    <row r="235" customFormat="1" ht="16.350000000000001" hidden="1" customHeight="1"/>
    <row r="236" customFormat="1" ht="16.350000000000001" hidden="1" customHeight="1"/>
    <row r="237" customFormat="1" ht="16.350000000000001" hidden="1" customHeight="1"/>
    <row r="238" customFormat="1" ht="16.350000000000001" hidden="1" customHeight="1"/>
    <row r="239" customFormat="1" ht="16.350000000000001" hidden="1" customHeight="1"/>
    <row r="240" customFormat="1" ht="16.350000000000001" hidden="1" customHeight="1"/>
    <row r="241" customFormat="1" ht="16.350000000000001" hidden="1" customHeight="1"/>
    <row r="242" customFormat="1" ht="16.350000000000001" hidden="1" customHeight="1"/>
    <row r="243" customFormat="1" ht="16.350000000000001" hidden="1" customHeight="1"/>
    <row r="244" customFormat="1" ht="16.350000000000001" hidden="1" customHeight="1"/>
    <row r="245" customFormat="1" ht="16.350000000000001" hidden="1" customHeight="1"/>
    <row r="246" customFormat="1" ht="16.350000000000001" hidden="1" customHeight="1"/>
    <row r="247" customFormat="1" ht="16.350000000000001" hidden="1" customHeight="1"/>
    <row r="248" customFormat="1" ht="16.350000000000001" hidden="1" customHeight="1"/>
    <row r="249" customFormat="1" ht="16.350000000000001" hidden="1" customHeight="1"/>
    <row r="250" customFormat="1" ht="16.350000000000001" hidden="1" customHeight="1"/>
    <row r="251" customFormat="1" ht="16.350000000000001" hidden="1" customHeight="1"/>
    <row r="252" customFormat="1" ht="16.350000000000001" hidden="1" customHeight="1"/>
    <row r="253" customFormat="1" ht="16.350000000000001" hidden="1" customHeight="1"/>
    <row r="254" customFormat="1" ht="16.350000000000001" hidden="1" customHeight="1"/>
    <row r="255" customFormat="1" ht="16.350000000000001" hidden="1" customHeight="1"/>
    <row r="256" customFormat="1" ht="16.350000000000001" hidden="1" customHeight="1"/>
    <row r="257" customFormat="1" ht="16.350000000000001" hidden="1" customHeight="1"/>
    <row r="258" customFormat="1" ht="16.350000000000001" hidden="1" customHeight="1"/>
    <row r="259" customFormat="1" ht="16.350000000000001" hidden="1" customHeight="1"/>
    <row r="260" customFormat="1" ht="16.350000000000001" hidden="1" customHeight="1"/>
    <row r="261" customFormat="1" ht="16.350000000000001" hidden="1" customHeight="1"/>
    <row r="262" customFormat="1" ht="16.350000000000001" hidden="1" customHeight="1"/>
    <row r="263" customFormat="1" ht="16.350000000000001" hidden="1" customHeight="1"/>
    <row r="264" customFormat="1" ht="16.350000000000001" hidden="1" customHeight="1"/>
    <row r="265" customFormat="1" ht="16.350000000000001" hidden="1" customHeight="1"/>
    <row r="266" customFormat="1" ht="16.350000000000001" hidden="1" customHeight="1"/>
    <row r="267" customFormat="1" ht="16.350000000000001" hidden="1" customHeight="1"/>
    <row r="268" customFormat="1" ht="16.350000000000001" hidden="1" customHeight="1"/>
    <row r="269" customFormat="1" ht="16.350000000000001" hidden="1" customHeight="1"/>
    <row r="270" customFormat="1" ht="16.350000000000001" hidden="1" customHeight="1"/>
    <row r="271" customFormat="1" ht="16.350000000000001" hidden="1" customHeight="1"/>
    <row r="272" customFormat="1" ht="16.350000000000001" hidden="1" customHeight="1"/>
    <row r="273" customFormat="1" ht="16.350000000000001" hidden="1" customHeight="1"/>
    <row r="274" customFormat="1" ht="16.350000000000001" hidden="1" customHeight="1"/>
    <row r="275" customFormat="1" ht="16.350000000000001" hidden="1" customHeight="1"/>
    <row r="276" customFormat="1" ht="16.350000000000001" hidden="1" customHeight="1"/>
    <row r="277" customFormat="1" ht="16.350000000000001" hidden="1" customHeight="1"/>
    <row r="278" customFormat="1" ht="16.350000000000001" hidden="1" customHeight="1"/>
    <row r="279" customFormat="1" ht="16.350000000000001" hidden="1" customHeight="1"/>
    <row r="280" customFormat="1" ht="16.350000000000001" hidden="1" customHeight="1"/>
    <row r="281" customFormat="1" ht="16.350000000000001" hidden="1" customHeight="1"/>
    <row r="282" customFormat="1" ht="16.350000000000001" hidden="1" customHeight="1"/>
    <row r="283" customFormat="1" ht="16.350000000000001" hidden="1" customHeight="1"/>
    <row r="284" customFormat="1" ht="16.350000000000001" hidden="1" customHeight="1"/>
    <row r="285" customFormat="1" ht="16.350000000000001" hidden="1" customHeight="1"/>
    <row r="286" customFormat="1" ht="16.350000000000001" hidden="1" customHeight="1"/>
    <row r="287" customFormat="1" ht="16.350000000000001" hidden="1" customHeight="1"/>
    <row r="288" customFormat="1" ht="16.350000000000001" hidden="1" customHeight="1"/>
    <row r="289" customFormat="1" ht="16.350000000000001" hidden="1" customHeight="1"/>
    <row r="290" customFormat="1" ht="16.350000000000001" hidden="1" customHeight="1"/>
    <row r="291" customFormat="1" ht="16.350000000000001" hidden="1" customHeight="1"/>
    <row r="292" customFormat="1" ht="16.350000000000001" hidden="1" customHeight="1"/>
    <row r="293" customFormat="1" ht="16.350000000000001" hidden="1" customHeight="1"/>
    <row r="294" customFormat="1" ht="16.350000000000001" hidden="1" customHeight="1"/>
    <row r="295" customFormat="1" ht="16.350000000000001" hidden="1" customHeight="1"/>
    <row r="296" customFormat="1" ht="16.350000000000001" hidden="1" customHeight="1"/>
    <row r="297" customFormat="1" ht="16.350000000000001" hidden="1" customHeight="1"/>
    <row r="298" customFormat="1" ht="16.350000000000001" hidden="1" customHeight="1"/>
    <row r="299" customFormat="1" ht="16.350000000000001" hidden="1" customHeight="1"/>
    <row r="300" customFormat="1" ht="16.350000000000001" hidden="1" customHeight="1"/>
    <row r="301" customFormat="1" ht="16.350000000000001" hidden="1" customHeight="1"/>
    <row r="302" customFormat="1" ht="16.350000000000001" hidden="1" customHeight="1"/>
    <row r="303" customFormat="1" ht="16.350000000000001" hidden="1" customHeight="1"/>
    <row r="304" customFormat="1" ht="16.350000000000001" hidden="1" customHeight="1"/>
    <row r="305" customFormat="1" ht="16.350000000000001" hidden="1" customHeight="1"/>
    <row r="306" customFormat="1" ht="16.350000000000001" hidden="1" customHeight="1"/>
    <row r="307" customFormat="1" ht="16.350000000000001" hidden="1" customHeight="1"/>
    <row r="308" customFormat="1" ht="16.350000000000001" hidden="1" customHeight="1"/>
    <row r="309" customFormat="1" ht="16.350000000000001" hidden="1" customHeight="1"/>
    <row r="310" customFormat="1" ht="16.350000000000001" hidden="1" customHeight="1"/>
    <row r="311" customFormat="1" ht="16.350000000000001" hidden="1" customHeight="1"/>
    <row r="312" customFormat="1" ht="16.350000000000001" hidden="1" customHeight="1"/>
    <row r="313" customFormat="1" ht="16.350000000000001" hidden="1" customHeight="1"/>
    <row r="314" customFormat="1" ht="16.350000000000001" hidden="1" customHeight="1"/>
    <row r="315" customFormat="1" ht="16.350000000000001" hidden="1" customHeight="1"/>
    <row r="316" customFormat="1" ht="16.350000000000001" hidden="1" customHeight="1"/>
    <row r="317" customFormat="1" ht="16.350000000000001" hidden="1" customHeight="1"/>
    <row r="318" customFormat="1" ht="16.350000000000001" hidden="1" customHeight="1"/>
    <row r="319" customFormat="1" ht="16.350000000000001" hidden="1" customHeight="1"/>
    <row r="320" customFormat="1" ht="16.350000000000001" hidden="1" customHeight="1"/>
    <row r="321" customFormat="1" ht="16.350000000000001" hidden="1" customHeight="1"/>
    <row r="322" customFormat="1" ht="16.350000000000001" hidden="1" customHeight="1"/>
    <row r="323" customFormat="1" ht="16.350000000000001" hidden="1" customHeight="1"/>
    <row r="324" customFormat="1" ht="16.350000000000001" hidden="1" customHeight="1"/>
    <row r="325" customFormat="1" ht="16.350000000000001" hidden="1" customHeight="1"/>
    <row r="326" customFormat="1" ht="16.350000000000001" hidden="1" customHeight="1"/>
    <row r="327" customFormat="1" ht="16.350000000000001" hidden="1" customHeight="1"/>
    <row r="328" customFormat="1" ht="16.350000000000001" hidden="1" customHeight="1"/>
    <row r="329" customFormat="1" ht="16.350000000000001" hidden="1" customHeight="1"/>
    <row r="330" customFormat="1" ht="16.350000000000001" hidden="1" customHeight="1"/>
    <row r="331" customFormat="1" ht="16.350000000000001" hidden="1" customHeight="1"/>
    <row r="332" customFormat="1" ht="16.350000000000001" hidden="1" customHeight="1"/>
    <row r="333" customFormat="1" ht="16.350000000000001" hidden="1" customHeight="1"/>
    <row r="334" customFormat="1" ht="16.350000000000001" hidden="1" customHeight="1"/>
    <row r="335" customFormat="1" ht="16.350000000000001" hidden="1" customHeight="1"/>
    <row r="336" customFormat="1" ht="16.350000000000001" hidden="1" customHeight="1"/>
    <row r="337" spans="1:58" customFormat="1" ht="16.350000000000001" hidden="1" customHeight="1"/>
    <row r="338" spans="1:58" customFormat="1" ht="16.350000000000001" hidden="1" customHeight="1"/>
    <row r="339" spans="1:58" customFormat="1" ht="16.350000000000001" hidden="1" customHeight="1"/>
    <row r="340" spans="1:58" customFormat="1" ht="16.350000000000001" hidden="1" customHeight="1"/>
    <row r="341" spans="1:58" customFormat="1" ht="16.350000000000001" hidden="1" customHeight="1"/>
    <row r="342" spans="1:58" customFormat="1" ht="16.350000000000001" hidden="1" customHeight="1"/>
    <row r="343" spans="1:58" customFormat="1" ht="16.350000000000001" hidden="1" customHeight="1"/>
    <row r="344" spans="1:58" customFormat="1" ht="16.350000000000001" hidden="1" customHeight="1"/>
    <row r="345" spans="1:58" customFormat="1" ht="16.350000000000001" hidden="1" customHeight="1"/>
    <row r="346" spans="1:58" customFormat="1" ht="16.350000000000001" hidden="1" customHeight="1"/>
    <row r="347" spans="1:58" customFormat="1" ht="16.350000000000001" hidden="1" customHeight="1"/>
    <row r="348" spans="1:58" customFormat="1" ht="16.350000000000001" hidden="1" customHeight="1"/>
    <row r="349" spans="1:58" ht="16.350000000000001" customHeight="1">
      <c r="A349" s="504"/>
      <c r="B349" s="504" t="str">
        <f>FOOT1</f>
        <v>PSE&amp;G C&amp;I Energy Efficiency Program</v>
      </c>
      <c r="C349" s="504"/>
      <c r="D349" s="504"/>
      <c r="E349" s="504"/>
      <c r="F349" s="504"/>
      <c r="G349" s="504"/>
      <c r="H349" s="504"/>
      <c r="I349" s="504"/>
      <c r="J349" s="504"/>
      <c r="K349" s="504"/>
      <c r="L349" s="504"/>
      <c r="M349" s="504"/>
      <c r="N349" s="504"/>
      <c r="O349" s="504"/>
      <c r="P349" s="504"/>
      <c r="Q349" s="504"/>
      <c r="R349" s="721" t="s">
        <v>137</v>
      </c>
      <c r="S349" s="721"/>
      <c r="T349" s="721"/>
      <c r="U349" s="721"/>
      <c r="V349" s="721"/>
      <c r="W349" s="721"/>
      <c r="X349" s="721"/>
      <c r="Y349" s="721"/>
      <c r="Z349" s="721"/>
      <c r="AA349" s="721"/>
      <c r="AB349" s="721"/>
      <c r="AC349" s="721"/>
      <c r="AD349" s="721"/>
      <c r="AE349" s="721"/>
      <c r="AF349" s="721"/>
      <c r="AG349" s="721"/>
      <c r="AH349" s="721"/>
      <c r="AI349" s="721"/>
      <c r="AJ349" s="721"/>
      <c r="AK349" s="721"/>
      <c r="AL349" s="721"/>
      <c r="AM349" s="721"/>
      <c r="AN349" s="721"/>
      <c r="AO349" s="721"/>
      <c r="AP349" s="721"/>
      <c r="AQ349" s="721"/>
      <c r="AR349" s="721"/>
      <c r="AS349" s="504"/>
      <c r="AT349" s="504"/>
      <c r="AU349" s="504"/>
      <c r="AV349" s="504"/>
      <c r="AW349" s="504"/>
      <c r="AX349" s="504"/>
      <c r="AY349" s="504"/>
      <c r="AZ349" s="504"/>
      <c r="BA349" s="504"/>
      <c r="BB349" s="504"/>
      <c r="BC349" s="504"/>
      <c r="BD349" s="504"/>
      <c r="BE349" s="701"/>
      <c r="BF349" s="701" t="str">
        <f>FOOT4</f>
        <v>Engineered Solutions Tier 2 Advance Custom Incentive Application</v>
      </c>
    </row>
    <row r="350" spans="1:58" ht="16.350000000000001" customHeight="1">
      <c r="A350" s="504"/>
      <c r="B350" s="504" t="str">
        <f>FOOT2</f>
        <v>1-844-300-PSEG (7734)</v>
      </c>
      <c r="C350" s="504"/>
      <c r="D350" s="504"/>
      <c r="E350" s="504"/>
      <c r="F350" s="504"/>
      <c r="G350" s="504"/>
      <c r="H350" s="504"/>
      <c r="I350" s="504"/>
      <c r="J350" s="504"/>
      <c r="K350" s="504"/>
      <c r="L350" s="504"/>
      <c r="M350" s="504"/>
      <c r="N350" s="504"/>
      <c r="O350" s="504"/>
      <c r="P350" s="504"/>
      <c r="Q350" s="504"/>
      <c r="R350" s="721"/>
      <c r="S350" s="721"/>
      <c r="T350" s="721"/>
      <c r="U350" s="721"/>
      <c r="V350" s="721"/>
      <c r="W350" s="721"/>
      <c r="X350" s="721"/>
      <c r="Y350" s="721"/>
      <c r="Z350" s="721"/>
      <c r="AA350" s="721"/>
      <c r="AB350" s="721"/>
      <c r="AC350" s="721"/>
      <c r="AD350" s="721"/>
      <c r="AE350" s="721"/>
      <c r="AF350" s="721"/>
      <c r="AG350" s="721"/>
      <c r="AH350" s="721"/>
      <c r="AI350" s="721"/>
      <c r="AJ350" s="721"/>
      <c r="AK350" s="721"/>
      <c r="AL350" s="721"/>
      <c r="AM350" s="721"/>
      <c r="AN350" s="721"/>
      <c r="AO350" s="721"/>
      <c r="AP350" s="721"/>
      <c r="AQ350" s="721"/>
      <c r="AR350" s="721"/>
      <c r="AS350" s="504"/>
      <c r="AT350" s="504"/>
      <c r="AU350" s="504"/>
      <c r="AV350" s="504"/>
      <c r="AW350" s="504"/>
      <c r="AX350" s="504"/>
      <c r="AY350" s="504"/>
      <c r="AZ350" s="504"/>
      <c r="BA350" s="504"/>
      <c r="BB350" s="504"/>
      <c r="BC350" s="504"/>
      <c r="BD350" s="504"/>
      <c r="BE350" s="701"/>
      <c r="BF350" s="701"/>
    </row>
    <row r="351" spans="1:58" ht="16.350000000000001" customHeight="1">
      <c r="A351" s="504"/>
      <c r="B351" s="504" t="str">
        <f>FOOT3</f>
        <v>PSEGenergysaver@TRCcompanies.com</v>
      </c>
      <c r="C351" s="504"/>
      <c r="D351" s="504"/>
      <c r="E351" s="504"/>
      <c r="F351" s="504"/>
      <c r="G351" s="504"/>
      <c r="H351" s="504"/>
      <c r="I351" s="504"/>
      <c r="J351" s="504"/>
      <c r="K351" s="504"/>
      <c r="L351" s="504"/>
      <c r="M351" s="504"/>
      <c r="N351" s="504"/>
      <c r="O351" s="504"/>
      <c r="P351" s="504"/>
      <c r="Q351" s="504"/>
      <c r="R351" s="504"/>
      <c r="S351" s="504"/>
      <c r="T351" s="504"/>
      <c r="U351" s="504"/>
      <c r="V351" s="504"/>
      <c r="W351" s="504"/>
      <c r="X351" s="504"/>
      <c r="Y351" s="504"/>
      <c r="Z351" s="504"/>
      <c r="AA351" s="504"/>
      <c r="AB351" s="504"/>
      <c r="AC351" s="504"/>
      <c r="AD351" s="702" t="str">
        <f>VERSION</f>
        <v>V1.0          Effective Date 1/1/25</v>
      </c>
      <c r="AE351" s="504"/>
      <c r="AF351" s="504"/>
      <c r="AG351" s="504"/>
      <c r="AH351" s="504"/>
      <c r="AI351" s="504"/>
      <c r="AJ351" s="504"/>
      <c r="AK351" s="504"/>
      <c r="AL351" s="504"/>
      <c r="AM351" s="504"/>
      <c r="AN351" s="504"/>
      <c r="AO351" s="504"/>
      <c r="AP351" s="504"/>
      <c r="AQ351" s="504"/>
      <c r="AR351" s="504"/>
      <c r="AS351" s="504"/>
      <c r="AT351" s="504"/>
      <c r="AU351" s="504"/>
      <c r="AV351" s="504"/>
      <c r="AW351" s="504"/>
      <c r="AX351" s="504"/>
      <c r="AY351" s="504"/>
      <c r="AZ351" s="504"/>
      <c r="BA351" s="504"/>
      <c r="BB351" s="504"/>
      <c r="BC351" s="504"/>
      <c r="BD351" s="504"/>
      <c r="BE351" s="701"/>
      <c r="BF351" s="701" t="str">
        <f>FOOT6</f>
        <v>This is a TRC tool</v>
      </c>
    </row>
  </sheetData>
  <sheetProtection algorithmName="SHA-512" hashValue="V+2sdpHiEuFwX5wQpk2OBIsam3AxqdRA/vZXCGzi1NdYI2I4sQuo2CPCypr7WEBpbYmPZXwM+AnpeKznDCCQ3Q==" saltValue="nzNXWioRuihmb/gRIo4aBQ==" spinCount="100000" sheet="1" objects="1" scenarios="1" selectLockedCells="1"/>
  <mergeCells count="96">
    <mergeCell ref="AZ1:BE3"/>
    <mergeCell ref="BF1:BI3"/>
    <mergeCell ref="BC4:BF4"/>
    <mergeCell ref="AT4:AW4"/>
    <mergeCell ref="AX4:BB4"/>
    <mergeCell ref="BG5:BI7"/>
    <mergeCell ref="BG8:BI8"/>
    <mergeCell ref="P42:V42"/>
    <mergeCell ref="AL39:AP39"/>
    <mergeCell ref="AL40:AP40"/>
    <mergeCell ref="W39:AB39"/>
    <mergeCell ref="P38:V38"/>
    <mergeCell ref="P39:V39"/>
    <mergeCell ref="AJ25:AP25"/>
    <mergeCell ref="AC26:AI26"/>
    <mergeCell ref="AJ26:AP26"/>
    <mergeCell ref="V26:AA26"/>
    <mergeCell ref="AC31:AH31"/>
    <mergeCell ref="V32:AA32"/>
    <mergeCell ref="V30:AA30"/>
    <mergeCell ref="AC30:AH30"/>
    <mergeCell ref="AN1:AQ3"/>
    <mergeCell ref="P22:AC23"/>
    <mergeCell ref="AD22:AP23"/>
    <mergeCell ref="F9:AX10"/>
    <mergeCell ref="K11:AU12"/>
    <mergeCell ref="P19:AC21"/>
    <mergeCell ref="AI19:AP21"/>
    <mergeCell ref="AR1:AU3"/>
    <mergeCell ref="AV1:AY3"/>
    <mergeCell ref="F1:I3"/>
    <mergeCell ref="J1:M3"/>
    <mergeCell ref="AB4:AG4"/>
    <mergeCell ref="AC207:AK208"/>
    <mergeCell ref="V31:AA31"/>
    <mergeCell ref="AD44:AN44"/>
    <mergeCell ref="P43:V43"/>
    <mergeCell ref="P203:Z204"/>
    <mergeCell ref="P45:V45"/>
    <mergeCell ref="W45:AB45"/>
    <mergeCell ref="V33:AA33"/>
    <mergeCell ref="W40:AB40"/>
    <mergeCell ref="W41:AB41"/>
    <mergeCell ref="P40:V40"/>
    <mergeCell ref="P41:V41"/>
    <mergeCell ref="AC33:AH33"/>
    <mergeCell ref="P36:AP36"/>
    <mergeCell ref="AC32:AH32"/>
    <mergeCell ref="AL38:AP38"/>
    <mergeCell ref="P25:T28"/>
    <mergeCell ref="P205:Z205"/>
    <mergeCell ref="AC25:AI25"/>
    <mergeCell ref="V25:AA25"/>
    <mergeCell ref="P30:T33"/>
    <mergeCell ref="AD38:AK38"/>
    <mergeCell ref="V27:AA27"/>
    <mergeCell ref="V28:AA28"/>
    <mergeCell ref="AL42:AP42"/>
    <mergeCell ref="AD42:AK42"/>
    <mergeCell ref="AD43:AK43"/>
    <mergeCell ref="AC204:AF204"/>
    <mergeCell ref="P48:AP48"/>
    <mergeCell ref="P44:V44"/>
    <mergeCell ref="AO44:AP44"/>
    <mergeCell ref="AC211:AF212"/>
    <mergeCell ref="AC28:AI28"/>
    <mergeCell ref="W38:AB38"/>
    <mergeCell ref="AC27:AI27"/>
    <mergeCell ref="P211:Z212"/>
    <mergeCell ref="AC201:AK201"/>
    <mergeCell ref="AD39:AK39"/>
    <mergeCell ref="AD40:AK40"/>
    <mergeCell ref="AD41:AK41"/>
    <mergeCell ref="W42:AB42"/>
    <mergeCell ref="W43:AB43"/>
    <mergeCell ref="AJ27:AP27"/>
    <mergeCell ref="AJ28:AP28"/>
    <mergeCell ref="AL43:AP43"/>
    <mergeCell ref="AC205:AK205"/>
    <mergeCell ref="AL41:AP41"/>
    <mergeCell ref="R349:AR350"/>
    <mergeCell ref="P213:Z213"/>
    <mergeCell ref="AC213:AK213"/>
    <mergeCell ref="P50:AP192"/>
    <mergeCell ref="Q196:W196"/>
    <mergeCell ref="X196:AP196"/>
    <mergeCell ref="P197:V197"/>
    <mergeCell ref="W197:AP197"/>
    <mergeCell ref="P194:AP194"/>
    <mergeCell ref="P198:X198"/>
    <mergeCell ref="P209:Z209"/>
    <mergeCell ref="P207:Z208"/>
    <mergeCell ref="AC209:AK209"/>
    <mergeCell ref="P199:Z200"/>
    <mergeCell ref="P215:AP216"/>
    <mergeCell ref="P201:Z201"/>
  </mergeCells>
  <conditionalFormatting sqref="BA8:BF8">
    <cfRule type="expression" dxfId="132" priority="1">
      <formula>IF($AO$8=PROJSTATMEASURE,FALSE,TRUE)</formula>
    </cfRule>
  </conditionalFormatting>
  <dataValidations count="3">
    <dataValidation type="date" operator="greaterThanOrEqual" allowBlank="1" showInputMessage="1" showErrorMessage="1" error="Please enter date. Format: xx/xx/xxx" sqref="AP199 AP203:AP205 AM200:AO202 AC205 AM214:AO214 AC213" xr:uid="{93412657-32F6-440E-A89A-70ACC19C29F7}">
      <formula1>32874</formula1>
    </dataValidation>
    <dataValidation type="decimal" operator="greaterThan" allowBlank="1" showInputMessage="1" showErrorMessage="1" sqref="W42:AB42" xr:uid="{149D3D39-5BA0-4FA7-8B56-F3ADE7826DF9}">
      <formula1>0</formula1>
    </dataValidation>
    <dataValidation type="list" allowBlank="1" showInputMessage="1" showErrorMessage="1" sqref="AO44:AP44" xr:uid="{7935D90F-3B7B-449C-A312-6ACB373BCA0D}">
      <formula1>"Yes,No"</formula1>
    </dataValidation>
  </dataValidations>
  <hyperlinks>
    <hyperlink ref="J1:M3" location="'M01-S02'!J1" tooltip="Instructions" display="'M01-S02'!J1" xr:uid="{81F8BCD5-34F6-4815-8585-9429BD4967A0}"/>
    <hyperlink ref="AV1:AY3" location="'M05-S05'!AL1" tooltip=" " display="'M05-S05'!AL1" xr:uid="{BE43E063-4DE8-4929-A7CF-EE8D410DA59D}"/>
    <hyperlink ref="BF1:BI3" location="'M01-S03'!AP1" tooltip="Contact" display="'M01-S03'!AP1" xr:uid="{EFEE74D9-F7C2-4989-85A8-A3D855C21BDC}"/>
    <hyperlink ref="AR1:AU3" location="'M05-S04'!AH1" tooltip=" " display="'M05-S04'!AH1" xr:uid="{47BF18A3-D58C-4756-BBA4-8C5FF2EB71CF}"/>
    <hyperlink ref="AN1:AQ3" location="'M05-S05'!AL1" tooltip=" " display="'M05-S05'!AL1" xr:uid="{61833965-EB1C-463E-B51B-A31CE65635F2}"/>
  </hyperlinks>
  <printOptions horizontalCentered="1" verticalCentered="1"/>
  <pageMargins left="0.1" right="0.1" top="0" bottom="0.5" header="0.3" footer="0.3"/>
  <pageSetup scale="86" fitToHeight="0" orientation="portrait" r:id="rId1"/>
  <rowBreaks count="3" manualBreakCount="3">
    <brk id="61" min="15" max="41" man="1"/>
    <brk id="111" min="15" max="41" man="1"/>
    <brk id="162" min="15" max="41" man="1"/>
  </rowBreaks>
  <drawing r:id="rId2"/>
  <extLst>
    <ext xmlns:x14="http://schemas.microsoft.com/office/spreadsheetml/2009/9/main" uri="{78C0D931-6437-407d-A8EE-F0AAD7539E65}">
      <x14:conditionalFormattings>
        <x14:conditionalFormatting xmlns:xm="http://schemas.microsoft.com/office/excel/2006/main">
          <x14:cfRule type="expression" priority="4" id="{BEB7133B-DC5C-4F63-9373-5DC66A2128BF}">
            <xm:f>'M01-S01'!I57-TODAY()&gt;=7</xm:f>
            <x14:dxf>
              <font>
                <b val="0"/>
                <i val="0"/>
                <color theme="1"/>
              </font>
            </x14:dxf>
          </x14:cfRule>
          <x14:cfRule type="expression" priority="5" id="{D7C065C9-8744-4C48-986A-DE757EFEF540}">
            <xm:f>AND('M01-S01'!I57-TODAY()&lt;7,'M01-S01'!I57-TODAY()&gt;2)</xm:f>
            <x14:dxf>
              <font>
                <b/>
                <i val="0"/>
                <color rgb="FFFF0000"/>
              </font>
            </x14:dxf>
          </x14:cfRule>
          <x14:cfRule type="expression" priority="6" id="{C235BA70-5C5E-48A9-B3E5-ED21A9ADABDD}">
            <xm:f>AND('M01-S01'!I57-TODAY()&lt;=2,'M01-S01'!I57-TODAY()&gt;=0)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K11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pageSetUpPr fitToPage="1"/>
  </sheetPr>
  <dimension ref="A1:BS204"/>
  <sheetViews>
    <sheetView showGridLines="0" showRowColHeaders="0" topLeftCell="A53" zoomScale="90" zoomScaleNormal="90" workbookViewId="0">
      <selection activeCell="AU24" sqref="AU24:AZ24"/>
    </sheetView>
  </sheetViews>
  <sheetFormatPr defaultColWidth="0" defaultRowHeight="15" customHeight="1" zeroHeight="1"/>
  <cols>
    <col min="1" max="59" width="4.5703125" style="502" customWidth="1"/>
    <col min="60" max="61" width="4.5703125" customWidth="1"/>
    <col min="62" max="16384" width="4.5703125" hidden="1"/>
  </cols>
  <sheetData>
    <row r="1" spans="1:65" ht="16.350000000000001" customHeight="1" thickBot="1">
      <c r="A1" s="12"/>
      <c r="B1" s="36"/>
      <c r="C1" s="36"/>
      <c r="D1" s="36"/>
      <c r="E1" s="36"/>
      <c r="F1" s="750" t="str">
        <f>M1S1</f>
        <v>WELCOME</v>
      </c>
      <c r="G1" s="750"/>
      <c r="H1" s="750"/>
      <c r="I1" s="750"/>
      <c r="J1" s="727" t="str">
        <f>M1S2</f>
        <v>INSTRUCTIONS</v>
      </c>
      <c r="K1" s="727"/>
      <c r="L1" s="727"/>
      <c r="M1" s="727"/>
      <c r="N1" s="1368"/>
      <c r="O1" s="1368"/>
      <c r="P1" s="1368"/>
      <c r="Q1" s="1368"/>
      <c r="R1" s="166"/>
      <c r="S1" s="166"/>
      <c r="T1" s="189"/>
      <c r="U1" s="190" t="s">
        <v>118</v>
      </c>
      <c r="V1" s="190"/>
      <c r="W1" s="190"/>
      <c r="X1" s="190"/>
      <c r="Y1" s="166"/>
      <c r="Z1" s="166"/>
      <c r="AA1" s="166"/>
      <c r="AB1" s="166"/>
      <c r="AC1" s="166"/>
      <c r="AD1"/>
      <c r="AE1"/>
      <c r="AF1"/>
      <c r="AG1"/>
      <c r="AH1"/>
      <c r="AI1"/>
      <c r="AJ1"/>
      <c r="AK1"/>
      <c r="AL1"/>
      <c r="AM1"/>
      <c r="AN1" s="734" t="str">
        <f>IF(ACTIVEINSPECT="Yes","Complete "&amp;M5S4,"")</f>
        <v/>
      </c>
      <c r="AO1" s="734"/>
      <c r="AP1" s="734"/>
      <c r="AQ1" s="734"/>
      <c r="AR1" s="730" t="str">
        <f>IF(ACTIVEOFFER="Yes","Sign "&amp;M5S6,"")</f>
        <v>Sign OBR: Repayment Agreement</v>
      </c>
      <c r="AS1" s="730"/>
      <c r="AT1" s="730"/>
      <c r="AU1" s="730"/>
      <c r="AV1" s="730" t="str">
        <f>IF(ACTIVECOMPL="Yes","Sign "&amp;M5S5,"")</f>
        <v xml:space="preserve">Sign Project Completion Certification </v>
      </c>
      <c r="AW1" s="730"/>
      <c r="AX1" s="730"/>
      <c r="AY1" s="730"/>
      <c r="AZ1" s="732" t="str">
        <f>M1S4</f>
        <v>INCENTIVE RATES &amp; REQUIREMENTS</v>
      </c>
      <c r="BA1" s="732"/>
      <c r="BB1" s="732"/>
      <c r="BC1" s="732"/>
      <c r="BD1" s="732"/>
      <c r="BE1" s="732"/>
      <c r="BF1" s="722" t="s">
        <v>119</v>
      </c>
      <c r="BG1" s="723"/>
      <c r="BH1" s="723"/>
      <c r="BI1" s="723"/>
    </row>
    <row r="2" spans="1:65" ht="16.350000000000001" customHeight="1" thickBot="1">
      <c r="A2"/>
      <c r="B2" s="36"/>
      <c r="C2" s="36"/>
      <c r="D2" s="36"/>
      <c r="E2" s="36"/>
      <c r="F2" s="750"/>
      <c r="G2" s="750"/>
      <c r="H2" s="750"/>
      <c r="I2" s="750"/>
      <c r="J2" s="727"/>
      <c r="K2" s="727"/>
      <c r="L2" s="727"/>
      <c r="M2" s="727"/>
      <c r="N2" s="1385"/>
      <c r="O2" s="1385"/>
      <c r="P2" s="1385"/>
      <c r="Q2" s="1385"/>
      <c r="R2" s="166"/>
      <c r="S2" s="166"/>
      <c r="T2" s="189"/>
      <c r="U2" s="190"/>
      <c r="V2" s="190"/>
      <c r="W2" s="190"/>
      <c r="X2" s="190"/>
      <c r="Y2" s="166"/>
      <c r="Z2" s="166"/>
      <c r="AA2" s="166"/>
      <c r="AB2" s="166"/>
      <c r="AC2" s="166"/>
      <c r="AD2"/>
      <c r="AE2"/>
      <c r="AF2"/>
      <c r="AG2"/>
      <c r="AH2"/>
      <c r="AI2"/>
      <c r="AJ2"/>
      <c r="AK2"/>
      <c r="AL2"/>
      <c r="AM2"/>
      <c r="AN2" s="734"/>
      <c r="AO2" s="734"/>
      <c r="AP2" s="734"/>
      <c r="AQ2" s="734"/>
      <c r="AR2" s="730"/>
      <c r="AS2" s="730"/>
      <c r="AT2" s="730"/>
      <c r="AU2" s="730"/>
      <c r="AV2" s="730"/>
      <c r="AW2" s="730"/>
      <c r="AX2" s="730"/>
      <c r="AY2" s="730"/>
      <c r="AZ2" s="732"/>
      <c r="BA2" s="732"/>
      <c r="BB2" s="732"/>
      <c r="BC2" s="732"/>
      <c r="BD2" s="732"/>
      <c r="BE2" s="732"/>
      <c r="BF2" s="723"/>
      <c r="BG2" s="723"/>
      <c r="BH2" s="723"/>
      <c r="BI2" s="723"/>
    </row>
    <row r="3" spans="1:65" s="614" customFormat="1" ht="16.350000000000001" customHeight="1" thickBot="1">
      <c r="B3" s="627"/>
      <c r="C3" s="627"/>
      <c r="D3" s="627"/>
      <c r="E3" s="627"/>
      <c r="F3" s="875"/>
      <c r="G3" s="875"/>
      <c r="H3" s="875"/>
      <c r="I3" s="875"/>
      <c r="J3" s="1586"/>
      <c r="K3" s="1586"/>
      <c r="L3" s="1586"/>
      <c r="M3" s="1586"/>
      <c r="N3" s="1386"/>
      <c r="O3" s="1386"/>
      <c r="P3" s="1386"/>
      <c r="Q3" s="1386"/>
      <c r="R3" s="608"/>
      <c r="S3" s="608"/>
      <c r="T3" s="608"/>
      <c r="U3" s="609"/>
      <c r="V3" s="609"/>
      <c r="W3" s="609"/>
      <c r="X3" s="609"/>
      <c r="AN3" s="868"/>
      <c r="AO3" s="868"/>
      <c r="AP3" s="868"/>
      <c r="AQ3" s="868"/>
      <c r="AR3" s="869"/>
      <c r="AS3" s="869"/>
      <c r="AT3" s="869"/>
      <c r="AU3" s="869"/>
      <c r="AV3" s="869"/>
      <c r="AW3" s="869"/>
      <c r="AX3" s="869"/>
      <c r="AY3" s="869"/>
      <c r="AZ3" s="1009"/>
      <c r="BA3" s="1009"/>
      <c r="BB3" s="1009"/>
      <c r="BC3" s="1009"/>
      <c r="BD3" s="1009"/>
      <c r="BE3" s="1009"/>
      <c r="BF3" s="871"/>
      <c r="BG3" s="871"/>
      <c r="BH3" s="871"/>
      <c r="BI3" s="871"/>
    </row>
    <row r="4" spans="1:65" s="147" customFormat="1" ht="16.350000000000001" customHeight="1">
      <c r="A4" s="615"/>
      <c r="B4" s="615"/>
      <c r="C4" s="615"/>
      <c r="D4" s="615"/>
      <c r="E4" s="615"/>
      <c r="F4" s="615"/>
      <c r="G4" s="615"/>
      <c r="H4" s="615"/>
      <c r="I4" s="615"/>
      <c r="J4" s="615"/>
      <c r="K4" s="615"/>
      <c r="L4" s="616"/>
      <c r="M4" s="617"/>
      <c r="N4" s="615"/>
      <c r="O4" s="615"/>
      <c r="P4" s="615"/>
      <c r="Q4" s="615"/>
      <c r="R4" s="615"/>
      <c r="S4" s="613" t="s">
        <v>707</v>
      </c>
      <c r="T4" s="618" t="str">
        <f>M05S07F07</f>
        <v>Custom</v>
      </c>
      <c r="U4" s="619"/>
      <c r="V4" s="619"/>
      <c r="W4" s="619"/>
      <c r="X4" s="615"/>
      <c r="Y4" s="615"/>
      <c r="Z4" s="615"/>
      <c r="AA4" s="613" t="s">
        <v>708</v>
      </c>
      <c r="AB4" s="1215" t="str">
        <f>IF(M02S02F02="","[Project Name]",LEFT(M02S02F02,25))</f>
        <v>[Project Name]</v>
      </c>
      <c r="AC4" s="1215"/>
      <c r="AD4" s="1215"/>
      <c r="AE4" s="1215"/>
      <c r="AF4" s="1215"/>
      <c r="AG4" s="1215"/>
      <c r="AH4" s="615"/>
      <c r="AI4" s="613" t="s">
        <v>709</v>
      </c>
      <c r="AJ4" s="621" t="str">
        <f>IF(M02S02F27="Yes",Status_Final,Status_Pre)</f>
        <v>Draft Pre-Application</v>
      </c>
      <c r="AK4" s="617"/>
      <c r="AL4" s="615"/>
      <c r="AM4" s="615"/>
      <c r="AN4" s="617"/>
      <c r="AO4" s="617"/>
      <c r="AP4" s="615"/>
      <c r="AQ4" s="615"/>
      <c r="AR4" s="615"/>
      <c r="AS4" s="613" t="s">
        <v>710</v>
      </c>
      <c r="AT4" s="1047">
        <f>Incent_Total_Cap_All</f>
        <v>0</v>
      </c>
      <c r="AU4" s="1047"/>
      <c r="AV4" s="1047"/>
      <c r="AW4" s="1047"/>
      <c r="AX4" s="1048" t="s">
        <v>711</v>
      </c>
      <c r="AY4" s="1048"/>
      <c r="AZ4" s="1048"/>
      <c r="BA4" s="1048"/>
      <c r="BB4" s="1048"/>
      <c r="BC4" s="1047" t="str">
        <f>OBR_Amount_Requested</f>
        <v/>
      </c>
      <c r="BD4" s="1047"/>
      <c r="BE4" s="1047"/>
      <c r="BF4" s="1047"/>
      <c r="BG4" s="617"/>
    </row>
    <row r="5" spans="1:65" s="12" customFormat="1"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177"/>
      <c r="BK5"/>
      <c r="BL5"/>
      <c r="BM5"/>
    </row>
    <row r="6" spans="1:65" s="12" customFormat="1"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c r="BJ6" s="177"/>
      <c r="BK6"/>
      <c r="BL6"/>
      <c r="BM6"/>
    </row>
    <row r="7" spans="1:65" s="12" customFormat="1"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c r="BJ7" s="177"/>
      <c r="BK7"/>
      <c r="BL7"/>
      <c r="BM7"/>
    </row>
    <row r="8" spans="1:65" s="606"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25"/>
      <c r="BK8" s="614"/>
      <c r="BL8" s="614"/>
      <c r="BM8" s="614"/>
    </row>
    <row r="9" spans="1:65" ht="15.75" customHeight="1">
      <c r="A9"/>
      <c r="B9" s="166"/>
      <c r="C9" s="166"/>
      <c r="D9" s="166"/>
      <c r="E9" s="166"/>
      <c r="F9" s="166"/>
      <c r="G9" s="764" t="str">
        <f>M5S7</f>
        <v>Summary Form</v>
      </c>
      <c r="H9" s="764"/>
      <c r="I9" s="764"/>
      <c r="J9" s="764"/>
      <c r="K9" s="764"/>
      <c r="L9" s="764"/>
      <c r="M9" s="764"/>
      <c r="N9" s="764"/>
      <c r="O9" s="764"/>
      <c r="P9" s="764"/>
      <c r="Q9" s="764"/>
      <c r="R9" s="764"/>
      <c r="S9" s="764"/>
      <c r="T9" s="764"/>
      <c r="U9" s="764"/>
      <c r="V9" s="764"/>
      <c r="W9" s="764"/>
      <c r="X9" s="764" t="str">
        <f>M5S7</f>
        <v>Summary Form</v>
      </c>
      <c r="Y9" s="764"/>
      <c r="Z9" s="764"/>
      <c r="AA9" s="764"/>
      <c r="AB9" s="764"/>
      <c r="AC9" s="764"/>
      <c r="AD9" s="764"/>
      <c r="AE9" s="764"/>
      <c r="AF9" s="764"/>
      <c r="AG9" s="764"/>
      <c r="AH9" s="764"/>
      <c r="AI9" s="764"/>
      <c r="AJ9" s="764"/>
      <c r="AK9" s="764"/>
      <c r="AL9" s="764"/>
      <c r="AM9" s="764"/>
      <c r="AN9" s="764"/>
      <c r="AO9" s="764"/>
      <c r="AP9" s="764"/>
      <c r="AQ9" s="764"/>
      <c r="AR9" s="764"/>
      <c r="AS9" s="764"/>
      <c r="AT9" s="764"/>
      <c r="AU9" s="764"/>
      <c r="AV9" s="764"/>
      <c r="AW9" s="764"/>
      <c r="AX9" s="764"/>
      <c r="AY9" s="764"/>
      <c r="AZ9"/>
      <c r="BA9"/>
      <c r="BB9"/>
      <c r="BC9"/>
      <c r="BD9"/>
      <c r="BE9"/>
      <c r="BF9"/>
      <c r="BG9"/>
    </row>
    <row r="10" spans="1:65" ht="15.75" customHeight="1">
      <c r="A10"/>
      <c r="B10" s="166"/>
      <c r="C10" s="166"/>
      <c r="D10" s="166"/>
      <c r="E10" s="166"/>
      <c r="F10" s="166"/>
      <c r="G10" s="765"/>
      <c r="H10" s="765"/>
      <c r="I10" s="765"/>
      <c r="J10" s="765"/>
      <c r="K10" s="765"/>
      <c r="L10" s="765"/>
      <c r="M10" s="765"/>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5"/>
      <c r="AO10" s="765"/>
      <c r="AP10" s="765"/>
      <c r="AQ10" s="765"/>
      <c r="AR10" s="765"/>
      <c r="AS10" s="765"/>
      <c r="AT10" s="765"/>
      <c r="AU10" s="765"/>
      <c r="AV10" s="765"/>
      <c r="AW10" s="765"/>
      <c r="AX10" s="765"/>
      <c r="AY10" s="765"/>
      <c r="AZ10"/>
      <c r="BA10"/>
      <c r="BB10"/>
      <c r="BC10"/>
      <c r="BD10"/>
      <c r="BE10"/>
      <c r="BF10"/>
      <c r="BG10"/>
    </row>
    <row r="11" spans="1:65" ht="16.350000000000001" customHeight="1">
      <c r="A11" s="103"/>
      <c r="B11" s="166"/>
      <c r="C11" s="166"/>
      <c r="D11" s="166"/>
      <c r="E11" s="166"/>
      <c r="F11" s="166"/>
      <c r="G11" s="103"/>
      <c r="H11" s="520" t="s">
        <v>1751</v>
      </c>
      <c r="I11" s="103"/>
      <c r="J11" s="103"/>
      <c r="K11" s="103"/>
      <c r="L11" s="103"/>
      <c r="M11" s="103"/>
      <c r="N11" s="103"/>
      <c r="O11" s="103"/>
      <c r="P11" s="103"/>
      <c r="Q11" s="103"/>
      <c r="R11" s="103"/>
      <c r="S11" s="103"/>
      <c r="T11" s="103"/>
      <c r="U11" s="103"/>
      <c r="V11" s="103"/>
      <c r="W11" s="103"/>
      <c r="X11" s="220"/>
      <c r="Y11" s="220"/>
      <c r="Z11" s="220"/>
      <c r="AA11" s="220"/>
      <c r="AB11" s="220"/>
      <c r="AC11" s="220"/>
      <c r="AD11" s="220"/>
      <c r="AE11" s="220"/>
      <c r="AF11" s="103"/>
      <c r="AG11" s="103"/>
      <c r="AH11" s="103"/>
      <c r="AI11" s="103"/>
      <c r="AJ11" s="103"/>
      <c r="AK11" s="103"/>
      <c r="AL11" s="103"/>
      <c r="AM11" s="103"/>
      <c r="AN11" s="103"/>
      <c r="AO11"/>
      <c r="AP11"/>
      <c r="AQ11"/>
      <c r="AR11"/>
      <c r="AS11"/>
      <c r="AT11"/>
      <c r="AU11"/>
      <c r="AV11"/>
      <c r="AW11"/>
      <c r="AX11"/>
      <c r="AY11"/>
      <c r="AZ11"/>
      <c r="BA11"/>
      <c r="BB11"/>
      <c r="BC11"/>
      <c r="BD11"/>
      <c r="BE11"/>
      <c r="BF11"/>
      <c r="BG11"/>
    </row>
    <row r="12" spans="1:65" ht="16.350000000000001" customHeight="1">
      <c r="A12"/>
      <c r="B12" s="166"/>
      <c r="C12" s="166"/>
      <c r="D12" s="166"/>
      <c r="E12" s="166"/>
      <c r="F12" s="166"/>
      <c r="G12" s="1655" t="s">
        <v>1752</v>
      </c>
      <c r="H12" s="1600" t="str">
        <f>IF(SUM(AB71:AJ78)&lt;&gt;SUM(AS71:AZ78),"Current Project Overview values differ from Original Project Overview.","")</f>
        <v/>
      </c>
      <c r="I12" s="1601"/>
      <c r="J12" s="1601"/>
      <c r="K12" s="1601"/>
      <c r="L12" s="1601"/>
      <c r="M12" s="1601"/>
      <c r="N12" s="1601"/>
      <c r="O12" s="1601"/>
      <c r="P12" s="1601"/>
      <c r="Q12" s="1601"/>
      <c r="R12" s="1601"/>
      <c r="S12" s="1601"/>
      <c r="T12" s="1601"/>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2"/>
      <c r="AP12"/>
      <c r="AQ12" s="1654" t="str">
        <f>IF(TransferStatus="Transferred","INTERNAL ONLY","")</f>
        <v/>
      </c>
      <c r="AR12" s="1654"/>
      <c r="AS12" s="1654"/>
      <c r="AT12" s="1654"/>
      <c r="AU12" s="1654"/>
      <c r="AV12" s="1654"/>
      <c r="AW12" s="1654"/>
      <c r="AX12" s="1654"/>
      <c r="AY12" s="1654"/>
      <c r="AZ12" s="1654"/>
      <c r="BA12"/>
      <c r="BB12"/>
      <c r="BC12"/>
      <c r="BD12"/>
      <c r="BE12"/>
      <c r="BF12"/>
      <c r="BG12"/>
    </row>
    <row r="13" spans="1:65" ht="16.350000000000001" customHeight="1">
      <c r="A13"/>
      <c r="B13" s="166"/>
      <c r="C13" s="166"/>
      <c r="D13" s="166"/>
      <c r="E13" s="166"/>
      <c r="F13" s="166"/>
      <c r="G13" s="1655"/>
      <c r="H13" s="1603"/>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5"/>
      <c r="AP13"/>
      <c r="AQ13" s="1654"/>
      <c r="AR13" s="1654"/>
      <c r="AS13" s="1654"/>
      <c r="AT13" s="1654"/>
      <c r="AU13" s="1654"/>
      <c r="AV13" s="1654"/>
      <c r="AW13" s="1654"/>
      <c r="AX13" s="1654"/>
      <c r="AY13" s="1654"/>
      <c r="AZ13" s="1654"/>
      <c r="BA13"/>
      <c r="BB13"/>
      <c r="BC13"/>
      <c r="BD13"/>
      <c r="BE13"/>
      <c r="BF13"/>
      <c r="BG13"/>
    </row>
    <row r="14" spans="1:65" ht="16.350000000000001" customHeight="1">
      <c r="A14"/>
      <c r="B14" s="166"/>
      <c r="C14" s="166"/>
      <c r="D14" s="166"/>
      <c r="E14" s="166"/>
      <c r="F14" s="166"/>
      <c r="G14" s="1655"/>
      <c r="H14" s="1606"/>
      <c r="I14" s="1607"/>
      <c r="J14" s="1607"/>
      <c r="K14" s="1607"/>
      <c r="L14" s="1607"/>
      <c r="M14" s="1607"/>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c r="AL14" s="1607"/>
      <c r="AM14" s="1607"/>
      <c r="AN14" s="1607"/>
      <c r="AO14" s="1608"/>
      <c r="AP14"/>
      <c r="AQ14" s="1654"/>
      <c r="AR14" s="1654"/>
      <c r="AS14" s="1654"/>
      <c r="AT14" s="1654"/>
      <c r="AU14" s="1654"/>
      <c r="AV14" s="1654"/>
      <c r="AW14" s="1654"/>
      <c r="AX14" s="1654"/>
      <c r="AY14" s="1654"/>
      <c r="AZ14" s="1654"/>
      <c r="BA14"/>
      <c r="BB14"/>
      <c r="BC14"/>
      <c r="BD14"/>
      <c r="BE14"/>
      <c r="BF14"/>
      <c r="BG14"/>
    </row>
    <row r="15" spans="1:65" ht="16.350000000000001" customHeight="1" thickBot="1">
      <c r="A15"/>
      <c r="B15" s="166"/>
      <c r="C15" s="166"/>
      <c r="D15" s="166"/>
      <c r="E15" s="166"/>
      <c r="F15" s="166"/>
      <c r="G15" s="12"/>
      <c r="H15"/>
      <c r="I15"/>
      <c r="J15"/>
      <c r="K15"/>
      <c r="L15"/>
      <c r="M15"/>
      <c r="N15"/>
      <c r="O15"/>
      <c r="P15"/>
      <c r="Q15"/>
      <c r="R15"/>
      <c r="S15"/>
      <c r="T15"/>
      <c r="U15"/>
      <c r="V15"/>
      <c r="W15"/>
      <c r="X15"/>
      <c r="Y15"/>
      <c r="Z15"/>
      <c r="AA15"/>
      <c r="AB15"/>
      <c r="AC15"/>
      <c r="AD15"/>
      <c r="AE15"/>
      <c r="AF15"/>
      <c r="AG15"/>
      <c r="AH15"/>
      <c r="AI15"/>
      <c r="AJ15"/>
      <c r="AK15"/>
      <c r="AL15"/>
      <c r="AM15" s="166"/>
      <c r="AN15" s="166"/>
      <c r="AO15"/>
      <c r="AP15"/>
      <c r="AQ15"/>
      <c r="AR15"/>
      <c r="AS15"/>
      <c r="AT15"/>
      <c r="AU15"/>
      <c r="AV15"/>
      <c r="AW15"/>
      <c r="AX15"/>
      <c r="AY15"/>
      <c r="AZ15"/>
      <c r="BA15"/>
      <c r="BB15"/>
      <c r="BC15"/>
      <c r="BD15"/>
      <c r="BE15"/>
      <c r="BF15"/>
      <c r="BG15"/>
    </row>
    <row r="16" spans="1:65" ht="16.350000000000001" customHeight="1" thickBot="1">
      <c r="A16"/>
      <c r="B16" s="166"/>
      <c r="C16" s="166"/>
      <c r="D16" s="166"/>
      <c r="E16" s="166"/>
      <c r="F16" s="166"/>
      <c r="G16" s="12"/>
      <c r="H16" s="1551" t="s">
        <v>312</v>
      </c>
      <c r="I16" s="1552"/>
      <c r="J16" s="1552"/>
      <c r="K16" s="1552"/>
      <c r="L16" s="1552"/>
      <c r="M16" s="1552"/>
      <c r="N16" s="1552"/>
      <c r="O16" s="1552"/>
      <c r="P16" s="1552"/>
      <c r="Q16" s="1553"/>
      <c r="R16"/>
      <c r="S16" s="1531" t="s">
        <v>1753</v>
      </c>
      <c r="T16" s="1531"/>
      <c r="U16" s="1531"/>
      <c r="V16" s="1531"/>
      <c r="W16" s="1531"/>
      <c r="X16" s="1531"/>
      <c r="Y16" s="1531"/>
      <c r="Z16" s="1531"/>
      <c r="AA16" s="1531"/>
      <c r="AB16" s="1531"/>
      <c r="AC16" s="1531"/>
      <c r="AD16" s="1531"/>
      <c r="AE16"/>
      <c r="AF16" s="1551" t="s">
        <v>1754</v>
      </c>
      <c r="AG16" s="1552"/>
      <c r="AH16" s="1552"/>
      <c r="AI16" s="1552"/>
      <c r="AJ16" s="1552"/>
      <c r="AK16" s="1552"/>
      <c r="AL16" s="1552"/>
      <c r="AM16" s="1552"/>
      <c r="AN16" s="1552"/>
      <c r="AO16" s="1553"/>
      <c r="AP16"/>
      <c r="AQ16" s="1622" t="s">
        <v>1755</v>
      </c>
      <c r="AR16" s="1623"/>
      <c r="AS16" s="1623"/>
      <c r="AT16" s="1623"/>
      <c r="AU16" s="1623"/>
      <c r="AV16" s="1623"/>
      <c r="AW16" s="1623"/>
      <c r="AX16" s="1623"/>
      <c r="AY16" s="1623"/>
      <c r="AZ16" s="1624"/>
      <c r="BA16"/>
      <c r="BB16"/>
      <c r="BC16"/>
      <c r="BD16"/>
      <c r="BE16"/>
      <c r="BF16"/>
      <c r="BG16"/>
    </row>
    <row r="17" spans="1:71" ht="16.350000000000001" customHeight="1" thickBot="1">
      <c r="A17"/>
      <c r="B17" s="166"/>
      <c r="C17" s="166"/>
      <c r="D17" s="166"/>
      <c r="E17" s="166"/>
      <c r="F17" s="166"/>
      <c r="G17" s="12"/>
      <c r="H17" s="1565" t="s">
        <v>1756</v>
      </c>
      <c r="I17" s="1565"/>
      <c r="J17" s="1565"/>
      <c r="K17" s="1565"/>
      <c r="L17" s="1566" t="str">
        <f>PROPER(M02S02F02)</f>
        <v/>
      </c>
      <c r="M17" s="1567"/>
      <c r="N17" s="1567"/>
      <c r="O17" s="1567"/>
      <c r="P17" s="1567"/>
      <c r="Q17" s="1568"/>
      <c r="R17"/>
      <c r="S17" s="1569" t="s">
        <v>1757</v>
      </c>
      <c r="T17" s="1569"/>
      <c r="U17" s="1569"/>
      <c r="V17" s="1569"/>
      <c r="W17" s="1653">
        <f>M02S02F25</f>
        <v>0</v>
      </c>
      <c r="X17" s="1653"/>
      <c r="Y17" s="1653"/>
      <c r="Z17" s="1653"/>
      <c r="AA17" s="1653"/>
      <c r="AB17" s="1653"/>
      <c r="AC17" s="1653"/>
      <c r="AD17" s="1653"/>
      <c r="AE17"/>
      <c r="AF17" s="1629"/>
      <c r="AG17" s="1629"/>
      <c r="AH17" s="1629"/>
      <c r="AI17" s="1629"/>
      <c r="AJ17" s="1629"/>
      <c r="AK17" s="1629"/>
      <c r="AL17" s="1629"/>
      <c r="AM17" s="1629"/>
      <c r="AN17" s="1629"/>
      <c r="AO17" s="1629"/>
      <c r="AP17"/>
      <c r="AQ17" s="1613" t="s">
        <v>1758</v>
      </c>
      <c r="AR17" s="1613"/>
      <c r="AS17" s="1613"/>
      <c r="AT17" s="1613"/>
      <c r="AU17" s="1614"/>
      <c r="AV17" s="1614"/>
      <c r="AW17" s="1614"/>
      <c r="AX17" s="1614"/>
      <c r="AY17" s="1614"/>
      <c r="AZ17" s="1614"/>
      <c r="BA17"/>
      <c r="BB17"/>
      <c r="BC17"/>
      <c r="BD17"/>
      <c r="BE17"/>
      <c r="BF17"/>
      <c r="BG17"/>
      <c r="BJ17" s="1613" t="s">
        <v>1759</v>
      </c>
      <c r="BK17" s="1613"/>
      <c r="BL17" s="1613"/>
      <c r="BM17" s="1613"/>
      <c r="BN17" s="1647"/>
      <c r="BO17" s="1647"/>
      <c r="BP17" s="1647"/>
      <c r="BQ17" s="1647"/>
      <c r="BR17" s="1647"/>
      <c r="BS17" s="1647"/>
    </row>
    <row r="18" spans="1:71" ht="16.350000000000001" customHeight="1" thickBot="1">
      <c r="A18"/>
      <c r="B18" s="166"/>
      <c r="C18" s="166"/>
      <c r="D18" s="166"/>
      <c r="E18" s="166"/>
      <c r="F18" s="166"/>
      <c r="G18" s="12"/>
      <c r="H18" s="1565" t="s">
        <v>1760</v>
      </c>
      <c r="I18" s="1565"/>
      <c r="J18" s="1565"/>
      <c r="K18" s="1565"/>
      <c r="L18" s="1566">
        <f>M02S02F12</f>
        <v>0</v>
      </c>
      <c r="M18" s="1567"/>
      <c r="N18" s="1567"/>
      <c r="O18" s="1567"/>
      <c r="P18" s="1567"/>
      <c r="Q18" s="1568"/>
      <c r="R18"/>
      <c r="S18" s="1609" t="s">
        <v>1761</v>
      </c>
      <c r="T18" s="1609"/>
      <c r="U18" s="1609"/>
      <c r="V18" s="1609"/>
      <c r="W18" s="1653">
        <f>M02S02F26</f>
        <v>0</v>
      </c>
      <c r="X18" s="1653"/>
      <c r="Y18" s="1653"/>
      <c r="Z18" s="1653"/>
      <c r="AA18" s="1653"/>
      <c r="AB18" s="1653"/>
      <c r="AC18" s="1653"/>
      <c r="AD18" s="1653"/>
      <c r="AE18"/>
      <c r="AF18" s="1629"/>
      <c r="AG18" s="1629"/>
      <c r="AH18" s="1629"/>
      <c r="AI18" s="1629"/>
      <c r="AJ18" s="1629"/>
      <c r="AK18" s="1629"/>
      <c r="AL18" s="1629"/>
      <c r="AM18" s="1629"/>
      <c r="AN18" s="1629"/>
      <c r="AO18" s="1629"/>
      <c r="AP18"/>
      <c r="AQ18" s="1613" t="s">
        <v>1762</v>
      </c>
      <c r="AR18" s="1613"/>
      <c r="AS18" s="1613"/>
      <c r="AT18" s="1613"/>
      <c r="AU18" s="1615"/>
      <c r="AV18" s="1615"/>
      <c r="AW18" s="1615"/>
      <c r="AX18" s="1615"/>
      <c r="AY18" s="1615"/>
      <c r="AZ18" s="1615"/>
      <c r="BA18"/>
      <c r="BB18"/>
      <c r="BC18"/>
      <c r="BD18"/>
      <c r="BE18"/>
      <c r="BF18"/>
      <c r="BG18"/>
    </row>
    <row r="19" spans="1:71" ht="16.350000000000001" customHeight="1" thickBot="1">
      <c r="A19"/>
      <c r="B19" s="166"/>
      <c r="C19" s="166"/>
      <c r="D19" s="166"/>
      <c r="E19" s="166"/>
      <c r="F19" s="166"/>
      <c r="G19" s="12"/>
      <c r="H19" s="1565" t="s">
        <v>726</v>
      </c>
      <c r="I19" s="1565"/>
      <c r="J19" s="1565"/>
      <c r="K19" s="1565"/>
      <c r="L19" s="1566" t="str">
        <f>M02S02F13</f>
        <v/>
      </c>
      <c r="M19" s="1567"/>
      <c r="N19" s="1567"/>
      <c r="O19" s="1567"/>
      <c r="P19" s="1567"/>
      <c r="Q19" s="1568"/>
      <c r="R19"/>
      <c r="S19" s="1609" t="s">
        <v>1763</v>
      </c>
      <c r="T19" s="1609"/>
      <c r="U19" s="1609"/>
      <c r="V19" s="1609"/>
      <c r="W19" s="1653">
        <f>M02S02F27</f>
        <v>0</v>
      </c>
      <c r="X19" s="1653"/>
      <c r="Y19" s="1653"/>
      <c r="Z19" s="1653"/>
      <c r="AA19" s="1653"/>
      <c r="AB19" s="1653"/>
      <c r="AC19" s="1653"/>
      <c r="AD19" s="1653"/>
      <c r="AE19"/>
      <c r="AF19" s="1629"/>
      <c r="AG19" s="1629"/>
      <c r="AH19" s="1629"/>
      <c r="AI19" s="1629"/>
      <c r="AJ19" s="1629"/>
      <c r="AK19" s="1629"/>
      <c r="AL19" s="1629"/>
      <c r="AM19" s="1629"/>
      <c r="AN19" s="1629"/>
      <c r="AO19" s="1629"/>
      <c r="AP19"/>
      <c r="AQ19" s="1613" t="s">
        <v>1764</v>
      </c>
      <c r="AR19" s="1613"/>
      <c r="AS19" s="1613"/>
      <c r="AT19" s="1613"/>
      <c r="AU19" s="1615"/>
      <c r="AV19" s="1615"/>
      <c r="AW19" s="1615"/>
      <c r="AX19" s="1615"/>
      <c r="AY19" s="1615"/>
      <c r="AZ19" s="1615"/>
      <c r="BA19"/>
      <c r="BB19"/>
      <c r="BC19"/>
      <c r="BD19"/>
      <c r="BE19"/>
      <c r="BF19"/>
      <c r="BG19"/>
    </row>
    <row r="20" spans="1:71" ht="16.350000000000001" customHeight="1" thickBot="1">
      <c r="A20"/>
      <c r="B20" s="166"/>
      <c r="C20" s="166"/>
      <c r="D20" s="166"/>
      <c r="E20" s="166"/>
      <c r="F20" s="166"/>
      <c r="G20" s="12"/>
      <c r="H20" s="1565" t="s">
        <v>1765</v>
      </c>
      <c r="I20" s="1565"/>
      <c r="J20" s="1565"/>
      <c r="K20" s="1565"/>
      <c r="L20" s="1570">
        <f>M02S02F14</f>
        <v>0</v>
      </c>
      <c r="M20" s="1571"/>
      <c r="N20" s="1571"/>
      <c r="O20" s="1571"/>
      <c r="P20" s="1571"/>
      <c r="Q20" s="1572"/>
      <c r="R20"/>
      <c r="S20" s="1569" t="s">
        <v>732</v>
      </c>
      <c r="T20" s="1569"/>
      <c r="U20" s="1569"/>
      <c r="V20" s="1569"/>
      <c r="W20" s="1653" t="str">
        <f>BuildingInfo_Building_Type</f>
        <v/>
      </c>
      <c r="X20" s="1653"/>
      <c r="Y20" s="1653"/>
      <c r="Z20" s="1653"/>
      <c r="AA20" s="1653"/>
      <c r="AB20" s="1653"/>
      <c r="AC20" s="1653"/>
      <c r="AD20" s="1653"/>
      <c r="AE20"/>
      <c r="AF20" s="1629"/>
      <c r="AG20" s="1629"/>
      <c r="AH20" s="1629"/>
      <c r="AI20" s="1629"/>
      <c r="AJ20" s="1629"/>
      <c r="AK20" s="1629"/>
      <c r="AL20" s="1629"/>
      <c r="AM20" s="1629"/>
      <c r="AN20" s="1629"/>
      <c r="AO20" s="1629"/>
      <c r="AP20"/>
      <c r="AQ20" s="1613" t="s">
        <v>1427</v>
      </c>
      <c r="AR20" s="1613"/>
      <c r="AS20" s="1613"/>
      <c r="AT20" s="1613"/>
      <c r="AU20" s="1615"/>
      <c r="AV20" s="1615"/>
      <c r="AW20" s="1615"/>
      <c r="AX20" s="1615"/>
      <c r="AY20" s="1615"/>
      <c r="AZ20" s="1615"/>
      <c r="BA20"/>
      <c r="BB20"/>
      <c r="BC20"/>
      <c r="BD20"/>
      <c r="BE20"/>
      <c r="BF20"/>
      <c r="BG20"/>
    </row>
    <row r="21" spans="1:71" ht="16.350000000000001" customHeight="1" thickBot="1">
      <c r="A21"/>
      <c r="B21" s="166"/>
      <c r="C21" s="166"/>
      <c r="D21" s="166"/>
      <c r="E21" s="166"/>
      <c r="F21" s="166"/>
      <c r="G21" s="12"/>
      <c r="H21" s="1565" t="s">
        <v>729</v>
      </c>
      <c r="I21" s="1565"/>
      <c r="J21" s="1565"/>
      <c r="K21" s="1565"/>
      <c r="L21" s="1566" t="str">
        <f>M02S02F15</f>
        <v/>
      </c>
      <c r="M21" s="1567"/>
      <c r="N21" s="1567"/>
      <c r="O21" s="1567"/>
      <c r="P21" s="1567"/>
      <c r="Q21" s="1568"/>
      <c r="R21"/>
      <c r="S21" s="1569" t="s">
        <v>733</v>
      </c>
      <c r="T21" s="1569"/>
      <c r="U21" s="1569"/>
      <c r="V21" s="1569"/>
      <c r="W21" s="1653">
        <f>M02S02F18</f>
        <v>0</v>
      </c>
      <c r="X21" s="1653"/>
      <c r="Y21" s="1653"/>
      <c r="Z21" s="1653"/>
      <c r="AA21" s="1653"/>
      <c r="AB21" s="1653"/>
      <c r="AC21" s="1653"/>
      <c r="AD21" s="1653"/>
      <c r="AE21"/>
      <c r="AF21" s="1629"/>
      <c r="AG21" s="1629"/>
      <c r="AH21" s="1629"/>
      <c r="AI21" s="1629"/>
      <c r="AJ21" s="1629"/>
      <c r="AK21" s="1629"/>
      <c r="AL21" s="1629"/>
      <c r="AM21" s="1629"/>
      <c r="AN21" s="1629"/>
      <c r="AO21" s="1629"/>
      <c r="AP21"/>
      <c r="AQ21" s="1613" t="s">
        <v>1766</v>
      </c>
      <c r="AR21" s="1613"/>
      <c r="AS21" s="1613"/>
      <c r="AT21" s="1613"/>
      <c r="AU21" s="1616"/>
      <c r="AV21" s="1616"/>
      <c r="AW21" s="1616"/>
      <c r="AX21" s="1616"/>
      <c r="AY21" s="1616"/>
      <c r="AZ21" s="1616"/>
      <c r="BA21"/>
      <c r="BB21"/>
      <c r="BC21"/>
      <c r="BD21"/>
      <c r="BE21"/>
      <c r="BF21"/>
      <c r="BG21"/>
    </row>
    <row r="22" spans="1:71" ht="16.350000000000001" customHeight="1" thickBot="1">
      <c r="A22"/>
      <c r="B22" s="166"/>
      <c r="C22" s="166"/>
      <c r="D22" s="166"/>
      <c r="E22" s="166"/>
      <c r="F22" s="166"/>
      <c r="G22" s="12"/>
      <c r="H22" s="1565" t="s">
        <v>1767</v>
      </c>
      <c r="I22" s="1565"/>
      <c r="J22" s="1565"/>
      <c r="K22" s="1565"/>
      <c r="L22" s="1570">
        <f>M02S02F16</f>
        <v>0</v>
      </c>
      <c r="M22" s="1571"/>
      <c r="N22" s="1571"/>
      <c r="O22" s="1571"/>
      <c r="P22" s="1571"/>
      <c r="Q22" s="1572"/>
      <c r="R22"/>
      <c r="S22" s="1609" t="s">
        <v>1768</v>
      </c>
      <c r="T22" s="1609"/>
      <c r="U22" s="1609"/>
      <c r="V22" s="1609"/>
      <c r="W22" s="1653">
        <f>BuildingInfo_Annual_Operating_Hours</f>
        <v>0</v>
      </c>
      <c r="X22" s="1653"/>
      <c r="Y22" s="1653"/>
      <c r="Z22" s="1653"/>
      <c r="AA22" s="1653"/>
      <c r="AB22" s="1653"/>
      <c r="AC22" s="1653"/>
      <c r="AD22" s="1653"/>
      <c r="AE22"/>
      <c r="AF22" s="1551" t="s">
        <v>1769</v>
      </c>
      <c r="AG22" s="1552"/>
      <c r="AH22" s="1552"/>
      <c r="AI22" s="1552"/>
      <c r="AJ22" s="1552"/>
      <c r="AK22" s="1552"/>
      <c r="AL22" s="1552"/>
      <c r="AM22" s="1552"/>
      <c r="AN22" s="1552"/>
      <c r="AO22" s="1553"/>
      <c r="AP22"/>
      <c r="AQ22" s="1613" t="s">
        <v>1259</v>
      </c>
      <c r="AR22" s="1613"/>
      <c r="AS22" s="1613"/>
      <c r="AT22" s="1613"/>
      <c r="AU22" s="1615"/>
      <c r="AV22" s="1615"/>
      <c r="AW22" s="1615"/>
      <c r="AX22" s="1615"/>
      <c r="AY22" s="1615"/>
      <c r="AZ22" s="1615"/>
      <c r="BA22"/>
      <c r="BB22"/>
      <c r="BC22"/>
      <c r="BD22"/>
      <c r="BE22"/>
      <c r="BF22"/>
      <c r="BG22"/>
    </row>
    <row r="23" spans="1:71" ht="16.350000000000001" customHeight="1" thickBot="1">
      <c r="A23"/>
      <c r="B23" s="166"/>
      <c r="C23" s="166"/>
      <c r="D23" s="166"/>
      <c r="E23" s="166"/>
      <c r="F23" s="166"/>
      <c r="G23" s="12"/>
      <c r="H23" s="1565" t="s">
        <v>201</v>
      </c>
      <c r="I23" s="1565"/>
      <c r="J23" s="1565"/>
      <c r="K23" s="1565"/>
      <c r="L23" s="1589" t="s">
        <v>230</v>
      </c>
      <c r="M23" s="1590"/>
      <c r="N23" s="1590"/>
      <c r="O23" s="1590"/>
      <c r="P23" s="1590"/>
      <c r="Q23" s="1591"/>
      <c r="R23"/>
      <c r="S23" s="1609" t="s">
        <v>1770</v>
      </c>
      <c r="T23" s="1609"/>
      <c r="U23" s="1609"/>
      <c r="V23" s="1609"/>
      <c r="W23" s="1646">
        <f>M02S02F21</f>
        <v>0</v>
      </c>
      <c r="X23" s="1646"/>
      <c r="Y23" s="1646"/>
      <c r="Z23" s="1646"/>
      <c r="AA23" s="1646"/>
      <c r="AB23" s="1646"/>
      <c r="AC23" s="1646"/>
      <c r="AD23" s="1646"/>
      <c r="AE23"/>
      <c r="AF23" s="1629"/>
      <c r="AG23" s="1629"/>
      <c r="AH23" s="1629"/>
      <c r="AI23" s="1629"/>
      <c r="AJ23" s="1629"/>
      <c r="AK23" s="1629"/>
      <c r="AL23" s="1629"/>
      <c r="AM23" s="1629"/>
      <c r="AN23" s="1629"/>
      <c r="AO23" s="1629"/>
      <c r="AP23"/>
      <c r="AQ23" s="1613" t="s">
        <v>1771</v>
      </c>
      <c r="AR23" s="1613"/>
      <c r="AS23" s="1613"/>
      <c r="AT23" s="1613"/>
      <c r="AU23" s="1634"/>
      <c r="AV23" s="1634"/>
      <c r="AW23" s="1634"/>
      <c r="AX23" s="1634"/>
      <c r="AY23" s="1634"/>
      <c r="AZ23" s="1634"/>
      <c r="BA23"/>
      <c r="BB23"/>
      <c r="BC23"/>
      <c r="BD23"/>
      <c r="BE23"/>
      <c r="BF23"/>
      <c r="BG23"/>
    </row>
    <row r="24" spans="1:71" ht="16.350000000000001" customHeight="1" thickBot="1">
      <c r="A24"/>
      <c r="B24" s="166"/>
      <c r="C24" s="166"/>
      <c r="D24" s="166"/>
      <c r="E24" s="166"/>
      <c r="F24" s="166"/>
      <c r="G24"/>
      <c r="H24" s="1565" t="s">
        <v>1772</v>
      </c>
      <c r="I24" s="1565"/>
      <c r="J24" s="1565"/>
      <c r="K24" s="1565"/>
      <c r="L24" s="1610" t="str">
        <f>IF(M05S07F07&lt;&gt;"","Downstream","")</f>
        <v>Downstream</v>
      </c>
      <c r="M24" s="1611"/>
      <c r="N24" s="1611"/>
      <c r="O24" s="1611"/>
      <c r="P24" s="1611"/>
      <c r="Q24" s="1612"/>
      <c r="R24"/>
      <c r="S24" s="1609" t="s">
        <v>1773</v>
      </c>
      <c r="T24" s="1609"/>
      <c r="U24" s="1609"/>
      <c r="V24" s="1609"/>
      <c r="W24" s="1646">
        <f>M02S02F22</f>
        <v>0</v>
      </c>
      <c r="X24" s="1646"/>
      <c r="Y24" s="1646"/>
      <c r="Z24" s="1646"/>
      <c r="AA24" s="1646"/>
      <c r="AB24" s="1646"/>
      <c r="AC24" s="1646"/>
      <c r="AD24" s="1646"/>
      <c r="AE24"/>
      <c r="AF24" s="1629"/>
      <c r="AG24" s="1629"/>
      <c r="AH24" s="1629"/>
      <c r="AI24" s="1629"/>
      <c r="AJ24" s="1629"/>
      <c r="AK24" s="1629"/>
      <c r="AL24" s="1629"/>
      <c r="AM24" s="1629"/>
      <c r="AN24" s="1629"/>
      <c r="AO24" s="1629"/>
      <c r="AP24"/>
      <c r="AQ24" s="1613" t="s">
        <v>1774</v>
      </c>
      <c r="AR24" s="1613"/>
      <c r="AS24" s="1613"/>
      <c r="AT24" s="1613"/>
      <c r="AU24" s="1643"/>
      <c r="AV24" s="1644"/>
      <c r="AW24" s="1644"/>
      <c r="AX24" s="1644"/>
      <c r="AY24" s="1644"/>
      <c r="AZ24" s="1645"/>
      <c r="BA24"/>
      <c r="BB24"/>
      <c r="BC24"/>
      <c r="BD24"/>
      <c r="BE24"/>
      <c r="BF24"/>
      <c r="BG24"/>
    </row>
    <row r="25" spans="1:71" ht="16.350000000000001" customHeight="1" thickBot="1">
      <c r="A25"/>
      <c r="B25" s="166"/>
      <c r="C25" s="166"/>
      <c r="D25" s="166"/>
      <c r="E25" s="166"/>
      <c r="F25" s="166"/>
      <c r="G25"/>
      <c r="H25" s="1519" t="s">
        <v>1775</v>
      </c>
      <c r="I25" s="1520"/>
      <c r="J25" s="1520"/>
      <c r="K25" s="1521"/>
      <c r="L25" s="1516" t="str">
        <f>IF(AND(M05S07F07="Prescriptive",M05S07F10="Downstream",NOT($L$27="")),"Fast Track",
IF(AND(OR(M05S07F07="Prescriptive"),OR(M05S07F10="Downstream")),"Pre-Approval (Standard)",
IF(AND(OR(M05S07F07="Custom",M05S07F07="Prescriptive &amp; Custom"),OR(M05S07F10="Downstream")),"Pre-Approval (Engineering)",
"")))</f>
        <v>Pre-Approval (Engineering)</v>
      </c>
      <c r="M25" s="1517"/>
      <c r="N25" s="1517"/>
      <c r="O25" s="1517"/>
      <c r="P25" s="1517"/>
      <c r="Q25" s="1518"/>
      <c r="R25"/>
      <c r="S25" s="1510" t="s">
        <v>739</v>
      </c>
      <c r="T25" s="1511"/>
      <c r="U25" s="1511"/>
      <c r="V25" s="1512"/>
      <c r="W25" s="1513">
        <f>BuildingInfo_Year_Built</f>
        <v>0</v>
      </c>
      <c r="X25" s="1514"/>
      <c r="Y25" s="1514"/>
      <c r="Z25" s="1514"/>
      <c r="AA25" s="1514"/>
      <c r="AB25" s="1514"/>
      <c r="AC25" s="1514"/>
      <c r="AD25" s="1515"/>
      <c r="AE25"/>
      <c r="AF25" s="1629"/>
      <c r="AG25" s="1629"/>
      <c r="AH25" s="1629"/>
      <c r="AI25" s="1629"/>
      <c r="AJ25" s="1629"/>
      <c r="AK25" s="1629"/>
      <c r="AL25" s="1629"/>
      <c r="AM25" s="1629"/>
      <c r="AN25" s="1629"/>
      <c r="AO25" s="1629"/>
      <c r="AP25"/>
      <c r="AQ25" s="1506" t="s">
        <v>1776</v>
      </c>
      <c r="AR25" s="1507"/>
      <c r="AS25" s="1507"/>
      <c r="AT25" s="1507"/>
      <c r="AU25" s="1508"/>
      <c r="AV25" s="1508"/>
      <c r="AW25" s="1508"/>
      <c r="AX25" s="1508"/>
      <c r="AY25" s="1508"/>
      <c r="AZ25" s="1509"/>
      <c r="BA25"/>
      <c r="BB25"/>
      <c r="BC25"/>
      <c r="BD25"/>
      <c r="BE25"/>
      <c r="BF25"/>
      <c r="BG25"/>
    </row>
    <row r="26" spans="1:71" ht="16.350000000000001" customHeight="1" thickBot="1">
      <c r="A26"/>
      <c r="B26" s="166"/>
      <c r="C26" s="166"/>
      <c r="D26" s="166"/>
      <c r="E26" s="166"/>
      <c r="F26" s="166"/>
      <c r="G26"/>
      <c r="H26" s="1519" t="s">
        <v>1777</v>
      </c>
      <c r="I26" s="1520"/>
      <c r="J26" s="1520"/>
      <c r="K26" s="1521"/>
      <c r="L26" s="1516" t="str">
        <f>VERSION</f>
        <v>V1.0          Effective Date 1/1/25</v>
      </c>
      <c r="M26" s="1517"/>
      <c r="N26" s="1517"/>
      <c r="O26" s="1517"/>
      <c r="P26" s="1517"/>
      <c r="Q26" s="1518"/>
      <c r="R26"/>
      <c r="S26" s="1510" t="s">
        <v>1778</v>
      </c>
      <c r="T26" s="1511"/>
      <c r="U26" s="1511"/>
      <c r="V26" s="1512"/>
      <c r="W26" s="1630">
        <f>BuildingInfo_Space_Conditioning_Type</f>
        <v>0</v>
      </c>
      <c r="X26" s="1631"/>
      <c r="Y26" s="1631"/>
      <c r="Z26" s="1631"/>
      <c r="AA26" s="1631"/>
      <c r="AB26" s="1631"/>
      <c r="AC26" s="1631"/>
      <c r="AD26" s="1632"/>
      <c r="AE26"/>
      <c r="AF26" s="1629"/>
      <c r="AG26" s="1629"/>
      <c r="AH26" s="1629"/>
      <c r="AI26" s="1629"/>
      <c r="AJ26" s="1629"/>
      <c r="AK26" s="1629"/>
      <c r="AL26" s="1629"/>
      <c r="AM26" s="1629"/>
      <c r="AN26" s="1629"/>
      <c r="AO26" s="1629"/>
      <c r="AP26"/>
      <c r="AQ26" s="1622" t="s">
        <v>1779</v>
      </c>
      <c r="AR26" s="1623"/>
      <c r="AS26" s="1623"/>
      <c r="AT26" s="1623"/>
      <c r="AU26" s="1623"/>
      <c r="AV26" s="1623"/>
      <c r="AW26" s="1623"/>
      <c r="AX26" s="1623"/>
      <c r="AY26" s="1623"/>
      <c r="AZ26" s="1624"/>
      <c r="BA26"/>
      <c r="BB26"/>
      <c r="BC26"/>
      <c r="BD26"/>
      <c r="BE26"/>
      <c r="BF26"/>
      <c r="BG26"/>
    </row>
    <row r="27" spans="1:71" ht="16.350000000000001" customHeight="1" thickBot="1">
      <c r="A27"/>
      <c r="B27" s="166"/>
      <c r="C27" s="166"/>
      <c r="D27" s="166"/>
      <c r="E27" s="166"/>
      <c r="F27" s="166"/>
      <c r="G27"/>
      <c r="H27" s="1519" t="s">
        <v>746</v>
      </c>
      <c r="I27" s="1520"/>
      <c r="J27" s="1520"/>
      <c r="K27" s="1521"/>
      <c r="L27" s="1592" t="str">
        <f>IF(M02S02F28="","",IF(M02S02F28=0,"",M02S02F28))</f>
        <v/>
      </c>
      <c r="M27" s="1593"/>
      <c r="N27" s="1593"/>
      <c r="O27" s="1593"/>
      <c r="P27" s="1593"/>
      <c r="Q27" s="1594"/>
      <c r="R27"/>
      <c r="S27" s="1510" t="s">
        <v>1780</v>
      </c>
      <c r="T27" s="1511"/>
      <c r="U27" s="1511"/>
      <c r="V27" s="1512"/>
      <c r="W27" s="1630">
        <f>BuildingInfo_Water_Heating</f>
        <v>0</v>
      </c>
      <c r="X27" s="1631"/>
      <c r="Y27" s="1631"/>
      <c r="Z27" s="1631"/>
      <c r="AA27" s="1631"/>
      <c r="AB27" s="1631"/>
      <c r="AC27" s="1631"/>
      <c r="AD27" s="1632"/>
      <c r="AE27"/>
      <c r="AF27" s="1629"/>
      <c r="AG27" s="1629"/>
      <c r="AH27" s="1629"/>
      <c r="AI27" s="1629"/>
      <c r="AJ27" s="1629"/>
      <c r="AK27" s="1629"/>
      <c r="AL27" s="1629"/>
      <c r="AM27" s="1629"/>
      <c r="AN27" s="1629"/>
      <c r="AO27" s="1629"/>
      <c r="AP27"/>
      <c r="AQ27" s="1613" t="s">
        <v>1781</v>
      </c>
      <c r="AR27" s="1613"/>
      <c r="AS27" s="1613"/>
      <c r="AT27" s="1613"/>
      <c r="AU27" s="1651" t="s">
        <v>883</v>
      </c>
      <c r="AV27" s="1651"/>
      <c r="AW27" s="1651"/>
      <c r="AX27" s="1651"/>
      <c r="AY27" s="1651"/>
      <c r="AZ27" s="1651"/>
      <c r="BA27"/>
      <c r="BB27"/>
      <c r="BC27"/>
      <c r="BD27"/>
      <c r="BE27"/>
      <c r="BF27"/>
      <c r="BG27"/>
    </row>
    <row r="28" spans="1:71" ht="16.350000000000001" customHeight="1" thickBot="1">
      <c r="A28"/>
      <c r="B28" s="166"/>
      <c r="C28" s="166"/>
      <c r="D28" s="166"/>
      <c r="E28" s="166"/>
      <c r="F28" s="166"/>
      <c r="G28" s="12"/>
      <c r="H28" s="1519" t="s">
        <v>1782</v>
      </c>
      <c r="I28" s="1520"/>
      <c r="J28" s="1520"/>
      <c r="K28" s="1521"/>
      <c r="L28" s="1592">
        <f>M02S02F29</f>
        <v>0</v>
      </c>
      <c r="M28" s="1593"/>
      <c r="N28" s="1593"/>
      <c r="O28" s="1593"/>
      <c r="P28" s="1593"/>
      <c r="Q28" s="1594"/>
      <c r="R28"/>
      <c r="S28" s="1510" t="str">
        <f>IF(TEMPLATE!G125=TRUE,"Num of Buildings","")</f>
        <v/>
      </c>
      <c r="T28" s="1511"/>
      <c r="U28" s="1511"/>
      <c r="V28" s="1512"/>
      <c r="W28" s="1513" t="str">
        <f>IF(TEMPLATE!G125=TRUE,M02S02F32,"")</f>
        <v/>
      </c>
      <c r="X28" s="1514"/>
      <c r="Y28" s="1514"/>
      <c r="Z28" s="1514"/>
      <c r="AA28" s="1514"/>
      <c r="AB28" s="1514"/>
      <c r="AC28" s="1514"/>
      <c r="AD28" s="1515"/>
      <c r="AE28"/>
      <c r="AF28" s="1629"/>
      <c r="AG28" s="1629"/>
      <c r="AH28" s="1629"/>
      <c r="AI28" s="1629"/>
      <c r="AJ28" s="1629"/>
      <c r="AK28" s="1629"/>
      <c r="AL28" s="1629"/>
      <c r="AM28" s="1629"/>
      <c r="AN28" s="1629"/>
      <c r="AO28" s="1629"/>
      <c r="AP28"/>
      <c r="AQ28" s="1613" t="s">
        <v>1783</v>
      </c>
      <c r="AR28" s="1613"/>
      <c r="AS28" s="1613"/>
      <c r="AT28" s="1613"/>
      <c r="AU28" s="1651" t="s">
        <v>883</v>
      </c>
      <c r="AV28" s="1651"/>
      <c r="AW28" s="1651"/>
      <c r="AX28" s="1651"/>
      <c r="AY28" s="1651"/>
      <c r="AZ28" s="1651"/>
      <c r="BA28"/>
      <c r="BB28"/>
      <c r="BC28"/>
      <c r="BD28"/>
      <c r="BE28"/>
      <c r="BF28"/>
      <c r="BG28"/>
    </row>
    <row r="29" spans="1:71" ht="16.350000000000001" customHeight="1" thickBot="1">
      <c r="A29"/>
      <c r="B29" s="166"/>
      <c r="C29" s="166"/>
      <c r="D29" s="166"/>
      <c r="E29" s="166"/>
      <c r="F29" s="166"/>
      <c r="G29" s="12"/>
      <c r="H29" s="1573" t="s">
        <v>1784</v>
      </c>
      <c r="I29" s="1573"/>
      <c r="J29" s="1573"/>
      <c r="K29" s="1573"/>
      <c r="L29" s="1592">
        <f>M02S02F30</f>
        <v>0</v>
      </c>
      <c r="M29" s="1593"/>
      <c r="N29" s="1593"/>
      <c r="O29" s="1593"/>
      <c r="P29" s="1593"/>
      <c r="Q29" s="1594"/>
      <c r="R29" s="60"/>
      <c r="S29" s="1609"/>
      <c r="T29" s="1609"/>
      <c r="U29" s="1609"/>
      <c r="V29" s="1609"/>
      <c r="W29" s="1646"/>
      <c r="X29" s="1646"/>
      <c r="Y29" s="1646"/>
      <c r="Z29" s="1646"/>
      <c r="AA29" s="1646"/>
      <c r="AB29" s="1646"/>
      <c r="AC29" s="1646"/>
      <c r="AD29" s="1646"/>
      <c r="AE29"/>
      <c r="AF29"/>
      <c r="AG29" s="60"/>
      <c r="AH29" s="60"/>
      <c r="AI29" s="60"/>
      <c r="AJ29"/>
      <c r="AK29"/>
      <c r="AL29"/>
      <c r="AM29"/>
      <c r="AN29"/>
      <c r="AO29"/>
      <c r="AP29"/>
      <c r="AQ29" s="1613" t="s">
        <v>1785</v>
      </c>
      <c r="AR29" s="1613"/>
      <c r="AS29" s="1613"/>
      <c r="AT29" s="1613"/>
      <c r="AU29" s="1651" t="s">
        <v>888</v>
      </c>
      <c r="AV29" s="1651"/>
      <c r="AW29" s="1651"/>
      <c r="AX29" s="1651"/>
      <c r="AY29" s="1651"/>
      <c r="AZ29" s="1651"/>
      <c r="BA29"/>
      <c r="BB29"/>
      <c r="BC29"/>
      <c r="BD29"/>
      <c r="BE29"/>
      <c r="BF29"/>
      <c r="BG29"/>
    </row>
    <row r="30" spans="1:71" ht="16.350000000000001" customHeight="1" thickBot="1">
      <c r="A30"/>
      <c r="B30" s="166"/>
      <c r="C30" s="166"/>
      <c r="D30" s="166"/>
      <c r="E30" s="166"/>
      <c r="F30" s="166"/>
      <c r="G30"/>
      <c r="H30"/>
      <c r="I30"/>
      <c r="J30"/>
      <c r="K30"/>
      <c r="L30"/>
      <c r="M30"/>
      <c r="N30"/>
      <c r="O30"/>
      <c r="P30"/>
      <c r="Q30"/>
      <c r="R30" s="60"/>
      <c r="S30"/>
      <c r="T30"/>
      <c r="U30"/>
      <c r="V30"/>
      <c r="W30"/>
      <c r="X30"/>
      <c r="Y30"/>
      <c r="Z30"/>
      <c r="AA30"/>
      <c r="AB30"/>
      <c r="AC30"/>
      <c r="AD30"/>
      <c r="AE30" s="60"/>
      <c r="AF30"/>
      <c r="AG30"/>
      <c r="AH30"/>
      <c r="AI30"/>
      <c r="AJ30"/>
      <c r="AK30"/>
      <c r="AL30"/>
      <c r="AM30"/>
      <c r="AN30"/>
      <c r="AO30"/>
      <c r="AP30"/>
      <c r="AQ30" s="1613" t="s">
        <v>1786</v>
      </c>
      <c r="AR30" s="1613"/>
      <c r="AS30" s="1613"/>
      <c r="AT30" s="1613"/>
      <c r="AU30" s="1652"/>
      <c r="AV30" s="1652"/>
      <c r="AW30" s="1652"/>
      <c r="AX30" s="1652"/>
      <c r="AY30" s="1652"/>
      <c r="AZ30" s="1652"/>
      <c r="BA30"/>
      <c r="BB30"/>
      <c r="BC30"/>
      <c r="BD30"/>
      <c r="BE30"/>
      <c r="BF30"/>
      <c r="BG30"/>
    </row>
    <row r="31" spans="1:71" ht="16.350000000000001" customHeight="1" thickBot="1">
      <c r="A31"/>
      <c r="B31" s="166"/>
      <c r="C31" s="166"/>
      <c r="D31" s="166"/>
      <c r="E31" s="166"/>
      <c r="F31" s="166"/>
      <c r="G31" s="12"/>
      <c r="H31" s="60"/>
      <c r="I31" s="60"/>
      <c r="J31" s="60"/>
      <c r="K31" s="60"/>
      <c r="L31" s="60"/>
      <c r="M31" s="60"/>
      <c r="N31" s="60"/>
      <c r="O31" s="60"/>
      <c r="P31" s="60"/>
      <c r="Q31" s="60"/>
      <c r="R31" s="60"/>
      <c r="S31"/>
      <c r="T31"/>
      <c r="U31"/>
      <c r="V31"/>
      <c r="W31"/>
      <c r="X31"/>
      <c r="Y31"/>
      <c r="Z31"/>
      <c r="AA31"/>
      <c r="AB31"/>
      <c r="AC31"/>
      <c r="AD31"/>
      <c r="AE31" s="60"/>
      <c r="AF31" s="60"/>
      <c r="AG31" s="60"/>
      <c r="AH31" s="60"/>
      <c r="AI31" s="60"/>
      <c r="AJ31"/>
      <c r="AK31"/>
      <c r="AL31"/>
      <c r="AM31"/>
      <c r="AN31"/>
      <c r="AO31"/>
      <c r="AP31"/>
      <c r="AQ31"/>
      <c r="AR31"/>
      <c r="AS31"/>
      <c r="AT31"/>
      <c r="AU31"/>
      <c r="AV31"/>
      <c r="AW31" s="12"/>
      <c r="AX31"/>
      <c r="AY31"/>
      <c r="AZ31"/>
      <c r="BA31"/>
      <c r="BB31"/>
      <c r="BC31"/>
      <c r="BD31"/>
      <c r="BE31"/>
      <c r="BF31"/>
      <c r="BG31"/>
    </row>
    <row r="32" spans="1:71" ht="16.350000000000001" customHeight="1" thickBot="1">
      <c r="A32"/>
      <c r="B32" s="166"/>
      <c r="C32" s="166"/>
      <c r="D32" s="166"/>
      <c r="E32" s="166"/>
      <c r="F32" s="166"/>
      <c r="G32" s="12"/>
      <c r="H32" s="1531" t="s">
        <v>1787</v>
      </c>
      <c r="I32" s="1531"/>
      <c r="J32" s="1531"/>
      <c r="K32" s="1531"/>
      <c r="L32" s="1531"/>
      <c r="M32" s="1531"/>
      <c r="N32" s="1531"/>
      <c r="O32" s="1531"/>
      <c r="P32" s="1531"/>
      <c r="Q32" s="1531"/>
      <c r="R32" s="1531"/>
      <c r="S32" s="1531"/>
      <c r="T32" s="1531"/>
      <c r="U32"/>
      <c r="V32"/>
      <c r="W32"/>
      <c r="X32" s="1531" t="s">
        <v>1788</v>
      </c>
      <c r="Y32" s="1531"/>
      <c r="Z32" s="1531"/>
      <c r="AA32" s="1531"/>
      <c r="AB32" s="1531"/>
      <c r="AC32" s="1531"/>
      <c r="AD32" s="1531"/>
      <c r="AE32" s="1531"/>
      <c r="AF32" s="1531"/>
      <c r="AG32" s="1531"/>
      <c r="AH32" s="1531"/>
      <c r="AI32" s="1531"/>
      <c r="AJ32" s="1531"/>
      <c r="AK32"/>
      <c r="AL32"/>
      <c r="AM32"/>
      <c r="AN32" s="1531" t="s">
        <v>1789</v>
      </c>
      <c r="AO32" s="1531"/>
      <c r="AP32" s="1531"/>
      <c r="AQ32" s="1531"/>
      <c r="AR32" s="1531"/>
      <c r="AS32" s="1531"/>
      <c r="AT32" s="1531"/>
      <c r="AU32" s="1531"/>
      <c r="AV32" s="1531"/>
      <c r="AW32" s="1531"/>
      <c r="AX32" s="1531"/>
      <c r="AY32" s="1531"/>
      <c r="AZ32" s="1531"/>
      <c r="BA32"/>
      <c r="BB32"/>
      <c r="BC32"/>
      <c r="BD32"/>
      <c r="BE32"/>
      <c r="BF32"/>
      <c r="BG32"/>
    </row>
    <row r="33" spans="1:59" ht="16.350000000000001" customHeight="1" thickBot="1">
      <c r="A33"/>
      <c r="B33" s="166"/>
      <c r="C33" s="166"/>
      <c r="D33" s="166"/>
      <c r="E33" s="166"/>
      <c r="F33" s="166"/>
      <c r="G33" s="12"/>
      <c r="H33" s="1543" t="s">
        <v>1790</v>
      </c>
      <c r="I33" s="1543"/>
      <c r="J33" s="1543"/>
      <c r="K33" s="1543"/>
      <c r="L33" s="1544" t="str">
        <f>SUBSTITUTE(PROPER(M02S02F02),"'S","'s")</f>
        <v/>
      </c>
      <c r="M33" s="1545"/>
      <c r="N33" s="1545"/>
      <c r="O33" s="1545"/>
      <c r="P33" s="1545"/>
      <c r="Q33" s="1545"/>
      <c r="R33" s="1545"/>
      <c r="S33" s="1545"/>
      <c r="T33" s="1546"/>
      <c r="U33"/>
      <c r="V33"/>
      <c r="W33"/>
      <c r="X33" s="1554" t="s">
        <v>1533</v>
      </c>
      <c r="Y33" s="1554"/>
      <c r="Z33" s="1554"/>
      <c r="AA33" s="1554"/>
      <c r="AB33" s="1555" t="str">
        <f>SUBSTITUTE(PROPER(M02S03F01),"'S","'s")</f>
        <v/>
      </c>
      <c r="AC33" s="1555"/>
      <c r="AD33" s="1555"/>
      <c r="AE33" s="1555"/>
      <c r="AF33" s="1555"/>
      <c r="AG33" s="1555"/>
      <c r="AH33" s="1555"/>
      <c r="AI33" s="1555"/>
      <c r="AJ33" s="1555"/>
      <c r="AK33"/>
      <c r="AL33"/>
      <c r="AM33"/>
      <c r="AN33" s="1633" t="s">
        <v>1791</v>
      </c>
      <c r="AO33" s="1633"/>
      <c r="AP33" s="1633"/>
      <c r="AQ33" s="1633"/>
      <c r="AR33" s="1642" t="str">
        <f>SUBSTITUTE(PROPER(M02S04F02),"'S","'s")</f>
        <v/>
      </c>
      <c r="AS33" s="1642"/>
      <c r="AT33" s="1642"/>
      <c r="AU33" s="1642"/>
      <c r="AV33" s="1642"/>
      <c r="AW33" s="1642"/>
      <c r="AX33" s="1642"/>
      <c r="AY33" s="1642"/>
      <c r="AZ33" s="1642"/>
      <c r="BA33"/>
      <c r="BB33"/>
      <c r="BC33"/>
      <c r="BD33"/>
      <c r="BE33"/>
      <c r="BF33"/>
      <c r="BG33"/>
    </row>
    <row r="34" spans="1:59" ht="16.350000000000001" customHeight="1" thickBot="1">
      <c r="A34"/>
      <c r="B34" s="166"/>
      <c r="C34" s="166"/>
      <c r="D34" s="166"/>
      <c r="E34" s="166"/>
      <c r="F34" s="166"/>
      <c r="G34"/>
      <c r="H34" s="1543" t="s">
        <v>719</v>
      </c>
      <c r="I34" s="1543"/>
      <c r="J34" s="1543"/>
      <c r="K34" s="1543"/>
      <c r="L34" s="1544">
        <f>M02S02F05</f>
        <v>0</v>
      </c>
      <c r="M34" s="1545"/>
      <c r="N34" s="1545"/>
      <c r="O34" s="1545"/>
      <c r="P34" s="1545"/>
      <c r="Q34" s="1545"/>
      <c r="R34" s="1545"/>
      <c r="S34" s="1545"/>
      <c r="T34" s="1546"/>
      <c r="U34"/>
      <c r="V34"/>
      <c r="W34"/>
      <c r="X34" s="1554" t="s">
        <v>1792</v>
      </c>
      <c r="Y34" s="1554"/>
      <c r="Z34" s="1554"/>
      <c r="AA34" s="1554"/>
      <c r="AB34" s="1555" t="str">
        <f>PROPER(M02S03F05)</f>
        <v/>
      </c>
      <c r="AC34" s="1555"/>
      <c r="AD34" s="1555"/>
      <c r="AE34" s="1555"/>
      <c r="AF34" s="1555"/>
      <c r="AG34" s="1555"/>
      <c r="AH34" s="1555"/>
      <c r="AI34" s="1555"/>
      <c r="AJ34" s="1555"/>
      <c r="AK34"/>
      <c r="AL34"/>
      <c r="AM34"/>
      <c r="AN34" s="1633" t="s">
        <v>1793</v>
      </c>
      <c r="AO34" s="1633"/>
      <c r="AP34" s="1633"/>
      <c r="AQ34" s="1633"/>
      <c r="AR34" s="1642" t="str">
        <f>PROPER(M02S04F03)</f>
        <v/>
      </c>
      <c r="AS34" s="1642"/>
      <c r="AT34" s="1642"/>
      <c r="AU34" s="1642"/>
      <c r="AV34" s="1642"/>
      <c r="AW34" s="1642"/>
      <c r="AX34" s="1642"/>
      <c r="AY34" s="1642"/>
      <c r="AZ34" s="1642"/>
      <c r="BA34"/>
      <c r="BB34"/>
      <c r="BC34"/>
      <c r="BD34"/>
      <c r="BE34"/>
      <c r="BF34"/>
      <c r="BG34"/>
    </row>
    <row r="35" spans="1:59" ht="16.350000000000001" customHeight="1" thickBot="1">
      <c r="A35"/>
      <c r="B35" s="166"/>
      <c r="C35" s="166"/>
      <c r="D35" s="166"/>
      <c r="E35" s="166"/>
      <c r="F35" s="166"/>
      <c r="G35"/>
      <c r="H35" s="1543" t="s">
        <v>1794</v>
      </c>
      <c r="I35" s="1543"/>
      <c r="J35" s="1543"/>
      <c r="K35" s="1543"/>
      <c r="L35" s="1544" t="str">
        <f>PROPER(M02S03F13)</f>
        <v/>
      </c>
      <c r="M35" s="1545"/>
      <c r="N35" s="1545"/>
      <c r="O35" s="1545"/>
      <c r="P35" s="1546"/>
      <c r="Q35" s="1544" t="str">
        <f>PROPER(M02S03F14)</f>
        <v/>
      </c>
      <c r="R35" s="1545"/>
      <c r="S35" s="1545"/>
      <c r="T35" s="1546"/>
      <c r="U35"/>
      <c r="V35"/>
      <c r="W35"/>
      <c r="X35" s="1554" t="s">
        <v>1795</v>
      </c>
      <c r="Y35" s="1554"/>
      <c r="Z35" s="1554"/>
      <c r="AA35" s="1554"/>
      <c r="AB35" s="1555" t="str">
        <f>PROPER(M02S03F09)</f>
        <v/>
      </c>
      <c r="AC35" s="1555"/>
      <c r="AD35" s="1555"/>
      <c r="AE35" s="1555"/>
      <c r="AF35" s="1555"/>
      <c r="AG35" s="1555" t="str">
        <f>M02S03F10</f>
        <v/>
      </c>
      <c r="AH35" s="1555"/>
      <c r="AI35" s="1579" t="str">
        <f>M02S03F11</f>
        <v/>
      </c>
      <c r="AJ35" s="1579"/>
      <c r="AK35"/>
      <c r="AL35"/>
      <c r="AM35"/>
      <c r="AN35" s="1633" t="s">
        <v>1795</v>
      </c>
      <c r="AO35" s="1633"/>
      <c r="AP35" s="1633"/>
      <c r="AQ35" s="1633"/>
      <c r="AR35" s="1642" t="str">
        <f>PROPER(M02S04F05)</f>
        <v/>
      </c>
      <c r="AS35" s="1642"/>
      <c r="AT35" s="1642"/>
      <c r="AU35" s="1642"/>
      <c r="AV35" s="1642"/>
      <c r="AW35" s="1642">
        <f>M02S04F06</f>
        <v>0</v>
      </c>
      <c r="AX35" s="1642"/>
      <c r="AY35" s="1628">
        <f>M02S04F07</f>
        <v>0</v>
      </c>
      <c r="AZ35" s="1628"/>
      <c r="BA35"/>
      <c r="BB35"/>
      <c r="BC35"/>
      <c r="BD35"/>
      <c r="BE35"/>
      <c r="BF35"/>
      <c r="BG35"/>
    </row>
    <row r="36" spans="1:59" ht="16.350000000000001" customHeight="1" thickBot="1">
      <c r="A36"/>
      <c r="B36" s="166"/>
      <c r="C36" s="166"/>
      <c r="D36" s="166"/>
      <c r="E36" s="166"/>
      <c r="F36" s="166"/>
      <c r="G36"/>
      <c r="H36" s="1543" t="s">
        <v>760</v>
      </c>
      <c r="I36" s="1543"/>
      <c r="J36" s="1543"/>
      <c r="K36" s="1543"/>
      <c r="L36" s="1557" t="str">
        <f>PROPER(M02S03F15)</f>
        <v/>
      </c>
      <c r="M36" s="1557"/>
      <c r="N36" s="1557"/>
      <c r="O36" s="1557"/>
      <c r="P36" s="1557"/>
      <c r="Q36" s="1557"/>
      <c r="R36" s="1557"/>
      <c r="S36" s="1557"/>
      <c r="T36" s="1557"/>
      <c r="U36"/>
      <c r="V36"/>
      <c r="W36"/>
      <c r="X36" s="1554" t="s">
        <v>1794</v>
      </c>
      <c r="Y36" s="1554"/>
      <c r="Z36" s="1554"/>
      <c r="AA36" s="1554"/>
      <c r="AB36" s="1555" t="str">
        <f>PROPER(M02S03F03)</f>
        <v/>
      </c>
      <c r="AC36" s="1555"/>
      <c r="AD36" s="1555"/>
      <c r="AE36" s="1555"/>
      <c r="AF36" s="1555"/>
      <c r="AG36" s="1555" t="str">
        <f>PROPER(M02S03F04)</f>
        <v/>
      </c>
      <c r="AH36" s="1555"/>
      <c r="AI36" s="1555"/>
      <c r="AJ36" s="1555"/>
      <c r="AK36"/>
      <c r="AL36"/>
      <c r="AM36"/>
      <c r="AN36" s="1633" t="s">
        <v>1794</v>
      </c>
      <c r="AO36" s="1633"/>
      <c r="AP36" s="1633"/>
      <c r="AQ36" s="1633"/>
      <c r="AR36" s="1642" t="str">
        <f>PROPER(M02S04F08)</f>
        <v/>
      </c>
      <c r="AS36" s="1642"/>
      <c r="AT36" s="1642"/>
      <c r="AU36" s="1642"/>
      <c r="AV36" s="1642"/>
      <c r="AW36" s="1642" t="str">
        <f>PROPER(M02S04F09)</f>
        <v/>
      </c>
      <c r="AX36" s="1642"/>
      <c r="AY36" s="1642"/>
      <c r="AZ36" s="1642"/>
      <c r="BA36"/>
      <c r="BB36"/>
      <c r="BC36"/>
      <c r="BD36"/>
      <c r="BE36"/>
      <c r="BF36"/>
      <c r="BG36"/>
    </row>
    <row r="37" spans="1:59" ht="16.350000000000001" customHeight="1" thickBot="1">
      <c r="A37"/>
      <c r="B37" s="166"/>
      <c r="C37" s="166"/>
      <c r="D37" s="166"/>
      <c r="E37" s="166"/>
      <c r="F37" s="166"/>
      <c r="G37" s="12"/>
      <c r="H37" s="1543" t="s">
        <v>880</v>
      </c>
      <c r="I37" s="1543"/>
      <c r="J37" s="1543"/>
      <c r="K37" s="1543"/>
      <c r="L37" s="1548" t="str">
        <f>M02S03F16</f>
        <v/>
      </c>
      <c r="M37" s="1549"/>
      <c r="N37" s="1549"/>
      <c r="O37" s="1549"/>
      <c r="P37" s="1549"/>
      <c r="Q37" s="1549"/>
      <c r="R37" s="1549"/>
      <c r="S37" s="1549"/>
      <c r="T37" s="1550"/>
      <c r="U37"/>
      <c r="V37"/>
      <c r="W37"/>
      <c r="X37" s="1554" t="s">
        <v>760</v>
      </c>
      <c r="Y37" s="1554"/>
      <c r="Z37" s="1554"/>
      <c r="AA37" s="1554"/>
      <c r="AB37" s="1555" t="str">
        <f>PROPER(M02S03F06)</f>
        <v/>
      </c>
      <c r="AC37" s="1555"/>
      <c r="AD37" s="1555"/>
      <c r="AE37" s="1555"/>
      <c r="AF37" s="1555"/>
      <c r="AG37" s="1555"/>
      <c r="AH37" s="1555"/>
      <c r="AI37" s="1555"/>
      <c r="AJ37" s="1555"/>
      <c r="AK37"/>
      <c r="AL37"/>
      <c r="AM37"/>
      <c r="AN37" s="1648" t="s">
        <v>760</v>
      </c>
      <c r="AO37" s="1649"/>
      <c r="AP37" s="1649"/>
      <c r="AQ37" s="1650"/>
      <c r="AR37" s="1642" t="str">
        <f>PROPER(M02S04F10)</f>
        <v/>
      </c>
      <c r="AS37" s="1642"/>
      <c r="AT37" s="1642"/>
      <c r="AU37" s="1642"/>
      <c r="AV37" s="1642"/>
      <c r="AW37" s="1642"/>
      <c r="AX37" s="1642"/>
      <c r="AY37" s="1642"/>
      <c r="AZ37" s="1642"/>
      <c r="BA37"/>
      <c r="BB37"/>
      <c r="BC37"/>
      <c r="BD37"/>
      <c r="BE37"/>
      <c r="BF37"/>
      <c r="BG37"/>
    </row>
    <row r="38" spans="1:59" ht="16.350000000000001" customHeight="1" thickBot="1">
      <c r="A38"/>
      <c r="B38" s="166"/>
      <c r="C38" s="166"/>
      <c r="D38" s="166"/>
      <c r="E38" s="166"/>
      <c r="F38" s="166"/>
      <c r="G38"/>
      <c r="H38" s="1543" t="s">
        <v>762</v>
      </c>
      <c r="I38" s="1543"/>
      <c r="J38" s="1543"/>
      <c r="K38" s="1543"/>
      <c r="L38" s="1557" t="str">
        <f>M02S03F17</f>
        <v/>
      </c>
      <c r="M38" s="1557"/>
      <c r="N38" s="1557"/>
      <c r="O38" s="1557"/>
      <c r="P38" s="1557"/>
      <c r="Q38" s="1557"/>
      <c r="R38" s="1557"/>
      <c r="S38" s="1557"/>
      <c r="T38" s="1557"/>
      <c r="U38"/>
      <c r="V38"/>
      <c r="W38"/>
      <c r="X38" s="1554" t="s">
        <v>880</v>
      </c>
      <c r="Y38" s="1554"/>
      <c r="Z38" s="1554"/>
      <c r="AA38" s="1554"/>
      <c r="AB38" s="1580">
        <f>M02S03F07</f>
        <v>0</v>
      </c>
      <c r="AC38" s="1581"/>
      <c r="AD38" s="1581"/>
      <c r="AE38" s="1581"/>
      <c r="AF38" s="1581"/>
      <c r="AG38" s="1581"/>
      <c r="AH38" s="1581"/>
      <c r="AI38" s="1581"/>
      <c r="AJ38" s="1582"/>
      <c r="AK38"/>
      <c r="AL38"/>
      <c r="AM38"/>
      <c r="AN38" s="1633" t="s">
        <v>880</v>
      </c>
      <c r="AO38" s="1633"/>
      <c r="AP38" s="1633"/>
      <c r="AQ38" s="1633"/>
      <c r="AR38" s="1639">
        <f>M02S04F11</f>
        <v>0</v>
      </c>
      <c r="AS38" s="1640"/>
      <c r="AT38" s="1640"/>
      <c r="AU38" s="1640"/>
      <c r="AV38" s="1640"/>
      <c r="AW38" s="1640"/>
      <c r="AX38" s="1640"/>
      <c r="AY38" s="1640"/>
      <c r="AZ38" s="1641"/>
      <c r="BA38"/>
      <c r="BB38"/>
      <c r="BC38"/>
      <c r="BD38"/>
      <c r="BE38"/>
      <c r="BF38"/>
      <c r="BG38"/>
    </row>
    <row r="39" spans="1:59" ht="16.350000000000001" customHeight="1" thickBot="1">
      <c r="A39"/>
      <c r="B39" s="166"/>
      <c r="C39" s="166"/>
      <c r="D39" s="166"/>
      <c r="E39" s="166"/>
      <c r="F39" s="166"/>
      <c r="G39" s="12"/>
      <c r="H39" s="1543" t="s">
        <v>714</v>
      </c>
      <c r="I39" s="1543"/>
      <c r="J39" s="1543"/>
      <c r="K39" s="1543"/>
      <c r="L39" s="1557" t="str">
        <f>PROPER(M02S02F03)</f>
        <v/>
      </c>
      <c r="M39" s="1557"/>
      <c r="N39" s="1557"/>
      <c r="O39" s="1557"/>
      <c r="P39" s="1557"/>
      <c r="Q39" s="1557"/>
      <c r="R39" s="1557"/>
      <c r="S39" s="1557"/>
      <c r="T39" s="1557"/>
      <c r="U39"/>
      <c r="V39"/>
      <c r="W39"/>
      <c r="X39" s="1554" t="s">
        <v>762</v>
      </c>
      <c r="Y39" s="1554"/>
      <c r="Z39" s="1554"/>
      <c r="AA39" s="1554"/>
      <c r="AB39" s="1555">
        <f>M02S03F08</f>
        <v>0</v>
      </c>
      <c r="AC39" s="1555"/>
      <c r="AD39" s="1555"/>
      <c r="AE39" s="1555"/>
      <c r="AF39" s="1555"/>
      <c r="AG39" s="1555"/>
      <c r="AH39" s="1555"/>
      <c r="AI39" s="1555"/>
      <c r="AJ39" s="1555"/>
      <c r="AK39"/>
      <c r="AL39"/>
      <c r="AM39"/>
      <c r="AN39" s="1633" t="s">
        <v>762</v>
      </c>
      <c r="AO39" s="1633"/>
      <c r="AP39" s="1633"/>
      <c r="AQ39" s="1633"/>
      <c r="AR39" s="1642">
        <f>M02S04F12</f>
        <v>0</v>
      </c>
      <c r="AS39" s="1642"/>
      <c r="AT39" s="1642"/>
      <c r="AU39" s="1642"/>
      <c r="AV39" s="1642"/>
      <c r="AW39" s="1642"/>
      <c r="AX39" s="1642"/>
      <c r="AY39" s="1642"/>
      <c r="AZ39" s="1642"/>
      <c r="BA39"/>
      <c r="BB39"/>
      <c r="BC39"/>
      <c r="BD39"/>
      <c r="BE39"/>
      <c r="BF39"/>
      <c r="BG39"/>
    </row>
    <row r="40" spans="1:59" ht="16.350000000000001" customHeight="1" thickBot="1">
      <c r="A40"/>
      <c r="B40" s="166"/>
      <c r="C40" s="166"/>
      <c r="D40" s="166"/>
      <c r="E40" s="166"/>
      <c r="F40" s="166"/>
      <c r="G40" s="12"/>
      <c r="H40" s="1543" t="s">
        <v>1795</v>
      </c>
      <c r="I40" s="1543"/>
      <c r="J40" s="1543"/>
      <c r="K40" s="1543"/>
      <c r="L40" s="1544" t="str">
        <f>PROPER(M02S02F06)</f>
        <v/>
      </c>
      <c r="M40" s="1545"/>
      <c r="N40" s="1545"/>
      <c r="O40" s="1545"/>
      <c r="P40" s="1546"/>
      <c r="Q40" s="1557" t="str">
        <f>M02S02F07</f>
        <v>NJ</v>
      </c>
      <c r="R40" s="1557"/>
      <c r="S40" s="1547">
        <f>M02S02F08</f>
        <v>0</v>
      </c>
      <c r="T40" s="1547"/>
      <c r="U40"/>
      <c r="V40"/>
      <c r="W40"/>
      <c r="X40" s="1554"/>
      <c r="Y40" s="1554"/>
      <c r="Z40" s="1554"/>
      <c r="AA40" s="1554"/>
      <c r="AB40" s="1555"/>
      <c r="AC40" s="1555"/>
      <c r="AD40" s="1555"/>
      <c r="AE40" s="1555"/>
      <c r="AF40" s="1555"/>
      <c r="AG40" s="1555"/>
      <c r="AH40" s="1555"/>
      <c r="AI40" s="1555"/>
      <c r="AJ40" s="1555"/>
      <c r="AK40"/>
      <c r="AL40"/>
      <c r="AM40"/>
      <c r="AN40" s="1583" t="s">
        <v>1794</v>
      </c>
      <c r="AO40" s="1583"/>
      <c r="AP40" s="1583"/>
      <c r="AQ40" s="1583"/>
      <c r="AR40" s="1584" t="str">
        <f>PROPER(M02S04F13)</f>
        <v/>
      </c>
      <c r="AS40" s="1584"/>
      <c r="AT40" s="1584"/>
      <c r="AU40" s="1584"/>
      <c r="AV40" s="1584"/>
      <c r="AW40" s="1584" t="str">
        <f>PROPER(M02S04F14)</f>
        <v/>
      </c>
      <c r="AX40" s="1584"/>
      <c r="AY40" s="1584"/>
      <c r="AZ40" s="1584"/>
      <c r="BA40"/>
      <c r="BB40"/>
      <c r="BC40"/>
      <c r="BD40"/>
      <c r="BE40"/>
      <c r="BF40"/>
      <c r="BG40"/>
    </row>
    <row r="41" spans="1:59" ht="16.350000000000001" customHeight="1" thickBot="1">
      <c r="A41"/>
      <c r="B41" s="166"/>
      <c r="C41" s="166"/>
      <c r="D41" s="166"/>
      <c r="E41" s="166"/>
      <c r="F41" s="166"/>
      <c r="G41" s="12"/>
      <c r="H41" s="1543" t="s">
        <v>1796</v>
      </c>
      <c r="I41" s="1543"/>
      <c r="J41" s="1543"/>
      <c r="K41" s="1543"/>
      <c r="L41" s="1557" t="str">
        <f>PROPER(M02S02F04)</f>
        <v/>
      </c>
      <c r="M41" s="1557"/>
      <c r="N41" s="1557"/>
      <c r="O41" s="1557"/>
      <c r="P41" s="1557"/>
      <c r="Q41" s="1557"/>
      <c r="R41" s="1557"/>
      <c r="S41" s="1557"/>
      <c r="T41" s="1557"/>
      <c r="U41"/>
      <c r="V41"/>
      <c r="W41"/>
      <c r="X41" s="1554"/>
      <c r="Y41" s="1554"/>
      <c r="Z41" s="1554"/>
      <c r="AA41" s="1554"/>
      <c r="AB41" s="1555"/>
      <c r="AC41" s="1555"/>
      <c r="AD41" s="1555"/>
      <c r="AE41" s="1555"/>
      <c r="AF41" s="1555"/>
      <c r="AG41" s="1555"/>
      <c r="AH41" s="1555"/>
      <c r="AI41" s="1555"/>
      <c r="AJ41" s="1555"/>
      <c r="AK41"/>
      <c r="AL41"/>
      <c r="AM41"/>
      <c r="AN41" s="1583" t="s">
        <v>760</v>
      </c>
      <c r="AO41" s="1583"/>
      <c r="AP41" s="1583"/>
      <c r="AQ41" s="1583"/>
      <c r="AR41" s="1584" t="str">
        <f>PROPER(M02S04F15)</f>
        <v/>
      </c>
      <c r="AS41" s="1584"/>
      <c r="AT41" s="1584"/>
      <c r="AU41" s="1584"/>
      <c r="AV41" s="1584"/>
      <c r="AW41" s="1584"/>
      <c r="AX41" s="1584"/>
      <c r="AY41" s="1584"/>
      <c r="AZ41" s="1584"/>
      <c r="BA41"/>
      <c r="BB41"/>
      <c r="BC41"/>
      <c r="BD41"/>
      <c r="BE41"/>
      <c r="BF41"/>
      <c r="BG41"/>
    </row>
    <row r="42" spans="1:59" ht="16.350000000000001" customHeight="1" thickBot="1">
      <c r="A42"/>
      <c r="B42" s="166"/>
      <c r="C42" s="166"/>
      <c r="D42" s="166"/>
      <c r="E42" s="166"/>
      <c r="F42" s="166"/>
      <c r="G42" s="12"/>
      <c r="H42" s="1543" t="s">
        <v>1795</v>
      </c>
      <c r="I42" s="1543"/>
      <c r="J42" s="1543"/>
      <c r="K42" s="1543"/>
      <c r="L42" s="1544" t="str">
        <f>PROPER(M02S02F09)</f>
        <v/>
      </c>
      <c r="M42" s="1545"/>
      <c r="N42" s="1545"/>
      <c r="O42" s="1545"/>
      <c r="P42" s="1546"/>
      <c r="Q42" s="1557" t="str">
        <f>M02S02F10</f>
        <v/>
      </c>
      <c r="R42" s="1557"/>
      <c r="S42" s="1547" t="str">
        <f>M02S02F11</f>
        <v/>
      </c>
      <c r="T42" s="1547"/>
      <c r="U42"/>
      <c r="V42"/>
      <c r="W42"/>
      <c r="X42" s="1554"/>
      <c r="Y42" s="1554"/>
      <c r="Z42" s="1554"/>
      <c r="AA42" s="1554"/>
      <c r="AB42" s="1555"/>
      <c r="AC42" s="1555"/>
      <c r="AD42" s="1555"/>
      <c r="AE42" s="1555"/>
      <c r="AF42" s="1555"/>
      <c r="AG42" s="1555"/>
      <c r="AH42" s="1555"/>
      <c r="AI42" s="1555"/>
      <c r="AJ42" s="1555"/>
      <c r="AK42"/>
      <c r="AL42"/>
      <c r="AM42"/>
      <c r="AN42" s="1583" t="s">
        <v>880</v>
      </c>
      <c r="AO42" s="1583"/>
      <c r="AP42" s="1583"/>
      <c r="AQ42" s="1583"/>
      <c r="AR42" s="1635">
        <f>M02S04F16</f>
        <v>0</v>
      </c>
      <c r="AS42" s="1636"/>
      <c r="AT42" s="1636"/>
      <c r="AU42" s="1636"/>
      <c r="AV42" s="1636"/>
      <c r="AW42" s="1636"/>
      <c r="AX42" s="1636"/>
      <c r="AY42" s="1636"/>
      <c r="AZ42" s="1637"/>
      <c r="BA42"/>
      <c r="BB42"/>
      <c r="BC42"/>
      <c r="BD42"/>
      <c r="BE42"/>
      <c r="BF42"/>
      <c r="BG42"/>
    </row>
    <row r="43" spans="1:59" ht="16.350000000000001" customHeight="1" thickBot="1">
      <c r="A43"/>
      <c r="B43" s="166"/>
      <c r="C43" s="166"/>
      <c r="D43" s="166"/>
      <c r="E43" s="166"/>
      <c r="F43" s="166"/>
      <c r="G43" s="12"/>
      <c r="H43" s="1543"/>
      <c r="I43" s="1543"/>
      <c r="J43" s="1543"/>
      <c r="K43" s="1543"/>
      <c r="L43" s="1557"/>
      <c r="M43" s="1557"/>
      <c r="N43" s="1557"/>
      <c r="O43" s="1557"/>
      <c r="P43" s="1557"/>
      <c r="Q43" s="1557"/>
      <c r="R43" s="1557"/>
      <c r="S43" s="1557"/>
      <c r="T43" s="1557"/>
      <c r="U43"/>
      <c r="V43"/>
      <c r="W43"/>
      <c r="X43" s="1554"/>
      <c r="Y43" s="1554"/>
      <c r="Z43" s="1554"/>
      <c r="AA43" s="1554"/>
      <c r="AB43" s="1555"/>
      <c r="AC43" s="1555"/>
      <c r="AD43" s="1555"/>
      <c r="AE43" s="1555"/>
      <c r="AF43" s="1555"/>
      <c r="AG43" s="1555"/>
      <c r="AH43" s="1555"/>
      <c r="AI43" s="1555"/>
      <c r="AJ43" s="1555"/>
      <c r="AK43"/>
      <c r="AL43"/>
      <c r="AM43"/>
      <c r="AN43" s="1583" t="s">
        <v>762</v>
      </c>
      <c r="AO43" s="1583"/>
      <c r="AP43" s="1583"/>
      <c r="AQ43" s="1583"/>
      <c r="AR43" s="1584">
        <f>M02S04F17</f>
        <v>0</v>
      </c>
      <c r="AS43" s="1584"/>
      <c r="AT43" s="1584"/>
      <c r="AU43" s="1584"/>
      <c r="AV43" s="1584"/>
      <c r="AW43" s="1584"/>
      <c r="AX43" s="1584"/>
      <c r="AY43" s="1584"/>
      <c r="AZ43" s="1584"/>
      <c r="BA43"/>
      <c r="BB43"/>
      <c r="BC43"/>
      <c r="BD43"/>
      <c r="BE43"/>
      <c r="BF43"/>
      <c r="BG43"/>
    </row>
    <row r="44" spans="1:59" ht="16.350000000000001" customHeight="1" thickBot="1">
      <c r="A44"/>
      <c r="B44" s="166"/>
      <c r="C44" s="166"/>
      <c r="D44" s="166"/>
      <c r="E44" s="166"/>
      <c r="F44" s="166"/>
      <c r="G44" s="12"/>
      <c r="H44" s="1543"/>
      <c r="I44" s="1543"/>
      <c r="J44" s="1543"/>
      <c r="K44" s="1543"/>
      <c r="L44" s="1557"/>
      <c r="M44" s="1557"/>
      <c r="N44" s="1557"/>
      <c r="O44" s="1557"/>
      <c r="P44" s="1557"/>
      <c r="Q44" s="1557"/>
      <c r="R44" s="1557"/>
      <c r="S44" s="1557"/>
      <c r="T44" s="1557"/>
      <c r="U44"/>
      <c r="V44"/>
      <c r="W44"/>
      <c r="X44" s="1554"/>
      <c r="Y44" s="1554"/>
      <c r="Z44" s="1554"/>
      <c r="AA44" s="1554"/>
      <c r="AB44" s="1555"/>
      <c r="AC44" s="1555"/>
      <c r="AD44" s="1555"/>
      <c r="AE44" s="1555"/>
      <c r="AF44" s="1555"/>
      <c r="AG44" s="1555"/>
      <c r="AH44" s="1555"/>
      <c r="AI44" s="1555"/>
      <c r="AJ44" s="1555"/>
      <c r="AK44"/>
      <c r="AL44"/>
      <c r="AM44"/>
      <c r="AN44" s="1583" t="s">
        <v>1793</v>
      </c>
      <c r="AO44" s="1583"/>
      <c r="AP44" s="1583"/>
      <c r="AQ44" s="1583"/>
      <c r="AR44" s="1584" t="str">
        <f>PROPER(M02S04F03)</f>
        <v/>
      </c>
      <c r="AS44" s="1584"/>
      <c r="AT44" s="1584"/>
      <c r="AU44" s="1584"/>
      <c r="AV44" s="1584"/>
      <c r="AW44" s="1584"/>
      <c r="AX44" s="1584"/>
      <c r="AY44" s="1584"/>
      <c r="AZ44" s="1584"/>
      <c r="BA44"/>
      <c r="BB44"/>
      <c r="BC44"/>
      <c r="BD44"/>
      <c r="BE44"/>
      <c r="BF44"/>
      <c r="BG44"/>
    </row>
    <row r="45" spans="1:59" customFormat="1" ht="16.350000000000001" customHeight="1" thickBot="1">
      <c r="B45" s="166"/>
      <c r="C45" s="166"/>
      <c r="D45" s="166"/>
      <c r="E45" s="166"/>
      <c r="F45" s="166"/>
      <c r="G45" s="12"/>
    </row>
    <row r="46" spans="1:59" ht="16.350000000000001" customHeight="1" thickBot="1">
      <c r="A46"/>
      <c r="B46" s="166"/>
      <c r="C46" s="166"/>
      <c r="D46" s="166"/>
      <c r="E46" s="166"/>
      <c r="F46" s="166"/>
      <c r="G46" s="12"/>
      <c r="H46" s="1531" t="s">
        <v>1797</v>
      </c>
      <c r="I46" s="1531"/>
      <c r="J46" s="1531"/>
      <c r="K46" s="1531"/>
      <c r="L46" s="1531"/>
      <c r="M46" s="1531"/>
      <c r="N46" s="1531"/>
      <c r="O46" s="1531"/>
      <c r="P46" s="1531"/>
      <c r="Q46" s="1531"/>
      <c r="R46" s="1531"/>
      <c r="S46" s="1531"/>
      <c r="T46" s="1531"/>
      <c r="U46"/>
      <c r="V46"/>
      <c r="W46"/>
      <c r="X46" s="1531" t="s">
        <v>1798</v>
      </c>
      <c r="Y46" s="1531"/>
      <c r="Z46" s="1531"/>
      <c r="AA46" s="1531"/>
      <c r="AB46" s="1531"/>
      <c r="AC46" s="1531"/>
      <c r="AD46" s="1531"/>
      <c r="AE46" s="1531"/>
      <c r="AF46" s="1531"/>
      <c r="AG46" s="1531"/>
      <c r="AH46" s="1531"/>
      <c r="AI46" s="1531"/>
      <c r="AJ46" s="1531"/>
      <c r="AK46"/>
      <c r="AL46"/>
      <c r="AM46"/>
      <c r="AN46" s="1531" t="s">
        <v>1799</v>
      </c>
      <c r="AO46" s="1531"/>
      <c r="AP46" s="1531"/>
      <c r="AQ46" s="1531"/>
      <c r="AR46" s="1531"/>
      <c r="AS46" s="1531"/>
      <c r="AT46" s="1531"/>
      <c r="AU46" s="1531"/>
      <c r="AV46" s="1531"/>
      <c r="AW46" s="1531"/>
      <c r="AX46" s="1531"/>
      <c r="AY46" s="1531"/>
      <c r="AZ46" s="1531"/>
      <c r="BA46"/>
      <c r="BB46"/>
      <c r="BC46"/>
      <c r="BD46"/>
      <c r="BE46"/>
      <c r="BF46"/>
      <c r="BG46"/>
    </row>
    <row r="47" spans="1:59" ht="15.75" customHeight="1" thickBot="1">
      <c r="A47"/>
      <c r="B47" s="166"/>
      <c r="C47" s="166"/>
      <c r="D47" s="166"/>
      <c r="E47" s="166"/>
      <c r="F47" s="166"/>
      <c r="G47" s="12"/>
      <c r="H47" s="1537" t="s">
        <v>1800</v>
      </c>
      <c r="I47" s="1537"/>
      <c r="J47" s="1537"/>
      <c r="K47" s="1537"/>
      <c r="L47" s="1541" t="str">
        <f>M05S01BF01</f>
        <v/>
      </c>
      <c r="M47" s="1541"/>
      <c r="N47" s="1541"/>
      <c r="O47" s="1541"/>
      <c r="P47" s="1541"/>
      <c r="Q47" s="1541"/>
      <c r="R47" s="1541"/>
      <c r="S47" s="1541"/>
      <c r="T47" s="1541"/>
      <c r="U47"/>
      <c r="V47"/>
      <c r="W47"/>
      <c r="X47" s="1537" t="s">
        <v>1533</v>
      </c>
      <c r="Y47" s="1537"/>
      <c r="Z47" s="1537"/>
      <c r="AA47" s="1537"/>
      <c r="AB47" s="1541" t="str">
        <f>M05S01BF03</f>
        <v/>
      </c>
      <c r="AC47" s="1541"/>
      <c r="AD47" s="1541"/>
      <c r="AE47" s="1541"/>
      <c r="AF47" s="1541"/>
      <c r="AG47" s="1541"/>
      <c r="AH47" s="1541"/>
      <c r="AI47" s="1541"/>
      <c r="AJ47" s="1541"/>
      <c r="AK47"/>
      <c r="AL47"/>
      <c r="AM47"/>
      <c r="AN47" s="1537" t="s">
        <v>1533</v>
      </c>
      <c r="AO47" s="1537"/>
      <c r="AP47" s="1537"/>
      <c r="AQ47" s="1537"/>
      <c r="AR47" s="1541" t="str">
        <f>M05S01BF07</f>
        <v/>
      </c>
      <c r="AS47" s="1541"/>
      <c r="AT47" s="1541"/>
      <c r="AU47" s="1541"/>
      <c r="AV47" s="1541"/>
      <c r="AW47" s="1541"/>
      <c r="AX47" s="1541"/>
      <c r="AY47" s="1541"/>
      <c r="AZ47" s="1541"/>
      <c r="BA47"/>
      <c r="BB47"/>
      <c r="BC47"/>
      <c r="BD47"/>
      <c r="BE47"/>
      <c r="BF47"/>
      <c r="BG47"/>
    </row>
    <row r="48" spans="1:59" ht="16.350000000000001" customHeight="1" thickBot="1">
      <c r="A48"/>
      <c r="B48" s="166"/>
      <c r="C48" s="166"/>
      <c r="D48" s="166"/>
      <c r="E48" s="166"/>
      <c r="F48" s="166"/>
      <c r="G48" s="12"/>
      <c r="H48" s="1537" t="s">
        <v>1801</v>
      </c>
      <c r="I48" s="1537"/>
      <c r="J48" s="1537"/>
      <c r="K48" s="1537"/>
      <c r="L48" s="1541">
        <f>M05S01BF02</f>
        <v>0</v>
      </c>
      <c r="M48" s="1541"/>
      <c r="N48" s="1541"/>
      <c r="O48" s="1541"/>
      <c r="P48" s="1541"/>
      <c r="Q48" s="1541"/>
      <c r="R48" s="1541"/>
      <c r="S48" s="1541"/>
      <c r="T48" s="1541"/>
      <c r="U48"/>
      <c r="V48"/>
      <c r="W48"/>
      <c r="X48" s="1537" t="s">
        <v>758</v>
      </c>
      <c r="Y48" s="1537"/>
      <c r="Z48" s="1537"/>
      <c r="AA48" s="1537"/>
      <c r="AB48" s="1541" t="str">
        <f>M05S01BF21</f>
        <v/>
      </c>
      <c r="AC48" s="1541"/>
      <c r="AD48" s="1541"/>
      <c r="AE48" s="1541"/>
      <c r="AF48" s="1541"/>
      <c r="AG48" s="1541"/>
      <c r="AH48" s="1541"/>
      <c r="AI48" s="1541"/>
      <c r="AJ48" s="1541"/>
      <c r="AK48"/>
      <c r="AL48"/>
      <c r="AM48"/>
      <c r="AN48" s="1537" t="s">
        <v>758</v>
      </c>
      <c r="AO48" s="1537"/>
      <c r="AP48" s="1537"/>
      <c r="AQ48" s="1537"/>
      <c r="AR48" s="1541" t="str">
        <f>M05S01BF22</f>
        <v/>
      </c>
      <c r="AS48" s="1541"/>
      <c r="AT48" s="1541"/>
      <c r="AU48" s="1541"/>
      <c r="AV48" s="1541"/>
      <c r="AW48" s="1541"/>
      <c r="AX48" s="1541"/>
      <c r="AY48" s="1541"/>
      <c r="AZ48" s="1541"/>
      <c r="BA48"/>
      <c r="BB48"/>
      <c r="BC48"/>
      <c r="BD48"/>
      <c r="BE48"/>
      <c r="BF48"/>
      <c r="BG48"/>
    </row>
    <row r="49" spans="2:52" customFormat="1" ht="16.350000000000001" customHeight="1" thickBot="1">
      <c r="B49" s="166"/>
      <c r="C49" s="166"/>
      <c r="D49" s="166"/>
      <c r="E49" s="166"/>
      <c r="F49" s="166"/>
      <c r="G49" s="12"/>
      <c r="H49" s="1537" t="s">
        <v>1802</v>
      </c>
      <c r="I49" s="1537"/>
      <c r="J49" s="1537"/>
      <c r="K49" s="1537"/>
      <c r="L49" s="1563">
        <f>OBR_Amount_Requested_Final</f>
        <v>0</v>
      </c>
      <c r="M49" s="1563"/>
      <c r="N49" s="1563"/>
      <c r="O49" s="1563"/>
      <c r="P49" s="1563"/>
      <c r="Q49" s="1563"/>
      <c r="R49" s="1563"/>
      <c r="S49" s="1563"/>
      <c r="T49" s="1563"/>
      <c r="X49" s="1537" t="s">
        <v>1795</v>
      </c>
      <c r="Y49" s="1537"/>
      <c r="Z49" s="1537"/>
      <c r="AA49" s="1537"/>
      <c r="AB49" s="1541" t="str">
        <f>M05S01BF23</f>
        <v/>
      </c>
      <c r="AC49" s="1541"/>
      <c r="AD49" s="1541"/>
      <c r="AE49" s="1541"/>
      <c r="AF49" s="1541"/>
      <c r="AG49" s="1541" t="str">
        <f>M05S01BF24</f>
        <v/>
      </c>
      <c r="AH49" s="1541"/>
      <c r="AI49" s="1556" t="str">
        <f>M05S01BF25</f>
        <v/>
      </c>
      <c r="AJ49" s="1556"/>
      <c r="AN49" s="1537" t="s">
        <v>1795</v>
      </c>
      <c r="AO49" s="1537"/>
      <c r="AP49" s="1537"/>
      <c r="AQ49" s="1537"/>
      <c r="AR49" s="1541" t="str">
        <f>M05S01BF27</f>
        <v/>
      </c>
      <c r="AS49" s="1541"/>
      <c r="AT49" s="1541"/>
      <c r="AU49" s="1541"/>
      <c r="AV49" s="1541"/>
      <c r="AW49" s="1541" t="str">
        <f>M05S01BF28</f>
        <v/>
      </c>
      <c r="AX49" s="1541"/>
      <c r="AY49" s="1556" t="str">
        <f>M05S01BF29</f>
        <v/>
      </c>
      <c r="AZ49" s="1556"/>
    </row>
    <row r="50" spans="2:52" customFormat="1" ht="16.350000000000001" customHeight="1" thickBot="1">
      <c r="B50" s="166"/>
      <c r="C50" s="166"/>
      <c r="D50" s="166"/>
      <c r="E50" s="166"/>
      <c r="F50" s="166"/>
      <c r="G50" s="12"/>
      <c r="H50" s="1537" t="s">
        <v>1803</v>
      </c>
      <c r="I50" s="1537"/>
      <c r="J50" s="1537"/>
      <c r="K50" s="1537"/>
      <c r="L50" s="1541">
        <f>M05S01BF30</f>
        <v>0</v>
      </c>
      <c r="M50" s="1541"/>
      <c r="N50" s="1541"/>
      <c r="O50" s="1541"/>
      <c r="P50" s="1541"/>
      <c r="Q50" s="1541"/>
      <c r="R50" s="1541"/>
      <c r="S50" s="1541"/>
      <c r="T50" s="1541"/>
      <c r="X50" s="1537" t="s">
        <v>1794</v>
      </c>
      <c r="Y50" s="1537"/>
      <c r="Z50" s="1537"/>
      <c r="AA50" s="1537"/>
      <c r="AB50" s="1541" t="str">
        <f>M05S01BF08</f>
        <v/>
      </c>
      <c r="AC50" s="1541"/>
      <c r="AD50" s="1541"/>
      <c r="AE50" s="1541"/>
      <c r="AF50" s="1541"/>
      <c r="AG50" s="1541" t="str">
        <f>M05S01BF09</f>
        <v/>
      </c>
      <c r="AH50" s="1541"/>
      <c r="AI50" s="1541"/>
      <c r="AJ50" s="1541"/>
      <c r="AN50" s="1537" t="s">
        <v>1794</v>
      </c>
      <c r="AO50" s="1537"/>
      <c r="AP50" s="1537"/>
      <c r="AQ50" s="1537"/>
      <c r="AR50" s="1541" t="str">
        <f>M05S01BF11</f>
        <v/>
      </c>
      <c r="AS50" s="1541"/>
      <c r="AT50" s="1541"/>
      <c r="AU50" s="1541"/>
      <c r="AV50" s="1541" t="str">
        <f>M05S01BF12</f>
        <v/>
      </c>
      <c r="AW50" s="1541"/>
      <c r="AX50" s="1541"/>
      <c r="AY50" s="1541"/>
      <c r="AZ50" s="1541"/>
    </row>
    <row r="51" spans="2:52" customFormat="1" ht="16.350000000000001" customHeight="1" thickBot="1">
      <c r="B51" s="166"/>
      <c r="C51" s="166"/>
      <c r="D51" s="166"/>
      <c r="E51" s="166"/>
      <c r="F51" s="166"/>
      <c r="G51" s="12"/>
      <c r="H51" s="1537"/>
      <c r="I51" s="1537"/>
      <c r="J51" s="1537"/>
      <c r="K51" s="1537"/>
      <c r="L51" s="1541"/>
      <c r="M51" s="1541"/>
      <c r="N51" s="1541"/>
      <c r="O51" s="1541"/>
      <c r="P51" s="1541"/>
      <c r="Q51" s="1541"/>
      <c r="R51" s="1541"/>
      <c r="S51" s="1541"/>
      <c r="T51" s="1541"/>
      <c r="X51" s="1537" t="s">
        <v>880</v>
      </c>
      <c r="Y51" s="1537"/>
      <c r="Z51" s="1537"/>
      <c r="AA51" s="1537"/>
      <c r="AB51" s="1558" t="str">
        <f>M05S01BF14</f>
        <v/>
      </c>
      <c r="AC51" s="1559"/>
      <c r="AD51" s="1559"/>
      <c r="AE51" s="1559"/>
      <c r="AF51" s="1559"/>
      <c r="AG51" s="1559"/>
      <c r="AH51" s="1559"/>
      <c r="AI51" s="1559"/>
      <c r="AJ51" s="1560"/>
      <c r="AN51" s="1537" t="s">
        <v>880</v>
      </c>
      <c r="AO51" s="1537"/>
      <c r="AP51" s="1537"/>
      <c r="AQ51" s="1537"/>
      <c r="AR51" s="1558" t="str">
        <f>M05S01BF19</f>
        <v/>
      </c>
      <c r="AS51" s="1559"/>
      <c r="AT51" s="1559"/>
      <c r="AU51" s="1559"/>
      <c r="AV51" s="1559"/>
      <c r="AW51" s="1559"/>
      <c r="AX51" s="1559"/>
      <c r="AY51" s="1559"/>
      <c r="AZ51" s="1560"/>
    </row>
    <row r="52" spans="2:52" customFormat="1" ht="16.350000000000001" customHeight="1" thickBot="1">
      <c r="B52" s="166"/>
      <c r="C52" s="166"/>
      <c r="D52" s="166"/>
      <c r="E52" s="166"/>
      <c r="F52" s="166"/>
      <c r="G52" s="12"/>
      <c r="H52" s="1537"/>
      <c r="I52" s="1537"/>
      <c r="J52" s="1537"/>
      <c r="K52" s="1537"/>
      <c r="L52" s="1541"/>
      <c r="M52" s="1541"/>
      <c r="N52" s="1541"/>
      <c r="O52" s="1541"/>
      <c r="P52" s="1541"/>
      <c r="Q52" s="1541"/>
      <c r="R52" s="1541"/>
      <c r="S52" s="1541"/>
      <c r="T52" s="1541"/>
      <c r="X52" s="1537" t="s">
        <v>762</v>
      </c>
      <c r="Y52" s="1537"/>
      <c r="Z52" s="1537"/>
      <c r="AA52" s="1537"/>
      <c r="AB52" s="1541" t="str">
        <f>M05S01BF15</f>
        <v/>
      </c>
      <c r="AC52" s="1541"/>
      <c r="AD52" s="1541"/>
      <c r="AE52" s="1541"/>
      <c r="AF52" s="1541"/>
      <c r="AG52" s="1541"/>
      <c r="AH52" s="1541"/>
      <c r="AI52" s="1541"/>
      <c r="AJ52" s="1541"/>
      <c r="AN52" s="1537" t="s">
        <v>762</v>
      </c>
      <c r="AO52" s="1537"/>
      <c r="AP52" s="1537"/>
      <c r="AQ52" s="1537"/>
      <c r="AR52" s="1541" t="str">
        <f>M05S01BF20</f>
        <v/>
      </c>
      <c r="AS52" s="1541"/>
      <c r="AT52" s="1541"/>
      <c r="AU52" s="1541"/>
      <c r="AV52" s="1541"/>
      <c r="AW52" s="1541"/>
      <c r="AX52" s="1541"/>
      <c r="AY52" s="1541"/>
      <c r="AZ52" s="1541"/>
    </row>
    <row r="53" spans="2:52" customFormat="1" ht="16.350000000000001" customHeight="1" thickBot="1">
      <c r="B53" s="166"/>
      <c r="C53" s="166"/>
      <c r="D53" s="166"/>
      <c r="E53" s="166"/>
      <c r="F53" s="166"/>
      <c r="G53" s="12"/>
      <c r="H53" s="1537"/>
      <c r="I53" s="1537"/>
      <c r="J53" s="1537"/>
      <c r="K53" s="1537"/>
      <c r="L53" s="1541"/>
      <c r="M53" s="1541"/>
      <c r="N53" s="1541"/>
      <c r="O53" s="1541"/>
      <c r="P53" s="1541"/>
      <c r="Q53" s="1541"/>
      <c r="R53" s="1541"/>
      <c r="S53" s="1541"/>
      <c r="T53" s="1541"/>
      <c r="X53" s="1537" t="s">
        <v>1804</v>
      </c>
      <c r="Y53" s="1537"/>
      <c r="Z53" s="1537"/>
      <c r="AA53" s="1537"/>
      <c r="AB53" s="1538" t="e">
        <f>M05S01BF04</f>
        <v>#REF!</v>
      </c>
      <c r="AC53" s="1539"/>
      <c r="AD53" s="1539"/>
      <c r="AE53" s="1539"/>
      <c r="AF53" s="1540"/>
      <c r="AG53" s="1538" t="e">
        <f>CONCATENATE(M05S01BF05,"-",M05S01BF06)</f>
        <v>#REF!</v>
      </c>
      <c r="AH53" s="1539"/>
      <c r="AI53" s="1539"/>
      <c r="AJ53" s="1540"/>
      <c r="AN53" s="1537" t="s">
        <v>1804</v>
      </c>
      <c r="AO53" s="1537"/>
      <c r="AP53" s="1537"/>
      <c r="AQ53" s="1537"/>
      <c r="AR53" s="1538">
        <f>M05S01BF33</f>
        <v>0</v>
      </c>
      <c r="AS53" s="1539"/>
      <c r="AT53" s="1539"/>
      <c r="AU53" s="1539"/>
      <c r="AV53" s="1540"/>
      <c r="AW53" s="1538" t="str">
        <f>CONCATENATE(M05S01BF34,"-",M05S01BF35)</f>
        <v>-</v>
      </c>
      <c r="AX53" s="1539"/>
      <c r="AY53" s="1539"/>
      <c r="AZ53" s="1540"/>
    </row>
    <row r="54" spans="2:52" customFormat="1" ht="16.350000000000001" customHeight="1" thickBot="1">
      <c r="B54" s="166"/>
      <c r="C54" s="166"/>
      <c r="D54" s="166"/>
      <c r="E54" s="166"/>
      <c r="F54" s="166"/>
      <c r="G54" s="12"/>
      <c r="H54" s="1537"/>
      <c r="I54" s="1537"/>
      <c r="J54" s="1537"/>
      <c r="K54" s="1537"/>
      <c r="L54" s="1541"/>
      <c r="M54" s="1541"/>
      <c r="N54" s="1541"/>
      <c r="O54" s="1541"/>
      <c r="P54" s="1541"/>
      <c r="Q54" s="1541"/>
      <c r="R54" s="1541"/>
      <c r="S54" s="1541"/>
      <c r="T54" s="1541"/>
      <c r="X54" s="1537" t="s">
        <v>1534</v>
      </c>
      <c r="Y54" s="1537"/>
      <c r="Z54" s="1537"/>
      <c r="AA54" s="1537"/>
      <c r="AB54" s="1541">
        <f>M05S01BF10</f>
        <v>0</v>
      </c>
      <c r="AC54" s="1541"/>
      <c r="AD54" s="1541"/>
      <c r="AE54" s="1541"/>
      <c r="AF54" s="1541"/>
      <c r="AG54" s="1541"/>
      <c r="AH54" s="1541"/>
      <c r="AI54" s="1541"/>
      <c r="AJ54" s="1541"/>
      <c r="AN54" s="1537"/>
      <c r="AO54" s="1537"/>
      <c r="AP54" s="1537"/>
      <c r="AQ54" s="1537"/>
      <c r="AR54" s="1541"/>
      <c r="AS54" s="1541"/>
      <c r="AT54" s="1541"/>
      <c r="AU54" s="1541"/>
      <c r="AV54" s="1541"/>
      <c r="AW54" s="1541"/>
      <c r="AX54" s="1541"/>
      <c r="AY54" s="1541"/>
      <c r="AZ54" s="1541"/>
    </row>
    <row r="55" spans="2:52" customFormat="1" ht="16.350000000000001" customHeight="1" thickBot="1">
      <c r="B55" s="166"/>
      <c r="C55" s="166"/>
      <c r="D55" s="166"/>
      <c r="E55" s="166"/>
      <c r="F55" s="166"/>
      <c r="H55" s="1537"/>
      <c r="I55" s="1537"/>
      <c r="J55" s="1537"/>
      <c r="K55" s="1537"/>
      <c r="L55" s="1541"/>
      <c r="M55" s="1541"/>
      <c r="N55" s="1541"/>
      <c r="O55" s="1541"/>
      <c r="P55" s="1541"/>
      <c r="Q55" s="1541"/>
      <c r="R55" s="1541"/>
      <c r="S55" s="1541"/>
      <c r="T55" s="1541"/>
      <c r="X55" s="1537" t="s">
        <v>1535</v>
      </c>
      <c r="Y55" s="1537"/>
      <c r="Z55" s="1537"/>
      <c r="AA55" s="1537"/>
      <c r="AB55" s="1541">
        <f>M05S01BF17</f>
        <v>0</v>
      </c>
      <c r="AC55" s="1541"/>
      <c r="AD55" s="1541"/>
      <c r="AE55" s="1541"/>
      <c r="AF55" s="1541"/>
      <c r="AG55" s="1541"/>
      <c r="AH55" s="1541"/>
      <c r="AI55" s="1541"/>
      <c r="AJ55" s="1541"/>
      <c r="AN55" s="1537"/>
      <c r="AO55" s="1537"/>
      <c r="AP55" s="1537"/>
      <c r="AQ55" s="1537"/>
      <c r="AR55" s="1541"/>
      <c r="AS55" s="1541"/>
      <c r="AT55" s="1541"/>
      <c r="AU55" s="1541"/>
      <c r="AV55" s="1541"/>
      <c r="AW55" s="1541"/>
      <c r="AX55" s="1541"/>
      <c r="AY55" s="1541"/>
      <c r="AZ55" s="1541"/>
    </row>
    <row r="56" spans="2:52" customFormat="1" ht="16.350000000000001" customHeight="1" thickBot="1">
      <c r="B56" s="166"/>
      <c r="C56" s="166"/>
      <c r="D56" s="166"/>
      <c r="E56" s="166"/>
      <c r="F56" s="166"/>
      <c r="H56" s="1537"/>
      <c r="I56" s="1537"/>
      <c r="J56" s="1537"/>
      <c r="K56" s="1537"/>
      <c r="L56" s="1541"/>
      <c r="M56" s="1541"/>
      <c r="N56" s="1541"/>
      <c r="O56" s="1541"/>
      <c r="P56" s="1541"/>
      <c r="Q56" s="1541"/>
      <c r="R56" s="1541"/>
      <c r="S56" s="1541"/>
      <c r="T56" s="1541"/>
      <c r="X56" s="1537"/>
      <c r="Y56" s="1537"/>
      <c r="Z56" s="1537"/>
      <c r="AA56" s="1537"/>
      <c r="AB56" s="1541"/>
      <c r="AC56" s="1541"/>
      <c r="AD56" s="1541"/>
      <c r="AE56" s="1541"/>
      <c r="AF56" s="1541"/>
      <c r="AG56" s="1541"/>
      <c r="AH56" s="1541"/>
      <c r="AI56" s="1541"/>
      <c r="AJ56" s="1541"/>
      <c r="AN56" s="1537"/>
      <c r="AO56" s="1537"/>
      <c r="AP56" s="1537"/>
      <c r="AQ56" s="1537"/>
      <c r="AR56" s="1541"/>
      <c r="AS56" s="1541"/>
      <c r="AT56" s="1541"/>
      <c r="AU56" s="1541"/>
      <c r="AV56" s="1541"/>
      <c r="AW56" s="1541"/>
      <c r="AX56" s="1541"/>
      <c r="AY56" s="1541"/>
      <c r="AZ56" s="1541"/>
    </row>
    <row r="57" spans="2:52" customFormat="1" ht="16.350000000000001" customHeight="1" thickBot="1">
      <c r="B57" s="166"/>
      <c r="C57" s="166"/>
      <c r="D57" s="166"/>
      <c r="E57" s="166"/>
      <c r="F57" s="166"/>
      <c r="H57" s="1537"/>
      <c r="I57" s="1537"/>
      <c r="J57" s="1537"/>
      <c r="K57" s="1537"/>
      <c r="L57" s="1541"/>
      <c r="M57" s="1541"/>
      <c r="N57" s="1541"/>
      <c r="O57" s="1541"/>
      <c r="P57" s="1541"/>
      <c r="Q57" s="1541"/>
      <c r="R57" s="1541"/>
      <c r="S57" s="1541"/>
      <c r="T57" s="1541"/>
      <c r="X57" s="1537"/>
      <c r="Y57" s="1537"/>
      <c r="Z57" s="1537"/>
      <c r="AA57" s="1537"/>
      <c r="AB57" s="1541"/>
      <c r="AC57" s="1541"/>
      <c r="AD57" s="1541"/>
      <c r="AE57" s="1541"/>
      <c r="AF57" s="1541"/>
      <c r="AG57" s="1541"/>
      <c r="AH57" s="1541"/>
      <c r="AI57" s="1541"/>
      <c r="AJ57" s="1541"/>
      <c r="AN57" s="1537"/>
      <c r="AO57" s="1537"/>
      <c r="AP57" s="1537"/>
      <c r="AQ57" s="1537"/>
      <c r="AR57" s="1541"/>
      <c r="AS57" s="1541"/>
      <c r="AT57" s="1541"/>
      <c r="AU57" s="1541"/>
      <c r="AV57" s="1541"/>
      <c r="AW57" s="1541"/>
      <c r="AX57" s="1541"/>
      <c r="AY57" s="1541"/>
      <c r="AZ57" s="1541"/>
    </row>
    <row r="58" spans="2:52" customFormat="1" ht="16.350000000000001" customHeight="1" thickBot="1">
      <c r="B58" s="166"/>
      <c r="C58" s="166"/>
      <c r="D58" s="166"/>
      <c r="E58" s="166"/>
      <c r="F58" s="166"/>
    </row>
    <row r="59" spans="2:52" customFormat="1" ht="16.350000000000001" customHeight="1" thickBot="1">
      <c r="B59" s="166"/>
      <c r="C59" s="166"/>
      <c r="D59" s="166"/>
      <c r="E59" s="166"/>
      <c r="F59" s="166"/>
      <c r="H59" s="1531" t="s">
        <v>1805</v>
      </c>
      <c r="I59" s="1531"/>
      <c r="J59" s="1531"/>
      <c r="K59" s="1531"/>
      <c r="L59" s="1531"/>
      <c r="M59" s="1531"/>
      <c r="N59" s="1531"/>
      <c r="O59" s="1531"/>
      <c r="P59" s="1531"/>
      <c r="Q59" s="1531"/>
      <c r="R59" s="1531"/>
      <c r="S59" s="1531"/>
      <c r="T59" s="1531"/>
      <c r="X59" s="1551" t="s">
        <v>742</v>
      </c>
      <c r="Y59" s="1552"/>
      <c r="Z59" s="1552"/>
      <c r="AA59" s="1552"/>
      <c r="AB59" s="1552"/>
      <c r="AC59" s="1552"/>
      <c r="AD59" s="1552"/>
      <c r="AE59" s="1552"/>
      <c r="AF59" s="1552"/>
      <c r="AG59" s="1552"/>
      <c r="AH59" s="1552"/>
      <c r="AI59" s="1552"/>
      <c r="AJ59" s="1553"/>
      <c r="AN59" s="1575" t="s">
        <v>1806</v>
      </c>
      <c r="AO59" s="1575"/>
      <c r="AP59" s="1575"/>
      <c r="AQ59" s="1575"/>
      <c r="AR59" s="1575"/>
      <c r="AS59" s="1575"/>
      <c r="AT59" s="1575"/>
      <c r="AU59" s="1575"/>
      <c r="AV59" s="1575"/>
      <c r="AW59" s="1575"/>
      <c r="AX59" s="1575"/>
      <c r="AY59" s="1575"/>
      <c r="AZ59" s="1575"/>
    </row>
    <row r="60" spans="2:52" customFormat="1" ht="16.350000000000001" customHeight="1" thickBot="1">
      <c r="B60" s="166"/>
      <c r="C60" s="166"/>
      <c r="D60" s="166"/>
      <c r="E60" s="166"/>
      <c r="F60" s="166"/>
      <c r="H60" s="1561" t="s">
        <v>1313</v>
      </c>
      <c r="I60" s="1561"/>
      <c r="J60" s="1561"/>
      <c r="K60" s="1561"/>
      <c r="L60" s="1562">
        <f>M05S01AF01</f>
        <v>0</v>
      </c>
      <c r="M60" s="1562"/>
      <c r="N60" s="1562"/>
      <c r="O60" s="1562"/>
      <c r="P60" s="1562"/>
      <c r="Q60" s="1562"/>
      <c r="R60" s="1562"/>
      <c r="S60" s="1562"/>
      <c r="T60" s="1562"/>
      <c r="X60" s="1576">
        <f>M02S02F31</f>
        <v>0</v>
      </c>
      <c r="Y60" s="1577"/>
      <c r="Z60" s="1577"/>
      <c r="AA60" s="1577"/>
      <c r="AB60" s="1577"/>
      <c r="AC60" s="1577"/>
      <c r="AD60" s="1577"/>
      <c r="AE60" s="1577"/>
      <c r="AF60" s="1577"/>
      <c r="AG60" s="1577"/>
      <c r="AH60" s="1577"/>
      <c r="AI60" s="1577"/>
      <c r="AJ60" s="1578"/>
      <c r="AN60" s="1542" t="s">
        <v>1807</v>
      </c>
      <c r="AO60" s="1542"/>
      <c r="AP60" s="1542"/>
      <c r="AQ60" s="1542"/>
      <c r="AR60" s="1542">
        <f>M01S02F01</f>
        <v>0</v>
      </c>
      <c r="AS60" s="1542"/>
      <c r="AT60" s="1542"/>
      <c r="AU60" s="1542"/>
      <c r="AV60" s="1542"/>
      <c r="AW60" s="1542"/>
      <c r="AX60" s="1542"/>
      <c r="AY60" s="1542"/>
      <c r="AZ60" s="1542"/>
    </row>
    <row r="61" spans="2:52" customFormat="1" ht="16.350000000000001" customHeight="1" thickBot="1">
      <c r="B61" s="166"/>
      <c r="C61" s="166"/>
      <c r="D61" s="166"/>
      <c r="E61" s="166"/>
      <c r="F61" s="166"/>
      <c r="H61" s="1561" t="s">
        <v>1808</v>
      </c>
      <c r="I61" s="1561"/>
      <c r="J61" s="1561"/>
      <c r="K61" s="1561"/>
      <c r="L61" s="1562" t="str">
        <f>SUBSTITUTE(PROPER(M05S01AF02),"S","s")</f>
        <v/>
      </c>
      <c r="M61" s="1562"/>
      <c r="N61" s="1562"/>
      <c r="O61" s="1562"/>
      <c r="P61" s="1562"/>
      <c r="Q61" s="1562"/>
      <c r="R61" s="1562"/>
      <c r="S61" s="1562"/>
      <c r="T61" s="1562"/>
      <c r="X61" s="1576"/>
      <c r="Y61" s="1577"/>
      <c r="Z61" s="1577"/>
      <c r="AA61" s="1577"/>
      <c r="AB61" s="1577"/>
      <c r="AC61" s="1577"/>
      <c r="AD61" s="1577"/>
      <c r="AE61" s="1577"/>
      <c r="AF61" s="1577"/>
      <c r="AG61" s="1577"/>
      <c r="AH61" s="1577"/>
      <c r="AI61" s="1577"/>
      <c r="AJ61" s="1578"/>
      <c r="AN61" s="1542" t="s">
        <v>1809</v>
      </c>
      <c r="AO61" s="1542"/>
      <c r="AP61" s="1542"/>
      <c r="AQ61" s="1542"/>
      <c r="AR61" s="1542">
        <f>M01S02F02</f>
        <v>0</v>
      </c>
      <c r="AS61" s="1542"/>
      <c r="AT61" s="1542"/>
      <c r="AU61" s="1542"/>
      <c r="AV61" s="1542"/>
      <c r="AW61" s="1542"/>
      <c r="AX61" s="1542"/>
      <c r="AY61" s="1542"/>
      <c r="AZ61" s="1542"/>
    </row>
    <row r="62" spans="2:52" customFormat="1" ht="16.350000000000001" customHeight="1" thickBot="1">
      <c r="B62" s="166"/>
      <c r="C62" s="166"/>
      <c r="D62" s="166"/>
      <c r="E62" s="166"/>
      <c r="F62" s="166"/>
      <c r="H62" s="1561" t="s">
        <v>1810</v>
      </c>
      <c r="I62" s="1561"/>
      <c r="J62" s="1561"/>
      <c r="K62" s="1561"/>
      <c r="L62" s="1562" t="str">
        <f>PROPER(M05S01AF06)</f>
        <v/>
      </c>
      <c r="M62" s="1562"/>
      <c r="N62" s="1562"/>
      <c r="O62" s="1562"/>
      <c r="P62" s="1562"/>
      <c r="Q62" s="1562" t="str">
        <f>PROPER(M05S01AF07)</f>
        <v/>
      </c>
      <c r="R62" s="1562"/>
      <c r="S62" s="1562"/>
      <c r="T62" s="1562"/>
      <c r="X62" s="1576"/>
      <c r="Y62" s="1577"/>
      <c r="Z62" s="1577"/>
      <c r="AA62" s="1577"/>
      <c r="AB62" s="1577"/>
      <c r="AC62" s="1577"/>
      <c r="AD62" s="1577"/>
      <c r="AE62" s="1577"/>
      <c r="AF62" s="1577"/>
      <c r="AG62" s="1577"/>
      <c r="AH62" s="1577"/>
      <c r="AI62" s="1577"/>
      <c r="AJ62" s="1578"/>
      <c r="AN62" s="1542" t="s">
        <v>1811</v>
      </c>
      <c r="AO62" s="1542"/>
      <c r="AP62" s="1542"/>
      <c r="AQ62" s="1542"/>
      <c r="AR62" s="1542" t="str">
        <f>IF(AR61="Encrypted Email", EmailPlatformSelection, "")</f>
        <v/>
      </c>
      <c r="AS62" s="1542"/>
      <c r="AT62" s="1542"/>
      <c r="AU62" s="1542"/>
      <c r="AV62" s="1542"/>
      <c r="AW62" s="1542"/>
      <c r="AX62" s="1542"/>
      <c r="AY62" s="1542"/>
      <c r="AZ62" s="1542"/>
    </row>
    <row r="63" spans="2:52" customFormat="1" ht="16.350000000000001" customHeight="1" thickBot="1">
      <c r="B63" s="166"/>
      <c r="C63" s="166"/>
      <c r="D63" s="166"/>
      <c r="E63" s="166"/>
      <c r="F63" s="166"/>
      <c r="H63" s="1561" t="s">
        <v>1812</v>
      </c>
      <c r="I63" s="1561"/>
      <c r="J63" s="1561"/>
      <c r="K63" s="1561"/>
      <c r="L63" s="1564" t="str">
        <f>M05S01AF09</f>
        <v/>
      </c>
      <c r="M63" s="1564"/>
      <c r="N63" s="1564"/>
      <c r="O63" s="1564"/>
      <c r="P63" s="1564"/>
      <c r="Q63" s="1564"/>
      <c r="R63" s="1564"/>
      <c r="S63" s="1564"/>
      <c r="T63" s="1564"/>
      <c r="X63" s="1576"/>
      <c r="Y63" s="1577"/>
      <c r="Z63" s="1577"/>
      <c r="AA63" s="1577"/>
      <c r="AB63" s="1577"/>
      <c r="AC63" s="1577"/>
      <c r="AD63" s="1577"/>
      <c r="AE63" s="1577"/>
      <c r="AF63" s="1577"/>
      <c r="AG63" s="1577"/>
      <c r="AH63" s="1577"/>
      <c r="AI63" s="1577"/>
      <c r="AJ63" s="1578"/>
      <c r="AN63" s="1542" t="s">
        <v>1813</v>
      </c>
      <c r="AO63" s="1542"/>
      <c r="AP63" s="1542"/>
      <c r="AQ63" s="1542"/>
      <c r="AR63" s="1542">
        <f>M02S04F01</f>
        <v>0</v>
      </c>
      <c r="AS63" s="1542"/>
      <c r="AT63" s="1542"/>
      <c r="AU63" s="1542"/>
      <c r="AV63" s="1542"/>
      <c r="AW63" s="1542"/>
      <c r="AX63" s="1542"/>
      <c r="AY63" s="1542"/>
      <c r="AZ63" s="1542"/>
    </row>
    <row r="64" spans="2:52" customFormat="1" ht="16.350000000000001" customHeight="1" thickBot="1">
      <c r="B64" s="166"/>
      <c r="C64" s="166"/>
      <c r="D64" s="166"/>
      <c r="E64" s="166"/>
      <c r="F64" s="166"/>
      <c r="H64" s="1561" t="s">
        <v>1814</v>
      </c>
      <c r="I64" s="1561"/>
      <c r="J64" s="1561"/>
      <c r="K64" s="1561"/>
      <c r="L64" s="1562" t="str">
        <f>M05S01AF10</f>
        <v/>
      </c>
      <c r="M64" s="1562"/>
      <c r="N64" s="1562"/>
      <c r="O64" s="1562"/>
      <c r="P64" s="1562"/>
      <c r="Q64" s="1562"/>
      <c r="R64" s="1562"/>
      <c r="S64" s="1562"/>
      <c r="T64" s="1562"/>
      <c r="X64" s="1576"/>
      <c r="Y64" s="1577"/>
      <c r="Z64" s="1577"/>
      <c r="AA64" s="1577"/>
      <c r="AB64" s="1577"/>
      <c r="AC64" s="1577"/>
      <c r="AD64" s="1577"/>
      <c r="AE64" s="1577"/>
      <c r="AF64" s="1577"/>
      <c r="AG64" s="1577"/>
      <c r="AH64" s="1577"/>
      <c r="AI64" s="1577"/>
      <c r="AJ64" s="1578"/>
      <c r="AN64" s="1542" t="s">
        <v>896</v>
      </c>
      <c r="AO64" s="1542"/>
      <c r="AP64" s="1542"/>
      <c r="AQ64" s="1542"/>
      <c r="AR64" s="1542">
        <f>M02S04F04</f>
        <v>0</v>
      </c>
      <c r="AS64" s="1542"/>
      <c r="AT64" s="1542"/>
      <c r="AU64" s="1542"/>
      <c r="AV64" s="1542"/>
      <c r="AW64" s="1542"/>
      <c r="AX64" s="1542"/>
      <c r="AY64" s="1542"/>
      <c r="AZ64" s="1542"/>
    </row>
    <row r="65" spans="2:52" customFormat="1" ht="16.350000000000001" customHeight="1" thickBot="1">
      <c r="B65" s="166"/>
      <c r="C65" s="166"/>
      <c r="D65" s="166"/>
      <c r="E65" s="166"/>
      <c r="F65" s="166"/>
      <c r="H65" s="1561" t="s">
        <v>1815</v>
      </c>
      <c r="I65" s="1561"/>
      <c r="J65" s="1561"/>
      <c r="K65" s="1561"/>
      <c r="L65" s="1562" t="str">
        <f>PROPER(M05S01AF08)</f>
        <v/>
      </c>
      <c r="M65" s="1562"/>
      <c r="N65" s="1562"/>
      <c r="O65" s="1562"/>
      <c r="P65" s="1562"/>
      <c r="Q65" s="1562"/>
      <c r="R65" s="1562"/>
      <c r="S65" s="1562"/>
      <c r="T65" s="1562"/>
      <c r="X65" s="1576"/>
      <c r="Y65" s="1577"/>
      <c r="Z65" s="1577"/>
      <c r="AA65" s="1577"/>
      <c r="AB65" s="1577"/>
      <c r="AC65" s="1577"/>
      <c r="AD65" s="1577"/>
      <c r="AE65" s="1577"/>
      <c r="AF65" s="1577"/>
      <c r="AG65" s="1577"/>
      <c r="AH65" s="1577"/>
      <c r="AI65" s="1577"/>
      <c r="AJ65" s="1578"/>
    </row>
    <row r="66" spans="2:52" customFormat="1" ht="16.350000000000001" customHeight="1" thickBot="1">
      <c r="B66" s="166"/>
      <c r="C66" s="166"/>
      <c r="D66" s="166"/>
      <c r="E66" s="166"/>
      <c r="F66" s="166"/>
      <c r="H66" s="1561" t="s">
        <v>1795</v>
      </c>
      <c r="I66" s="1561"/>
      <c r="J66" s="1561"/>
      <c r="K66" s="1561"/>
      <c r="L66" s="1562" t="str">
        <f>PROPER(M05S01AF11)</f>
        <v/>
      </c>
      <c r="M66" s="1562"/>
      <c r="N66" s="1562"/>
      <c r="O66" s="1562"/>
      <c r="P66" s="1562"/>
      <c r="Q66" s="1562" t="str">
        <f>M05S01AF12</f>
        <v/>
      </c>
      <c r="R66" s="1562"/>
      <c r="S66" s="1617" t="str">
        <f>M05S01AF13</f>
        <v/>
      </c>
      <c r="T66" s="1617"/>
      <c r="X66" s="1576"/>
      <c r="Y66" s="1577"/>
      <c r="Z66" s="1577"/>
      <c r="AA66" s="1577"/>
      <c r="AB66" s="1577"/>
      <c r="AC66" s="1577"/>
      <c r="AD66" s="1577"/>
      <c r="AE66" s="1577"/>
      <c r="AF66" s="1577"/>
      <c r="AG66" s="1577"/>
      <c r="AH66" s="1577"/>
      <c r="AI66" s="1577"/>
      <c r="AJ66" s="1578"/>
    </row>
    <row r="67" spans="2:52" customFormat="1" ht="16.350000000000001" customHeight="1" thickBot="1">
      <c r="B67" s="166"/>
      <c r="C67" s="166"/>
      <c r="D67" s="166"/>
      <c r="E67" s="166"/>
      <c r="F67" s="166"/>
      <c r="H67" s="1561" t="s">
        <v>1804</v>
      </c>
      <c r="I67" s="1561"/>
      <c r="J67" s="1561"/>
      <c r="K67" s="1561"/>
      <c r="L67" s="1618">
        <f>M05S01AF03</f>
        <v>0</v>
      </c>
      <c r="M67" s="1619"/>
      <c r="N67" s="1619"/>
      <c r="O67" s="1619"/>
      <c r="P67" s="1620"/>
      <c r="Q67" s="1618" t="str">
        <f>CONCATENATE(M05S01AF04,"-",M05S01AF05)</f>
        <v>-</v>
      </c>
      <c r="R67" s="1619"/>
      <c r="S67" s="1619"/>
      <c r="T67" s="1620"/>
      <c r="X67" s="1576"/>
      <c r="Y67" s="1577"/>
      <c r="Z67" s="1577"/>
      <c r="AA67" s="1577"/>
      <c r="AB67" s="1577"/>
      <c r="AC67" s="1577"/>
      <c r="AD67" s="1577"/>
      <c r="AE67" s="1577"/>
      <c r="AF67" s="1577"/>
      <c r="AG67" s="1577"/>
      <c r="AH67" s="1577"/>
      <c r="AI67" s="1577"/>
      <c r="AJ67" s="1578"/>
    </row>
    <row r="68" spans="2:52" customFormat="1" ht="16.350000000000001" customHeight="1" thickBot="1">
      <c r="B68" s="166"/>
      <c r="C68" s="166"/>
      <c r="D68" s="166"/>
      <c r="E68" s="166"/>
      <c r="F68" s="166"/>
      <c r="H68" s="1561" t="s">
        <v>1816</v>
      </c>
      <c r="I68" s="1561"/>
      <c r="J68" s="1561"/>
      <c r="K68" s="1561"/>
      <c r="L68" s="1562">
        <f>M05S01F14</f>
        <v>0</v>
      </c>
      <c r="M68" s="1562"/>
      <c r="N68" s="1562"/>
      <c r="O68" s="1562"/>
      <c r="P68" s="1562"/>
      <c r="Q68" s="1562"/>
      <c r="R68" s="1562"/>
      <c r="S68" s="1562"/>
      <c r="T68" s="1562"/>
      <c r="X68" s="1576"/>
      <c r="Y68" s="1577"/>
      <c r="Z68" s="1577"/>
      <c r="AA68" s="1577"/>
      <c r="AB68" s="1577"/>
      <c r="AC68" s="1577"/>
      <c r="AD68" s="1577"/>
      <c r="AE68" s="1577"/>
      <c r="AF68" s="1577"/>
      <c r="AG68" s="1577"/>
      <c r="AH68" s="1577"/>
      <c r="AI68" s="1577"/>
      <c r="AJ68" s="1578"/>
    </row>
    <row r="69" spans="2:52" customFormat="1" ht="16.350000000000001" customHeight="1" thickBot="1">
      <c r="B69" s="166"/>
      <c r="C69" s="166"/>
      <c r="D69" s="166"/>
      <c r="E69" s="166"/>
      <c r="F69" s="166"/>
    </row>
    <row r="70" spans="2:52" customFormat="1" ht="16.350000000000001" customHeight="1" thickBot="1">
      <c r="B70" s="166"/>
      <c r="C70" s="166"/>
      <c r="D70" s="166"/>
      <c r="E70" s="166"/>
      <c r="F70" s="166"/>
      <c r="H70" s="1622" t="s">
        <v>1817</v>
      </c>
      <c r="I70" s="1623"/>
      <c r="J70" s="1623"/>
      <c r="K70" s="1623"/>
      <c r="L70" s="1623"/>
      <c r="M70" s="1623"/>
      <c r="N70" s="1623"/>
      <c r="O70" s="1624"/>
      <c r="X70" s="1531" t="s">
        <v>1818</v>
      </c>
      <c r="Y70" s="1531"/>
      <c r="Z70" s="1531"/>
      <c r="AA70" s="1531"/>
      <c r="AB70" s="1531"/>
      <c r="AC70" s="1531"/>
      <c r="AD70" s="1531"/>
      <c r="AE70" s="1531"/>
      <c r="AF70" s="1531"/>
      <c r="AG70" s="1531"/>
      <c r="AH70" s="1531"/>
      <c r="AI70" s="1531"/>
      <c r="AJ70" s="1531"/>
      <c r="AN70" s="1574" t="s">
        <v>1819</v>
      </c>
      <c r="AO70" s="1574"/>
      <c r="AP70" s="1574"/>
      <c r="AQ70" s="1574"/>
      <c r="AR70" s="1574"/>
      <c r="AS70" s="1574"/>
      <c r="AT70" s="1574"/>
      <c r="AU70" s="1531"/>
      <c r="AV70" s="1531"/>
      <c r="AW70" s="1531"/>
      <c r="AX70" s="1531"/>
      <c r="AY70" s="1531"/>
      <c r="AZ70" s="1531"/>
    </row>
    <row r="71" spans="2:52" customFormat="1" ht="16.350000000000001" customHeight="1" thickBot="1">
      <c r="B71" s="166"/>
      <c r="C71" s="166"/>
      <c r="D71" s="166"/>
      <c r="E71" s="166"/>
      <c r="F71" s="166"/>
      <c r="H71" s="1587" t="s">
        <v>1820</v>
      </c>
      <c r="I71" s="1587"/>
      <c r="J71" s="1587"/>
      <c r="K71" s="1587"/>
      <c r="L71" s="1625" t="str">
        <f ca="1">IF(COMPTERMS=1,"Completed",IF(COMPTERMS&gt;0.7,"Almost!","Incomplete"))</f>
        <v>Incomplete</v>
      </c>
      <c r="M71" s="1625"/>
      <c r="N71" s="1625"/>
      <c r="O71" s="1625"/>
      <c r="X71" s="1525" t="s">
        <v>178</v>
      </c>
      <c r="Y71" s="1526"/>
      <c r="Z71" s="1526"/>
      <c r="AA71" s="1526"/>
      <c r="AB71" s="1526"/>
      <c r="AC71" s="1526"/>
      <c r="AD71" s="1527"/>
      <c r="AE71" s="1522"/>
      <c r="AF71" s="1523"/>
      <c r="AG71" s="1523"/>
      <c r="AH71" s="1523"/>
      <c r="AI71" s="1523"/>
      <c r="AJ71" s="1524"/>
      <c r="AN71" s="1525" t="s">
        <v>178</v>
      </c>
      <c r="AO71" s="1526"/>
      <c r="AP71" s="1526"/>
      <c r="AQ71" s="1526"/>
      <c r="AR71" s="1526"/>
      <c r="AS71" s="1526"/>
      <c r="AT71" s="1527"/>
      <c r="AU71" s="1522">
        <f>IF('M02-S02'!H11&lt;&gt;"","Please Review County",Incent_Total_Cap_All)</f>
        <v>0</v>
      </c>
      <c r="AV71" s="1523"/>
      <c r="AW71" s="1523"/>
      <c r="AX71" s="1523"/>
      <c r="AY71" s="1523"/>
      <c r="AZ71" s="1524"/>
    </row>
    <row r="72" spans="2:52" customFormat="1" ht="16.350000000000001" customHeight="1" thickBot="1">
      <c r="B72" s="166"/>
      <c r="C72" s="166"/>
      <c r="D72" s="166"/>
      <c r="E72" s="166"/>
      <c r="F72" s="166"/>
      <c r="H72" s="1587" t="s">
        <v>1821</v>
      </c>
      <c r="I72" s="1587"/>
      <c r="J72" s="1587"/>
      <c r="K72" s="1587"/>
      <c r="L72" s="1638">
        <f>M02S01F01</f>
        <v>0</v>
      </c>
      <c r="M72" s="1638"/>
      <c r="N72" s="1638"/>
      <c r="O72" s="1638"/>
      <c r="X72" s="1525" t="s">
        <v>1624</v>
      </c>
      <c r="Y72" s="1526"/>
      <c r="Z72" s="1526"/>
      <c r="AA72" s="1526"/>
      <c r="AB72" s="1526"/>
      <c r="AC72" s="1526"/>
      <c r="AD72" s="1527"/>
      <c r="AE72" s="1528"/>
      <c r="AF72" s="1529"/>
      <c r="AG72" s="1529"/>
      <c r="AH72" s="1529"/>
      <c r="AI72" s="1529"/>
      <c r="AJ72" s="1530"/>
      <c r="AN72" s="1525" t="s">
        <v>1624</v>
      </c>
      <c r="AO72" s="1526"/>
      <c r="AP72" s="1526"/>
      <c r="AQ72" s="1526"/>
      <c r="AR72" s="1526"/>
      <c r="AS72" s="1526"/>
      <c r="AT72" s="1527"/>
      <c r="AU72" s="1528">
        <f>kWh_Reported_Total_All</f>
        <v>0</v>
      </c>
      <c r="AV72" s="1529"/>
      <c r="AW72" s="1529"/>
      <c r="AX72" s="1529"/>
      <c r="AY72" s="1529"/>
      <c r="AZ72" s="1530"/>
    </row>
    <row r="73" spans="2:52" customFormat="1" ht="16.350000000000001" customHeight="1" thickBot="1">
      <c r="B73" s="166"/>
      <c r="C73" s="166"/>
      <c r="D73" s="166"/>
      <c r="E73" s="166"/>
      <c r="F73" s="166"/>
      <c r="H73" s="1587" t="s">
        <v>1031</v>
      </c>
      <c r="I73" s="1587"/>
      <c r="J73" s="1587"/>
      <c r="K73" s="1587"/>
      <c r="L73" s="1585" t="str">
        <f ca="1">IF(COMPTA=1,"Completed",IF(COMPTA&gt;0.7,"Almost!","Incomplete"))</f>
        <v>Incomplete</v>
      </c>
      <c r="M73" s="1585"/>
      <c r="N73" s="1585"/>
      <c r="O73" s="1585"/>
      <c r="X73" s="1525" t="s">
        <v>1822</v>
      </c>
      <c r="Y73" s="1526"/>
      <c r="Z73" s="1526"/>
      <c r="AA73" s="1526"/>
      <c r="AB73" s="1526"/>
      <c r="AC73" s="1526"/>
      <c r="AD73" s="1527"/>
      <c r="AE73" s="1534"/>
      <c r="AF73" s="1535"/>
      <c r="AG73" s="1535"/>
      <c r="AH73" s="1535"/>
      <c r="AI73" s="1535"/>
      <c r="AJ73" s="1536"/>
      <c r="AN73" s="1525" t="s">
        <v>1822</v>
      </c>
      <c r="AO73" s="1526"/>
      <c r="AP73" s="1526"/>
      <c r="AQ73" s="1526"/>
      <c r="AR73" s="1526"/>
      <c r="AS73" s="1526"/>
      <c r="AT73" s="1527"/>
      <c r="AU73" s="1534">
        <f>kW_Reported_Total_All</f>
        <v>0</v>
      </c>
      <c r="AV73" s="1535"/>
      <c r="AW73" s="1535"/>
      <c r="AX73" s="1535"/>
      <c r="AY73" s="1535"/>
      <c r="AZ73" s="1536"/>
    </row>
    <row r="74" spans="2:52" customFormat="1" ht="16.350000000000001" customHeight="1" thickBot="1">
      <c r="B74" s="166"/>
      <c r="C74" s="166"/>
      <c r="D74" s="166"/>
      <c r="E74" s="166"/>
      <c r="F74" s="166"/>
      <c r="H74" s="1587" t="s">
        <v>964</v>
      </c>
      <c r="I74" s="1587"/>
      <c r="J74" s="1587"/>
      <c r="K74" s="1587"/>
      <c r="L74" s="1621" t="str">
        <f ca="1">IF(COMPCUSTOMER=1,"Completed",IF(COMPCUSTOMER&gt;0.7,"Almost!","Incomplete"))</f>
        <v>Incomplete</v>
      </c>
      <c r="M74" s="1621"/>
      <c r="N74" s="1621"/>
      <c r="O74" s="1621"/>
      <c r="X74" s="1525" t="s">
        <v>1704</v>
      </c>
      <c r="Y74" s="1526"/>
      <c r="Z74" s="1526"/>
      <c r="AA74" s="1526"/>
      <c r="AB74" s="1526"/>
      <c r="AC74" s="1526"/>
      <c r="AD74" s="1527"/>
      <c r="AE74" s="1534"/>
      <c r="AF74" s="1535"/>
      <c r="AG74" s="1535"/>
      <c r="AH74" s="1535"/>
      <c r="AI74" s="1535"/>
      <c r="AJ74" s="1536"/>
      <c r="AN74" s="1525" t="s">
        <v>1704</v>
      </c>
      <c r="AO74" s="1526"/>
      <c r="AP74" s="1526"/>
      <c r="AQ74" s="1526"/>
      <c r="AR74" s="1526"/>
      <c r="AS74" s="1526"/>
      <c r="AT74" s="1527"/>
      <c r="AU74" s="1534">
        <f>SUM(EXPORT!AL:AL)</f>
        <v>0</v>
      </c>
      <c r="AV74" s="1535"/>
      <c r="AW74" s="1535"/>
      <c r="AX74" s="1535"/>
      <c r="AY74" s="1535"/>
      <c r="AZ74" s="1536"/>
    </row>
    <row r="75" spans="2:52" customFormat="1" ht="16.350000000000001" customHeight="1" thickBot="1">
      <c r="B75" s="166"/>
      <c r="C75" s="166"/>
      <c r="D75" s="166"/>
      <c r="E75" s="166"/>
      <c r="F75" s="166"/>
      <c r="H75" s="1587" t="s">
        <v>1823</v>
      </c>
      <c r="I75" s="1587"/>
      <c r="J75" s="1587"/>
      <c r="K75" s="1587"/>
      <c r="L75" s="1599" t="str">
        <f ca="1">IF(COMPBUILD=1,"Completed",IF(COMPBUILD&gt;0.7,"Almost!","Incomplete"))</f>
        <v>Incomplete</v>
      </c>
      <c r="M75" s="1599"/>
      <c r="N75" s="1599"/>
      <c r="O75" s="1599"/>
      <c r="X75" s="694" t="s">
        <v>1824</v>
      </c>
      <c r="Y75" s="695"/>
      <c r="Z75" s="695"/>
      <c r="AA75" s="695"/>
      <c r="AB75" s="695"/>
      <c r="AC75" s="695"/>
      <c r="AD75" s="696"/>
      <c r="AE75" s="1522"/>
      <c r="AF75" s="1523"/>
      <c r="AG75" s="1523"/>
      <c r="AH75" s="1523"/>
      <c r="AI75" s="1523"/>
      <c r="AJ75" s="1524"/>
      <c r="AN75" s="694" t="s">
        <v>1824</v>
      </c>
      <c r="AO75" s="695"/>
      <c r="AP75" s="695"/>
      <c r="AQ75" s="695"/>
      <c r="AR75" s="695"/>
      <c r="AS75" s="695"/>
      <c r="AT75" s="696"/>
      <c r="AU75" s="1522">
        <f>Cost_Material_All</f>
        <v>0</v>
      </c>
      <c r="AV75" s="1523"/>
      <c r="AW75" s="1523"/>
      <c r="AX75" s="1523"/>
      <c r="AY75" s="1523"/>
      <c r="AZ75" s="1524"/>
    </row>
    <row r="76" spans="2:52" customFormat="1" ht="16.350000000000001" customHeight="1" thickBot="1">
      <c r="B76" s="166"/>
      <c r="C76" s="166"/>
      <c r="D76" s="166"/>
      <c r="E76" s="166"/>
      <c r="F76" s="166"/>
      <c r="H76" s="1587" t="s">
        <v>261</v>
      </c>
      <c r="I76" s="1587"/>
      <c r="J76" s="1587"/>
      <c r="K76" s="1587"/>
      <c r="L76" s="1585" t="str">
        <f>IF(COMPMEASURE=1,"Completed",IF(COMPMEASURE&gt;0.7,"Almost!","Incomplete"))</f>
        <v>Incomplete</v>
      </c>
      <c r="M76" s="1585"/>
      <c r="N76" s="1585"/>
      <c r="O76" s="1585"/>
      <c r="X76" s="694" t="s">
        <v>223</v>
      </c>
      <c r="Y76" s="695"/>
      <c r="Z76" s="695"/>
      <c r="AA76" s="695"/>
      <c r="AB76" s="695"/>
      <c r="AC76" s="695"/>
      <c r="AD76" s="696"/>
      <c r="AE76" s="1522"/>
      <c r="AF76" s="1523"/>
      <c r="AG76" s="1523"/>
      <c r="AH76" s="1523"/>
      <c r="AI76" s="1523"/>
      <c r="AJ76" s="1524"/>
      <c r="AN76" s="694" t="s">
        <v>223</v>
      </c>
      <c r="AO76" s="695"/>
      <c r="AP76" s="695"/>
      <c r="AQ76" s="695"/>
      <c r="AR76" s="695"/>
      <c r="AS76" s="695"/>
      <c r="AT76" s="696"/>
      <c r="AU76" s="1522">
        <f>Cost_Labor_All</f>
        <v>0</v>
      </c>
      <c r="AV76" s="1523"/>
      <c r="AW76" s="1523"/>
      <c r="AX76" s="1523"/>
      <c r="AY76" s="1523"/>
      <c r="AZ76" s="1524"/>
    </row>
    <row r="77" spans="2:52" customFormat="1" ht="16.350000000000001" customHeight="1" thickBot="1">
      <c r="B77" s="166"/>
      <c r="C77" s="166"/>
      <c r="D77" s="166"/>
      <c r="E77" s="166"/>
      <c r="F77" s="166"/>
      <c r="H77" s="1587" t="s">
        <v>306</v>
      </c>
      <c r="I77" s="1587"/>
      <c r="J77" s="1587"/>
      <c r="K77" s="1587"/>
      <c r="L77" s="1585" t="str">
        <f ca="1">IF(COMPPAY=1,"Completed",IF(COMPPAY&gt;0.7,"Almost!","Incomplete"))</f>
        <v>Incomplete</v>
      </c>
      <c r="M77" s="1585"/>
      <c r="N77" s="1585"/>
      <c r="O77" s="1585"/>
      <c r="X77" s="1525" t="s">
        <v>224</v>
      </c>
      <c r="Y77" s="1526"/>
      <c r="Z77" s="1526"/>
      <c r="AA77" s="1526"/>
      <c r="AB77" s="1526"/>
      <c r="AC77" s="1526"/>
      <c r="AD77" s="1527"/>
      <c r="AE77" s="1522"/>
      <c r="AF77" s="1523"/>
      <c r="AG77" s="1523"/>
      <c r="AH77" s="1523"/>
      <c r="AI77" s="1523"/>
      <c r="AJ77" s="1524"/>
      <c r="AN77" s="1525" t="s">
        <v>224</v>
      </c>
      <c r="AO77" s="1526"/>
      <c r="AP77" s="1526"/>
      <c r="AQ77" s="1526"/>
      <c r="AR77" s="1526"/>
      <c r="AS77" s="1526"/>
      <c r="AT77" s="1527"/>
      <c r="AU77" s="1522">
        <f>Cost_Total_All</f>
        <v>0</v>
      </c>
      <c r="AV77" s="1523"/>
      <c r="AW77" s="1523"/>
      <c r="AX77" s="1523"/>
      <c r="AY77" s="1523"/>
      <c r="AZ77" s="1524"/>
    </row>
    <row r="78" spans="2:52" customFormat="1" ht="16.350000000000001" customHeight="1" thickBot="1">
      <c r="B78" s="166"/>
      <c r="C78" s="166"/>
      <c r="D78" s="166"/>
      <c r="E78" s="166"/>
      <c r="F78" s="166"/>
      <c r="H78" s="1588" t="s">
        <v>1825</v>
      </c>
      <c r="I78" s="1588"/>
      <c r="J78" s="1588"/>
      <c r="K78" s="1588"/>
      <c r="L78" s="1585" t="str">
        <f ca="1">IF(COMPOBR=1,"Completed",IF(COMPPAY&gt;0.7,"Almost!","Incomplete"))</f>
        <v>Incomplete</v>
      </c>
      <c r="M78" s="1585"/>
      <c r="N78" s="1585"/>
      <c r="O78" s="1585"/>
      <c r="X78" s="1525" t="s">
        <v>1455</v>
      </c>
      <c r="Y78" s="1526"/>
      <c r="Z78" s="1526"/>
      <c r="AA78" s="1526"/>
      <c r="AB78" s="1526"/>
      <c r="AC78" s="1526"/>
      <c r="AD78" s="1527"/>
      <c r="AE78" s="1522"/>
      <c r="AF78" s="1523"/>
      <c r="AG78" s="1523"/>
      <c r="AH78" s="1523"/>
      <c r="AI78" s="1523"/>
      <c r="AJ78" s="1524"/>
      <c r="AN78" s="1525" t="s">
        <v>1455</v>
      </c>
      <c r="AO78" s="1526"/>
      <c r="AP78" s="1526"/>
      <c r="AQ78" s="1526"/>
      <c r="AR78" s="1526"/>
      <c r="AS78" s="1526"/>
      <c r="AT78" s="1527"/>
      <c r="AU78" s="1528">
        <f>SUM(EXPORT!DV:DV)</f>
        <v>0</v>
      </c>
      <c r="AV78" s="1529"/>
      <c r="AW78" s="1529"/>
      <c r="AX78" s="1529"/>
      <c r="AY78" s="1529"/>
      <c r="AZ78" s="1530"/>
    </row>
    <row r="79" spans="2:52" customFormat="1" ht="16.350000000000001" customHeight="1" thickBot="1">
      <c r="B79" s="166"/>
      <c r="C79" s="166"/>
      <c r="D79" s="166"/>
      <c r="E79" s="166"/>
      <c r="F79" s="166"/>
      <c r="H79" s="1588" t="s">
        <v>1826</v>
      </c>
      <c r="I79" s="1588"/>
      <c r="J79" s="1588"/>
      <c r="K79" s="1588"/>
      <c r="L79" s="1585" t="str">
        <f ca="1">IF(COMPOBRAGREEMENT=1,"Completed",IF(COMPPAY&gt;0.7,"Almost!","Incomplete"))</f>
        <v>Incomplete</v>
      </c>
      <c r="M79" s="1585"/>
      <c r="N79" s="1585"/>
      <c r="O79" s="1585"/>
      <c r="X79" s="1525" t="s">
        <v>1457</v>
      </c>
      <c r="Y79" s="1526"/>
      <c r="Z79" s="1526"/>
      <c r="AA79" s="1526"/>
      <c r="AB79" s="1526"/>
      <c r="AC79" s="1526"/>
      <c r="AD79" s="1527"/>
      <c r="AE79" s="1528"/>
      <c r="AF79" s="1529"/>
      <c r="AG79" s="1529"/>
      <c r="AH79" s="1529"/>
      <c r="AI79" s="1529"/>
      <c r="AJ79" s="1530"/>
      <c r="AN79" s="1525" t="s">
        <v>1457</v>
      </c>
      <c r="AO79" s="1526"/>
      <c r="AP79" s="1526"/>
      <c r="AQ79" s="1526"/>
      <c r="AR79" s="1526"/>
      <c r="AS79" s="1526"/>
      <c r="AT79" s="1527"/>
      <c r="AU79" s="1528">
        <f>IF(COUNTIF(TEMPLATE!B257:B365,FALSE)&gt;0,"Warning Baseline Missing",SUM(EXPORT!DX:DX))</f>
        <v>0</v>
      </c>
      <c r="AV79" s="1529"/>
      <c r="AW79" s="1529"/>
      <c r="AX79" s="1529"/>
      <c r="AY79" s="1529"/>
      <c r="AZ79" s="1530"/>
    </row>
    <row r="80" spans="2:52" customFormat="1" ht="16.350000000000001" customHeight="1" thickBot="1">
      <c r="B80" s="166"/>
      <c r="C80" s="166"/>
      <c r="D80" s="166"/>
      <c r="E80" s="166"/>
      <c r="F80" s="166"/>
      <c r="H80" s="1588"/>
      <c r="I80" s="1588"/>
      <c r="J80" s="1588"/>
      <c r="K80" s="1588"/>
      <c r="L80" s="1585"/>
      <c r="M80" s="1585"/>
      <c r="N80" s="1585"/>
      <c r="O80" s="1585"/>
      <c r="X80" s="1525" t="s">
        <v>1827</v>
      </c>
      <c r="Y80" s="1526"/>
      <c r="Z80" s="1526"/>
      <c r="AA80" s="1526"/>
      <c r="AB80" s="1526"/>
      <c r="AC80" s="1526"/>
      <c r="AD80" s="1527"/>
      <c r="AE80" s="1528"/>
      <c r="AF80" s="1529"/>
      <c r="AG80" s="1529"/>
      <c r="AH80" s="1529"/>
      <c r="AI80" s="1529"/>
      <c r="AJ80" s="1530"/>
      <c r="AN80" s="1525" t="s">
        <v>1827</v>
      </c>
      <c r="AO80" s="1526"/>
      <c r="AP80" s="1526"/>
      <c r="AQ80" s="1526"/>
      <c r="AR80" s="1526"/>
      <c r="AS80" s="1526"/>
      <c r="AT80" s="1527"/>
      <c r="AU80" s="1534">
        <f>SUM(EXPORT!EC:EC)</f>
        <v>0</v>
      </c>
      <c r="AV80" s="1535"/>
      <c r="AW80" s="1535"/>
      <c r="AX80" s="1535"/>
      <c r="AY80" s="1535"/>
      <c r="AZ80" s="1536"/>
    </row>
    <row r="81" spans="2:52" customFormat="1" ht="16.350000000000001" customHeight="1" thickBot="1">
      <c r="B81" s="166"/>
      <c r="C81" s="166"/>
      <c r="D81" s="166"/>
      <c r="E81" s="166"/>
      <c r="F81" s="166"/>
      <c r="H81" s="1587"/>
      <c r="I81" s="1626"/>
      <c r="J81" s="1626"/>
      <c r="K81" s="1627"/>
      <c r="L81" s="1585"/>
      <c r="M81" s="1597"/>
      <c r="N81" s="1597"/>
      <c r="O81" s="1597"/>
      <c r="X81" s="1525" t="s">
        <v>1828</v>
      </c>
      <c r="Y81" s="1526"/>
      <c r="Z81" s="1526"/>
      <c r="AA81" s="1526"/>
      <c r="AB81" s="1526"/>
      <c r="AC81" s="1526"/>
      <c r="AD81" s="1527"/>
      <c r="AE81" s="1528"/>
      <c r="AF81" s="1529"/>
      <c r="AG81" s="1529"/>
      <c r="AH81" s="1529"/>
      <c r="AI81" s="1529"/>
      <c r="AJ81" s="1530"/>
      <c r="AN81" s="1525" t="s">
        <v>1828</v>
      </c>
      <c r="AO81" s="1526"/>
      <c r="AP81" s="1526"/>
      <c r="AQ81" s="1526"/>
      <c r="AR81" s="1526"/>
      <c r="AS81" s="1526"/>
      <c r="AT81" s="1527"/>
      <c r="AU81" s="1534">
        <f>IF(COUNTIF(TEMPLATE!B257:B365,FALSE)&gt;0,"Warning Baseline Missing",SUM(EXPORT!EE:EE))</f>
        <v>0</v>
      </c>
      <c r="AV81" s="1535"/>
      <c r="AW81" s="1535"/>
      <c r="AX81" s="1535"/>
      <c r="AY81" s="1535"/>
      <c r="AZ81" s="1536"/>
    </row>
    <row r="82" spans="2:52" customFormat="1" ht="16.350000000000001" customHeight="1" thickBot="1">
      <c r="B82" s="166"/>
      <c r="C82" s="166"/>
      <c r="D82" s="166"/>
      <c r="E82" s="166"/>
      <c r="F82" s="166"/>
      <c r="H82" s="690"/>
      <c r="I82" s="691"/>
      <c r="J82" s="691"/>
      <c r="K82" s="692"/>
      <c r="L82" s="689"/>
      <c r="M82" s="693"/>
      <c r="N82" s="693"/>
      <c r="O82" s="693"/>
      <c r="X82" s="1525" t="s">
        <v>1475</v>
      </c>
      <c r="Y82" s="1526"/>
      <c r="Z82" s="1526"/>
      <c r="AA82" s="1526"/>
      <c r="AB82" s="1526"/>
      <c r="AC82" s="1526"/>
      <c r="AD82" s="1527"/>
      <c r="AE82" s="1528"/>
      <c r="AF82" s="1529"/>
      <c r="AG82" s="1529"/>
      <c r="AH82" s="1529"/>
      <c r="AI82" s="1529"/>
      <c r="AJ82" s="1530"/>
      <c r="AN82" s="1525" t="s">
        <v>1475</v>
      </c>
      <c r="AO82" s="1526"/>
      <c r="AP82" s="1526"/>
      <c r="AQ82" s="1526"/>
      <c r="AR82" s="1526"/>
      <c r="AS82" s="1526"/>
      <c r="AT82" s="1527"/>
      <c r="AU82" s="1534">
        <f>IF(COUNTIF(TEMPLATE!B257:B365,FALSE)&gt;0,"Warning Baseline Missing",SUM(EXPORT!EP:EP))</f>
        <v>0</v>
      </c>
      <c r="AV82" s="1535"/>
      <c r="AW82" s="1535"/>
      <c r="AX82" s="1535"/>
      <c r="AY82" s="1535"/>
      <c r="AZ82" s="1536"/>
    </row>
    <row r="83" spans="2:52" customFormat="1" ht="16.350000000000001" customHeight="1" thickBot="1">
      <c r="B83" s="166"/>
      <c r="C83" s="166"/>
      <c r="D83" s="166"/>
      <c r="E83" s="166"/>
      <c r="F83" s="166"/>
      <c r="H83" s="1588"/>
      <c r="I83" s="1595"/>
      <c r="J83" s="1595"/>
      <c r="K83" s="1596"/>
      <c r="L83" s="1585"/>
      <c r="M83" s="1597"/>
      <c r="N83" s="1597"/>
      <c r="O83" s="1598"/>
      <c r="X83" s="1525" t="s">
        <v>1829</v>
      </c>
      <c r="Y83" s="1526"/>
      <c r="Z83" s="1526"/>
      <c r="AA83" s="1526"/>
      <c r="AB83" s="1526"/>
      <c r="AC83" s="1526"/>
      <c r="AD83" s="1527"/>
      <c r="AE83" s="1522"/>
      <c r="AF83" s="1523"/>
      <c r="AG83" s="1523"/>
      <c r="AH83" s="1523"/>
      <c r="AI83" s="1523"/>
      <c r="AJ83" s="1524"/>
      <c r="AN83" s="1525" t="s">
        <v>1829</v>
      </c>
      <c r="AO83" s="1526"/>
      <c r="AP83" s="1526"/>
      <c r="AQ83" s="1526"/>
      <c r="AR83" s="1526"/>
      <c r="AS83" s="1526"/>
      <c r="AT83" s="1527"/>
      <c r="AU83" s="1534">
        <f>SUM(EXPORT!EQ:EQ)</f>
        <v>0</v>
      </c>
      <c r="AV83" s="1535"/>
      <c r="AW83" s="1535"/>
      <c r="AX83" s="1535"/>
      <c r="AY83" s="1535"/>
      <c r="AZ83" s="1536"/>
    </row>
    <row r="84" spans="2:52" customFormat="1" ht="16.350000000000001" customHeight="1" thickBot="1"/>
    <row r="85" spans="2:52" customFormat="1" ht="16.350000000000001" customHeight="1" thickBot="1">
      <c r="X85" s="1531" t="s">
        <v>1830</v>
      </c>
      <c r="Y85" s="1531"/>
      <c r="Z85" s="1531"/>
      <c r="AA85" s="1531"/>
      <c r="AB85" s="1531"/>
      <c r="AC85" s="1531"/>
      <c r="AD85" s="1531"/>
      <c r="AE85" s="1531"/>
      <c r="AF85" s="1531"/>
      <c r="AG85" s="1531"/>
      <c r="AH85" s="1531"/>
      <c r="AI85" s="1531"/>
      <c r="AJ85" s="1531"/>
      <c r="AN85" s="1531" t="s">
        <v>1831</v>
      </c>
      <c r="AO85" s="1531"/>
      <c r="AP85" s="1531"/>
      <c r="AQ85" s="1531"/>
      <c r="AR85" s="1531"/>
      <c r="AS85" s="1531"/>
      <c r="AT85" s="1531"/>
      <c r="AU85" s="1531"/>
      <c r="AV85" s="1531"/>
      <c r="AW85" s="1531"/>
      <c r="AX85" s="1531"/>
      <c r="AY85" s="1531"/>
      <c r="AZ85" s="1531"/>
    </row>
    <row r="86" spans="2:52" customFormat="1" ht="16.350000000000001" customHeight="1" thickBot="1">
      <c r="X86" s="1532" t="s">
        <v>1832</v>
      </c>
      <c r="Y86" s="1532"/>
      <c r="Z86" s="1532"/>
      <c r="AA86" s="1532"/>
      <c r="AB86" s="1533"/>
      <c r="AC86" s="1533"/>
      <c r="AD86" s="1533"/>
      <c r="AE86" s="1533"/>
      <c r="AF86" s="1533"/>
      <c r="AG86" s="1533"/>
      <c r="AH86" s="1533"/>
      <c r="AI86" s="1533"/>
      <c r="AJ86" s="1533"/>
      <c r="AN86" s="1532" t="s">
        <v>1832</v>
      </c>
      <c r="AO86" s="1532"/>
      <c r="AP86" s="1532"/>
      <c r="AQ86" s="1532"/>
      <c r="AR86" s="1533"/>
      <c r="AS86" s="1533"/>
      <c r="AT86" s="1533"/>
      <c r="AU86" s="1533"/>
      <c r="AV86" s="1533"/>
      <c r="AW86" s="1533"/>
      <c r="AX86" s="1533"/>
      <c r="AY86" s="1533"/>
      <c r="AZ86" s="1533"/>
    </row>
    <row r="87" spans="2:52" customFormat="1" ht="16.350000000000001" customHeight="1" thickBot="1">
      <c r="X87" s="1532" t="s">
        <v>1833</v>
      </c>
      <c r="Y87" s="1532"/>
      <c r="Z87" s="1532"/>
      <c r="AA87" s="1532"/>
      <c r="AB87" s="1533"/>
      <c r="AC87" s="1533"/>
      <c r="AD87" s="1533"/>
      <c r="AE87" s="1533"/>
      <c r="AF87" s="1533"/>
      <c r="AG87" s="1533"/>
      <c r="AH87" s="1533"/>
      <c r="AI87" s="1533"/>
      <c r="AJ87" s="1533"/>
      <c r="AN87" s="1532" t="s">
        <v>1833</v>
      </c>
      <c r="AO87" s="1532"/>
      <c r="AP87" s="1532"/>
      <c r="AQ87" s="1532"/>
      <c r="AR87" s="1533"/>
      <c r="AS87" s="1533"/>
      <c r="AT87" s="1533"/>
      <c r="AU87" s="1533"/>
      <c r="AV87" s="1533"/>
      <c r="AW87" s="1533"/>
      <c r="AX87" s="1533"/>
      <c r="AY87" s="1533"/>
      <c r="AZ87" s="1533"/>
    </row>
    <row r="88" spans="2:52" customFormat="1" ht="16.350000000000001" customHeight="1" thickBot="1">
      <c r="X88" s="1532" t="s">
        <v>1834</v>
      </c>
      <c r="Y88" s="1532"/>
      <c r="Z88" s="1532"/>
      <c r="AA88" s="1532"/>
      <c r="AB88" s="1533"/>
      <c r="AC88" s="1533"/>
      <c r="AD88" s="1533"/>
      <c r="AE88" s="1533"/>
      <c r="AF88" s="1533"/>
      <c r="AG88" s="1533"/>
      <c r="AH88" s="1533"/>
      <c r="AI88" s="1533"/>
      <c r="AJ88" s="1533"/>
      <c r="AN88" s="1532" t="s">
        <v>1834</v>
      </c>
      <c r="AO88" s="1532"/>
      <c r="AP88" s="1532"/>
      <c r="AQ88" s="1532"/>
      <c r="AR88" s="1533"/>
      <c r="AS88" s="1533"/>
      <c r="AT88" s="1533"/>
      <c r="AU88" s="1533"/>
      <c r="AV88" s="1533"/>
      <c r="AW88" s="1533"/>
      <c r="AX88" s="1533"/>
      <c r="AY88" s="1533"/>
      <c r="AZ88" s="1533"/>
    </row>
    <row r="89" spans="2:52" customFormat="1" ht="16.350000000000001" customHeight="1" thickBot="1">
      <c r="X89" s="1532" t="s">
        <v>1835</v>
      </c>
      <c r="Y89" s="1532"/>
      <c r="Z89" s="1532"/>
      <c r="AA89" s="1532"/>
      <c r="AB89" s="1533"/>
      <c r="AC89" s="1533"/>
      <c r="AD89" s="1533"/>
      <c r="AE89" s="1533"/>
      <c r="AF89" s="1533"/>
      <c r="AG89" s="1533"/>
      <c r="AH89" s="1533"/>
      <c r="AI89" s="1533"/>
      <c r="AJ89" s="1533"/>
      <c r="AN89" s="1532" t="s">
        <v>1835</v>
      </c>
      <c r="AO89" s="1532"/>
      <c r="AP89" s="1532"/>
      <c r="AQ89" s="1532"/>
      <c r="AR89" s="1533"/>
      <c r="AS89" s="1533"/>
      <c r="AT89" s="1533"/>
      <c r="AU89" s="1533"/>
      <c r="AV89" s="1533"/>
      <c r="AW89" s="1533"/>
      <c r="AX89" s="1533"/>
      <c r="AY89" s="1533"/>
      <c r="AZ89" s="1533"/>
    </row>
    <row r="90" spans="2:52" customFormat="1" ht="16.350000000000001" customHeight="1" thickBot="1">
      <c r="X90" s="1532" t="s">
        <v>1836</v>
      </c>
      <c r="Y90" s="1532"/>
      <c r="Z90" s="1532"/>
      <c r="AA90" s="1532"/>
      <c r="AB90" s="1533"/>
      <c r="AC90" s="1533"/>
      <c r="AD90" s="1533"/>
      <c r="AE90" s="1533"/>
      <c r="AF90" s="1533"/>
      <c r="AG90" s="1533"/>
      <c r="AH90" s="1533"/>
      <c r="AI90" s="1533"/>
      <c r="AJ90" s="1533"/>
      <c r="AN90" s="1532" t="s">
        <v>1836</v>
      </c>
      <c r="AO90" s="1532"/>
      <c r="AP90" s="1532"/>
      <c r="AQ90" s="1532"/>
      <c r="AR90" s="1533"/>
      <c r="AS90" s="1533"/>
      <c r="AT90" s="1533"/>
      <c r="AU90" s="1533"/>
      <c r="AV90" s="1533"/>
      <c r="AW90" s="1533"/>
      <c r="AX90" s="1533"/>
      <c r="AY90" s="1533"/>
      <c r="AZ90" s="1533"/>
    </row>
    <row r="91" spans="2:52" customFormat="1" ht="16.350000000000001" customHeight="1" thickBot="1">
      <c r="X91" s="1532" t="s">
        <v>1837</v>
      </c>
      <c r="Y91" s="1532"/>
      <c r="Z91" s="1532"/>
      <c r="AA91" s="1532"/>
      <c r="AB91" s="1533"/>
      <c r="AC91" s="1533"/>
      <c r="AD91" s="1533"/>
      <c r="AE91" s="1533"/>
      <c r="AF91" s="1533"/>
      <c r="AG91" s="1533"/>
      <c r="AH91" s="1533"/>
      <c r="AI91" s="1533"/>
      <c r="AJ91" s="1533"/>
      <c r="AN91" s="1532" t="s">
        <v>1837</v>
      </c>
      <c r="AO91" s="1532"/>
      <c r="AP91" s="1532"/>
      <c r="AQ91" s="1532"/>
      <c r="AR91" s="1533"/>
      <c r="AS91" s="1533"/>
      <c r="AT91" s="1533"/>
      <c r="AU91" s="1533"/>
      <c r="AV91" s="1533"/>
      <c r="AW91" s="1533"/>
      <c r="AX91" s="1533"/>
      <c r="AY91" s="1533"/>
      <c r="AZ91" s="1533"/>
    </row>
    <row r="92" spans="2:52" customFormat="1" ht="16.350000000000001" customHeight="1" thickBot="1">
      <c r="X92" s="1532" t="s">
        <v>1838</v>
      </c>
      <c r="Y92" s="1532"/>
      <c r="Z92" s="1532"/>
      <c r="AA92" s="1532"/>
      <c r="AB92" s="1533"/>
      <c r="AC92" s="1533"/>
      <c r="AD92" s="1533"/>
      <c r="AE92" s="1533"/>
      <c r="AF92" s="1533"/>
      <c r="AG92" s="1533"/>
      <c r="AH92" s="1533"/>
      <c r="AI92" s="1533"/>
      <c r="AJ92" s="1533"/>
      <c r="AN92" s="1532" t="s">
        <v>1838</v>
      </c>
      <c r="AO92" s="1532"/>
      <c r="AP92" s="1532"/>
      <c r="AQ92" s="1532"/>
      <c r="AR92" s="1533"/>
      <c r="AS92" s="1533"/>
      <c r="AT92" s="1533"/>
      <c r="AU92" s="1533"/>
      <c r="AV92" s="1533"/>
      <c r="AW92" s="1533"/>
      <c r="AX92" s="1533"/>
      <c r="AY92" s="1533"/>
      <c r="AZ92" s="1533"/>
    </row>
    <row r="93" spans="2:52" customFormat="1" ht="16.350000000000001" customHeight="1" thickBot="1">
      <c r="X93" s="1532" t="s">
        <v>1839</v>
      </c>
      <c r="Y93" s="1532"/>
      <c r="Z93" s="1532"/>
      <c r="AA93" s="1532"/>
      <c r="AB93" s="1533"/>
      <c r="AC93" s="1533"/>
      <c r="AD93" s="1533"/>
      <c r="AE93" s="1533"/>
      <c r="AF93" s="1533"/>
      <c r="AG93" s="1533"/>
      <c r="AH93" s="1533"/>
      <c r="AI93" s="1533"/>
      <c r="AJ93" s="1533"/>
      <c r="AN93" s="1532" t="s">
        <v>1839</v>
      </c>
      <c r="AO93" s="1532"/>
      <c r="AP93" s="1532"/>
      <c r="AQ93" s="1532"/>
      <c r="AR93" s="1533"/>
      <c r="AS93" s="1533"/>
      <c r="AT93" s="1533"/>
      <c r="AU93" s="1533"/>
      <c r="AV93" s="1533"/>
      <c r="AW93" s="1533"/>
      <c r="AX93" s="1533"/>
      <c r="AY93" s="1533"/>
      <c r="AZ93" s="1533"/>
    </row>
    <row r="94" spans="2:52" customFormat="1" ht="16.350000000000001" customHeight="1" thickBot="1">
      <c r="X94" s="1532" t="s">
        <v>1840</v>
      </c>
      <c r="Y94" s="1532"/>
      <c r="Z94" s="1532"/>
      <c r="AA94" s="1532"/>
      <c r="AB94" s="1533"/>
      <c r="AC94" s="1533"/>
      <c r="AD94" s="1533"/>
      <c r="AE94" s="1533"/>
      <c r="AF94" s="1533"/>
      <c r="AG94" s="1533"/>
      <c r="AH94" s="1533"/>
      <c r="AI94" s="1533"/>
      <c r="AJ94" s="1533"/>
      <c r="AN94" s="1532" t="s">
        <v>1840</v>
      </c>
      <c r="AO94" s="1532"/>
      <c r="AP94" s="1532"/>
      <c r="AQ94" s="1532"/>
      <c r="AR94" s="1533"/>
      <c r="AS94" s="1533"/>
      <c r="AT94" s="1533"/>
      <c r="AU94" s="1533"/>
      <c r="AV94" s="1533"/>
      <c r="AW94" s="1533"/>
      <c r="AX94" s="1533"/>
      <c r="AY94" s="1533"/>
      <c r="AZ94" s="1533"/>
    </row>
    <row r="95" spans="2:52" customFormat="1" ht="16.350000000000001" customHeight="1" thickBot="1">
      <c r="X95" s="1532" t="s">
        <v>1841</v>
      </c>
      <c r="Y95" s="1532"/>
      <c r="Z95" s="1532"/>
      <c r="AA95" s="1532"/>
      <c r="AB95" s="1533"/>
      <c r="AC95" s="1533"/>
      <c r="AD95" s="1533"/>
      <c r="AE95" s="1533"/>
      <c r="AF95" s="1533"/>
      <c r="AG95" s="1533"/>
      <c r="AH95" s="1533"/>
      <c r="AI95" s="1533"/>
      <c r="AJ95" s="1533"/>
      <c r="AN95" s="1532" t="s">
        <v>1841</v>
      </c>
      <c r="AO95" s="1532"/>
      <c r="AP95" s="1532"/>
      <c r="AQ95" s="1532"/>
      <c r="AR95" s="1533"/>
      <c r="AS95" s="1533"/>
      <c r="AT95" s="1533"/>
      <c r="AU95" s="1533"/>
      <c r="AV95" s="1533"/>
      <c r="AW95" s="1533"/>
      <c r="AX95" s="1533"/>
      <c r="AY95" s="1533"/>
      <c r="AZ95" s="1533"/>
    </row>
    <row r="96" spans="2:52" customFormat="1" ht="16.350000000000001" customHeight="1" thickBot="1">
      <c r="X96" s="1532" t="s">
        <v>1842</v>
      </c>
      <c r="Y96" s="1532"/>
      <c r="Z96" s="1532"/>
      <c r="AA96" s="1532"/>
      <c r="AB96" s="1533"/>
      <c r="AC96" s="1533"/>
      <c r="AD96" s="1533"/>
      <c r="AE96" s="1533"/>
      <c r="AF96" s="1533"/>
      <c r="AG96" s="1533"/>
      <c r="AH96" s="1533"/>
      <c r="AI96" s="1533"/>
      <c r="AJ96" s="1533"/>
      <c r="AN96" s="1532" t="s">
        <v>1842</v>
      </c>
      <c r="AO96" s="1532"/>
      <c r="AP96" s="1532"/>
      <c r="AQ96" s="1532"/>
      <c r="AR96" s="1533"/>
      <c r="AS96" s="1533"/>
      <c r="AT96" s="1533"/>
      <c r="AU96" s="1533"/>
      <c r="AV96" s="1533"/>
      <c r="AW96" s="1533"/>
      <c r="AX96" s="1533"/>
      <c r="AY96" s="1533"/>
      <c r="AZ96" s="1533"/>
    </row>
    <row r="97" spans="24:52" customFormat="1" ht="16.350000000000001" customHeight="1" thickBot="1">
      <c r="X97" s="1532" t="s">
        <v>1843</v>
      </c>
      <c r="Y97" s="1532"/>
      <c r="Z97" s="1532"/>
      <c r="AA97" s="1532"/>
      <c r="AB97" s="1533"/>
      <c r="AC97" s="1533"/>
      <c r="AD97" s="1533"/>
      <c r="AE97" s="1533"/>
      <c r="AF97" s="1533"/>
      <c r="AG97" s="1533"/>
      <c r="AH97" s="1533"/>
      <c r="AI97" s="1533"/>
      <c r="AJ97" s="1533"/>
      <c r="AN97" s="1532" t="s">
        <v>1843</v>
      </c>
      <c r="AO97" s="1532"/>
      <c r="AP97" s="1532"/>
      <c r="AQ97" s="1532"/>
      <c r="AR97" s="1533"/>
      <c r="AS97" s="1533"/>
      <c r="AT97" s="1533"/>
      <c r="AU97" s="1533"/>
      <c r="AV97" s="1533"/>
      <c r="AW97" s="1533"/>
      <c r="AX97" s="1533"/>
      <c r="AY97" s="1533"/>
      <c r="AZ97" s="1533"/>
    </row>
    <row r="98" spans="24:52" customFormat="1" ht="16.350000000000001" customHeight="1" thickBot="1">
      <c r="X98" s="1532" t="s">
        <v>341</v>
      </c>
      <c r="Y98" s="1532"/>
      <c r="Z98" s="1532"/>
      <c r="AA98" s="1532"/>
      <c r="AB98" s="1533" t="str">
        <f>IF(SUM(AB86:AJ97)=0,"",SUM(AB86:AJ97))</f>
        <v/>
      </c>
      <c r="AC98" s="1533"/>
      <c r="AD98" s="1533"/>
      <c r="AE98" s="1533"/>
      <c r="AF98" s="1533"/>
      <c r="AG98" s="1533"/>
      <c r="AH98" s="1533"/>
      <c r="AI98" s="1533"/>
      <c r="AJ98" s="1533"/>
      <c r="AN98" s="1532" t="s">
        <v>341</v>
      </c>
      <c r="AO98" s="1532"/>
      <c r="AP98" s="1532"/>
      <c r="AQ98" s="1532"/>
      <c r="AR98" s="1533" t="str">
        <f>IF(SUM(AR86:AZ97)=0,"",SUM(AR86:AZ97))</f>
        <v/>
      </c>
      <c r="AS98" s="1533"/>
      <c r="AT98" s="1533"/>
      <c r="AU98" s="1533"/>
      <c r="AV98" s="1533"/>
      <c r="AW98" s="1533"/>
      <c r="AX98" s="1533"/>
      <c r="AY98" s="1533"/>
      <c r="AZ98" s="1533"/>
    </row>
    <row r="99" spans="24:52" customFormat="1" ht="16.350000000000001" customHeight="1"/>
    <row r="100" spans="24:52" customFormat="1" ht="16.350000000000001" hidden="1" customHeight="1"/>
    <row r="101" spans="24:52" customFormat="1" ht="16.350000000000001" hidden="1" customHeight="1"/>
    <row r="102" spans="24:52" customFormat="1" ht="16.350000000000001" hidden="1" customHeight="1"/>
    <row r="103" spans="24:52" customFormat="1" ht="16.350000000000001" hidden="1" customHeight="1"/>
    <row r="104" spans="24:52" customFormat="1" ht="16.350000000000001" hidden="1" customHeight="1"/>
    <row r="105" spans="24:52" customFormat="1" ht="16.350000000000001" hidden="1" customHeight="1"/>
    <row r="106" spans="24:52" customFormat="1" ht="16.350000000000001" hidden="1" customHeight="1"/>
    <row r="107" spans="24:52" customFormat="1" ht="16.350000000000001" hidden="1" customHeight="1"/>
    <row r="108" spans="24:52" customFormat="1" ht="16.350000000000001" hidden="1" customHeight="1"/>
    <row r="109" spans="24:52" customFormat="1" ht="16.350000000000001" hidden="1" customHeight="1"/>
    <row r="110" spans="24:52" customFormat="1" ht="16.350000000000001" hidden="1" customHeight="1"/>
    <row r="111" spans="24:52" customFormat="1" ht="16.350000000000001" hidden="1" customHeight="1"/>
    <row r="112" spans="24:52" customFormat="1" ht="16.350000000000001" hidden="1" customHeight="1"/>
    <row r="113" customFormat="1" ht="16.350000000000001" hidden="1" customHeight="1"/>
    <row r="114" customFormat="1" ht="16.350000000000001" hidden="1" customHeight="1"/>
    <row r="115" customFormat="1" ht="16.350000000000001" hidden="1" customHeight="1"/>
    <row r="116" customFormat="1" ht="16.350000000000001" hidden="1" customHeight="1"/>
    <row r="117" customFormat="1" ht="16.350000000000001" hidden="1" customHeight="1"/>
    <row r="118" customFormat="1" ht="16.350000000000001" hidden="1" customHeight="1"/>
    <row r="119" customFormat="1" ht="16.350000000000001" hidden="1" customHeight="1"/>
    <row r="120" customFormat="1" ht="16.350000000000001" hidden="1" customHeight="1"/>
    <row r="121" customFormat="1" ht="16.350000000000001" hidden="1" customHeight="1"/>
    <row r="122" customFormat="1" ht="16.350000000000001" hidden="1" customHeight="1"/>
    <row r="123" customFormat="1" ht="16.350000000000001" hidden="1" customHeight="1"/>
    <row r="124" customFormat="1" ht="16.350000000000001" hidden="1" customHeight="1"/>
    <row r="125" customFormat="1" ht="16.350000000000001" hidden="1" customHeight="1"/>
    <row r="126" customFormat="1" ht="16.350000000000001" hidden="1" customHeight="1"/>
    <row r="127" customFormat="1" ht="16.350000000000001" hidden="1" customHeight="1"/>
    <row r="128" customFormat="1" ht="16.350000000000001" hidden="1" customHeight="1"/>
    <row r="129" customFormat="1" ht="16.350000000000001" hidden="1" customHeight="1"/>
    <row r="130" customFormat="1" ht="16.350000000000001" hidden="1" customHeight="1"/>
    <row r="131" customFormat="1" ht="16.350000000000001" hidden="1" customHeight="1"/>
    <row r="132" customFormat="1" ht="16.350000000000001" hidden="1" customHeight="1"/>
    <row r="133" customFormat="1" ht="16.350000000000001" hidden="1" customHeight="1"/>
    <row r="134" customFormat="1" ht="16.350000000000001" hidden="1" customHeight="1"/>
    <row r="135" customFormat="1" ht="16.350000000000001" hidden="1" customHeight="1"/>
    <row r="136" customFormat="1" ht="16.350000000000001" hidden="1" customHeight="1"/>
    <row r="137" customFormat="1" ht="16.350000000000001" hidden="1" customHeight="1"/>
    <row r="138" customFormat="1" ht="16.350000000000001" hidden="1" customHeight="1"/>
    <row r="139" customFormat="1" ht="16.350000000000001" hidden="1" customHeight="1"/>
    <row r="140" customFormat="1" ht="16.350000000000001" hidden="1" customHeight="1"/>
    <row r="141" customFormat="1" ht="16.350000000000001" hidden="1" customHeight="1"/>
    <row r="142" customFormat="1" ht="16.350000000000001" hidden="1" customHeight="1"/>
    <row r="143" customFormat="1" ht="16.350000000000001" hidden="1" customHeight="1"/>
    <row r="144" customFormat="1" ht="16.350000000000001" hidden="1" customHeight="1"/>
    <row r="145" customFormat="1" ht="16.350000000000001" hidden="1" customHeight="1"/>
    <row r="146" customFormat="1" ht="16.350000000000001" hidden="1" customHeight="1"/>
    <row r="147" customFormat="1" ht="16.350000000000001" hidden="1" customHeight="1"/>
    <row r="148" customFormat="1" ht="16.350000000000001" hidden="1" customHeight="1"/>
    <row r="149" customFormat="1" ht="16.350000000000001" hidden="1" customHeight="1"/>
    <row r="150" customFormat="1" ht="16.350000000000001" hidden="1" customHeight="1"/>
    <row r="151" customFormat="1" ht="16.350000000000001" hidden="1" customHeight="1"/>
    <row r="152" customFormat="1" ht="16.350000000000001" hidden="1" customHeight="1"/>
    <row r="153" customFormat="1" ht="16.350000000000001" hidden="1" customHeight="1"/>
    <row r="154" customFormat="1" ht="16.350000000000001" hidden="1" customHeight="1"/>
    <row r="155" customFormat="1" ht="16.350000000000001" hidden="1" customHeight="1"/>
    <row r="156" customFormat="1" ht="16.350000000000001" hidden="1" customHeight="1"/>
    <row r="157" customFormat="1" ht="16.350000000000001" hidden="1" customHeight="1"/>
    <row r="158" customFormat="1" ht="16.350000000000001" hidden="1" customHeight="1"/>
    <row r="159" customFormat="1" ht="16.350000000000001" hidden="1" customHeight="1"/>
    <row r="160" customFormat="1" ht="16.350000000000001" hidden="1" customHeight="1"/>
    <row r="161" customFormat="1" ht="16.350000000000001" hidden="1" customHeight="1"/>
    <row r="162" customFormat="1" ht="16.350000000000001" hidden="1" customHeight="1"/>
    <row r="163" customFormat="1" ht="16.350000000000001" hidden="1" customHeight="1"/>
    <row r="164" customFormat="1" ht="16.350000000000001" hidden="1" customHeight="1"/>
    <row r="165" customFormat="1" ht="16.350000000000001" hidden="1" customHeight="1"/>
    <row r="166" customFormat="1" ht="16.350000000000001" hidden="1" customHeight="1"/>
    <row r="167" customFormat="1" ht="16.350000000000001" hidden="1" customHeight="1"/>
    <row r="168" customFormat="1" ht="16.350000000000001" hidden="1" customHeight="1"/>
    <row r="169" customFormat="1" ht="16.350000000000001" hidden="1" customHeight="1"/>
    <row r="170" customFormat="1" ht="16.350000000000001" hidden="1" customHeight="1"/>
    <row r="171" customFormat="1" ht="16.350000000000001" hidden="1" customHeight="1"/>
    <row r="172" customFormat="1" ht="16.350000000000001" hidden="1" customHeight="1"/>
    <row r="173" customFormat="1" ht="16.350000000000001" hidden="1" customHeight="1"/>
    <row r="174" customFormat="1" ht="16.350000000000001" hidden="1" customHeight="1"/>
    <row r="175" customFormat="1" ht="16.350000000000001" hidden="1" customHeight="1"/>
    <row r="176" customFormat="1" ht="16.350000000000001" hidden="1" customHeight="1"/>
    <row r="177" spans="13:48" customFormat="1" ht="16.350000000000001" hidden="1" customHeight="1"/>
    <row r="178" spans="13:48" customFormat="1" ht="12.75" hidden="1" customHeight="1"/>
    <row r="179" spans="13:48" customFormat="1" ht="16.350000000000001" hidden="1" customHeight="1"/>
    <row r="180" spans="13:48" customFormat="1" ht="16.350000000000001" hidden="1" customHeight="1"/>
    <row r="181" spans="13:48" customFormat="1" ht="16.350000000000001" hidden="1" customHeight="1"/>
    <row r="182" spans="13:48" customFormat="1" ht="16.350000000000001" hidden="1" customHeight="1"/>
    <row r="183" spans="13:48" customFormat="1" ht="16.350000000000001" hidden="1" customHeight="1"/>
    <row r="184" spans="13:48" customFormat="1" ht="16.350000000000001" hidden="1" customHeight="1"/>
    <row r="185" spans="13:48" customFormat="1" ht="16.350000000000001" hidden="1" customHeight="1"/>
    <row r="186" spans="13:48" customFormat="1" ht="16.350000000000001" hidden="1" customHeight="1"/>
    <row r="187" spans="13:48" customFormat="1" ht="16.350000000000001" hidden="1" customHeight="1"/>
    <row r="188" spans="13:48" customFormat="1" ht="16.350000000000001" hidden="1" customHeight="1"/>
    <row r="189" spans="13:48" customFormat="1" ht="16.350000000000001" hidden="1" customHeight="1">
      <c r="M189" s="919"/>
      <c r="N189" s="919"/>
      <c r="O189" s="919"/>
      <c r="P189" s="919"/>
      <c r="Q189" s="919"/>
      <c r="R189" s="919"/>
      <c r="S189" s="919"/>
      <c r="T189" s="919"/>
      <c r="U189" s="919"/>
      <c r="V189" s="919"/>
      <c r="W189" s="919"/>
      <c r="X189" s="919"/>
      <c r="Y189" s="919"/>
      <c r="Z189" s="919"/>
      <c r="AA189" s="919"/>
      <c r="AB189" s="919"/>
      <c r="AC189" s="919"/>
      <c r="AD189" s="919"/>
      <c r="AE189" s="919"/>
      <c r="AF189" s="919"/>
      <c r="AG189" s="919"/>
      <c r="AH189" s="919"/>
      <c r="AI189" s="919"/>
      <c r="AJ189" s="919"/>
      <c r="AK189" s="919"/>
      <c r="AL189" s="919"/>
      <c r="AM189" s="919"/>
      <c r="AN189" s="919"/>
      <c r="AO189" s="919"/>
      <c r="AP189" s="919"/>
      <c r="AQ189" s="919"/>
      <c r="AR189" s="919"/>
      <c r="AS189" s="919"/>
      <c r="AT189" s="919"/>
      <c r="AU189" s="919"/>
    </row>
    <row r="190" spans="13:48" customFormat="1" ht="16.350000000000001" hidden="1" customHeight="1">
      <c r="M190" s="919"/>
      <c r="N190" s="919"/>
      <c r="O190" s="919"/>
      <c r="P190" s="919"/>
      <c r="Q190" s="919"/>
      <c r="R190" s="919"/>
      <c r="S190" s="919"/>
      <c r="T190" s="919"/>
      <c r="U190" s="919"/>
      <c r="V190" s="919"/>
      <c r="W190" s="919"/>
      <c r="X190" s="919"/>
      <c r="Y190" s="919"/>
      <c r="Z190" s="919"/>
      <c r="AA190" s="919"/>
      <c r="AB190" s="919"/>
      <c r="AC190" s="919"/>
      <c r="AD190" s="919"/>
      <c r="AE190" s="919"/>
      <c r="AF190" s="919"/>
      <c r="AG190" s="919"/>
      <c r="AH190" s="919"/>
      <c r="AI190" s="919"/>
      <c r="AJ190" s="919"/>
      <c r="AK190" s="919"/>
      <c r="AL190" s="919"/>
      <c r="AM190" s="919"/>
      <c r="AN190" s="919"/>
      <c r="AO190" s="919"/>
      <c r="AP190" s="919"/>
      <c r="AQ190" s="919"/>
      <c r="AR190" s="919"/>
      <c r="AS190" s="919"/>
      <c r="AT190" s="919"/>
      <c r="AU190" s="919"/>
    </row>
    <row r="191" spans="13:48" customFormat="1" ht="16.350000000000001" hidden="1" customHeight="1">
      <c r="M191" s="919"/>
      <c r="N191" s="919"/>
      <c r="O191" s="919"/>
      <c r="P191" s="919"/>
      <c r="Q191" s="919"/>
      <c r="R191" s="919"/>
      <c r="S191" s="919"/>
      <c r="T191" s="919"/>
      <c r="U191" s="919"/>
      <c r="V191" s="919"/>
      <c r="W191" s="919"/>
      <c r="X191" s="919"/>
      <c r="Y191" s="919"/>
      <c r="Z191" s="919"/>
      <c r="AA191" s="919"/>
      <c r="AB191" s="919"/>
      <c r="AC191" s="919"/>
      <c r="AD191" s="919"/>
      <c r="AE191" s="919"/>
      <c r="AF191" s="919"/>
      <c r="AG191" s="919"/>
      <c r="AH191" s="919"/>
      <c r="AI191" s="919"/>
      <c r="AJ191" s="919"/>
      <c r="AK191" s="919"/>
      <c r="AL191" s="919"/>
      <c r="AM191" s="919"/>
      <c r="AN191" s="919"/>
      <c r="AO191" s="919"/>
      <c r="AP191" s="919"/>
      <c r="AQ191" s="919"/>
      <c r="AR191" s="919"/>
      <c r="AS191" s="919"/>
      <c r="AT191" s="919"/>
      <c r="AU191" s="919"/>
      <c r="AV191" s="919"/>
    </row>
    <row r="192" spans="13:48" customFormat="1" ht="15.75" hidden="1" customHeight="1"/>
    <row r="193" spans="1:61" ht="16.350000000000001" hidden="1" customHeigh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row>
    <row r="194" spans="1:61" ht="16.350000000000001" hidden="1" customHeigh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row>
    <row r="195" spans="1:61" ht="16.350000000000001" hidden="1"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row>
    <row r="196" spans="1:61" ht="15" hidden="1"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row>
    <row r="197" spans="1:61" ht="15" hidden="1" customHeigh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row>
    <row r="198" spans="1:61" ht="15" hidden="1" customHeigh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row>
    <row r="199" spans="1:61" ht="15" hidden="1" customHeigh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row>
    <row r="200" spans="1:61" ht="15" hidden="1" customHeigh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row>
    <row r="201" spans="1:61" ht="15" hidden="1" customHeigh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row>
    <row r="202" spans="1:61" s="182" customFormat="1" ht="16.350000000000001" customHeight="1">
      <c r="A202" s="504"/>
      <c r="B202" s="504" t="str">
        <f>FOOT1</f>
        <v>PSE&amp;G C&amp;I Energy Efficiency Program</v>
      </c>
      <c r="C202" s="504"/>
      <c r="D202" s="504"/>
      <c r="E202" s="504"/>
      <c r="F202" s="504"/>
      <c r="G202" s="504"/>
      <c r="H202" s="504"/>
      <c r="I202" s="504"/>
      <c r="J202" s="504"/>
      <c r="K202" s="504"/>
      <c r="L202" s="504"/>
      <c r="M202" s="504"/>
      <c r="N202" s="504"/>
      <c r="O202" s="504"/>
      <c r="P202" s="504"/>
      <c r="Q202" s="504"/>
      <c r="R202" s="721" t="s">
        <v>137</v>
      </c>
      <c r="S202" s="721"/>
      <c r="T202" s="721"/>
      <c r="U202" s="721"/>
      <c r="V202" s="721"/>
      <c r="W202" s="721"/>
      <c r="X202" s="721"/>
      <c r="Y202" s="721"/>
      <c r="Z202" s="721"/>
      <c r="AA202" s="721"/>
      <c r="AB202" s="721"/>
      <c r="AC202" s="721"/>
      <c r="AD202" s="721"/>
      <c r="AE202" s="721"/>
      <c r="AF202" s="721"/>
      <c r="AG202" s="721"/>
      <c r="AH202" s="721"/>
      <c r="AI202" s="721"/>
      <c r="AJ202" s="721"/>
      <c r="AK202" s="721"/>
      <c r="AL202" s="721"/>
      <c r="AM202" s="721"/>
      <c r="AN202" s="721"/>
      <c r="AO202" s="721"/>
      <c r="AP202" s="721"/>
      <c r="AQ202" s="721"/>
      <c r="AR202" s="721"/>
      <c r="AS202" s="504"/>
      <c r="AT202" s="504"/>
      <c r="AU202" s="504"/>
      <c r="AV202" s="504"/>
      <c r="AW202" s="504"/>
      <c r="AX202" s="504"/>
      <c r="AY202" s="504"/>
      <c r="AZ202" s="504"/>
      <c r="BA202" s="504"/>
      <c r="BB202" s="504"/>
      <c r="BC202" s="504"/>
      <c r="BD202" s="504"/>
      <c r="BE202" s="701"/>
      <c r="BF202" s="701" t="str">
        <f>FOOT4</f>
        <v>Engineered Solutions Tier 2 Advance Custom Incentive Application</v>
      </c>
      <c r="BG202" s="522"/>
      <c r="BH202" s="522"/>
      <c r="BI202" s="522"/>
    </row>
    <row r="203" spans="1:61" s="182" customFormat="1" ht="16.350000000000001" customHeight="1">
      <c r="A203" s="504"/>
      <c r="B203" s="504" t="str">
        <f>FOOT2</f>
        <v>1-844-300-PSEG (7734)</v>
      </c>
      <c r="C203" s="504"/>
      <c r="D203" s="504"/>
      <c r="E203" s="504"/>
      <c r="F203" s="504"/>
      <c r="G203" s="504"/>
      <c r="H203" s="504"/>
      <c r="I203" s="504"/>
      <c r="J203" s="504"/>
      <c r="K203" s="504"/>
      <c r="L203" s="504"/>
      <c r="M203" s="504"/>
      <c r="N203" s="504"/>
      <c r="O203" s="504"/>
      <c r="P203" s="504"/>
      <c r="Q203" s="504"/>
      <c r="R203" s="721"/>
      <c r="S203" s="721"/>
      <c r="T203" s="721"/>
      <c r="U203" s="721"/>
      <c r="V203" s="721"/>
      <c r="W203" s="721"/>
      <c r="X203" s="721"/>
      <c r="Y203" s="721"/>
      <c r="Z203" s="721"/>
      <c r="AA203" s="721"/>
      <c r="AB203" s="721"/>
      <c r="AC203" s="721"/>
      <c r="AD203" s="721"/>
      <c r="AE203" s="721"/>
      <c r="AF203" s="721"/>
      <c r="AG203" s="721"/>
      <c r="AH203" s="721"/>
      <c r="AI203" s="721"/>
      <c r="AJ203" s="721"/>
      <c r="AK203" s="721"/>
      <c r="AL203" s="721"/>
      <c r="AM203" s="721"/>
      <c r="AN203" s="721"/>
      <c r="AO203" s="721"/>
      <c r="AP203" s="721"/>
      <c r="AQ203" s="721"/>
      <c r="AR203" s="721"/>
      <c r="AS203" s="504"/>
      <c r="AT203" s="504"/>
      <c r="AU203" s="504"/>
      <c r="AV203" s="504"/>
      <c r="AW203" s="504"/>
      <c r="AX203" s="504"/>
      <c r="AY203" s="504"/>
      <c r="AZ203" s="504"/>
      <c r="BA203" s="504"/>
      <c r="BB203" s="504"/>
      <c r="BC203" s="504"/>
      <c r="BD203" s="504"/>
      <c r="BE203" s="701"/>
      <c r="BF203" s="701"/>
      <c r="BG203" s="522"/>
      <c r="BH203" s="522"/>
      <c r="BI203" s="522"/>
    </row>
    <row r="204" spans="1:61" s="182" customFormat="1" ht="16.350000000000001" customHeight="1">
      <c r="A204" s="504"/>
      <c r="B204" s="504" t="str">
        <f>FOOT3</f>
        <v>PSEGenergysaver@TRCcompanies.com</v>
      </c>
      <c r="C204" s="504"/>
      <c r="D204" s="504"/>
      <c r="E204" s="504"/>
      <c r="F204" s="504"/>
      <c r="G204" s="504"/>
      <c r="H204" s="504"/>
      <c r="I204" s="504"/>
      <c r="J204" s="504"/>
      <c r="K204" s="504"/>
      <c r="L204" s="504"/>
      <c r="M204" s="504"/>
      <c r="N204" s="504"/>
      <c r="O204" s="504"/>
      <c r="P204" s="504"/>
      <c r="Q204" s="504"/>
      <c r="R204" s="504"/>
      <c r="S204" s="504"/>
      <c r="T204" s="504"/>
      <c r="U204" s="504"/>
      <c r="V204" s="504"/>
      <c r="W204" s="504"/>
      <c r="X204" s="504"/>
      <c r="Y204" s="504"/>
      <c r="Z204" s="504"/>
      <c r="AA204" s="504"/>
      <c r="AB204" s="504"/>
      <c r="AC204" s="504"/>
      <c r="AD204" s="702" t="str">
        <f>VERSION</f>
        <v>V1.0          Effective Date 1/1/25</v>
      </c>
      <c r="AE204" s="504"/>
      <c r="AF204" s="504"/>
      <c r="AG204" s="504"/>
      <c r="AH204" s="504"/>
      <c r="AI204" s="504"/>
      <c r="AJ204" s="504"/>
      <c r="AK204" s="504"/>
      <c r="AL204" s="504"/>
      <c r="AM204" s="504"/>
      <c r="AN204" s="504"/>
      <c r="AO204" s="504"/>
      <c r="AP204" s="504"/>
      <c r="AQ204" s="504"/>
      <c r="AR204" s="504"/>
      <c r="AS204" s="504"/>
      <c r="AT204" s="504"/>
      <c r="AU204" s="504"/>
      <c r="AV204" s="504"/>
      <c r="AW204" s="504"/>
      <c r="AX204" s="504"/>
      <c r="AY204" s="504"/>
      <c r="AZ204" s="504"/>
      <c r="BA204" s="504"/>
      <c r="BB204" s="504"/>
      <c r="BC204" s="504"/>
      <c r="BD204" s="504"/>
      <c r="BE204" s="701"/>
      <c r="BF204" s="701" t="str">
        <f>FOOT6</f>
        <v>This is a TRC tool</v>
      </c>
      <c r="BG204" s="522"/>
      <c r="BH204" s="522"/>
      <c r="BI204" s="522"/>
    </row>
  </sheetData>
  <sheetProtection algorithmName="SHA-512" hashValue="BurbQzYS/uJj1qlmEeiIUkBAiMe9VXIGPg1AuAF/BEJLp4jb851c58ZE5RN4RwAMa9bQlD3m6ValhpvfMkKp4Q==" saltValue="bEzPIAld5mGD74DlQJ6CHg==" spinCount="100000" sheet="1" objects="1" scenarios="1"/>
  <mergeCells count="438">
    <mergeCell ref="BG5:BI7"/>
    <mergeCell ref="BG8:BI8"/>
    <mergeCell ref="AN1:AQ3"/>
    <mergeCell ref="AR1:AU3"/>
    <mergeCell ref="AV1:AY3"/>
    <mergeCell ref="AZ1:BE3"/>
    <mergeCell ref="BF1:BI3"/>
    <mergeCell ref="AN95:AQ95"/>
    <mergeCell ref="AR95:AZ95"/>
    <mergeCell ref="AN85:AZ85"/>
    <mergeCell ref="AN86:AQ86"/>
    <mergeCell ref="AR86:AZ86"/>
    <mergeCell ref="AN87:AQ87"/>
    <mergeCell ref="AR87:AZ87"/>
    <mergeCell ref="AN88:AQ88"/>
    <mergeCell ref="AR88:AZ88"/>
    <mergeCell ref="AN89:AQ89"/>
    <mergeCell ref="AR89:AZ89"/>
    <mergeCell ref="AN90:AQ90"/>
    <mergeCell ref="AR90:AZ90"/>
    <mergeCell ref="AN91:AQ91"/>
    <mergeCell ref="AR91:AZ91"/>
    <mergeCell ref="AN92:AQ92"/>
    <mergeCell ref="AR92:AZ92"/>
    <mergeCell ref="AN96:AQ96"/>
    <mergeCell ref="AR96:AZ96"/>
    <mergeCell ref="AN97:AQ97"/>
    <mergeCell ref="AR97:AZ97"/>
    <mergeCell ref="X98:AA98"/>
    <mergeCell ref="AB98:AJ98"/>
    <mergeCell ref="AN98:AQ98"/>
    <mergeCell ref="AR98:AZ98"/>
    <mergeCell ref="X95:AA95"/>
    <mergeCell ref="AB95:AJ95"/>
    <mergeCell ref="X96:AA96"/>
    <mergeCell ref="AB96:AJ96"/>
    <mergeCell ref="X97:AA97"/>
    <mergeCell ref="AB97:AJ97"/>
    <mergeCell ref="AB88:AJ88"/>
    <mergeCell ref="X89:AA89"/>
    <mergeCell ref="AB89:AJ89"/>
    <mergeCell ref="AN93:AQ93"/>
    <mergeCell ref="AR93:AZ93"/>
    <mergeCell ref="AN94:AQ94"/>
    <mergeCell ref="AR94:AZ94"/>
    <mergeCell ref="X90:AA90"/>
    <mergeCell ref="AB90:AJ90"/>
    <mergeCell ref="X91:AA91"/>
    <mergeCell ref="AB91:AJ91"/>
    <mergeCell ref="X92:AA92"/>
    <mergeCell ref="AB92:AJ92"/>
    <mergeCell ref="X93:AA93"/>
    <mergeCell ref="AB93:AJ93"/>
    <mergeCell ref="X94:AA94"/>
    <mergeCell ref="AB94:AJ94"/>
    <mergeCell ref="X88:AA88"/>
    <mergeCell ref="N1:Q3"/>
    <mergeCell ref="AQ16:AZ16"/>
    <mergeCell ref="AQ23:AT23"/>
    <mergeCell ref="W17:AD17"/>
    <mergeCell ref="W18:AD18"/>
    <mergeCell ref="W19:AD19"/>
    <mergeCell ref="W20:AD20"/>
    <mergeCell ref="W21:AD21"/>
    <mergeCell ref="W22:AD22"/>
    <mergeCell ref="W23:AD23"/>
    <mergeCell ref="AF22:AO22"/>
    <mergeCell ref="AF16:AO16"/>
    <mergeCell ref="AF23:AO28"/>
    <mergeCell ref="G9:AY10"/>
    <mergeCell ref="AQ12:AZ14"/>
    <mergeCell ref="G12:G14"/>
    <mergeCell ref="H18:K18"/>
    <mergeCell ref="H19:K19"/>
    <mergeCell ref="L18:Q18"/>
    <mergeCell ref="L19:Q19"/>
    <mergeCell ref="S16:AD16"/>
    <mergeCell ref="S28:V28"/>
    <mergeCell ref="W28:AD28"/>
    <mergeCell ref="AU19:AZ19"/>
    <mergeCell ref="BN17:BS17"/>
    <mergeCell ref="AQ26:AZ26"/>
    <mergeCell ref="AR36:AV36"/>
    <mergeCell ref="AW36:AZ36"/>
    <mergeCell ref="AN37:AQ37"/>
    <mergeCell ref="X34:AA34"/>
    <mergeCell ref="AB34:AJ34"/>
    <mergeCell ref="AU27:AZ27"/>
    <mergeCell ref="AU28:AZ28"/>
    <mergeCell ref="AU30:AZ30"/>
    <mergeCell ref="W24:AD24"/>
    <mergeCell ref="AN36:AQ36"/>
    <mergeCell ref="AR34:AZ34"/>
    <mergeCell ref="AR35:AV35"/>
    <mergeCell ref="AW35:AX35"/>
    <mergeCell ref="AR37:AZ37"/>
    <mergeCell ref="X33:AA33"/>
    <mergeCell ref="AB33:AJ33"/>
    <mergeCell ref="X36:AA36"/>
    <mergeCell ref="AB36:AF36"/>
    <mergeCell ref="AG36:AJ36"/>
    <mergeCell ref="AQ29:AT29"/>
    <mergeCell ref="AU29:AZ29"/>
    <mergeCell ref="AQ22:AT22"/>
    <mergeCell ref="BJ17:BM17"/>
    <mergeCell ref="AR39:AZ39"/>
    <mergeCell ref="L33:T33"/>
    <mergeCell ref="L41:T41"/>
    <mergeCell ref="AN41:AQ41"/>
    <mergeCell ref="AR41:AZ41"/>
    <mergeCell ref="AQ24:AT24"/>
    <mergeCell ref="AU24:AZ24"/>
    <mergeCell ref="S29:V29"/>
    <mergeCell ref="W29:AD29"/>
    <mergeCell ref="L29:Q29"/>
    <mergeCell ref="L34:T34"/>
    <mergeCell ref="S26:V26"/>
    <mergeCell ref="S27:V27"/>
    <mergeCell ref="X35:AA35"/>
    <mergeCell ref="X38:AA38"/>
    <mergeCell ref="X39:AA39"/>
    <mergeCell ref="AN32:AZ32"/>
    <mergeCell ref="AN33:AQ33"/>
    <mergeCell ref="AR33:AZ33"/>
    <mergeCell ref="X40:AA40"/>
    <mergeCell ref="AR40:AV40"/>
    <mergeCell ref="AQ27:AT27"/>
    <mergeCell ref="AQ28:AT28"/>
    <mergeCell ref="H81:K81"/>
    <mergeCell ref="L79:O79"/>
    <mergeCell ref="L81:O81"/>
    <mergeCell ref="AY35:AZ35"/>
    <mergeCell ref="AF17:AO21"/>
    <mergeCell ref="X32:AJ32"/>
    <mergeCell ref="W26:AD26"/>
    <mergeCell ref="W27:AD27"/>
    <mergeCell ref="AN34:AQ34"/>
    <mergeCell ref="AN35:AQ35"/>
    <mergeCell ref="AU23:AZ23"/>
    <mergeCell ref="AQ30:AT30"/>
    <mergeCell ref="AN42:AQ42"/>
    <mergeCell ref="AR42:AZ42"/>
    <mergeCell ref="S42:T42"/>
    <mergeCell ref="S19:V19"/>
    <mergeCell ref="L72:O72"/>
    <mergeCell ref="L38:T38"/>
    <mergeCell ref="S23:V23"/>
    <mergeCell ref="AN38:AQ38"/>
    <mergeCell ref="AR38:AZ38"/>
    <mergeCell ref="AN39:AQ39"/>
    <mergeCell ref="X77:AD77"/>
    <mergeCell ref="H79:K79"/>
    <mergeCell ref="H78:K78"/>
    <mergeCell ref="L78:O78"/>
    <mergeCell ref="H61:K61"/>
    <mergeCell ref="L61:T61"/>
    <mergeCell ref="H62:K62"/>
    <mergeCell ref="H66:K66"/>
    <mergeCell ref="L66:P66"/>
    <mergeCell ref="Q66:R66"/>
    <mergeCell ref="S66:T66"/>
    <mergeCell ref="H67:K67"/>
    <mergeCell ref="H68:K68"/>
    <mergeCell ref="H73:K73"/>
    <mergeCell ref="L68:T68"/>
    <mergeCell ref="H65:K65"/>
    <mergeCell ref="L65:T65"/>
    <mergeCell ref="Q62:T62"/>
    <mergeCell ref="L77:O77"/>
    <mergeCell ref="L76:O76"/>
    <mergeCell ref="L67:P67"/>
    <mergeCell ref="Q67:T67"/>
    <mergeCell ref="L74:O74"/>
    <mergeCell ref="L73:O73"/>
    <mergeCell ref="H70:O70"/>
    <mergeCell ref="L71:O71"/>
    <mergeCell ref="BC4:BF4"/>
    <mergeCell ref="AB4:AG4"/>
    <mergeCell ref="AT4:AW4"/>
    <mergeCell ref="AX4:BB4"/>
    <mergeCell ref="S20:V20"/>
    <mergeCell ref="H12:AO14"/>
    <mergeCell ref="S18:V18"/>
    <mergeCell ref="H24:K24"/>
    <mergeCell ref="L24:Q24"/>
    <mergeCell ref="AQ18:AT18"/>
    <mergeCell ref="AQ19:AT19"/>
    <mergeCell ref="AQ20:AT20"/>
    <mergeCell ref="S22:V22"/>
    <mergeCell ref="L20:Q20"/>
    <mergeCell ref="S17:V17"/>
    <mergeCell ref="AU17:AZ17"/>
    <mergeCell ref="AU18:AZ18"/>
    <mergeCell ref="AU20:AZ20"/>
    <mergeCell ref="AU21:AZ21"/>
    <mergeCell ref="AU22:AZ22"/>
    <mergeCell ref="AQ17:AT17"/>
    <mergeCell ref="AQ21:AT21"/>
    <mergeCell ref="H20:K20"/>
    <mergeCell ref="S24:V24"/>
    <mergeCell ref="L80:O80"/>
    <mergeCell ref="F1:I3"/>
    <mergeCell ref="J1:M3"/>
    <mergeCell ref="M191:AV191"/>
    <mergeCell ref="H16:Q16"/>
    <mergeCell ref="H71:K71"/>
    <mergeCell ref="H72:K72"/>
    <mergeCell ref="H74:K74"/>
    <mergeCell ref="H75:K75"/>
    <mergeCell ref="H76:K76"/>
    <mergeCell ref="H77:K77"/>
    <mergeCell ref="H80:K80"/>
    <mergeCell ref="L17:Q17"/>
    <mergeCell ref="H22:K22"/>
    <mergeCell ref="L23:Q23"/>
    <mergeCell ref="L26:Q26"/>
    <mergeCell ref="L27:Q27"/>
    <mergeCell ref="L28:Q28"/>
    <mergeCell ref="H17:K17"/>
    <mergeCell ref="AN80:AT80"/>
    <mergeCell ref="H83:K83"/>
    <mergeCell ref="L83:O83"/>
    <mergeCell ref="H55:K55"/>
    <mergeCell ref="L75:O75"/>
    <mergeCell ref="AB35:AF35"/>
    <mergeCell ref="AG35:AH35"/>
    <mergeCell ref="AI35:AJ35"/>
    <mergeCell ref="AB38:AJ38"/>
    <mergeCell ref="AN43:AQ43"/>
    <mergeCell ref="AR43:AZ43"/>
    <mergeCell ref="AN46:AZ46"/>
    <mergeCell ref="AN44:AQ44"/>
    <mergeCell ref="AB39:AJ39"/>
    <mergeCell ref="AW40:AZ40"/>
    <mergeCell ref="AN40:AQ40"/>
    <mergeCell ref="X46:AJ46"/>
    <mergeCell ref="AR44:AZ44"/>
    <mergeCell ref="AN51:AQ51"/>
    <mergeCell ref="AR51:AZ51"/>
    <mergeCell ref="AN52:AQ52"/>
    <mergeCell ref="X70:AJ70"/>
    <mergeCell ref="AN47:AQ47"/>
    <mergeCell ref="AR47:AZ47"/>
    <mergeCell ref="AN50:AQ50"/>
    <mergeCell ref="AR50:AV50"/>
    <mergeCell ref="AW50:AZ50"/>
    <mergeCell ref="AN48:AQ48"/>
    <mergeCell ref="AY49:AZ49"/>
    <mergeCell ref="AR48:AZ48"/>
    <mergeCell ref="AN49:AQ49"/>
    <mergeCell ref="AR49:AV49"/>
    <mergeCell ref="AW49:AX49"/>
    <mergeCell ref="X55:AA55"/>
    <mergeCell ref="AB55:AJ55"/>
    <mergeCell ref="AR52:AZ52"/>
    <mergeCell ref="AG50:AJ50"/>
    <mergeCell ref="X56:AA56"/>
    <mergeCell ref="AB56:AJ56"/>
    <mergeCell ref="AU80:AZ80"/>
    <mergeCell ref="AU81:AZ81"/>
    <mergeCell ref="AU82:AZ82"/>
    <mergeCell ref="AU83:AZ83"/>
    <mergeCell ref="AE76:AJ76"/>
    <mergeCell ref="AN63:AQ63"/>
    <mergeCell ref="AN64:AQ64"/>
    <mergeCell ref="AN54:AQ54"/>
    <mergeCell ref="AR54:AZ54"/>
    <mergeCell ref="AN55:AQ55"/>
    <mergeCell ref="AE77:AJ77"/>
    <mergeCell ref="AN70:AZ70"/>
    <mergeCell ref="AN56:AQ56"/>
    <mergeCell ref="AR56:AZ56"/>
    <mergeCell ref="AN57:AQ57"/>
    <mergeCell ref="AR57:AZ57"/>
    <mergeCell ref="AN59:AZ59"/>
    <mergeCell ref="AR60:AZ60"/>
    <mergeCell ref="AR61:AZ61"/>
    <mergeCell ref="AR62:AZ62"/>
    <mergeCell ref="AE75:AJ75"/>
    <mergeCell ref="AN62:AQ62"/>
    <mergeCell ref="X60:AJ68"/>
    <mergeCell ref="AR55:AZ55"/>
    <mergeCell ref="H36:K36"/>
    <mergeCell ref="L36:T36"/>
    <mergeCell ref="H32:T32"/>
    <mergeCell ref="H33:K33"/>
    <mergeCell ref="H21:K21"/>
    <mergeCell ref="H48:K48"/>
    <mergeCell ref="H23:K23"/>
    <mergeCell ref="L21:Q21"/>
    <mergeCell ref="H26:K26"/>
    <mergeCell ref="H27:K27"/>
    <mergeCell ref="S21:V21"/>
    <mergeCell ref="H28:K28"/>
    <mergeCell ref="L22:Q22"/>
    <mergeCell ref="H38:K38"/>
    <mergeCell ref="H42:K42"/>
    <mergeCell ref="H29:K29"/>
    <mergeCell ref="H34:K34"/>
    <mergeCell ref="H37:K37"/>
    <mergeCell ref="L48:T48"/>
    <mergeCell ref="H40:K40"/>
    <mergeCell ref="L40:P40"/>
    <mergeCell ref="Q40:R40"/>
    <mergeCell ref="H43:K43"/>
    <mergeCell ref="L43:T43"/>
    <mergeCell ref="H64:K64"/>
    <mergeCell ref="L64:T64"/>
    <mergeCell ref="H63:K63"/>
    <mergeCell ref="H49:K49"/>
    <mergeCell ref="L49:T49"/>
    <mergeCell ref="H60:K60"/>
    <mergeCell ref="L60:T60"/>
    <mergeCell ref="L63:T63"/>
    <mergeCell ref="H59:T59"/>
    <mergeCell ref="H57:K57"/>
    <mergeCell ref="L57:T57"/>
    <mergeCell ref="L62:P62"/>
    <mergeCell ref="L55:T55"/>
    <mergeCell ref="H46:T46"/>
    <mergeCell ref="H47:K47"/>
    <mergeCell ref="L47:T47"/>
    <mergeCell ref="H51:K51"/>
    <mergeCell ref="L51:T51"/>
    <mergeCell ref="H52:K52"/>
    <mergeCell ref="L52:T52"/>
    <mergeCell ref="L50:T50"/>
    <mergeCell ref="L56:T56"/>
    <mergeCell ref="H56:K56"/>
    <mergeCell ref="H39:K39"/>
    <mergeCell ref="L39:T39"/>
    <mergeCell ref="H44:K44"/>
    <mergeCell ref="L44:T44"/>
    <mergeCell ref="X54:AA54"/>
    <mergeCell ref="AB54:AJ54"/>
    <mergeCell ref="H50:K50"/>
    <mergeCell ref="L42:P42"/>
    <mergeCell ref="Q42:R42"/>
    <mergeCell ref="X51:AA51"/>
    <mergeCell ref="AB51:AJ51"/>
    <mergeCell ref="X52:AA52"/>
    <mergeCell ref="AB52:AJ52"/>
    <mergeCell ref="X48:AA48"/>
    <mergeCell ref="AB48:AJ48"/>
    <mergeCell ref="X49:AA49"/>
    <mergeCell ref="X53:AA53"/>
    <mergeCell ref="AB53:AF53"/>
    <mergeCell ref="AG53:AJ53"/>
    <mergeCell ref="H53:K53"/>
    <mergeCell ref="L53:T53"/>
    <mergeCell ref="H54:K54"/>
    <mergeCell ref="L54:T54"/>
    <mergeCell ref="AB47:AJ47"/>
    <mergeCell ref="H35:K35"/>
    <mergeCell ref="L35:P35"/>
    <mergeCell ref="Q35:T35"/>
    <mergeCell ref="S40:T40"/>
    <mergeCell ref="L37:T37"/>
    <mergeCell ref="X59:AJ59"/>
    <mergeCell ref="X43:AA43"/>
    <mergeCell ref="AB43:AJ43"/>
    <mergeCell ref="X44:AA44"/>
    <mergeCell ref="AB44:AJ44"/>
    <mergeCell ref="X37:AA37"/>
    <mergeCell ref="AB37:AJ37"/>
    <mergeCell ref="X42:AA42"/>
    <mergeCell ref="AB42:AJ42"/>
    <mergeCell ref="X41:AA41"/>
    <mergeCell ref="AB41:AJ41"/>
    <mergeCell ref="AB40:AJ40"/>
    <mergeCell ref="H41:K41"/>
    <mergeCell ref="X47:AA47"/>
    <mergeCell ref="X50:AA50"/>
    <mergeCell ref="AB50:AF50"/>
    <mergeCell ref="AB49:AF49"/>
    <mergeCell ref="AG49:AH49"/>
    <mergeCell ref="AI49:AJ49"/>
    <mergeCell ref="AN71:AT71"/>
    <mergeCell ref="AN72:AT72"/>
    <mergeCell ref="AN73:AT73"/>
    <mergeCell ref="AN74:AT74"/>
    <mergeCell ref="AN77:AT77"/>
    <mergeCell ref="AN78:AT78"/>
    <mergeCell ref="X71:AD71"/>
    <mergeCell ref="AE71:AJ71"/>
    <mergeCell ref="X72:AD72"/>
    <mergeCell ref="AE72:AJ72"/>
    <mergeCell ref="X73:AD73"/>
    <mergeCell ref="AE73:AJ73"/>
    <mergeCell ref="X74:AD74"/>
    <mergeCell ref="M189:AU190"/>
    <mergeCell ref="X85:AJ85"/>
    <mergeCell ref="X86:AA86"/>
    <mergeCell ref="AB86:AJ86"/>
    <mergeCell ref="X87:AA87"/>
    <mergeCell ref="AB87:AJ87"/>
    <mergeCell ref="AE74:AJ74"/>
    <mergeCell ref="AN53:AQ53"/>
    <mergeCell ref="AR53:AV53"/>
    <mergeCell ref="AU71:AZ71"/>
    <mergeCell ref="AU72:AZ72"/>
    <mergeCell ref="AU73:AZ73"/>
    <mergeCell ref="AU74:AZ74"/>
    <mergeCell ref="AU75:AZ75"/>
    <mergeCell ref="AU76:AZ76"/>
    <mergeCell ref="X57:AA57"/>
    <mergeCell ref="AB57:AJ57"/>
    <mergeCell ref="AU78:AZ78"/>
    <mergeCell ref="AU79:AZ79"/>
    <mergeCell ref="AW53:AZ53"/>
    <mergeCell ref="AR64:AZ64"/>
    <mergeCell ref="AN60:AQ60"/>
    <mergeCell ref="AN61:AQ61"/>
    <mergeCell ref="AR63:AZ63"/>
    <mergeCell ref="AQ25:AT25"/>
    <mergeCell ref="AU25:AZ25"/>
    <mergeCell ref="S25:V25"/>
    <mergeCell ref="W25:AD25"/>
    <mergeCell ref="L25:Q25"/>
    <mergeCell ref="H25:K25"/>
    <mergeCell ref="AU77:AZ77"/>
    <mergeCell ref="R202:AR203"/>
    <mergeCell ref="X83:AD83"/>
    <mergeCell ref="AE83:AJ83"/>
    <mergeCell ref="X78:AD78"/>
    <mergeCell ref="AE78:AJ78"/>
    <mergeCell ref="X79:AD79"/>
    <mergeCell ref="AE79:AJ79"/>
    <mergeCell ref="X80:AD80"/>
    <mergeCell ref="AE80:AJ80"/>
    <mergeCell ref="X81:AD81"/>
    <mergeCell ref="AE81:AJ81"/>
    <mergeCell ref="X82:AD82"/>
    <mergeCell ref="AE82:AJ82"/>
    <mergeCell ref="AN79:AT79"/>
    <mergeCell ref="AN81:AT81"/>
    <mergeCell ref="AN82:AT82"/>
    <mergeCell ref="AN83:AT83"/>
  </mergeCells>
  <phoneticPr fontId="78" type="noConversion"/>
  <conditionalFormatting sqref="G12">
    <cfRule type="expression" dxfId="131" priority="1030">
      <formula>IF($H$12="",TRUE,FALSE)</formula>
    </cfRule>
  </conditionalFormatting>
  <conditionalFormatting sqref="H11">
    <cfRule type="expression" dxfId="130" priority="1031">
      <formula>IF($H$12="",TRUE,FALSE)</formula>
    </cfRule>
  </conditionalFormatting>
  <conditionalFormatting sqref="L71:L82">
    <cfRule type="containsText" dxfId="129" priority="12" operator="containsText" text="Incomplete">
      <formula>NOT(ISERROR(SEARCH("Incomplete",L71)))</formula>
    </cfRule>
    <cfRule type="containsText" dxfId="128" priority="13" operator="containsText" text="Almost">
      <formula>NOT(ISERROR(SEARCH("Almost",L71)))</formula>
    </cfRule>
  </conditionalFormatting>
  <conditionalFormatting sqref="L80:L83">
    <cfRule type="containsText" dxfId="127" priority="21" operator="containsText" text="Incomplete">
      <formula>NOT(ISERROR(SEARCH("Incomplete",L80)))</formula>
    </cfRule>
    <cfRule type="containsText" dxfId="126" priority="22" operator="containsText" text="Almost">
      <formula>NOT(ISERROR(SEARCH("Almost",L80)))</formula>
    </cfRule>
  </conditionalFormatting>
  <conditionalFormatting sqref="X85">
    <cfRule type="expression" dxfId="125" priority="8">
      <formula>IF(TransferStatus="Transferred",TRUE,FALSE)</formula>
    </cfRule>
  </conditionalFormatting>
  <conditionalFormatting sqref="AE71:AJ71">
    <cfRule type="expression" dxfId="124" priority="4">
      <formula>$AU$71="Please Review County"</formula>
    </cfRule>
  </conditionalFormatting>
  <conditionalFormatting sqref="AF17">
    <cfRule type="containsBlanks" dxfId="123" priority="28">
      <formula>LEN(TRIM(AF17))=0</formula>
    </cfRule>
  </conditionalFormatting>
  <conditionalFormatting sqref="AF23">
    <cfRule type="containsBlanks" dxfId="122" priority="27">
      <formula>LEN(TRIM(AF23))=0</formula>
    </cfRule>
  </conditionalFormatting>
  <conditionalFormatting sqref="AN85">
    <cfRule type="expression" dxfId="121" priority="7">
      <formula>IF(TransferStatus="Transferred",TRUE,FALSE)</formula>
    </cfRule>
  </conditionalFormatting>
  <conditionalFormatting sqref="AQ12 H16 S16 AF16 AQ16 AF22 AQ26 H32 X32 AN32 H46 X46 AN46 H59 X59 AN59 H70 X70 AN70">
    <cfRule type="expression" dxfId="120" priority="20">
      <formula>IF(TransferStatus="Transferred",TRUE,FALSE)</formula>
    </cfRule>
  </conditionalFormatting>
  <conditionalFormatting sqref="AU27:AU29">
    <cfRule type="containsBlanks" dxfId="119" priority="10">
      <formula>LEN(TRIM(AU27))=0</formula>
    </cfRule>
  </conditionalFormatting>
  <conditionalFormatting sqref="AU79">
    <cfRule type="expression" dxfId="118" priority="3">
      <formula>$AU$79="Warning Baseline Missing"</formula>
    </cfRule>
  </conditionalFormatting>
  <conditionalFormatting sqref="AU81">
    <cfRule type="expression" dxfId="117" priority="2">
      <formula>$AU$81="Warning Baseline Missing"</formula>
    </cfRule>
  </conditionalFormatting>
  <conditionalFormatting sqref="AU82">
    <cfRule type="expression" dxfId="116" priority="1">
      <formula>$AU$82="Warning Baseline Missing"</formula>
    </cfRule>
  </conditionalFormatting>
  <conditionalFormatting sqref="AU17:AZ23">
    <cfRule type="containsBlanks" dxfId="115" priority="32">
      <formula>LEN(TRIM(AU17))=0</formula>
    </cfRule>
  </conditionalFormatting>
  <conditionalFormatting sqref="AU71:AZ71">
    <cfRule type="expression" dxfId="114" priority="5">
      <formula>$AU$71="Please Review County"</formula>
    </cfRule>
  </conditionalFormatting>
  <conditionalFormatting sqref="BA8:BF8">
    <cfRule type="expression" dxfId="113" priority="6">
      <formula>IF($AO$8=PROJSTATMEASURE,FALSE,TRUE)</formula>
    </cfRule>
  </conditionalFormatting>
  <conditionalFormatting sqref="BN17:BS17">
    <cfRule type="containsBlanks" dxfId="112" priority="11">
      <formula>LEN(TRIM(BN17))=0</formula>
    </cfRule>
  </conditionalFormatting>
  <dataValidations count="7">
    <dataValidation type="list" allowBlank="1" showInputMessage="1" sqref="L23" xr:uid="{90A13EAE-B5A8-46A5-B3FE-90593EFF1F1F}">
      <formula1>PROJECTTYPELIST</formula1>
    </dataValidation>
    <dataValidation type="list" allowBlank="1" showInputMessage="1" showErrorMessage="1" sqref="AU20:AZ20" xr:uid="{19407EE6-8CF2-4619-AAAC-BD71118A8A4B}">
      <formula1>"Submitted,Reviewed,Final"</formula1>
    </dataValidation>
    <dataValidation type="list" allowBlank="1" showInputMessage="1" sqref="L24:Q24" xr:uid="{1DD1BFC7-EF21-4850-8AA1-F2773C546EC0}">
      <formula1>List_SubProgramType</formula1>
    </dataValidation>
    <dataValidation type="list" allowBlank="1" showInputMessage="1" showErrorMessage="1" sqref="AU23:AZ23" xr:uid="{DF92D076-7F72-472D-AB0A-C75BF4A2C0D4}">
      <formula1>"OLA Portal,Email"</formula1>
    </dataValidation>
    <dataValidation type="list" allowBlank="1" showInputMessage="1" showErrorMessage="1" sqref="AU27:AU29" xr:uid="{CB82549D-0055-4892-920E-C62AD1DF7FE3}">
      <formula1>"Yes, No"</formula1>
    </dataValidation>
    <dataValidation type="list" allowBlank="1" showInputMessage="1" showErrorMessage="1" sqref="AV24:AZ24 AU24" xr:uid="{AB2E0236-2107-4EDA-BF7D-4BA9C42867DF}">
      <formula1>"&lt;=300 kW, &gt;300 kW"</formula1>
    </dataValidation>
    <dataValidation type="list" allowBlank="1" showInputMessage="1" showErrorMessage="1" sqref="AU25:AZ25" xr:uid="{25E09D3D-789D-4F3A-AFC5-FB25F32EC7BD}">
      <formula1>"&lt;=40000 thms, &gt;40000 thms"</formula1>
    </dataValidation>
  </dataValidations>
  <hyperlinks>
    <hyperlink ref="J1:M3" location="'M01-S02'!J1" tooltip="Instructions" display="'M01-S02'!J1" xr:uid="{ED4D2293-A3CB-454B-83EE-6FC1B817D375}"/>
    <hyperlink ref="AV1:AY3" location="'M05-S05'!AL1" tooltip=" " display="'M05-S05'!AL1" xr:uid="{515777E6-36B3-4FA2-A505-90217B221DBE}"/>
    <hyperlink ref="BF1:BI3" location="'M01-S03'!AP1" tooltip="Contact" display="'M01-S03'!AP1" xr:uid="{48BE109F-1B04-4EF7-A978-2FE523B1FC60}"/>
    <hyperlink ref="AR1:AU3" location="'M05-S04'!AH1" tooltip=" " display="'M05-S04'!AH1" xr:uid="{73443D38-7AB2-482E-8AA6-1965216C548A}"/>
    <hyperlink ref="AN1:AQ3" location="'M05-S05'!AL1" tooltip=" " display="'M05-S05'!AL1" xr:uid="{CCDBD34D-6BD3-4EEE-9FA7-3553D243BB7B}"/>
  </hyperlinks>
  <printOptions horizontalCentered="1"/>
  <pageMargins left="0.25" right="0.25" top="0.25" bottom="0.25" header="0.25" footer="0.25"/>
  <pageSetup scale="4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ADEDE-3333-4D6F-BBF9-06EABC487C5D}">
  <sheetPr codeName="Sheet53">
    <pageSetUpPr fitToPage="1"/>
  </sheetPr>
  <dimension ref="A1:BM109"/>
  <sheetViews>
    <sheetView showGridLines="0" showRowColHeaders="0" zoomScale="90" zoomScaleNormal="90" workbookViewId="0">
      <selection activeCell="U21" sqref="U21:Y21"/>
    </sheetView>
  </sheetViews>
  <sheetFormatPr defaultColWidth="0" defaultRowHeight="0" customHeight="1" zeroHeight="1"/>
  <cols>
    <col min="1" max="62" width="4.5703125" style="502" customWidth="1"/>
    <col min="63" max="65" width="4.5703125" hidden="1" customWidth="1"/>
    <col min="66" max="16384" width="4.5703125" style="502" hidden="1"/>
  </cols>
  <sheetData>
    <row r="1" spans="1:65" customFormat="1" ht="15" customHeight="1">
      <c r="A1" s="12"/>
      <c r="B1" s="125"/>
      <c r="C1" s="125"/>
      <c r="D1" s="125"/>
      <c r="E1" s="125"/>
      <c r="F1" s="750" t="str">
        <f>M1S1</f>
        <v>WELCOME</v>
      </c>
      <c r="G1" s="750"/>
      <c r="H1" s="750"/>
      <c r="I1" s="750"/>
      <c r="J1" s="727" t="str">
        <f>M1S2</f>
        <v>INSTRUCTIONS</v>
      </c>
      <c r="K1" s="727"/>
      <c r="L1" s="727"/>
      <c r="M1" s="727"/>
      <c r="N1" s="197"/>
      <c r="O1" s="197"/>
      <c r="P1" s="197"/>
      <c r="Q1" s="197"/>
      <c r="R1" s="197"/>
      <c r="S1" s="197"/>
      <c r="T1" s="189"/>
      <c r="U1" s="190" t="s">
        <v>118</v>
      </c>
      <c r="V1" s="190"/>
      <c r="W1" s="190"/>
      <c r="X1" s="190"/>
      <c r="Y1" s="197"/>
      <c r="Z1" s="197"/>
      <c r="AA1" s="197"/>
      <c r="AB1" s="197"/>
      <c r="AC1" s="197"/>
      <c r="AD1" s="197"/>
      <c r="AE1" s="197"/>
      <c r="AF1" s="197"/>
      <c r="AG1" s="12"/>
      <c r="AH1" s="12"/>
      <c r="AO1" s="734" t="str">
        <f>IF(ACTIVEINSPECT="Yes","Complete "&amp;M5S4,"")</f>
        <v/>
      </c>
      <c r="AP1" s="734"/>
      <c r="AQ1" s="734"/>
      <c r="AR1" s="734"/>
      <c r="AS1" s="730" t="str">
        <f>IF(ACTIVEOFFER="Yes","Sign "&amp;M5S6,"")</f>
        <v>Sign OBR: Repayment Agreement</v>
      </c>
      <c r="AT1" s="730"/>
      <c r="AU1" s="730"/>
      <c r="AV1" s="730"/>
      <c r="AW1" s="730" t="str">
        <f>IF(ACTIVECOMPL="Yes","Sign "&amp;M5S5,"")</f>
        <v xml:space="preserve">Sign Project Completion Certification </v>
      </c>
      <c r="AX1" s="730"/>
      <c r="AY1" s="730"/>
      <c r="AZ1" s="730"/>
      <c r="BA1" s="732" t="str">
        <f>M1S4</f>
        <v>INCENTIVE RATES &amp; REQUIREMENTS</v>
      </c>
      <c r="BB1" s="732"/>
      <c r="BC1" s="732"/>
      <c r="BD1" s="732"/>
      <c r="BE1" s="732"/>
      <c r="BF1" s="732"/>
      <c r="BG1" s="722" t="s">
        <v>119</v>
      </c>
      <c r="BH1" s="723"/>
      <c r="BI1" s="723"/>
      <c r="BJ1" s="723"/>
    </row>
    <row r="2" spans="1:65" customFormat="1" ht="16.350000000000001" customHeight="1">
      <c r="A2" s="12"/>
      <c r="B2" s="125"/>
      <c r="C2" s="125"/>
      <c r="D2" s="125"/>
      <c r="E2" s="125"/>
      <c r="F2" s="750"/>
      <c r="G2" s="750"/>
      <c r="H2" s="750"/>
      <c r="I2" s="750"/>
      <c r="J2" s="728"/>
      <c r="K2" s="728"/>
      <c r="L2" s="728"/>
      <c r="M2" s="728"/>
      <c r="N2" s="197"/>
      <c r="O2" s="197"/>
      <c r="P2" s="197"/>
      <c r="Q2" s="197"/>
      <c r="R2" s="197"/>
      <c r="S2" s="197"/>
      <c r="T2" s="189"/>
      <c r="U2" s="190"/>
      <c r="V2" s="190"/>
      <c r="W2" s="190"/>
      <c r="X2" s="190"/>
      <c r="Y2" s="197"/>
      <c r="Z2" s="197"/>
      <c r="AA2" s="197"/>
      <c r="AB2" s="197"/>
      <c r="AC2" s="197"/>
      <c r="AD2" s="197"/>
      <c r="AE2" s="197"/>
      <c r="AF2" s="197"/>
      <c r="AG2" s="12"/>
      <c r="AH2" s="12"/>
      <c r="AO2" s="734"/>
      <c r="AP2" s="734"/>
      <c r="AQ2" s="734"/>
      <c r="AR2" s="734"/>
      <c r="AS2" s="730"/>
      <c r="AT2" s="730"/>
      <c r="AU2" s="730"/>
      <c r="AV2" s="730"/>
      <c r="AW2" s="730"/>
      <c r="AX2" s="730"/>
      <c r="AY2" s="730"/>
      <c r="AZ2" s="730"/>
      <c r="BA2" s="732"/>
      <c r="BB2" s="732"/>
      <c r="BC2" s="732"/>
      <c r="BD2" s="732"/>
      <c r="BE2" s="732"/>
      <c r="BF2" s="732"/>
      <c r="BG2" s="723"/>
      <c r="BH2" s="723"/>
      <c r="BI2" s="723"/>
      <c r="BJ2" s="723"/>
    </row>
    <row r="3" spans="1:65" customFormat="1" ht="16.350000000000001" customHeight="1" thickBot="1">
      <c r="A3" s="606"/>
      <c r="B3" s="607"/>
      <c r="C3" s="607"/>
      <c r="D3" s="607"/>
      <c r="E3" s="607"/>
      <c r="F3" s="875"/>
      <c r="G3" s="875"/>
      <c r="H3" s="875"/>
      <c r="I3" s="875"/>
      <c r="J3" s="876"/>
      <c r="K3" s="876"/>
      <c r="L3" s="876"/>
      <c r="M3" s="876"/>
      <c r="N3" s="608"/>
      <c r="O3" s="608"/>
      <c r="P3" s="608"/>
      <c r="Q3" s="608"/>
      <c r="R3" s="608"/>
      <c r="S3" s="608"/>
      <c r="T3" s="608"/>
      <c r="U3" s="609"/>
      <c r="V3" s="609"/>
      <c r="W3" s="609"/>
      <c r="X3" s="609"/>
      <c r="Y3" s="606"/>
      <c r="Z3" s="606"/>
      <c r="AA3" s="606"/>
      <c r="AB3" s="606"/>
      <c r="AC3" s="606"/>
      <c r="AD3" s="606"/>
      <c r="AE3" s="606"/>
      <c r="AF3" s="606"/>
      <c r="AG3" s="606"/>
      <c r="AH3" s="606"/>
      <c r="AI3" s="614"/>
      <c r="AJ3" s="614"/>
      <c r="AK3" s="614"/>
      <c r="AL3" s="614"/>
      <c r="AM3" s="614"/>
      <c r="AN3" s="614"/>
      <c r="AO3" s="868"/>
      <c r="AP3" s="868"/>
      <c r="AQ3" s="868"/>
      <c r="AR3" s="868"/>
      <c r="AS3" s="869"/>
      <c r="AT3" s="869"/>
      <c r="AU3" s="869"/>
      <c r="AV3" s="869"/>
      <c r="AW3" s="869"/>
      <c r="AX3" s="869"/>
      <c r="AY3" s="869"/>
      <c r="AZ3" s="869"/>
      <c r="BA3" s="1009"/>
      <c r="BB3" s="1009"/>
      <c r="BC3" s="1009"/>
      <c r="BD3" s="1009"/>
      <c r="BE3" s="1009"/>
      <c r="BF3" s="1009"/>
      <c r="BG3" s="871"/>
      <c r="BH3" s="871"/>
      <c r="BI3" s="871"/>
      <c r="BJ3" s="871"/>
    </row>
    <row r="4" spans="1:65" s="12" customFormat="1" ht="16.350000000000001" customHeight="1">
      <c r="A4" s="615"/>
      <c r="B4" s="615"/>
      <c r="C4" s="615"/>
      <c r="D4" s="615"/>
      <c r="E4" s="615"/>
      <c r="F4" s="615"/>
      <c r="G4" s="615"/>
      <c r="H4" s="615"/>
      <c r="I4" s="615"/>
      <c r="J4" s="615"/>
      <c r="K4" s="615"/>
      <c r="L4" s="616"/>
      <c r="M4" s="617"/>
      <c r="N4" s="615"/>
      <c r="O4" s="615"/>
      <c r="P4" s="615"/>
      <c r="Q4" s="615"/>
      <c r="R4" s="615"/>
      <c r="S4" s="613" t="s">
        <v>707</v>
      </c>
      <c r="T4" s="618" t="str">
        <f>M05S07F07</f>
        <v>Custom</v>
      </c>
      <c r="U4" s="619"/>
      <c r="V4" s="619"/>
      <c r="W4" s="619"/>
      <c r="X4" s="615"/>
      <c r="Y4" s="615"/>
      <c r="Z4" s="615"/>
      <c r="AA4" s="613" t="s">
        <v>708</v>
      </c>
      <c r="AB4" s="1215" t="str">
        <f>IF(M02S02F02="","[Project Name]",LEFT(M02S02F02,25))</f>
        <v>[Project Name]</v>
      </c>
      <c r="AC4" s="1215"/>
      <c r="AD4" s="1215"/>
      <c r="AE4" s="1215"/>
      <c r="AF4" s="1215"/>
      <c r="AG4" s="1215"/>
      <c r="AH4" s="615"/>
      <c r="AI4" s="613" t="s">
        <v>709</v>
      </c>
      <c r="AJ4" s="621" t="str">
        <f>IF(M02S02F27="Yes",Status_Final,Status_Pre)</f>
        <v>Draft Pre-Application</v>
      </c>
      <c r="AK4" s="617"/>
      <c r="AL4" s="615"/>
      <c r="AM4" s="615"/>
      <c r="AN4" s="617"/>
      <c r="AO4" s="617"/>
      <c r="AP4" s="615"/>
      <c r="AQ4" s="615"/>
      <c r="AR4" s="615"/>
      <c r="AS4" s="613" t="s">
        <v>710</v>
      </c>
      <c r="AT4" s="1047">
        <f>Incent_Total_Cap_All</f>
        <v>0</v>
      </c>
      <c r="AU4" s="1047"/>
      <c r="AV4" s="1047"/>
      <c r="AW4" s="1047"/>
      <c r="AX4" s="1048" t="s">
        <v>711</v>
      </c>
      <c r="AY4" s="1048"/>
      <c r="AZ4" s="1048"/>
      <c r="BA4" s="1048"/>
      <c r="BB4" s="1048"/>
      <c r="BC4" s="1047" t="str">
        <f>OBR_Amount_Requested</f>
        <v/>
      </c>
      <c r="BD4" s="1047"/>
      <c r="BE4" s="1047"/>
      <c r="BF4" s="1047"/>
      <c r="BG4" s="617"/>
      <c r="BH4" s="147"/>
      <c r="BI4" s="147"/>
      <c r="BJ4"/>
      <c r="BK4"/>
      <c r="BL4"/>
      <c r="BM4"/>
    </row>
    <row r="5" spans="1:65" s="12" customFormat="1" ht="16.350000000000001" customHeight="1">
      <c r="A5" s="639"/>
      <c r="B5" s="640"/>
      <c r="C5" s="640"/>
      <c r="D5" s="640"/>
      <c r="E5" s="640"/>
      <c r="F5" s="640"/>
      <c r="G5" s="640"/>
      <c r="H5" s="640"/>
      <c r="I5" s="640"/>
      <c r="J5" s="640"/>
      <c r="K5" s="640"/>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41"/>
      <c r="BF5" s="639"/>
      <c r="BG5" s="918">
        <f ca="1">PROGRESSSTATUS</f>
        <v>0</v>
      </c>
      <c r="BH5" s="918"/>
      <c r="BI5" s="918"/>
      <c r="BJ5" s="639"/>
      <c r="BK5"/>
      <c r="BL5"/>
      <c r="BM5"/>
    </row>
    <row r="6" spans="1:65" s="12" customFormat="1"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c r="BJ6" s="177"/>
      <c r="BK6"/>
      <c r="BL6"/>
      <c r="BM6"/>
    </row>
    <row r="7" spans="1:65" s="12" customFormat="1"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c r="BJ7" s="177"/>
      <c r="BK7"/>
      <c r="BL7"/>
      <c r="BM7"/>
    </row>
    <row r="8" spans="1:65" s="606"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c r="BJ8" s="625"/>
      <c r="BK8" s="614"/>
      <c r="BL8" s="614"/>
      <c r="BM8" s="614"/>
    </row>
    <row r="9" spans="1:65" s="50" customFormat="1" ht="16.350000000000001" customHeight="1">
      <c r="A9" s="765" t="s">
        <v>1556</v>
      </c>
      <c r="B9" s="765"/>
      <c r="C9" s="765"/>
      <c r="D9" s="765"/>
      <c r="E9" s="765"/>
      <c r="F9" s="765"/>
      <c r="G9" s="765"/>
      <c r="H9" s="765"/>
      <c r="I9" s="765"/>
      <c r="J9" s="765"/>
      <c r="K9" s="765"/>
      <c r="L9" s="765"/>
      <c r="M9" s="765"/>
      <c r="N9" s="765"/>
      <c r="O9" s="765"/>
      <c r="P9" s="765"/>
      <c r="Q9" s="765"/>
      <c r="R9" s="765"/>
      <c r="S9" s="765"/>
      <c r="T9" s="765"/>
      <c r="U9" s="765"/>
      <c r="V9" s="765"/>
      <c r="W9" s="765"/>
      <c r="X9" s="765"/>
      <c r="Y9" s="765"/>
      <c r="Z9" s="765"/>
      <c r="AA9" s="765"/>
      <c r="AB9" s="765"/>
      <c r="AC9" s="765"/>
      <c r="AD9" s="765"/>
      <c r="AE9" s="765"/>
      <c r="AF9" s="765"/>
      <c r="AG9" s="765"/>
      <c r="AH9" s="765"/>
      <c r="AI9" s="765"/>
      <c r="AJ9" s="765"/>
      <c r="AK9" s="765"/>
      <c r="AL9" s="765"/>
      <c r="AM9" s="765"/>
      <c r="AN9" s="765"/>
      <c r="AO9" s="765"/>
      <c r="AP9" s="765"/>
      <c r="AQ9" s="765"/>
      <c r="AR9" s="765"/>
      <c r="AS9" s="765"/>
      <c r="AT9" s="765"/>
      <c r="AU9" s="765"/>
      <c r="AV9" s="765"/>
      <c r="AW9" s="765"/>
      <c r="AX9" s="765"/>
      <c r="AY9" s="765"/>
      <c r="AZ9" s="765"/>
      <c r="BA9" s="765"/>
      <c r="BB9" s="765"/>
      <c r="BC9" s="765"/>
      <c r="BD9" s="765"/>
      <c r="BE9" s="765"/>
      <c r="BF9" s="765"/>
      <c r="BG9" s="200"/>
      <c r="BK9"/>
      <c r="BL9"/>
      <c r="BM9"/>
    </row>
    <row r="10" spans="1:65" s="50" customFormat="1" ht="16.350000000000001" customHeight="1">
      <c r="A10" s="765"/>
      <c r="B10" s="765"/>
      <c r="C10" s="765"/>
      <c r="D10" s="765"/>
      <c r="E10" s="765"/>
      <c r="F10" s="765"/>
      <c r="G10" s="765"/>
      <c r="H10" s="765"/>
      <c r="I10" s="765"/>
      <c r="J10" s="765"/>
      <c r="K10" s="765"/>
      <c r="L10" s="765"/>
      <c r="M10" s="765"/>
      <c r="N10" s="765"/>
      <c r="O10" s="765"/>
      <c r="P10" s="765"/>
      <c r="Q10" s="765"/>
      <c r="R10" s="765"/>
      <c r="S10" s="765"/>
      <c r="T10" s="765"/>
      <c r="U10" s="765"/>
      <c r="V10" s="765"/>
      <c r="W10" s="765"/>
      <c r="X10" s="765"/>
      <c r="Y10" s="765"/>
      <c r="Z10" s="765"/>
      <c r="AA10" s="765"/>
      <c r="AB10" s="765"/>
      <c r="AC10" s="765"/>
      <c r="AD10" s="765"/>
      <c r="AE10" s="765"/>
      <c r="AF10" s="765"/>
      <c r="AG10" s="765"/>
      <c r="AH10" s="765"/>
      <c r="AI10" s="765"/>
      <c r="AJ10" s="765"/>
      <c r="AK10" s="765"/>
      <c r="AL10" s="765"/>
      <c r="AM10" s="765"/>
      <c r="AN10" s="765"/>
      <c r="AO10" s="765"/>
      <c r="AP10" s="765"/>
      <c r="AQ10" s="765"/>
      <c r="AR10" s="765"/>
      <c r="AS10" s="765"/>
      <c r="AT10" s="765"/>
      <c r="AU10" s="765"/>
      <c r="AV10" s="765"/>
      <c r="AW10" s="765"/>
      <c r="AX10" s="765"/>
      <c r="AY10" s="765"/>
      <c r="AZ10" s="765"/>
      <c r="BA10" s="765"/>
      <c r="BB10" s="765"/>
      <c r="BC10" s="765"/>
      <c r="BD10" s="765"/>
      <c r="BE10" s="765"/>
      <c r="BF10" s="765"/>
      <c r="BK10"/>
      <c r="BL10"/>
      <c r="BM10"/>
    </row>
    <row r="11" spans="1:65" s="12" customFormat="1" ht="16.350000000000001" customHeight="1">
      <c r="A11" s="40"/>
      <c r="B11" s="40"/>
      <c r="C11" s="40"/>
      <c r="D11" s="40"/>
      <c r="E11" s="40"/>
      <c r="F11" s="40"/>
      <c r="G11" s="40"/>
      <c r="H11" s="40"/>
      <c r="I11" s="40"/>
      <c r="J11" s="40"/>
      <c r="K11" s="40"/>
      <c r="L11" s="40"/>
      <c r="M11" s="40"/>
      <c r="N11" s="40"/>
      <c r="O11" s="40"/>
      <c r="P11" s="40"/>
      <c r="Q11" s="40"/>
      <c r="R11" s="167"/>
      <c r="S11" s="167"/>
      <c r="T11" s="167"/>
      <c r="U11" s="167"/>
      <c r="V11" s="167"/>
      <c r="W11" s="167"/>
      <c r="X11" s="167"/>
      <c r="Y11" s="167"/>
      <c r="Z11" s="167"/>
      <c r="AA11" s="167"/>
      <c r="AB11" s="167"/>
      <c r="AC11" s="167"/>
      <c r="AD11" s="167"/>
      <c r="AE11" s="40"/>
      <c r="AF11" s="40"/>
      <c r="AG11" s="40"/>
      <c r="AH11" s="145"/>
      <c r="AI11" s="40"/>
      <c r="AJ11" s="40"/>
      <c r="AK11" s="40"/>
      <c r="AL11" s="40"/>
      <c r="AM11" s="40"/>
      <c r="AN11" s="40"/>
      <c r="AO11" s="40"/>
      <c r="AP11" s="40"/>
      <c r="AQ11" s="40"/>
      <c r="AR11" s="40"/>
      <c r="AS11" s="40"/>
      <c r="BK11"/>
      <c r="BL11"/>
      <c r="BM11"/>
    </row>
    <row r="12" spans="1:65" s="12" customFormat="1" ht="16.350000000000001" customHeight="1">
      <c r="K12" s="40"/>
      <c r="L12" s="40"/>
      <c r="M12" s="40"/>
      <c r="N12" s="40"/>
      <c r="O12" s="40"/>
      <c r="P12" s="40"/>
      <c r="Q12" s="40"/>
      <c r="R12" s="167"/>
      <c r="S12" s="167"/>
      <c r="T12" s="167"/>
      <c r="U12" s="167"/>
      <c r="V12" s="167"/>
      <c r="W12" s="167"/>
      <c r="X12" s="167"/>
      <c r="Y12" s="167"/>
      <c r="Z12" s="167"/>
      <c r="AA12" s="167"/>
      <c r="AB12" s="167"/>
      <c r="AC12" s="167"/>
      <c r="AD12" s="167"/>
      <c r="AE12" s="30"/>
      <c r="AF12" s="23"/>
      <c r="AH12" s="146"/>
      <c r="BK12"/>
      <c r="BL12"/>
      <c r="BM12"/>
    </row>
    <row r="13" spans="1:65" s="12" customFormat="1" ht="16.350000000000001" customHeight="1">
      <c r="F13" s="605"/>
      <c r="G13" s="605"/>
      <c r="H13" s="605"/>
      <c r="I13" s="279"/>
      <c r="K13" s="40"/>
      <c r="L13" s="40"/>
      <c r="M13" s="40"/>
      <c r="N13" s="40"/>
      <c r="O13" s="40"/>
      <c r="P13" s="40"/>
      <c r="Q13" s="40"/>
      <c r="R13" s="168"/>
      <c r="S13" s="168"/>
      <c r="T13" s="168"/>
      <c r="U13" s="168"/>
      <c r="V13" s="168"/>
      <c r="W13" s="168"/>
      <c r="X13" s="168"/>
      <c r="Y13" s="168"/>
      <c r="Z13" s="168"/>
      <c r="AA13" s="168"/>
      <c r="AB13" s="168"/>
      <c r="AC13" s="168"/>
      <c r="AD13" s="168"/>
      <c r="AE13" s="30"/>
      <c r="AF13" s="23"/>
      <c r="AH13" s="32"/>
      <c r="BA13" s="279"/>
      <c r="BB13" s="279"/>
      <c r="BC13" s="279"/>
      <c r="BD13" s="279"/>
      <c r="BE13" s="279"/>
      <c r="BF13" s="279"/>
      <c r="BK13"/>
      <c r="BL13"/>
      <c r="BM13"/>
    </row>
    <row r="14" spans="1:65" s="12" customFormat="1" ht="30">
      <c r="F14" s="252" t="s">
        <v>162</v>
      </c>
      <c r="G14" s="305"/>
      <c r="H14" s="286"/>
      <c r="I14" s="286"/>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599"/>
      <c r="AS14" s="599"/>
      <c r="AT14" s="288"/>
      <c r="AU14" s="599"/>
      <c r="AV14" s="599"/>
      <c r="AW14" s="599"/>
      <c r="AX14" s="599"/>
      <c r="AY14" s="600"/>
      <c r="AZ14" s="601"/>
      <c r="BA14" s="60"/>
      <c r="BB14" s="60"/>
      <c r="BK14"/>
      <c r="BL14"/>
      <c r="BM14"/>
    </row>
    <row r="15" spans="1:65" s="12" customFormat="1" ht="30.75" customHeight="1">
      <c r="F15" s="255" t="s">
        <v>163</v>
      </c>
      <c r="G15" s="60"/>
      <c r="H15" s="60"/>
      <c r="I15" s="60"/>
      <c r="J15" s="60"/>
      <c r="K15" s="264"/>
      <c r="L15" s="264"/>
      <c r="M15" s="602"/>
      <c r="N15" s="602"/>
      <c r="O15" s="264"/>
      <c r="P15" s="264"/>
      <c r="Q15" s="264"/>
      <c r="R15" s="264"/>
      <c r="S15" s="264"/>
      <c r="T15" s="264"/>
      <c r="U15" s="264"/>
      <c r="V15" s="264"/>
      <c r="W15" s="602"/>
      <c r="X15" s="602"/>
      <c r="Y15" s="602"/>
      <c r="Z15" s="264"/>
      <c r="AA15" s="264"/>
      <c r="AB15" s="264"/>
      <c r="AC15" s="264"/>
      <c r="AD15" s="264"/>
      <c r="AE15" s="264"/>
      <c r="AF15" s="264"/>
      <c r="AG15" s="264"/>
      <c r="AH15" s="264"/>
      <c r="AI15" s="264"/>
      <c r="AJ15" s="264"/>
      <c r="AK15" s="264"/>
      <c r="AL15" s="264"/>
      <c r="AM15" s="264"/>
      <c r="AN15" s="264"/>
      <c r="AO15" s="264"/>
      <c r="AP15" s="264"/>
      <c r="AQ15" s="264"/>
      <c r="AR15" s="264"/>
      <c r="AS15" s="264"/>
      <c r="AT15" s="264"/>
      <c r="AU15" s="264"/>
      <c r="AV15" s="264"/>
      <c r="AW15" s="60"/>
      <c r="AX15" s="60"/>
      <c r="AY15" s="60"/>
      <c r="AZ15" s="60"/>
      <c r="BA15" s="60"/>
      <c r="BB15" s="60"/>
      <c r="BK15"/>
      <c r="BL15"/>
      <c r="BM15"/>
    </row>
    <row r="16" spans="1:65" s="12" customFormat="1" ht="16.350000000000001" customHeight="1">
      <c r="F16" s="60"/>
      <c r="G16" s="60"/>
      <c r="H16" s="60"/>
      <c r="I16" s="60"/>
      <c r="J16" s="60"/>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c r="AS16" s="264"/>
      <c r="AT16" s="264"/>
      <c r="AU16" s="264"/>
      <c r="AV16" s="264"/>
      <c r="AW16" s="60"/>
      <c r="AX16" s="60"/>
      <c r="AY16" s="60"/>
      <c r="AZ16" s="60"/>
      <c r="BA16" s="60"/>
      <c r="BB16" s="60"/>
      <c r="BK16"/>
      <c r="BL16"/>
      <c r="BM16"/>
    </row>
    <row r="17" spans="6:65" s="12" customFormat="1" ht="20.25">
      <c r="F17" s="581" t="s">
        <v>1844</v>
      </c>
      <c r="G17" s="60"/>
      <c r="H17" s="60"/>
      <c r="I17" s="60"/>
      <c r="J17" s="445"/>
      <c r="K17" s="264"/>
      <c r="L17" s="603"/>
      <c r="M17" s="60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c r="AS17" s="264"/>
      <c r="AT17" s="264"/>
      <c r="AU17" s="264"/>
      <c r="AV17" s="264"/>
      <c r="AW17" s="60"/>
      <c r="AX17" s="60"/>
      <c r="AY17" s="60"/>
      <c r="AZ17" s="60"/>
      <c r="BA17" s="60"/>
      <c r="BB17" s="60"/>
      <c r="BK17"/>
      <c r="BL17"/>
      <c r="BM17"/>
    </row>
    <row r="18" spans="6:65" s="12" customFormat="1" ht="20.25" customHeight="1">
      <c r="F18" s="1656" t="s">
        <v>1845</v>
      </c>
      <c r="G18" s="1656"/>
      <c r="H18" s="1656"/>
      <c r="I18" s="1656"/>
      <c r="J18" s="1656"/>
      <c r="K18" s="1656"/>
      <c r="L18" s="1656"/>
      <c r="M18" s="1656"/>
      <c r="N18" s="1656"/>
      <c r="O18" s="1656"/>
      <c r="P18" s="1656"/>
      <c r="Q18" s="1656"/>
      <c r="R18" s="1656"/>
      <c r="S18" s="1656"/>
      <c r="T18" s="1656"/>
      <c r="U18" s="1656"/>
      <c r="V18" s="1656"/>
      <c r="W18" s="1656"/>
      <c r="X18" s="1656"/>
      <c r="Y18" s="1656"/>
      <c r="Z18" s="1656"/>
      <c r="AA18" s="1656"/>
      <c r="AB18" s="1656"/>
      <c r="AC18" s="1656"/>
      <c r="AD18" s="1656"/>
      <c r="AE18" s="1656"/>
      <c r="AF18" s="264"/>
      <c r="AG18" s="264"/>
      <c r="AH18" s="264"/>
      <c r="AI18" s="264"/>
      <c r="AJ18" s="264"/>
      <c r="AK18" s="264"/>
      <c r="AL18" s="264"/>
      <c r="AM18" s="264"/>
      <c r="AN18" s="264"/>
      <c r="AO18" s="264"/>
      <c r="AP18" s="264"/>
      <c r="AQ18" s="264"/>
      <c r="AR18" s="264"/>
      <c r="AS18" s="264"/>
      <c r="AT18" s="264"/>
      <c r="AU18" s="264"/>
      <c r="AV18" s="264"/>
      <c r="AW18" s="60"/>
      <c r="AX18" s="60"/>
      <c r="AY18" s="60"/>
      <c r="AZ18" s="60"/>
      <c r="BA18" s="60"/>
      <c r="BB18" s="60"/>
      <c r="BK18"/>
      <c r="BL18"/>
      <c r="BM18"/>
    </row>
    <row r="19" spans="6:65" s="12" customFormat="1" ht="20.25" customHeight="1">
      <c r="F19" s="1656" t="s">
        <v>1846</v>
      </c>
      <c r="G19" s="1656"/>
      <c r="H19" s="1656"/>
      <c r="I19" s="1656"/>
      <c r="J19" s="1656"/>
      <c r="K19" s="1656"/>
      <c r="L19" s="1656"/>
      <c r="M19" s="1656"/>
      <c r="N19" s="1656"/>
      <c r="O19" s="1656"/>
      <c r="P19" s="1656"/>
      <c r="Q19" s="1656"/>
      <c r="R19" s="1656"/>
      <c r="S19" s="1656"/>
      <c r="T19" s="1656"/>
      <c r="U19" s="1656"/>
      <c r="V19" s="1656"/>
      <c r="W19" s="1656"/>
      <c r="X19" s="1656"/>
      <c r="Y19" s="1656"/>
      <c r="Z19" s="1656"/>
      <c r="AA19" s="1656"/>
      <c r="AB19" s="1656"/>
      <c r="AC19" s="1656"/>
      <c r="AD19" s="1656"/>
      <c r="AE19" s="1656"/>
      <c r="AF19" s="1656"/>
      <c r="AG19" s="1656"/>
      <c r="AH19" s="1656"/>
      <c r="AI19" s="1656"/>
      <c r="AJ19" s="1656"/>
      <c r="AK19" s="1656"/>
      <c r="AL19" s="1656"/>
      <c r="AM19" s="1656"/>
      <c r="AN19" s="1656"/>
      <c r="AO19" s="1656"/>
      <c r="AP19" s="1656"/>
      <c r="AQ19" s="264"/>
      <c r="AR19" s="264"/>
      <c r="AS19" s="264"/>
      <c r="AT19" s="264"/>
      <c r="AU19" s="264"/>
      <c r="AV19" s="264"/>
      <c r="AW19" s="60"/>
      <c r="AX19" s="60"/>
      <c r="AY19" s="60"/>
      <c r="AZ19" s="60"/>
      <c r="BA19" s="60"/>
      <c r="BB19" s="60"/>
      <c r="BK19"/>
      <c r="BL19"/>
      <c r="BM19"/>
    </row>
    <row r="20" spans="6:65" s="12" customFormat="1" ht="20.25" customHeight="1">
      <c r="F20"/>
      <c r="G20"/>
      <c r="H20"/>
      <c r="I20"/>
      <c r="J20"/>
      <c r="K20"/>
      <c r="L20"/>
      <c r="M20"/>
      <c r="N20"/>
      <c r="O20"/>
      <c r="P20"/>
      <c r="Q20"/>
      <c r="R20"/>
      <c r="S20"/>
      <c r="T20"/>
      <c r="U20"/>
      <c r="V20"/>
      <c r="W20"/>
      <c r="X20"/>
      <c r="Y20"/>
      <c r="Z20"/>
      <c r="AA20"/>
      <c r="AB20"/>
      <c r="AC20"/>
      <c r="AD20"/>
      <c r="AE20"/>
      <c r="AF20"/>
      <c r="AG20" s="60"/>
      <c r="AH20" s="60"/>
      <c r="AI20" s="60"/>
      <c r="AJ20" s="60"/>
      <c r="AK20" s="60"/>
      <c r="AL20" s="60"/>
      <c r="AM20" s="60"/>
      <c r="AN20" s="60"/>
      <c r="AO20" s="60"/>
      <c r="AP20" s="60"/>
      <c r="AQ20" s="60"/>
      <c r="AR20" s="60"/>
      <c r="AS20" s="60"/>
      <c r="AT20" s="60"/>
      <c r="AU20" s="60"/>
      <c r="AV20" s="60"/>
      <c r="AW20" s="60"/>
      <c r="AX20" s="60"/>
      <c r="AY20" s="60"/>
      <c r="AZ20" s="60"/>
      <c r="BA20" s="60"/>
      <c r="BB20" s="60"/>
      <c r="BK20"/>
      <c r="BL20"/>
      <c r="BM20"/>
    </row>
    <row r="21" spans="6:65" s="12" customFormat="1" ht="20.100000000000001" customHeight="1">
      <c r="F21" s="1664" t="s">
        <v>1847</v>
      </c>
      <c r="G21" s="1664"/>
      <c r="H21" s="1664"/>
      <c r="I21" s="1664"/>
      <c r="J21" s="1664"/>
      <c r="K21" s="1664"/>
      <c r="L21" s="1664"/>
      <c r="M21" s="1664"/>
      <c r="N21" s="1664"/>
      <c r="O21" s="1664"/>
      <c r="P21" s="1664"/>
      <c r="Q21" s="1664"/>
      <c r="R21" s="1664"/>
      <c r="S21" s="1664"/>
      <c r="T21" s="1664"/>
      <c r="U21" s="1665"/>
      <c r="V21" s="1665"/>
      <c r="W21" s="1665"/>
      <c r="X21" s="1665"/>
      <c r="Y21" s="1665"/>
      <c r="Z21" s="229"/>
      <c r="AA21" s="229"/>
      <c r="AB21" s="229"/>
      <c r="AC21" s="229"/>
      <c r="AD21" s="229"/>
      <c r="AE21" s="229"/>
      <c r="AF21" s="1663" t="s">
        <v>1848</v>
      </c>
      <c r="AG21" s="1663"/>
      <c r="AH21" s="1663"/>
      <c r="AI21" s="1663"/>
      <c r="AJ21" s="1663"/>
      <c r="AK21" s="1663"/>
      <c r="AL21" s="1663"/>
      <c r="AM21" s="1663"/>
      <c r="AN21" s="651"/>
      <c r="AO21" s="1665"/>
      <c r="AP21" s="1665"/>
      <c r="AQ21" s="1665"/>
      <c r="AR21" s="1665"/>
      <c r="AS21" s="1665"/>
      <c r="AT21" s="651"/>
      <c r="AU21" s="1666" t="s">
        <v>1849</v>
      </c>
      <c r="AV21" s="1666"/>
      <c r="AW21" s="60"/>
      <c r="AX21" s="1665"/>
      <c r="AY21" s="1665"/>
      <c r="AZ21" s="1665"/>
      <c r="BA21" s="1665"/>
      <c r="BB21" s="1665"/>
      <c r="BC21" s="1665"/>
      <c r="BD21" s="1665"/>
      <c r="BE21" s="1665"/>
      <c r="BF21" s="1665"/>
      <c r="BK21"/>
      <c r="BL21"/>
      <c r="BM21"/>
    </row>
    <row r="22" spans="6:65" s="12" customFormat="1" ht="15" customHeight="1">
      <c r="F22" s="610"/>
      <c r="G22" s="610"/>
      <c r="H22" s="610"/>
      <c r="I22" s="610"/>
      <c r="J22" s="610"/>
      <c r="K22" s="610"/>
      <c r="L22" s="610"/>
      <c r="M22" s="610"/>
      <c r="N22" s="610"/>
      <c r="O22" s="610"/>
      <c r="P22" s="610"/>
      <c r="Q22" s="610"/>
      <c r="R22" s="610"/>
      <c r="S22" s="610"/>
      <c r="T22" s="610"/>
      <c r="U22" s="177"/>
      <c r="V22" s="639"/>
      <c r="W22" s="1702" t="str">
        <f ca="1">TEMPLATE!K238</f>
        <v>Required</v>
      </c>
      <c r="X22" s="1702"/>
      <c r="Y22" s="1702"/>
      <c r="Z22" s="229"/>
      <c r="AA22" s="229"/>
      <c r="AB22" s="229"/>
      <c r="AC22" s="229"/>
      <c r="AD22" s="229"/>
      <c r="AE22" s="229"/>
      <c r="AQ22" s="1661" t="str">
        <f ca="1">TEMPLATE!K246</f>
        <v/>
      </c>
      <c r="AR22" s="1661"/>
      <c r="AS22" s="1661"/>
      <c r="AT22" s="60"/>
      <c r="AU22" s="60"/>
      <c r="AV22" s="60"/>
      <c r="AW22" s="60"/>
      <c r="AX22" s="60"/>
      <c r="AY22" s="60"/>
      <c r="AZ22" s="60"/>
      <c r="BA22" s="60"/>
      <c r="BB22" s="60"/>
      <c r="BD22" s="1661" t="str">
        <f ca="1">TEMPLATE!K247</f>
        <v/>
      </c>
      <c r="BE22" s="1661"/>
      <c r="BF22" s="1661"/>
      <c r="BK22"/>
      <c r="BL22"/>
      <c r="BM22"/>
    </row>
    <row r="23" spans="6:65" s="12" customFormat="1" ht="20.100000000000001" customHeight="1">
      <c r="F23"/>
      <c r="G23"/>
      <c r="H23"/>
      <c r="I23"/>
      <c r="J23"/>
      <c r="K23"/>
      <c r="L23"/>
      <c r="M23"/>
      <c r="N23"/>
      <c r="O23"/>
      <c r="P23"/>
      <c r="Q23"/>
      <c r="R23"/>
      <c r="S23"/>
      <c r="T23"/>
      <c r="U23"/>
      <c r="V23"/>
      <c r="W23"/>
      <c r="X23"/>
      <c r="Y23"/>
      <c r="Z23" s="229"/>
      <c r="AA23" s="229"/>
      <c r="AB23" s="229"/>
      <c r="AC23" s="229"/>
      <c r="AD23" s="229"/>
      <c r="AE23" s="229"/>
      <c r="AF23" s="1664" t="s">
        <v>1850</v>
      </c>
      <c r="AG23" s="1664"/>
      <c r="AH23" s="1664"/>
      <c r="AI23" s="1664"/>
      <c r="AJ23" s="1664"/>
      <c r="AK23" s="1664"/>
      <c r="AL23" s="1664"/>
      <c r="AM23" s="1664"/>
      <c r="AN23" s="60"/>
      <c r="AO23" s="1665"/>
      <c r="AP23" s="1665"/>
      <c r="AQ23" s="1665"/>
      <c r="AR23" s="1665"/>
      <c r="AS23" s="1665"/>
      <c r="AT23" s="60"/>
      <c r="AU23" s="1666" t="s">
        <v>1849</v>
      </c>
      <c r="AV23" s="1666"/>
      <c r="AW23" s="60"/>
      <c r="AX23" s="1667"/>
      <c r="AY23" s="1668"/>
      <c r="AZ23" s="1668"/>
      <c r="BA23" s="1668"/>
      <c r="BB23" s="1668"/>
      <c r="BC23" s="1668"/>
      <c r="BD23" s="1668"/>
      <c r="BE23" s="1668"/>
      <c r="BF23" s="1669"/>
      <c r="BK23"/>
      <c r="BL23"/>
      <c r="BM23"/>
    </row>
    <row r="24" spans="6:65" s="12" customFormat="1" ht="15" customHeight="1">
      <c r="F24"/>
      <c r="G24"/>
      <c r="H24"/>
      <c r="I24"/>
      <c r="J24"/>
      <c r="K24"/>
      <c r="L24"/>
      <c r="M24"/>
      <c r="N24"/>
      <c r="O24"/>
      <c r="P24"/>
      <c r="Q24"/>
      <c r="R24"/>
      <c r="S24"/>
      <c r="T24"/>
      <c r="U24"/>
      <c r="V24"/>
      <c r="W24"/>
      <c r="X24"/>
      <c r="Y24"/>
      <c r="Z24" s="229"/>
      <c r="AA24" s="229"/>
      <c r="AB24" s="229"/>
      <c r="AC24" s="229"/>
      <c r="AD24" s="229"/>
      <c r="AE24" s="229"/>
      <c r="AF24" s="60"/>
      <c r="AG24" s="60"/>
      <c r="AH24" s="60"/>
      <c r="AI24" s="60"/>
      <c r="AJ24" s="60"/>
      <c r="AK24" s="60"/>
      <c r="AL24" s="60"/>
      <c r="AM24" s="60"/>
      <c r="AN24" s="60"/>
      <c r="AO24" s="60"/>
      <c r="AP24" s="60"/>
      <c r="AQ24" s="1660" t="str">
        <f ca="1">TEMPLATE!K248</f>
        <v/>
      </c>
      <c r="AR24" s="1660"/>
      <c r="AS24" s="1660"/>
      <c r="AT24" s="60"/>
      <c r="AU24" s="60"/>
      <c r="AV24" s="60"/>
      <c r="AW24" s="60"/>
      <c r="AX24" s="60"/>
      <c r="AY24" s="60"/>
      <c r="AZ24" s="60"/>
      <c r="BA24" s="60"/>
      <c r="BB24" s="60"/>
      <c r="BD24" s="1662" t="str">
        <f ca="1">TEMPLATE!K249</f>
        <v/>
      </c>
      <c r="BE24" s="1662"/>
      <c r="BF24" s="1662"/>
      <c r="BK24"/>
      <c r="BL24"/>
      <c r="BM24"/>
    </row>
    <row r="25" spans="6:65" s="12" customFormat="1" ht="20.25" customHeight="1">
      <c r="F25" s="1664" t="s">
        <v>1851</v>
      </c>
      <c r="G25" s="1664"/>
      <c r="H25" s="1664"/>
      <c r="I25" s="1664"/>
      <c r="J25" s="1664"/>
      <c r="K25" s="1664"/>
      <c r="L25" s="1664"/>
      <c r="M25" s="1664"/>
      <c r="N25" s="1664"/>
      <c r="O25" s="1664"/>
      <c r="P25" s="1664"/>
      <c r="Q25" s="1664"/>
      <c r="R25" s="1664"/>
      <c r="S25" s="1664"/>
      <c r="T25" s="1664"/>
      <c r="U25" s="1664"/>
      <c r="V25" s="1664"/>
      <c r="W25" s="1664"/>
      <c r="X25" s="1664"/>
      <c r="Y25" s="1664"/>
      <c r="Z25" s="1664"/>
      <c r="AA25" s="1664"/>
      <c r="AB25" s="1664"/>
      <c r="AC25" s="1664"/>
      <c r="AD25" s="1664"/>
      <c r="AE25" s="1664"/>
      <c r="AF25" s="1664"/>
      <c r="AG25" s="1664"/>
      <c r="AH25" s="1664"/>
      <c r="AI25" s="1664"/>
      <c r="AJ25" s="1664"/>
      <c r="AK25" s="1664"/>
      <c r="AL25" s="1664"/>
      <c r="AM25" s="1664"/>
      <c r="AN25" s="1664"/>
      <c r="AO25" s="1664"/>
      <c r="AP25" s="60"/>
      <c r="AQ25" s="60"/>
      <c r="AR25" s="60"/>
      <c r="AS25" s="60"/>
      <c r="AT25" s="60"/>
      <c r="AU25" s="60"/>
      <c r="AV25" s="60"/>
      <c r="AW25" s="60"/>
      <c r="AX25" s="60"/>
      <c r="AY25" s="60"/>
      <c r="AZ25" s="60"/>
      <c r="BA25" s="60"/>
      <c r="BB25" s="60"/>
      <c r="BK25"/>
      <c r="BL25"/>
      <c r="BM25"/>
    </row>
    <row r="26" spans="6:65" s="12" customFormat="1" ht="36" customHeight="1">
      <c r="F26" s="1696" t="s">
        <v>1852</v>
      </c>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696"/>
      <c r="AM26" s="1696"/>
      <c r="AN26" s="1696"/>
      <c r="AO26" s="1696"/>
      <c r="AP26" s="1696"/>
      <c r="AQ26" s="1696"/>
      <c r="AR26" s="1696"/>
      <c r="AS26" s="1696"/>
      <c r="AT26" s="1696"/>
      <c r="AU26" s="1696"/>
      <c r="AV26" s="1696"/>
      <c r="AW26" s="1696"/>
      <c r="AX26" s="1696"/>
      <c r="AY26" s="1696"/>
      <c r="AZ26" s="1696"/>
      <c r="BA26" s="1696"/>
      <c r="BB26" s="1696"/>
      <c r="BC26" s="1696"/>
      <c r="BD26" s="1696"/>
      <c r="BE26" s="1696"/>
      <c r="BF26" s="1696"/>
      <c r="BG26"/>
      <c r="BK26"/>
      <c r="BL26"/>
      <c r="BM26"/>
    </row>
    <row r="27" spans="6:65" s="12" customFormat="1" ht="16.350000000000001" customHeight="1">
      <c r="F27" s="1675" t="s">
        <v>1853</v>
      </c>
      <c r="G27" s="1675"/>
      <c r="H27" s="1675"/>
      <c r="I27" s="1675"/>
      <c r="J27" s="1675"/>
      <c r="K27" s="1675"/>
      <c r="L27" s="1675"/>
      <c r="M27" s="1675"/>
      <c r="N27" s="1675"/>
      <c r="O27" s="1675"/>
      <c r="P27" s="1675" t="s">
        <v>1358</v>
      </c>
      <c r="Q27" s="1675"/>
      <c r="R27" s="1675"/>
      <c r="S27" s="1675"/>
      <c r="T27" s="1675"/>
      <c r="U27" s="1676" t="str">
        <f>IFERROR(IF(M05S08F13&lt;&gt;"Yes","Accepted Contract Date","Rejected Contract Date"),"")</f>
        <v>Accepted Contract Date</v>
      </c>
      <c r="V27" s="1677"/>
      <c r="W27" s="1677"/>
      <c r="X27" s="1677"/>
      <c r="Y27" s="1678"/>
      <c r="Z27" s="1675" t="s">
        <v>756</v>
      </c>
      <c r="AA27" s="1675"/>
      <c r="AB27" s="1675"/>
      <c r="AC27" s="1675"/>
      <c r="AD27" s="1675"/>
      <c r="AE27" s="1675" t="s">
        <v>1854</v>
      </c>
      <c r="AF27" s="1675"/>
      <c r="AG27" s="1675"/>
      <c r="AH27" s="1675"/>
      <c r="AI27" s="1675"/>
      <c r="AJ27" s="1675" t="s">
        <v>1855</v>
      </c>
      <c r="AK27" s="1675"/>
      <c r="AL27" s="1675"/>
      <c r="AM27" s="1675"/>
      <c r="AN27" s="1675"/>
      <c r="AO27" s="1675" t="s">
        <v>1856</v>
      </c>
      <c r="AP27" s="1675"/>
      <c r="AQ27" s="1675"/>
      <c r="AR27" s="1675"/>
      <c r="AS27" s="1675"/>
      <c r="AT27" s="1676" t="s">
        <v>1857</v>
      </c>
      <c r="AU27" s="1677"/>
      <c r="AV27" s="1677"/>
      <c r="AW27" s="1677"/>
      <c r="AX27" s="1677"/>
      <c r="AY27" s="1677"/>
      <c r="AZ27" s="1677"/>
      <c r="BA27" s="1677"/>
      <c r="BB27" s="1677"/>
      <c r="BC27" s="1677"/>
      <c r="BD27" s="1677"/>
      <c r="BE27" s="1677"/>
      <c r="BF27" s="1678"/>
      <c r="BG27"/>
      <c r="BK27"/>
      <c r="BL27"/>
      <c r="BM27"/>
    </row>
    <row r="28" spans="6:65" s="12" customFormat="1" ht="16.350000000000001" customHeight="1">
      <c r="F28" s="1679"/>
      <c r="G28" s="1680"/>
      <c r="H28" s="1680"/>
      <c r="I28" s="1680"/>
      <c r="J28" s="1680"/>
      <c r="K28" s="1680"/>
      <c r="L28" s="1680"/>
      <c r="M28" s="1680"/>
      <c r="N28" s="1680"/>
      <c r="O28" s="1681"/>
      <c r="P28" s="1679"/>
      <c r="Q28" s="1680"/>
      <c r="R28" s="1680"/>
      <c r="S28" s="1680"/>
      <c r="T28" s="1681"/>
      <c r="U28" s="1672"/>
      <c r="V28" s="1673"/>
      <c r="W28" s="1673"/>
      <c r="X28" s="1673"/>
      <c r="Y28" s="1674"/>
      <c r="Z28" s="1670"/>
      <c r="AA28" s="1670"/>
      <c r="AB28" s="1670"/>
      <c r="AC28" s="1670"/>
      <c r="AD28" s="1670"/>
      <c r="AE28" s="1670"/>
      <c r="AF28" s="1670"/>
      <c r="AG28" s="1670"/>
      <c r="AH28" s="1670"/>
      <c r="AI28" s="1670"/>
      <c r="AJ28" s="1670"/>
      <c r="AK28" s="1670"/>
      <c r="AL28" s="1670"/>
      <c r="AM28" s="1670"/>
      <c r="AN28" s="1670"/>
      <c r="AO28" s="1671"/>
      <c r="AP28" s="1671"/>
      <c r="AQ28" s="1671"/>
      <c r="AR28" s="1671"/>
      <c r="AS28" s="1671"/>
      <c r="AT28" s="1657"/>
      <c r="AU28" s="1658"/>
      <c r="AV28" s="1658"/>
      <c r="AW28" s="1658"/>
      <c r="AX28" s="1658"/>
      <c r="AY28" s="1658"/>
      <c r="AZ28" s="1658"/>
      <c r="BA28" s="1658"/>
      <c r="BB28" s="1658"/>
      <c r="BC28" s="1658"/>
      <c r="BD28" s="1658"/>
      <c r="BE28" s="1658"/>
      <c r="BF28" s="1659"/>
      <c r="BG28"/>
      <c r="BK28"/>
      <c r="BL28"/>
      <c r="BM28"/>
    </row>
    <row r="29" spans="6:65" s="12" customFormat="1" ht="16.350000000000001" customHeight="1">
      <c r="F29" s="1679"/>
      <c r="G29" s="1680"/>
      <c r="H29" s="1680"/>
      <c r="I29" s="1680"/>
      <c r="J29" s="1680"/>
      <c r="K29" s="1680"/>
      <c r="L29" s="1680"/>
      <c r="M29" s="1680"/>
      <c r="N29" s="1680"/>
      <c r="O29" s="1681"/>
      <c r="P29" s="1679"/>
      <c r="Q29" s="1680"/>
      <c r="R29" s="1680"/>
      <c r="S29" s="1680"/>
      <c r="T29" s="1681"/>
      <c r="U29" s="1672"/>
      <c r="V29" s="1673"/>
      <c r="W29" s="1673"/>
      <c r="X29" s="1673"/>
      <c r="Y29" s="1674"/>
      <c r="Z29" s="1670"/>
      <c r="AA29" s="1670"/>
      <c r="AB29" s="1670"/>
      <c r="AC29" s="1670"/>
      <c r="AD29" s="1670"/>
      <c r="AE29" s="1670"/>
      <c r="AF29" s="1670"/>
      <c r="AG29" s="1670"/>
      <c r="AH29" s="1670"/>
      <c r="AI29" s="1670"/>
      <c r="AJ29" s="1670"/>
      <c r="AK29" s="1670"/>
      <c r="AL29" s="1670"/>
      <c r="AM29" s="1670"/>
      <c r="AN29" s="1670"/>
      <c r="AO29" s="1671"/>
      <c r="AP29" s="1671"/>
      <c r="AQ29" s="1671"/>
      <c r="AR29" s="1671"/>
      <c r="AS29" s="1671"/>
      <c r="AT29" s="1657"/>
      <c r="AU29" s="1658"/>
      <c r="AV29" s="1658"/>
      <c r="AW29" s="1658"/>
      <c r="AX29" s="1658"/>
      <c r="AY29" s="1658"/>
      <c r="AZ29" s="1658"/>
      <c r="BA29" s="1658"/>
      <c r="BB29" s="1658"/>
      <c r="BC29" s="1658"/>
      <c r="BD29" s="1658"/>
      <c r="BE29" s="1658"/>
      <c r="BF29" s="1659"/>
      <c r="BK29"/>
      <c r="BL29"/>
      <c r="BM29"/>
    </row>
    <row r="30" spans="6:65" s="12" customFormat="1" ht="16.350000000000001" customHeight="1">
      <c r="F30" s="1679"/>
      <c r="G30" s="1680"/>
      <c r="H30" s="1680"/>
      <c r="I30" s="1680"/>
      <c r="J30" s="1680"/>
      <c r="K30" s="1680"/>
      <c r="L30" s="1680"/>
      <c r="M30" s="1680"/>
      <c r="N30" s="1680"/>
      <c r="O30" s="1681"/>
      <c r="P30" s="1679"/>
      <c r="Q30" s="1680"/>
      <c r="R30" s="1680"/>
      <c r="S30" s="1680"/>
      <c r="T30" s="1681"/>
      <c r="U30" s="1672"/>
      <c r="V30" s="1673"/>
      <c r="W30" s="1673"/>
      <c r="X30" s="1673"/>
      <c r="Y30" s="1674"/>
      <c r="Z30" s="1670"/>
      <c r="AA30" s="1670"/>
      <c r="AB30" s="1670"/>
      <c r="AC30" s="1670"/>
      <c r="AD30" s="1670"/>
      <c r="AE30" s="1670"/>
      <c r="AF30" s="1670"/>
      <c r="AG30" s="1670"/>
      <c r="AH30" s="1670"/>
      <c r="AI30" s="1670"/>
      <c r="AJ30" s="1670"/>
      <c r="AK30" s="1670"/>
      <c r="AL30" s="1670"/>
      <c r="AM30" s="1670"/>
      <c r="AN30" s="1670"/>
      <c r="AO30" s="1671"/>
      <c r="AP30" s="1671"/>
      <c r="AQ30" s="1671"/>
      <c r="AR30" s="1671"/>
      <c r="AS30" s="1671"/>
      <c r="AT30" s="1657"/>
      <c r="AU30" s="1658"/>
      <c r="AV30" s="1658"/>
      <c r="AW30" s="1658"/>
      <c r="AX30" s="1658"/>
      <c r="AY30" s="1658"/>
      <c r="AZ30" s="1658"/>
      <c r="BA30" s="1658"/>
      <c r="BB30" s="1658"/>
      <c r="BC30" s="1658"/>
      <c r="BD30" s="1658"/>
      <c r="BE30" s="1658"/>
      <c r="BF30" s="1659"/>
      <c r="BK30"/>
      <c r="BL30"/>
      <c r="BM30"/>
    </row>
    <row r="31" spans="6:65" s="12" customFormat="1" ht="16.350000000000001" customHeight="1">
      <c r="F31" s="1679"/>
      <c r="G31" s="1680"/>
      <c r="H31" s="1680"/>
      <c r="I31" s="1680"/>
      <c r="J31" s="1680"/>
      <c r="K31" s="1680"/>
      <c r="L31" s="1680"/>
      <c r="M31" s="1680"/>
      <c r="N31" s="1680"/>
      <c r="O31" s="1681"/>
      <c r="P31" s="1679"/>
      <c r="Q31" s="1680"/>
      <c r="R31" s="1680"/>
      <c r="S31" s="1680"/>
      <c r="T31" s="1681"/>
      <c r="U31" s="1672"/>
      <c r="V31" s="1673"/>
      <c r="W31" s="1673"/>
      <c r="X31" s="1673"/>
      <c r="Y31" s="1674"/>
      <c r="Z31" s="1670"/>
      <c r="AA31" s="1670"/>
      <c r="AB31" s="1670"/>
      <c r="AC31" s="1670"/>
      <c r="AD31" s="1670"/>
      <c r="AE31" s="1670"/>
      <c r="AF31" s="1670"/>
      <c r="AG31" s="1670"/>
      <c r="AH31" s="1670"/>
      <c r="AI31" s="1670"/>
      <c r="AJ31" s="1670"/>
      <c r="AK31" s="1670"/>
      <c r="AL31" s="1670"/>
      <c r="AM31" s="1670"/>
      <c r="AN31" s="1670"/>
      <c r="AO31" s="1671"/>
      <c r="AP31" s="1671"/>
      <c r="AQ31" s="1671"/>
      <c r="AR31" s="1671"/>
      <c r="AS31" s="1671"/>
      <c r="AT31" s="1657"/>
      <c r="AU31" s="1658"/>
      <c r="AV31" s="1658"/>
      <c r="AW31" s="1658"/>
      <c r="AX31" s="1658"/>
      <c r="AY31" s="1658"/>
      <c r="AZ31" s="1658"/>
      <c r="BA31" s="1658"/>
      <c r="BB31" s="1658"/>
      <c r="BC31" s="1658"/>
      <c r="BD31" s="1658"/>
      <c r="BE31" s="1658"/>
      <c r="BF31" s="1659"/>
      <c r="BK31"/>
      <c r="BL31"/>
      <c r="BM31"/>
    </row>
    <row r="32" spans="6:65" s="12" customFormat="1" ht="16.350000000000001" customHeight="1">
      <c r="F32" s="1679"/>
      <c r="G32" s="1680"/>
      <c r="H32" s="1680"/>
      <c r="I32" s="1680"/>
      <c r="J32" s="1680"/>
      <c r="K32" s="1680"/>
      <c r="L32" s="1680"/>
      <c r="M32" s="1680"/>
      <c r="N32" s="1680"/>
      <c r="O32" s="1681"/>
      <c r="P32" s="1679"/>
      <c r="Q32" s="1680"/>
      <c r="R32" s="1680"/>
      <c r="S32" s="1680"/>
      <c r="T32" s="1681"/>
      <c r="U32" s="1672"/>
      <c r="V32" s="1673"/>
      <c r="W32" s="1673"/>
      <c r="X32" s="1673"/>
      <c r="Y32" s="1674"/>
      <c r="Z32" s="1670"/>
      <c r="AA32" s="1670"/>
      <c r="AB32" s="1670"/>
      <c r="AC32" s="1670"/>
      <c r="AD32" s="1670"/>
      <c r="AE32" s="1670"/>
      <c r="AF32" s="1670"/>
      <c r="AG32" s="1670"/>
      <c r="AH32" s="1670"/>
      <c r="AI32" s="1670"/>
      <c r="AJ32" s="1670"/>
      <c r="AK32" s="1670"/>
      <c r="AL32" s="1670"/>
      <c r="AM32" s="1670"/>
      <c r="AN32" s="1670"/>
      <c r="AO32" s="1671"/>
      <c r="AP32" s="1671"/>
      <c r="AQ32" s="1671"/>
      <c r="AR32" s="1671"/>
      <c r="AS32" s="1671"/>
      <c r="AT32" s="1657"/>
      <c r="AU32" s="1658"/>
      <c r="AV32" s="1658"/>
      <c r="AW32" s="1658"/>
      <c r="AX32" s="1658"/>
      <c r="AY32" s="1658"/>
      <c r="AZ32" s="1658"/>
      <c r="BA32" s="1658"/>
      <c r="BB32" s="1658"/>
      <c r="BC32" s="1658"/>
      <c r="BD32" s="1658"/>
      <c r="BE32" s="1658"/>
      <c r="BF32" s="1659"/>
      <c r="BK32"/>
      <c r="BL32"/>
      <c r="BM32"/>
    </row>
    <row r="33" spans="6:65" s="12" customFormat="1" ht="16.350000000000001" customHeight="1">
      <c r="F33" s="1679"/>
      <c r="G33" s="1680"/>
      <c r="H33" s="1680"/>
      <c r="I33" s="1680"/>
      <c r="J33" s="1680"/>
      <c r="K33" s="1680"/>
      <c r="L33" s="1680"/>
      <c r="M33" s="1680"/>
      <c r="N33" s="1680"/>
      <c r="O33" s="1681"/>
      <c r="P33" s="1679"/>
      <c r="Q33" s="1680"/>
      <c r="R33" s="1680"/>
      <c r="S33" s="1680"/>
      <c r="T33" s="1681"/>
      <c r="U33" s="1672"/>
      <c r="V33" s="1673"/>
      <c r="W33" s="1673"/>
      <c r="X33" s="1673"/>
      <c r="Y33" s="1674"/>
      <c r="Z33" s="1670"/>
      <c r="AA33" s="1670"/>
      <c r="AB33" s="1670"/>
      <c r="AC33" s="1670"/>
      <c r="AD33" s="1670"/>
      <c r="AE33" s="1670"/>
      <c r="AF33" s="1670"/>
      <c r="AG33" s="1670"/>
      <c r="AH33" s="1670"/>
      <c r="AI33" s="1670"/>
      <c r="AJ33" s="1670"/>
      <c r="AK33" s="1670"/>
      <c r="AL33" s="1670"/>
      <c r="AM33" s="1670"/>
      <c r="AN33" s="1670"/>
      <c r="AO33" s="1671"/>
      <c r="AP33" s="1671"/>
      <c r="AQ33" s="1671"/>
      <c r="AR33" s="1671"/>
      <c r="AS33" s="1671"/>
      <c r="AT33" s="1657"/>
      <c r="AU33" s="1658"/>
      <c r="AV33" s="1658"/>
      <c r="AW33" s="1658"/>
      <c r="AX33" s="1658"/>
      <c r="AY33" s="1658"/>
      <c r="AZ33" s="1658"/>
      <c r="BA33" s="1658"/>
      <c r="BB33" s="1658"/>
      <c r="BC33" s="1658"/>
      <c r="BD33" s="1658"/>
      <c r="BE33" s="1658"/>
      <c r="BF33" s="1659"/>
      <c r="BK33"/>
      <c r="BL33"/>
      <c r="BM33"/>
    </row>
    <row r="34" spans="6:65" s="12" customFormat="1" ht="16.350000000000001" customHeight="1">
      <c r="F34" s="1679"/>
      <c r="G34" s="1680"/>
      <c r="H34" s="1680"/>
      <c r="I34" s="1680"/>
      <c r="J34" s="1680"/>
      <c r="K34" s="1680"/>
      <c r="L34" s="1680"/>
      <c r="M34" s="1680"/>
      <c r="N34" s="1680"/>
      <c r="O34" s="1681"/>
      <c r="P34" s="1679"/>
      <c r="Q34" s="1680"/>
      <c r="R34" s="1680"/>
      <c r="S34" s="1680"/>
      <c r="T34" s="1681"/>
      <c r="U34" s="1672"/>
      <c r="V34" s="1673"/>
      <c r="W34" s="1673"/>
      <c r="X34" s="1673"/>
      <c r="Y34" s="1674"/>
      <c r="Z34" s="1670"/>
      <c r="AA34" s="1670"/>
      <c r="AB34" s="1670"/>
      <c r="AC34" s="1670"/>
      <c r="AD34" s="1670"/>
      <c r="AE34" s="1670"/>
      <c r="AF34" s="1670"/>
      <c r="AG34" s="1670"/>
      <c r="AH34" s="1670"/>
      <c r="AI34" s="1670"/>
      <c r="AJ34" s="1670"/>
      <c r="AK34" s="1670"/>
      <c r="AL34" s="1670"/>
      <c r="AM34" s="1670"/>
      <c r="AN34" s="1670"/>
      <c r="AO34" s="1671"/>
      <c r="AP34" s="1671"/>
      <c r="AQ34" s="1671"/>
      <c r="AR34" s="1671"/>
      <c r="AS34" s="1671"/>
      <c r="AT34" s="1657"/>
      <c r="AU34" s="1658"/>
      <c r="AV34" s="1658"/>
      <c r="AW34" s="1658"/>
      <c r="AX34" s="1658"/>
      <c r="AY34" s="1658"/>
      <c r="AZ34" s="1658"/>
      <c r="BA34" s="1658"/>
      <c r="BB34" s="1658"/>
      <c r="BC34" s="1658"/>
      <c r="BD34" s="1658"/>
      <c r="BE34" s="1658"/>
      <c r="BF34" s="1659"/>
      <c r="BK34"/>
      <c r="BL34"/>
      <c r="BM34"/>
    </row>
    <row r="35" spans="6:65" s="12" customFormat="1" ht="16.350000000000001" customHeight="1">
      <c r="F35" s="1679"/>
      <c r="G35" s="1680"/>
      <c r="H35" s="1680"/>
      <c r="I35" s="1680"/>
      <c r="J35" s="1680"/>
      <c r="K35" s="1680"/>
      <c r="L35" s="1680"/>
      <c r="M35" s="1680"/>
      <c r="N35" s="1680"/>
      <c r="O35" s="1681"/>
      <c r="P35" s="1679"/>
      <c r="Q35" s="1680"/>
      <c r="R35" s="1680"/>
      <c r="S35" s="1680"/>
      <c r="T35" s="1681"/>
      <c r="U35" s="1672"/>
      <c r="V35" s="1673"/>
      <c r="W35" s="1673"/>
      <c r="X35" s="1673"/>
      <c r="Y35" s="1674"/>
      <c r="Z35" s="1670"/>
      <c r="AA35" s="1670"/>
      <c r="AB35" s="1670"/>
      <c r="AC35" s="1670"/>
      <c r="AD35" s="1670"/>
      <c r="AE35" s="1670"/>
      <c r="AF35" s="1670"/>
      <c r="AG35" s="1670"/>
      <c r="AH35" s="1670"/>
      <c r="AI35" s="1670"/>
      <c r="AJ35" s="1670"/>
      <c r="AK35" s="1670"/>
      <c r="AL35" s="1670"/>
      <c r="AM35" s="1670"/>
      <c r="AN35" s="1670"/>
      <c r="AO35" s="1671"/>
      <c r="AP35" s="1671"/>
      <c r="AQ35" s="1671"/>
      <c r="AR35" s="1671"/>
      <c r="AS35" s="1671"/>
      <c r="AT35" s="1657"/>
      <c r="AU35" s="1658"/>
      <c r="AV35" s="1658"/>
      <c r="AW35" s="1658"/>
      <c r="AX35" s="1658"/>
      <c r="AY35" s="1658"/>
      <c r="AZ35" s="1658"/>
      <c r="BA35" s="1658"/>
      <c r="BB35" s="1658"/>
      <c r="BC35" s="1658"/>
      <c r="BD35" s="1658"/>
      <c r="BE35" s="1658"/>
      <c r="BF35" s="1659"/>
      <c r="BK35"/>
      <c r="BL35"/>
      <c r="BM35"/>
    </row>
    <row r="36" spans="6:65" s="12" customFormat="1" ht="16.350000000000001" customHeight="1">
      <c r="BK36"/>
      <c r="BL36"/>
      <c r="BM36"/>
    </row>
    <row r="37" spans="6:65" s="12" customFormat="1" ht="36" customHeight="1">
      <c r="F37" s="1696" t="s">
        <v>1858</v>
      </c>
      <c r="G37" s="1696"/>
      <c r="H37" s="1696"/>
      <c r="I37" s="1696"/>
      <c r="J37" s="1696"/>
      <c r="K37" s="1696"/>
      <c r="L37" s="1696"/>
      <c r="M37" s="1696"/>
      <c r="N37" s="1696"/>
      <c r="O37" s="1696"/>
      <c r="P37" s="1696"/>
      <c r="Q37" s="1696"/>
      <c r="R37" s="1696"/>
      <c r="S37" s="1696"/>
      <c r="T37" s="1696"/>
      <c r="U37" s="1696"/>
      <c r="V37" s="1696"/>
      <c r="W37" s="1696"/>
      <c r="X37" s="1696"/>
      <c r="Y37" s="1696"/>
      <c r="Z37" s="1696"/>
      <c r="AA37" s="1696"/>
      <c r="AB37" s="1696"/>
      <c r="AC37" s="1696"/>
      <c r="AD37" s="1696"/>
      <c r="AE37" s="1696"/>
      <c r="AF37" s="1696"/>
      <c r="AG37" s="1696"/>
      <c r="AH37" s="1696"/>
      <c r="AI37" s="1696"/>
      <c r="AJ37" s="1696"/>
      <c r="AK37" s="1696"/>
      <c r="AL37" s="1696"/>
      <c r="AM37" s="1696"/>
      <c r="AN37" s="1696"/>
      <c r="AO37" s="1696"/>
      <c r="AP37" s="1696"/>
      <c r="AQ37" s="1696"/>
      <c r="AR37" s="1696"/>
      <c r="AS37" s="1696"/>
      <c r="AT37" s="1696"/>
      <c r="AU37" s="1696"/>
      <c r="AV37" s="1696"/>
      <c r="AW37" s="1696"/>
      <c r="AX37" s="1696"/>
      <c r="AY37" s="1696"/>
      <c r="AZ37" s="1696"/>
      <c r="BA37" s="1696"/>
      <c r="BB37" s="1696"/>
      <c r="BC37" s="1696"/>
      <c r="BD37" s="1696"/>
      <c r="BE37" s="1696"/>
      <c r="BF37" s="1696"/>
      <c r="BK37"/>
      <c r="BL37"/>
      <c r="BM37"/>
    </row>
    <row r="38" spans="6:65" s="12" customFormat="1" ht="16.350000000000001" customHeight="1">
      <c r="F38" s="1675" t="s">
        <v>1859</v>
      </c>
      <c r="G38" s="1675"/>
      <c r="H38" s="1675"/>
      <c r="I38" s="1675"/>
      <c r="J38" s="1675"/>
      <c r="K38" s="1675"/>
      <c r="L38" s="1675"/>
      <c r="M38" s="1675" t="s">
        <v>214</v>
      </c>
      <c r="N38" s="1675"/>
      <c r="O38" s="1675"/>
      <c r="P38" s="1675" t="s">
        <v>224</v>
      </c>
      <c r="Q38" s="1675"/>
      <c r="R38" s="1675"/>
      <c r="S38" s="1675" t="s">
        <v>1860</v>
      </c>
      <c r="T38" s="1675"/>
      <c r="U38" s="1675"/>
      <c r="V38" s="1675"/>
      <c r="W38" s="1675"/>
      <c r="X38" s="1675"/>
      <c r="Y38" s="1675"/>
      <c r="Z38" s="1675"/>
      <c r="AA38" s="1675"/>
      <c r="AB38" s="1675"/>
      <c r="AC38" s="1675"/>
      <c r="AD38" s="1675"/>
      <c r="AE38" s="1675"/>
      <c r="AF38" s="1675"/>
      <c r="AG38" s="1675"/>
      <c r="AH38" s="1675"/>
      <c r="AI38" s="1675"/>
      <c r="AJ38" s="1675"/>
      <c r="AK38" s="1675"/>
      <c r="AL38" s="1675"/>
      <c r="AM38" s="1675"/>
      <c r="AN38" s="1675"/>
      <c r="AO38" s="1675"/>
      <c r="AP38" s="1675"/>
      <c r="AQ38" s="1675"/>
      <c r="AR38" s="1675"/>
      <c r="AS38" s="1675"/>
      <c r="AT38" s="1675"/>
      <c r="AU38" s="1675"/>
      <c r="AV38" s="1675"/>
      <c r="AW38" s="1675"/>
      <c r="AX38" s="1675"/>
      <c r="AY38" s="1675"/>
      <c r="AZ38" s="1675"/>
      <c r="BA38" s="1675"/>
      <c r="BB38" s="1675"/>
      <c r="BC38" s="1675"/>
      <c r="BD38" s="1675"/>
      <c r="BE38" s="1675"/>
      <c r="BF38" s="1675"/>
      <c r="BK38"/>
      <c r="BL38"/>
      <c r="BM38"/>
    </row>
    <row r="39" spans="6:65" s="12" customFormat="1" ht="16.350000000000001" customHeight="1">
      <c r="F39" s="1682" t="s">
        <v>265</v>
      </c>
      <c r="G39" s="1683"/>
      <c r="H39" s="1683"/>
      <c r="I39" s="1683"/>
      <c r="J39" s="1683"/>
      <c r="K39" s="1683"/>
      <c r="L39" s="1684"/>
      <c r="M39" s="1688">
        <f>TEMPLATE!H10</f>
        <v>0</v>
      </c>
      <c r="N39" s="1689"/>
      <c r="O39" s="1689"/>
      <c r="P39" s="1690">
        <f>TEMPLATE!R10</f>
        <v>0</v>
      </c>
      <c r="Q39" s="1691"/>
      <c r="R39" s="1692"/>
      <c r="S39" s="1697"/>
      <c r="T39" s="1698"/>
      <c r="U39" s="1698"/>
      <c r="V39" s="1698"/>
      <c r="W39" s="1698"/>
      <c r="X39" s="1698"/>
      <c r="Y39" s="1698"/>
      <c r="Z39" s="1698"/>
      <c r="AA39" s="1698"/>
      <c r="AB39" s="1699"/>
      <c r="AC39" s="1697"/>
      <c r="AD39" s="1698"/>
      <c r="AE39" s="1698"/>
      <c r="AF39" s="1698"/>
      <c r="AG39" s="1698"/>
      <c r="AH39" s="1698"/>
      <c r="AI39" s="1698"/>
      <c r="AJ39" s="1698"/>
      <c r="AK39" s="1698"/>
      <c r="AL39" s="1699"/>
      <c r="AM39" s="1697"/>
      <c r="AN39" s="1698"/>
      <c r="AO39" s="1698"/>
      <c r="AP39" s="1698"/>
      <c r="AQ39" s="1698"/>
      <c r="AR39" s="1698"/>
      <c r="AS39" s="1698"/>
      <c r="AT39" s="1698"/>
      <c r="AU39" s="1698"/>
      <c r="AV39" s="1699"/>
      <c r="AW39" s="1697"/>
      <c r="AX39" s="1698"/>
      <c r="AY39" s="1698"/>
      <c r="AZ39" s="1698"/>
      <c r="BA39" s="1698"/>
      <c r="BB39" s="1698"/>
      <c r="BC39" s="1698"/>
      <c r="BD39" s="1698"/>
      <c r="BE39" s="1698"/>
      <c r="BF39" s="1699"/>
      <c r="BK39"/>
      <c r="BL39"/>
      <c r="BM39"/>
    </row>
    <row r="40" spans="6:65" s="12" customFormat="1" ht="16.350000000000001" customHeight="1">
      <c r="F40" s="1685"/>
      <c r="G40" s="1686"/>
      <c r="H40" s="1686"/>
      <c r="I40" s="1686"/>
      <c r="J40" s="1686"/>
      <c r="K40" s="1686"/>
      <c r="L40" s="1687"/>
      <c r="M40" s="1689"/>
      <c r="N40" s="1689"/>
      <c r="O40" s="1689"/>
      <c r="P40" s="1693"/>
      <c r="Q40" s="1694"/>
      <c r="R40" s="1695"/>
      <c r="S40" s="1697"/>
      <c r="T40" s="1698"/>
      <c r="U40" s="1698"/>
      <c r="V40" s="1698"/>
      <c r="W40" s="1698"/>
      <c r="X40" s="1698"/>
      <c r="Y40" s="1698"/>
      <c r="Z40" s="1698"/>
      <c r="AA40" s="1698"/>
      <c r="AB40" s="1699"/>
      <c r="AC40" s="1697"/>
      <c r="AD40" s="1698"/>
      <c r="AE40" s="1698"/>
      <c r="AF40" s="1698"/>
      <c r="AG40" s="1698"/>
      <c r="AH40" s="1698"/>
      <c r="AI40" s="1698"/>
      <c r="AJ40" s="1698"/>
      <c r="AK40" s="1698"/>
      <c r="AL40" s="1699"/>
      <c r="AM40" s="1697"/>
      <c r="AN40" s="1698"/>
      <c r="AO40" s="1698"/>
      <c r="AP40" s="1698"/>
      <c r="AQ40" s="1698"/>
      <c r="AR40" s="1698"/>
      <c r="AS40" s="1698"/>
      <c r="AT40" s="1698"/>
      <c r="AU40" s="1698"/>
      <c r="AV40" s="1699"/>
      <c r="AW40" s="1697"/>
      <c r="AX40" s="1698"/>
      <c r="AY40" s="1698"/>
      <c r="AZ40" s="1698"/>
      <c r="BA40" s="1698"/>
      <c r="BB40" s="1698"/>
      <c r="BC40" s="1698"/>
      <c r="BD40" s="1698"/>
      <c r="BE40" s="1698"/>
      <c r="BF40" s="1699"/>
      <c r="BK40"/>
      <c r="BL40"/>
      <c r="BM40"/>
    </row>
    <row r="41" spans="6:65" s="12" customFormat="1" ht="16.350000000000001" customHeight="1">
      <c r="F41" s="1682" t="s">
        <v>267</v>
      </c>
      <c r="G41" s="1683"/>
      <c r="H41" s="1683"/>
      <c r="I41" s="1683"/>
      <c r="J41" s="1683"/>
      <c r="K41" s="1683"/>
      <c r="L41" s="1684"/>
      <c r="M41" s="1688">
        <f>TEMPLATE!H11</f>
        <v>0</v>
      </c>
      <c r="N41" s="1689"/>
      <c r="O41" s="1689"/>
      <c r="P41" s="1690">
        <f>TEMPLATE!R11</f>
        <v>0</v>
      </c>
      <c r="Q41" s="1691"/>
      <c r="R41" s="1692"/>
      <c r="S41" s="1697"/>
      <c r="T41" s="1698"/>
      <c r="U41" s="1698"/>
      <c r="V41" s="1698"/>
      <c r="W41" s="1698"/>
      <c r="X41" s="1698"/>
      <c r="Y41" s="1698"/>
      <c r="Z41" s="1698"/>
      <c r="AA41" s="1698"/>
      <c r="AB41" s="1699"/>
      <c r="AC41" s="982"/>
      <c r="AD41" s="982"/>
      <c r="AE41" s="982"/>
      <c r="AF41" s="982"/>
      <c r="AG41" s="982"/>
      <c r="AH41" s="982"/>
      <c r="AI41" s="982"/>
      <c r="AJ41" s="982"/>
      <c r="AK41" s="982"/>
      <c r="AL41" s="982"/>
      <c r="AM41" s="982"/>
      <c r="AN41" s="982"/>
      <c r="AO41" s="982"/>
      <c r="AP41" s="982"/>
      <c r="AQ41" s="982"/>
      <c r="AR41" s="982"/>
      <c r="AS41" s="982"/>
      <c r="AT41" s="982"/>
      <c r="AU41" s="982"/>
      <c r="AV41" s="982"/>
      <c r="AW41" s="982"/>
      <c r="AX41" s="982"/>
      <c r="AY41" s="982"/>
      <c r="AZ41" s="982"/>
      <c r="BA41" s="982"/>
      <c r="BB41" s="982"/>
      <c r="BC41" s="982"/>
      <c r="BD41" s="982"/>
      <c r="BE41" s="982"/>
      <c r="BF41" s="982"/>
      <c r="BK41"/>
      <c r="BL41"/>
      <c r="BM41"/>
    </row>
    <row r="42" spans="6:65" s="12" customFormat="1" ht="16.350000000000001" customHeight="1">
      <c r="F42" s="1685"/>
      <c r="G42" s="1686"/>
      <c r="H42" s="1686"/>
      <c r="I42" s="1686"/>
      <c r="J42" s="1686"/>
      <c r="K42" s="1686"/>
      <c r="L42" s="1687"/>
      <c r="M42" s="1689"/>
      <c r="N42" s="1689"/>
      <c r="O42" s="1689"/>
      <c r="P42" s="1693"/>
      <c r="Q42" s="1694"/>
      <c r="R42" s="1695"/>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2"/>
      <c r="AR42" s="982"/>
      <c r="AS42" s="982"/>
      <c r="AT42" s="982"/>
      <c r="AU42" s="982"/>
      <c r="AV42" s="982"/>
      <c r="AW42" s="982"/>
      <c r="AX42" s="982"/>
      <c r="AY42" s="982"/>
      <c r="AZ42" s="982"/>
      <c r="BA42" s="982"/>
      <c r="BB42" s="982"/>
      <c r="BC42" s="982"/>
      <c r="BD42" s="982"/>
      <c r="BE42" s="982"/>
      <c r="BF42" s="982"/>
      <c r="BK42"/>
      <c r="BL42"/>
      <c r="BM42"/>
    </row>
    <row r="43" spans="6:65" s="12" customFormat="1" ht="16.350000000000001" customHeight="1">
      <c r="F43" s="1682" t="s">
        <v>269</v>
      </c>
      <c r="G43" s="1683"/>
      <c r="H43" s="1683"/>
      <c r="I43" s="1683"/>
      <c r="J43" s="1683"/>
      <c r="K43" s="1683"/>
      <c r="L43" s="1684"/>
      <c r="M43" s="1688">
        <f>TEMPLATE!H12</f>
        <v>0</v>
      </c>
      <c r="N43" s="1689"/>
      <c r="O43" s="1689"/>
      <c r="P43" s="1690">
        <f>TEMPLATE!R12</f>
        <v>0</v>
      </c>
      <c r="Q43" s="1691"/>
      <c r="R43" s="1692"/>
      <c r="S43" s="1697"/>
      <c r="T43" s="1698"/>
      <c r="U43" s="1698"/>
      <c r="V43" s="1698"/>
      <c r="W43" s="1698"/>
      <c r="X43" s="1698"/>
      <c r="Y43" s="1698"/>
      <c r="Z43" s="1698"/>
      <c r="AA43" s="1698"/>
      <c r="AB43" s="1699"/>
      <c r="AC43" s="982"/>
      <c r="AD43" s="982"/>
      <c r="AE43" s="982"/>
      <c r="AF43" s="982"/>
      <c r="AG43" s="982"/>
      <c r="AH43" s="982"/>
      <c r="AI43" s="982"/>
      <c r="AJ43" s="982"/>
      <c r="AK43" s="982"/>
      <c r="AL43" s="982"/>
      <c r="AM43" s="982"/>
      <c r="AN43" s="982"/>
      <c r="AO43" s="982"/>
      <c r="AP43" s="982"/>
      <c r="AQ43" s="982"/>
      <c r="AR43" s="982"/>
      <c r="AS43" s="982"/>
      <c r="AT43" s="982"/>
      <c r="AU43" s="982"/>
      <c r="AV43" s="982"/>
      <c r="AW43" s="982"/>
      <c r="AX43" s="982"/>
      <c r="AY43" s="982"/>
      <c r="AZ43" s="982"/>
      <c r="BA43" s="982"/>
      <c r="BB43" s="982"/>
      <c r="BC43" s="982"/>
      <c r="BD43" s="982"/>
      <c r="BE43" s="982"/>
      <c r="BF43" s="982"/>
      <c r="BK43"/>
      <c r="BL43"/>
      <c r="BM43"/>
    </row>
    <row r="44" spans="6:65" s="12" customFormat="1" ht="16.350000000000001" customHeight="1">
      <c r="F44" s="1685"/>
      <c r="G44" s="1686"/>
      <c r="H44" s="1686"/>
      <c r="I44" s="1686"/>
      <c r="J44" s="1686"/>
      <c r="K44" s="1686"/>
      <c r="L44" s="1687"/>
      <c r="M44" s="1689"/>
      <c r="N44" s="1689"/>
      <c r="O44" s="1689"/>
      <c r="P44" s="1693"/>
      <c r="Q44" s="1694"/>
      <c r="R44" s="1695"/>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c r="AP44" s="982"/>
      <c r="AQ44" s="982"/>
      <c r="AR44" s="982"/>
      <c r="AS44" s="982"/>
      <c r="AT44" s="982"/>
      <c r="AU44" s="982"/>
      <c r="AV44" s="982"/>
      <c r="AW44" s="982"/>
      <c r="AX44" s="982"/>
      <c r="AY44" s="982"/>
      <c r="AZ44" s="982"/>
      <c r="BA44" s="982"/>
      <c r="BB44" s="982"/>
      <c r="BC44" s="982"/>
      <c r="BD44" s="982"/>
      <c r="BE44" s="982"/>
      <c r="BF44" s="982"/>
      <c r="BK44"/>
      <c r="BL44"/>
      <c r="BM44"/>
    </row>
    <row r="45" spans="6:65" s="12" customFormat="1" ht="16.350000000000001" customHeight="1">
      <c r="F45" s="1682" t="s">
        <v>271</v>
      </c>
      <c r="G45" s="1683"/>
      <c r="H45" s="1683"/>
      <c r="I45" s="1683"/>
      <c r="J45" s="1683"/>
      <c r="K45" s="1683"/>
      <c r="L45" s="1684"/>
      <c r="M45" s="1688">
        <f>TEMPLATE!H13</f>
        <v>0</v>
      </c>
      <c r="N45" s="1689"/>
      <c r="O45" s="1689"/>
      <c r="P45" s="1690">
        <f>TEMPLATE!R13</f>
        <v>0</v>
      </c>
      <c r="Q45" s="1691"/>
      <c r="R45" s="1692"/>
      <c r="S45" s="1697"/>
      <c r="T45" s="1698"/>
      <c r="U45" s="1698"/>
      <c r="V45" s="1698"/>
      <c r="W45" s="1698"/>
      <c r="X45" s="1698"/>
      <c r="Y45" s="1698"/>
      <c r="Z45" s="1698"/>
      <c r="AA45" s="1698"/>
      <c r="AB45" s="1699"/>
      <c r="AC45" s="982"/>
      <c r="AD45" s="982"/>
      <c r="AE45" s="982"/>
      <c r="AF45" s="982"/>
      <c r="AG45" s="982"/>
      <c r="AH45" s="982"/>
      <c r="AI45" s="982"/>
      <c r="AJ45" s="982"/>
      <c r="AK45" s="982"/>
      <c r="AL45" s="982"/>
      <c r="AM45" s="982"/>
      <c r="AN45" s="982"/>
      <c r="AO45" s="982"/>
      <c r="AP45" s="982"/>
      <c r="AQ45" s="982"/>
      <c r="AR45" s="982"/>
      <c r="AS45" s="982"/>
      <c r="AT45" s="982"/>
      <c r="AU45" s="982"/>
      <c r="AV45" s="982"/>
      <c r="AW45" s="982"/>
      <c r="AX45" s="982"/>
      <c r="AY45" s="982"/>
      <c r="AZ45" s="982"/>
      <c r="BA45" s="982"/>
      <c r="BB45" s="982"/>
      <c r="BC45" s="982"/>
      <c r="BD45" s="982"/>
      <c r="BE45" s="982"/>
      <c r="BF45" s="982"/>
      <c r="BK45"/>
      <c r="BL45"/>
      <c r="BM45"/>
    </row>
    <row r="46" spans="6:65" s="12" customFormat="1" ht="16.350000000000001" customHeight="1">
      <c r="F46" s="1685"/>
      <c r="G46" s="1686"/>
      <c r="H46" s="1686"/>
      <c r="I46" s="1686"/>
      <c r="J46" s="1686"/>
      <c r="K46" s="1686"/>
      <c r="L46" s="1687"/>
      <c r="M46" s="1689"/>
      <c r="N46" s="1689"/>
      <c r="O46" s="1689"/>
      <c r="P46" s="1693"/>
      <c r="Q46" s="1694"/>
      <c r="R46" s="1695"/>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982"/>
      <c r="AR46" s="982"/>
      <c r="AS46" s="982"/>
      <c r="AT46" s="982"/>
      <c r="AU46" s="982"/>
      <c r="AV46" s="982"/>
      <c r="AW46" s="982"/>
      <c r="AX46" s="982"/>
      <c r="AY46" s="982"/>
      <c r="AZ46" s="982"/>
      <c r="BA46" s="982"/>
      <c r="BB46" s="982"/>
      <c r="BC46" s="982"/>
      <c r="BD46" s="982"/>
      <c r="BE46" s="982"/>
      <c r="BF46" s="982"/>
      <c r="BK46"/>
      <c r="BL46"/>
      <c r="BM46"/>
    </row>
    <row r="47" spans="6:65" s="12" customFormat="1" ht="16.350000000000001" customHeight="1">
      <c r="F47" s="1682" t="s">
        <v>89</v>
      </c>
      <c r="G47" s="1683"/>
      <c r="H47" s="1683"/>
      <c r="I47" s="1683"/>
      <c r="J47" s="1683"/>
      <c r="K47" s="1683"/>
      <c r="L47" s="1684"/>
      <c r="M47" s="1688">
        <f>TEMPLATE!H14</f>
        <v>0</v>
      </c>
      <c r="N47" s="1689"/>
      <c r="O47" s="1689"/>
      <c r="P47" s="1690">
        <f>TEMPLATE!R14</f>
        <v>0</v>
      </c>
      <c r="Q47" s="1691"/>
      <c r="R47" s="1692"/>
      <c r="S47" s="1697"/>
      <c r="T47" s="1698"/>
      <c r="U47" s="1698"/>
      <c r="V47" s="1698"/>
      <c r="W47" s="1698"/>
      <c r="X47" s="1698"/>
      <c r="Y47" s="1698"/>
      <c r="Z47" s="1698"/>
      <c r="AA47" s="1698"/>
      <c r="AB47" s="1699"/>
      <c r="AC47" s="982"/>
      <c r="AD47" s="982"/>
      <c r="AE47" s="982"/>
      <c r="AF47" s="982"/>
      <c r="AG47" s="982"/>
      <c r="AH47" s="982"/>
      <c r="AI47" s="982"/>
      <c r="AJ47" s="982"/>
      <c r="AK47" s="982"/>
      <c r="AL47" s="982"/>
      <c r="AM47" s="982"/>
      <c r="AN47" s="982"/>
      <c r="AO47" s="982"/>
      <c r="AP47" s="982"/>
      <c r="AQ47" s="982"/>
      <c r="AR47" s="982"/>
      <c r="AS47" s="982"/>
      <c r="AT47" s="982"/>
      <c r="AU47" s="982"/>
      <c r="AV47" s="982"/>
      <c r="AW47" s="982"/>
      <c r="AX47" s="982"/>
      <c r="AY47" s="982"/>
      <c r="AZ47" s="982"/>
      <c r="BA47" s="982"/>
      <c r="BB47" s="982"/>
      <c r="BC47" s="982"/>
      <c r="BD47" s="982"/>
      <c r="BE47" s="982"/>
      <c r="BF47" s="982"/>
      <c r="BK47"/>
      <c r="BL47"/>
      <c r="BM47"/>
    </row>
    <row r="48" spans="6:65" s="12" customFormat="1" ht="16.350000000000001" customHeight="1">
      <c r="F48" s="1685"/>
      <c r="G48" s="1686"/>
      <c r="H48" s="1686"/>
      <c r="I48" s="1686"/>
      <c r="J48" s="1686"/>
      <c r="K48" s="1686"/>
      <c r="L48" s="1687"/>
      <c r="M48" s="1689"/>
      <c r="N48" s="1689"/>
      <c r="O48" s="1689"/>
      <c r="P48" s="1693"/>
      <c r="Q48" s="1694"/>
      <c r="R48" s="1695"/>
      <c r="S48" s="982"/>
      <c r="T48" s="982"/>
      <c r="U48" s="982"/>
      <c r="V48" s="982"/>
      <c r="W48" s="982"/>
      <c r="X48" s="982"/>
      <c r="Y48" s="982"/>
      <c r="Z48" s="982"/>
      <c r="AA48" s="982"/>
      <c r="AB48" s="982"/>
      <c r="AC48" s="982"/>
      <c r="AD48" s="982"/>
      <c r="AE48" s="982"/>
      <c r="AF48" s="982"/>
      <c r="AG48" s="982"/>
      <c r="AH48" s="982"/>
      <c r="AI48" s="982"/>
      <c r="AJ48" s="982"/>
      <c r="AK48" s="982"/>
      <c r="AL48" s="982"/>
      <c r="AM48" s="982"/>
      <c r="AN48" s="982"/>
      <c r="AO48" s="982"/>
      <c r="AP48" s="982"/>
      <c r="AQ48" s="982"/>
      <c r="AR48" s="982"/>
      <c r="AS48" s="982"/>
      <c r="AT48" s="982"/>
      <c r="AU48" s="982"/>
      <c r="AV48" s="982"/>
      <c r="AW48" s="982"/>
      <c r="AX48" s="982"/>
      <c r="AY48" s="982"/>
      <c r="AZ48" s="982"/>
      <c r="BA48" s="982"/>
      <c r="BB48" s="982"/>
      <c r="BC48" s="982"/>
      <c r="BD48" s="982"/>
      <c r="BE48" s="982"/>
      <c r="BF48" s="982"/>
      <c r="BK48"/>
      <c r="BL48"/>
      <c r="BM48"/>
    </row>
    <row r="49" spans="6:65" s="12" customFormat="1" ht="16.350000000000001" customHeight="1">
      <c r="F49" s="1682" t="s">
        <v>274</v>
      </c>
      <c r="G49" s="1683"/>
      <c r="H49" s="1683"/>
      <c r="I49" s="1683"/>
      <c r="J49" s="1683"/>
      <c r="K49" s="1683"/>
      <c r="L49" s="1684"/>
      <c r="M49" s="1688">
        <f>TEMPLATE!H15</f>
        <v>0</v>
      </c>
      <c r="N49" s="1689"/>
      <c r="O49" s="1689"/>
      <c r="P49" s="1690">
        <f>TEMPLATE!R15</f>
        <v>0</v>
      </c>
      <c r="Q49" s="1691"/>
      <c r="R49" s="1692"/>
      <c r="S49" s="1697"/>
      <c r="T49" s="1698"/>
      <c r="U49" s="1698"/>
      <c r="V49" s="1698"/>
      <c r="W49" s="1698"/>
      <c r="X49" s="1698"/>
      <c r="Y49" s="1698"/>
      <c r="Z49" s="1698"/>
      <c r="AA49" s="1698"/>
      <c r="AB49" s="1699"/>
      <c r="AC49" s="982"/>
      <c r="AD49" s="982"/>
      <c r="AE49" s="982"/>
      <c r="AF49" s="982"/>
      <c r="AG49" s="982"/>
      <c r="AH49" s="982"/>
      <c r="AI49" s="982"/>
      <c r="AJ49" s="982"/>
      <c r="AK49" s="982"/>
      <c r="AL49" s="982"/>
      <c r="AM49" s="982"/>
      <c r="AN49" s="982"/>
      <c r="AO49" s="982"/>
      <c r="AP49" s="982"/>
      <c r="AQ49" s="982"/>
      <c r="AR49" s="982"/>
      <c r="AS49" s="982"/>
      <c r="AT49" s="982"/>
      <c r="AU49" s="982"/>
      <c r="AV49" s="982"/>
      <c r="AW49" s="982"/>
      <c r="AX49" s="982"/>
      <c r="AY49" s="982"/>
      <c r="AZ49" s="982"/>
      <c r="BA49" s="982"/>
      <c r="BB49" s="982"/>
      <c r="BC49" s="982"/>
      <c r="BD49" s="982"/>
      <c r="BE49" s="982"/>
      <c r="BF49" s="982"/>
      <c r="BK49"/>
      <c r="BL49"/>
      <c r="BM49"/>
    </row>
    <row r="50" spans="6:65" s="12" customFormat="1" ht="16.350000000000001" customHeight="1">
      <c r="F50" s="1685"/>
      <c r="G50" s="1686"/>
      <c r="H50" s="1686"/>
      <c r="I50" s="1686"/>
      <c r="J50" s="1686"/>
      <c r="K50" s="1686"/>
      <c r="L50" s="1687"/>
      <c r="M50" s="1689"/>
      <c r="N50" s="1689"/>
      <c r="O50" s="1689"/>
      <c r="P50" s="1693"/>
      <c r="Q50" s="1694"/>
      <c r="R50" s="1695"/>
      <c r="S50" s="982"/>
      <c r="T50" s="982"/>
      <c r="U50" s="982"/>
      <c r="V50" s="982"/>
      <c r="W50" s="982"/>
      <c r="X50" s="982"/>
      <c r="Y50" s="982"/>
      <c r="Z50" s="982"/>
      <c r="AA50" s="982"/>
      <c r="AB50" s="982"/>
      <c r="AC50" s="982"/>
      <c r="AD50" s="982"/>
      <c r="AE50" s="982"/>
      <c r="AF50" s="982"/>
      <c r="AG50" s="982"/>
      <c r="AH50" s="982"/>
      <c r="AI50" s="982"/>
      <c r="AJ50" s="982"/>
      <c r="AK50" s="982"/>
      <c r="AL50" s="982"/>
      <c r="AM50" s="982"/>
      <c r="AN50" s="982"/>
      <c r="AO50" s="982"/>
      <c r="AP50" s="982"/>
      <c r="AQ50" s="982"/>
      <c r="AR50" s="982"/>
      <c r="AS50" s="982"/>
      <c r="AT50" s="982"/>
      <c r="AU50" s="982"/>
      <c r="AV50" s="982"/>
      <c r="AW50" s="982"/>
      <c r="AX50" s="982"/>
      <c r="AY50" s="982"/>
      <c r="AZ50" s="982"/>
      <c r="BA50" s="982"/>
      <c r="BB50" s="982"/>
      <c r="BC50" s="982"/>
      <c r="BD50" s="982"/>
      <c r="BE50" s="982"/>
      <c r="BF50" s="982"/>
      <c r="BK50"/>
      <c r="BL50"/>
      <c r="BM50"/>
    </row>
    <row r="51" spans="6:65" s="12" customFormat="1" ht="16.350000000000001" customHeight="1">
      <c r="F51" s="1682" t="s">
        <v>276</v>
      </c>
      <c r="G51" s="1683"/>
      <c r="H51" s="1683"/>
      <c r="I51" s="1683"/>
      <c r="J51" s="1683"/>
      <c r="K51" s="1683"/>
      <c r="L51" s="1684"/>
      <c r="M51" s="1688">
        <f>TEMPLATE!H16</f>
        <v>0</v>
      </c>
      <c r="N51" s="1689"/>
      <c r="O51" s="1689"/>
      <c r="P51" s="1690">
        <f>TEMPLATE!R16</f>
        <v>0</v>
      </c>
      <c r="Q51" s="1691"/>
      <c r="R51" s="1692"/>
      <c r="S51" s="1697"/>
      <c r="T51" s="1698"/>
      <c r="U51" s="1698"/>
      <c r="V51" s="1698"/>
      <c r="W51" s="1698"/>
      <c r="X51" s="1698"/>
      <c r="Y51" s="1698"/>
      <c r="Z51" s="1698"/>
      <c r="AA51" s="1698"/>
      <c r="AB51" s="1699"/>
      <c r="AC51" s="982"/>
      <c r="AD51" s="982"/>
      <c r="AE51" s="982"/>
      <c r="AF51" s="982"/>
      <c r="AG51" s="982"/>
      <c r="AH51" s="982"/>
      <c r="AI51" s="982"/>
      <c r="AJ51" s="982"/>
      <c r="AK51" s="982"/>
      <c r="AL51" s="982"/>
      <c r="AM51" s="982"/>
      <c r="AN51" s="982"/>
      <c r="AO51" s="982"/>
      <c r="AP51" s="982"/>
      <c r="AQ51" s="982"/>
      <c r="AR51" s="982"/>
      <c r="AS51" s="982"/>
      <c r="AT51" s="982"/>
      <c r="AU51" s="982"/>
      <c r="AV51" s="982"/>
      <c r="AW51" s="982"/>
      <c r="AX51" s="982"/>
      <c r="AY51" s="982"/>
      <c r="AZ51" s="982"/>
      <c r="BA51" s="982"/>
      <c r="BB51" s="982"/>
      <c r="BC51" s="982"/>
      <c r="BD51" s="982"/>
      <c r="BE51" s="982"/>
      <c r="BF51" s="982"/>
      <c r="BK51"/>
      <c r="BL51"/>
      <c r="BM51"/>
    </row>
    <row r="52" spans="6:65" s="12" customFormat="1" ht="16.350000000000001" customHeight="1">
      <c r="F52" s="1685"/>
      <c r="G52" s="1686"/>
      <c r="H52" s="1686"/>
      <c r="I52" s="1686"/>
      <c r="J52" s="1686"/>
      <c r="K52" s="1686"/>
      <c r="L52" s="1687"/>
      <c r="M52" s="1689"/>
      <c r="N52" s="1689"/>
      <c r="O52" s="1689"/>
      <c r="P52" s="1693"/>
      <c r="Q52" s="1694"/>
      <c r="R52" s="1695"/>
      <c r="S52" s="982"/>
      <c r="T52" s="982"/>
      <c r="U52" s="982"/>
      <c r="V52" s="982"/>
      <c r="W52" s="982"/>
      <c r="X52" s="982"/>
      <c r="Y52" s="982"/>
      <c r="Z52" s="982"/>
      <c r="AA52" s="982"/>
      <c r="AB52" s="982"/>
      <c r="AC52" s="982"/>
      <c r="AD52" s="982"/>
      <c r="AE52" s="982"/>
      <c r="AF52" s="982"/>
      <c r="AG52" s="982"/>
      <c r="AH52" s="982"/>
      <c r="AI52" s="982"/>
      <c r="AJ52" s="982"/>
      <c r="AK52" s="982"/>
      <c r="AL52" s="982"/>
      <c r="AM52" s="982"/>
      <c r="AN52" s="982"/>
      <c r="AO52" s="982"/>
      <c r="AP52" s="982"/>
      <c r="AQ52" s="982"/>
      <c r="AR52" s="982"/>
      <c r="AS52" s="982"/>
      <c r="AT52" s="982"/>
      <c r="AU52" s="982"/>
      <c r="AV52" s="982"/>
      <c r="AW52" s="982"/>
      <c r="AX52" s="982"/>
      <c r="AY52" s="982"/>
      <c r="AZ52" s="982"/>
      <c r="BA52" s="982"/>
      <c r="BB52" s="982"/>
      <c r="BC52" s="982"/>
      <c r="BD52" s="982"/>
      <c r="BE52" s="982"/>
      <c r="BF52" s="982"/>
      <c r="BK52"/>
      <c r="BL52"/>
      <c r="BM52"/>
    </row>
    <row r="53" spans="6:65" s="12" customFormat="1" ht="16.350000000000001" customHeight="1">
      <c r="F53" s="1682" t="s">
        <v>278</v>
      </c>
      <c r="G53" s="1683"/>
      <c r="H53" s="1683"/>
      <c r="I53" s="1683"/>
      <c r="J53" s="1683"/>
      <c r="K53" s="1683"/>
      <c r="L53" s="1684"/>
      <c r="M53" s="1688">
        <f>TEMPLATE!H18</f>
        <v>0</v>
      </c>
      <c r="N53" s="1689"/>
      <c r="O53" s="1689"/>
      <c r="P53" s="1690">
        <f>TEMPLATE!R17</f>
        <v>0</v>
      </c>
      <c r="Q53" s="1691"/>
      <c r="R53" s="1692"/>
      <c r="S53" s="1697"/>
      <c r="T53" s="1698"/>
      <c r="U53" s="1698"/>
      <c r="V53" s="1698"/>
      <c r="W53" s="1698"/>
      <c r="X53" s="1698"/>
      <c r="Y53" s="1698"/>
      <c r="Z53" s="1698"/>
      <c r="AA53" s="1698"/>
      <c r="AB53" s="1699"/>
      <c r="AC53" s="982"/>
      <c r="AD53" s="982"/>
      <c r="AE53" s="982"/>
      <c r="AF53" s="982"/>
      <c r="AG53" s="982"/>
      <c r="AH53" s="982"/>
      <c r="AI53" s="982"/>
      <c r="AJ53" s="982"/>
      <c r="AK53" s="982"/>
      <c r="AL53" s="982"/>
      <c r="AM53" s="982"/>
      <c r="AN53" s="982"/>
      <c r="AO53" s="982"/>
      <c r="AP53" s="982"/>
      <c r="AQ53" s="982"/>
      <c r="AR53" s="982"/>
      <c r="AS53" s="982"/>
      <c r="AT53" s="982"/>
      <c r="AU53" s="982"/>
      <c r="AV53" s="982"/>
      <c r="AW53" s="982"/>
      <c r="AX53" s="982"/>
      <c r="AY53" s="982"/>
      <c r="AZ53" s="982"/>
      <c r="BA53" s="982"/>
      <c r="BB53" s="982"/>
      <c r="BC53" s="982"/>
      <c r="BD53" s="982"/>
      <c r="BE53" s="982"/>
      <c r="BF53" s="982"/>
      <c r="BK53"/>
      <c r="BL53"/>
      <c r="BM53"/>
    </row>
    <row r="54" spans="6:65" s="12" customFormat="1" ht="16.350000000000001" customHeight="1">
      <c r="F54" s="1685"/>
      <c r="G54" s="1686"/>
      <c r="H54" s="1686"/>
      <c r="I54" s="1686"/>
      <c r="J54" s="1686"/>
      <c r="K54" s="1686"/>
      <c r="L54" s="1687"/>
      <c r="M54" s="1689"/>
      <c r="N54" s="1689"/>
      <c r="O54" s="1689"/>
      <c r="P54" s="1693"/>
      <c r="Q54" s="1694"/>
      <c r="R54" s="1695"/>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c r="AU54" s="982"/>
      <c r="AV54" s="982"/>
      <c r="AW54" s="982"/>
      <c r="AX54" s="982"/>
      <c r="AY54" s="982"/>
      <c r="AZ54" s="982"/>
      <c r="BA54" s="982"/>
      <c r="BB54" s="982"/>
      <c r="BC54" s="982"/>
      <c r="BD54" s="982"/>
      <c r="BE54" s="982"/>
      <c r="BF54" s="982"/>
      <c r="BK54"/>
      <c r="BL54"/>
      <c r="BM54"/>
    </row>
    <row r="55" spans="6:65" s="12" customFormat="1" ht="16.350000000000001" customHeight="1">
      <c r="F55" s="1682" t="s">
        <v>281</v>
      </c>
      <c r="G55" s="1683"/>
      <c r="H55" s="1683"/>
      <c r="I55" s="1683"/>
      <c r="J55" s="1683"/>
      <c r="K55" s="1683"/>
      <c r="L55" s="1684"/>
      <c r="M55" s="1688">
        <f>TEMPLATE!H18</f>
        <v>0</v>
      </c>
      <c r="N55" s="1689"/>
      <c r="O55" s="1689"/>
      <c r="P55" s="1690">
        <f>TEMPLATE!R18</f>
        <v>0</v>
      </c>
      <c r="Q55" s="1691"/>
      <c r="R55" s="1692"/>
      <c r="S55" s="1697"/>
      <c r="T55" s="1698"/>
      <c r="U55" s="1698"/>
      <c r="V55" s="1698"/>
      <c r="W55" s="1698"/>
      <c r="X55" s="1698"/>
      <c r="Y55" s="1698"/>
      <c r="Z55" s="1698"/>
      <c r="AA55" s="1698"/>
      <c r="AB55" s="1699"/>
      <c r="AC55" s="982"/>
      <c r="AD55" s="982"/>
      <c r="AE55" s="982"/>
      <c r="AF55" s="982"/>
      <c r="AG55" s="982"/>
      <c r="AH55" s="982"/>
      <c r="AI55" s="982"/>
      <c r="AJ55" s="982"/>
      <c r="AK55" s="982"/>
      <c r="AL55" s="982"/>
      <c r="AM55" s="982"/>
      <c r="AN55" s="982"/>
      <c r="AO55" s="982"/>
      <c r="AP55" s="982"/>
      <c r="AQ55" s="982"/>
      <c r="AR55" s="982"/>
      <c r="AS55" s="982"/>
      <c r="AT55" s="982"/>
      <c r="AU55" s="982"/>
      <c r="AV55" s="982"/>
      <c r="AW55" s="982"/>
      <c r="AX55" s="982"/>
      <c r="AY55" s="982"/>
      <c r="AZ55" s="982"/>
      <c r="BA55" s="982"/>
      <c r="BB55" s="982"/>
      <c r="BC55" s="982"/>
      <c r="BD55" s="982"/>
      <c r="BE55" s="982"/>
      <c r="BF55" s="982"/>
      <c r="BK55"/>
      <c r="BL55"/>
      <c r="BM55"/>
    </row>
    <row r="56" spans="6:65" s="12" customFormat="1" ht="16.350000000000001" customHeight="1">
      <c r="F56" s="1685"/>
      <c r="G56" s="1686"/>
      <c r="H56" s="1686"/>
      <c r="I56" s="1686"/>
      <c r="J56" s="1686"/>
      <c r="K56" s="1686"/>
      <c r="L56" s="1687"/>
      <c r="M56" s="1689"/>
      <c r="N56" s="1689"/>
      <c r="O56" s="1689"/>
      <c r="P56" s="1693"/>
      <c r="Q56" s="1694"/>
      <c r="R56" s="1695"/>
      <c r="S56" s="982"/>
      <c r="T56" s="982"/>
      <c r="U56" s="982"/>
      <c r="V56" s="982"/>
      <c r="W56" s="982"/>
      <c r="X56" s="982"/>
      <c r="Y56" s="982"/>
      <c r="Z56" s="982"/>
      <c r="AA56" s="982"/>
      <c r="AB56" s="982"/>
      <c r="AC56" s="982"/>
      <c r="AD56" s="982"/>
      <c r="AE56" s="982"/>
      <c r="AF56" s="982"/>
      <c r="AG56" s="982"/>
      <c r="AH56" s="982"/>
      <c r="AI56" s="982"/>
      <c r="AJ56" s="982"/>
      <c r="AK56" s="982"/>
      <c r="AL56" s="982"/>
      <c r="AM56" s="982"/>
      <c r="AN56" s="982"/>
      <c r="AO56" s="982"/>
      <c r="AP56" s="982"/>
      <c r="AQ56" s="982"/>
      <c r="AR56" s="982"/>
      <c r="AS56" s="982"/>
      <c r="AT56" s="982"/>
      <c r="AU56" s="982"/>
      <c r="AV56" s="982"/>
      <c r="AW56" s="982"/>
      <c r="AX56" s="982"/>
      <c r="AY56" s="982"/>
      <c r="AZ56" s="982"/>
      <c r="BA56" s="982"/>
      <c r="BB56" s="982"/>
      <c r="BC56" s="982"/>
      <c r="BD56" s="982"/>
      <c r="BE56" s="982"/>
      <c r="BF56" s="982"/>
      <c r="BK56"/>
      <c r="BL56"/>
      <c r="BM56"/>
    </row>
    <row r="57" spans="6:65" s="12" customFormat="1" ht="16.350000000000001" customHeight="1">
      <c r="F57" s="1682" t="s">
        <v>284</v>
      </c>
      <c r="G57" s="1683"/>
      <c r="H57" s="1683"/>
      <c r="I57" s="1683"/>
      <c r="J57" s="1683"/>
      <c r="K57" s="1683"/>
      <c r="L57" s="1684"/>
      <c r="M57" s="1688">
        <f>TEMPLATE!H19</f>
        <v>0</v>
      </c>
      <c r="N57" s="1689"/>
      <c r="O57" s="1689"/>
      <c r="P57" s="1690">
        <f>TEMPLATE!R19</f>
        <v>0</v>
      </c>
      <c r="Q57" s="1691"/>
      <c r="R57" s="1692"/>
      <c r="S57" s="1697"/>
      <c r="T57" s="1698"/>
      <c r="U57" s="1698"/>
      <c r="V57" s="1698"/>
      <c r="W57" s="1698"/>
      <c r="X57" s="1698"/>
      <c r="Y57" s="1698"/>
      <c r="Z57" s="1698"/>
      <c r="AA57" s="1698"/>
      <c r="AB57" s="1699"/>
      <c r="AC57" s="982"/>
      <c r="AD57" s="982"/>
      <c r="AE57" s="982"/>
      <c r="AF57" s="982"/>
      <c r="AG57" s="982"/>
      <c r="AH57" s="982"/>
      <c r="AI57" s="982"/>
      <c r="AJ57" s="982"/>
      <c r="AK57" s="982"/>
      <c r="AL57" s="982"/>
      <c r="AM57" s="982"/>
      <c r="AN57" s="982"/>
      <c r="AO57" s="982"/>
      <c r="AP57" s="982"/>
      <c r="AQ57" s="982"/>
      <c r="AR57" s="982"/>
      <c r="AS57" s="982"/>
      <c r="AT57" s="982"/>
      <c r="AU57" s="982"/>
      <c r="AV57" s="982"/>
      <c r="AW57" s="982"/>
      <c r="AX57" s="982"/>
      <c r="AY57" s="982"/>
      <c r="AZ57" s="982"/>
      <c r="BA57" s="982"/>
      <c r="BB57" s="982"/>
      <c r="BC57" s="982"/>
      <c r="BD57" s="982"/>
      <c r="BE57" s="982"/>
      <c r="BF57" s="982"/>
      <c r="BK57"/>
      <c r="BL57"/>
      <c r="BM57"/>
    </row>
    <row r="58" spans="6:65" s="12" customFormat="1" ht="16.350000000000001" customHeight="1">
      <c r="F58" s="1685"/>
      <c r="G58" s="1686"/>
      <c r="H58" s="1686"/>
      <c r="I58" s="1686"/>
      <c r="J58" s="1686"/>
      <c r="K58" s="1686"/>
      <c r="L58" s="1687"/>
      <c r="M58" s="1689"/>
      <c r="N58" s="1689"/>
      <c r="O58" s="1689"/>
      <c r="P58" s="1693"/>
      <c r="Q58" s="1694"/>
      <c r="R58" s="1695"/>
      <c r="S58" s="982"/>
      <c r="T58" s="982"/>
      <c r="U58" s="982"/>
      <c r="V58" s="982"/>
      <c r="W58" s="982"/>
      <c r="X58" s="982"/>
      <c r="Y58" s="982"/>
      <c r="Z58" s="982"/>
      <c r="AA58" s="982"/>
      <c r="AB58" s="982"/>
      <c r="AC58" s="982"/>
      <c r="AD58" s="982"/>
      <c r="AE58" s="982"/>
      <c r="AF58" s="982"/>
      <c r="AG58" s="982"/>
      <c r="AH58" s="982"/>
      <c r="AI58" s="982"/>
      <c r="AJ58" s="982"/>
      <c r="AK58" s="982"/>
      <c r="AL58" s="982"/>
      <c r="AM58" s="982"/>
      <c r="AN58" s="982"/>
      <c r="AO58" s="982"/>
      <c r="AP58" s="982"/>
      <c r="AQ58" s="982"/>
      <c r="AR58" s="982"/>
      <c r="AS58" s="982"/>
      <c r="AT58" s="982"/>
      <c r="AU58" s="982"/>
      <c r="AV58" s="982"/>
      <c r="AW58" s="982"/>
      <c r="AX58" s="982"/>
      <c r="AY58" s="982"/>
      <c r="AZ58" s="982"/>
      <c r="BA58" s="982"/>
      <c r="BB58" s="982"/>
      <c r="BC58" s="982"/>
      <c r="BD58" s="982"/>
      <c r="BE58" s="982"/>
      <c r="BF58" s="982"/>
      <c r="BK58"/>
      <c r="BL58"/>
      <c r="BM58"/>
    </row>
    <row r="59" spans="6:65" s="12" customFormat="1" ht="16.350000000000001" customHeight="1">
      <c r="F59" s="230"/>
      <c r="G59" s="230"/>
      <c r="H59" s="230"/>
      <c r="I59" s="230"/>
      <c r="J59" s="230"/>
      <c r="K59" s="230"/>
      <c r="L59" s="230"/>
      <c r="M59" s="230"/>
      <c r="N59" s="230"/>
      <c r="O59" s="230"/>
      <c r="P59" s="611"/>
      <c r="Q59" s="611"/>
      <c r="R59" s="611"/>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K59"/>
      <c r="BL59"/>
      <c r="BM59"/>
    </row>
    <row r="60" spans="6:65" s="12" customFormat="1" ht="20.45" customHeight="1">
      <c r="F60" s="581" t="s">
        <v>1844</v>
      </c>
      <c r="G60" s="230"/>
      <c r="H60" s="230"/>
      <c r="I60" s="230"/>
      <c r="J60" s="230"/>
      <c r="K60" s="230"/>
      <c r="L60" s="230"/>
      <c r="M60" s="230"/>
      <c r="N60" s="230"/>
      <c r="O60" s="230"/>
      <c r="P60" s="611"/>
      <c r="Q60" s="611"/>
      <c r="R60" s="611"/>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K60"/>
      <c r="BL60"/>
      <c r="BM60"/>
    </row>
    <row r="61" spans="6:65" s="12" customFormat="1" ht="20.45" customHeight="1">
      <c r="F61" s="1656" t="s">
        <v>1861</v>
      </c>
      <c r="G61" s="1656"/>
      <c r="H61" s="1656"/>
      <c r="I61" s="1656"/>
      <c r="J61" s="1656"/>
      <c r="K61" s="1656"/>
      <c r="L61" s="1656"/>
      <c r="M61" s="1656"/>
      <c r="N61" s="1656"/>
      <c r="O61" s="1656"/>
      <c r="P61" s="1656"/>
      <c r="Q61" s="1656"/>
      <c r="R61" s="1656"/>
      <c r="S61" s="1656"/>
      <c r="T61" s="1656"/>
      <c r="U61" s="1656"/>
      <c r="V61" s="1656"/>
      <c r="W61" s="1656"/>
      <c r="X61" s="1656"/>
      <c r="Y61" s="1656"/>
      <c r="Z61" s="1656"/>
      <c r="AA61" s="1656"/>
      <c r="AB61" s="1656"/>
      <c r="AC61" s="1656"/>
      <c r="AD61" s="1656"/>
      <c r="AE61" s="1656"/>
      <c r="AF61"/>
      <c r="AG61"/>
      <c r="AH61"/>
      <c r="AI61"/>
      <c r="AJ61"/>
      <c r="AK61"/>
      <c r="AL61"/>
      <c r="AM61"/>
      <c r="AN61"/>
      <c r="AO61"/>
      <c r="AP61"/>
      <c r="AQ61"/>
      <c r="AR61"/>
      <c r="AS61"/>
      <c r="AT61"/>
      <c r="AU61"/>
      <c r="AV61"/>
      <c r="AW61"/>
      <c r="AX61"/>
      <c r="AY61"/>
      <c r="AZ61"/>
      <c r="BA61"/>
      <c r="BB61"/>
      <c r="BC61"/>
      <c r="BD61"/>
      <c r="BE61"/>
      <c r="BF61"/>
      <c r="BK61"/>
      <c r="BL61"/>
      <c r="BM61"/>
    </row>
    <row r="62" spans="6:65" s="12" customFormat="1" ht="20.45" customHeight="1">
      <c r="F62" s="1656" t="s">
        <v>1862</v>
      </c>
      <c r="G62" s="1656"/>
      <c r="H62" s="1656"/>
      <c r="I62" s="1656"/>
      <c r="J62" s="1656"/>
      <c r="K62" s="1656"/>
      <c r="L62" s="1656"/>
      <c r="M62" s="1656"/>
      <c r="N62" s="1656"/>
      <c r="O62" s="1656"/>
      <c r="P62" s="1656"/>
      <c r="Q62" s="1656"/>
      <c r="R62" s="1656"/>
      <c r="S62" s="1656"/>
      <c r="T62" s="1656"/>
      <c r="U62" s="1656"/>
      <c r="V62" s="1656"/>
      <c r="W62" s="1656"/>
      <c r="X62" s="1656"/>
      <c r="Y62" s="1656"/>
      <c r="Z62" s="1656"/>
      <c r="AA62" s="1656"/>
      <c r="AB62" s="1656"/>
      <c r="AC62" s="1656"/>
      <c r="AD62" s="1656"/>
      <c r="AE62" s="1656"/>
      <c r="AF62" s="1656"/>
      <c r="AG62" s="1656"/>
      <c r="AH62" s="1656"/>
      <c r="AI62"/>
      <c r="AJ62"/>
      <c r="AK62"/>
      <c r="AL62"/>
      <c r="AM62"/>
      <c r="AN62"/>
      <c r="AO62"/>
      <c r="AP62"/>
      <c r="AQ62"/>
      <c r="AR62"/>
      <c r="AS62"/>
      <c r="AT62"/>
      <c r="AU62"/>
      <c r="AV62"/>
      <c r="AW62"/>
      <c r="AX62"/>
      <c r="AY62"/>
      <c r="AZ62"/>
      <c r="BA62"/>
      <c r="BB62"/>
      <c r="BC62"/>
      <c r="BD62"/>
      <c r="BE62"/>
      <c r="BF62"/>
      <c r="BK62"/>
      <c r="BL62"/>
      <c r="BM62"/>
    </row>
    <row r="63" spans="6:65" s="12" customFormat="1" ht="20.25" customHeight="1">
      <c r="F63" s="1656"/>
      <c r="G63" s="1656"/>
      <c r="H63" s="1656"/>
      <c r="I63" s="1656"/>
      <c r="J63" s="1656"/>
      <c r="K63" s="1656"/>
      <c r="L63" s="1656"/>
      <c r="M63" s="1656"/>
      <c r="N63" s="1656"/>
      <c r="O63" s="1656"/>
      <c r="P63" s="1656"/>
      <c r="Q63" s="1656"/>
      <c r="R63" s="1656"/>
      <c r="S63" s="1656"/>
      <c r="T63" s="1656"/>
      <c r="U63" s="1656"/>
      <c r="V63" s="1656"/>
      <c r="W63" s="1656"/>
      <c r="X63" s="1656"/>
      <c r="Y63" s="1656"/>
      <c r="Z63" s="1656"/>
      <c r="AA63" s="1656"/>
      <c r="AB63" s="1656"/>
      <c r="AC63" s="1656"/>
      <c r="AD63" s="1656"/>
      <c r="AE63" s="1656"/>
      <c r="AF63"/>
      <c r="AG63"/>
      <c r="AH63"/>
      <c r="AI63"/>
      <c r="AJ63"/>
      <c r="AK63"/>
      <c r="AL63"/>
      <c r="AM63"/>
      <c r="AN63"/>
      <c r="AO63"/>
      <c r="AP63"/>
      <c r="AQ63"/>
      <c r="AR63"/>
      <c r="AS63"/>
      <c r="AT63"/>
      <c r="AU63"/>
      <c r="AV63"/>
      <c r="AW63"/>
      <c r="AX63"/>
      <c r="AY63"/>
      <c r="AZ63"/>
      <c r="BA63"/>
      <c r="BB63"/>
      <c r="BK63"/>
      <c r="BL63"/>
      <c r="BM63"/>
    </row>
    <row r="64" spans="6:65" s="12" customFormat="1" ht="36" customHeight="1">
      <c r="F64" s="1696" t="s">
        <v>1863</v>
      </c>
      <c r="G64" s="1696"/>
      <c r="H64" s="1696"/>
      <c r="I64" s="1696"/>
      <c r="J64" s="1696"/>
      <c r="K64" s="1696"/>
      <c r="L64" s="1696"/>
      <c r="M64" s="1696"/>
      <c r="N64" s="1696"/>
      <c r="O64" s="1696"/>
      <c r="P64" s="1696"/>
      <c r="Q64" s="1696"/>
      <c r="R64" s="1696"/>
      <c r="S64" s="1696"/>
      <c r="T64" s="1696"/>
      <c r="U64" s="1696"/>
      <c r="V64" s="1696"/>
      <c r="W64" s="1696"/>
      <c r="X64" s="1696"/>
      <c r="Y64" s="1696"/>
      <c r="Z64" s="1696"/>
      <c r="AA64" s="1696"/>
      <c r="AB64" s="1696"/>
      <c r="AC64" s="1696"/>
      <c r="AD64" s="1696"/>
      <c r="AE64" s="1696"/>
      <c r="AF64" s="1696"/>
      <c r="AG64" s="1696"/>
      <c r="AH64" s="1696"/>
      <c r="AI64" s="1696"/>
      <c r="AJ64" s="1696"/>
      <c r="AK64" s="1696"/>
      <c r="AL64" s="1696"/>
      <c r="AM64" s="1696"/>
      <c r="AN64" s="1696"/>
      <c r="AO64" s="1696"/>
      <c r="AP64" s="1696"/>
      <c r="AQ64" s="1696"/>
      <c r="AR64" s="1696"/>
      <c r="AS64" s="1696"/>
      <c r="AT64" s="1696"/>
      <c r="AU64" s="1696"/>
      <c r="AV64" s="1696"/>
      <c r="AW64" s="1696"/>
      <c r="AX64" s="1696"/>
      <c r="AY64" s="1696"/>
      <c r="AZ64" s="1696"/>
      <c r="BA64" s="1696"/>
      <c r="BB64" s="1696"/>
      <c r="BC64" s="1696"/>
      <c r="BD64" s="1696"/>
      <c r="BE64" s="1696"/>
      <c r="BF64" s="1696"/>
      <c r="BK64"/>
      <c r="BL64"/>
      <c r="BM64"/>
    </row>
    <row r="65" spans="6:65" s="12" customFormat="1" ht="16.350000000000001" customHeight="1">
      <c r="F65" s="1675" t="s">
        <v>1864</v>
      </c>
      <c r="G65" s="1675"/>
      <c r="H65" s="1675"/>
      <c r="I65" s="1675"/>
      <c r="J65" s="1675"/>
      <c r="K65" s="1675"/>
      <c r="L65" s="1675"/>
      <c r="M65" s="1675"/>
      <c r="N65" s="1675"/>
      <c r="O65" s="1675"/>
      <c r="P65" s="1675" t="s">
        <v>1865</v>
      </c>
      <c r="Q65" s="1675"/>
      <c r="R65" s="1675"/>
      <c r="S65" s="1675"/>
      <c r="T65" s="1675"/>
      <c r="U65" s="1675"/>
      <c r="V65" s="1675"/>
      <c r="W65" s="1675"/>
      <c r="X65" s="1675"/>
      <c r="Y65" s="1675"/>
      <c r="Z65" s="1675"/>
      <c r="AA65" s="1675"/>
      <c r="AB65" s="1675"/>
      <c r="AC65" s="1675"/>
      <c r="AD65" s="1675"/>
      <c r="AE65" s="1675"/>
      <c r="AF65" s="1675"/>
      <c r="AG65" s="1675"/>
      <c r="AH65" s="1675"/>
      <c r="AI65" s="1675"/>
      <c r="AJ65" s="1675"/>
      <c r="AK65" s="1675"/>
      <c r="AL65" s="1675"/>
      <c r="AM65" s="1675"/>
      <c r="AN65" s="1675"/>
      <c r="AO65" s="1675"/>
      <c r="AP65" s="1675"/>
      <c r="AQ65" s="1675"/>
      <c r="AR65" s="1675"/>
      <c r="AS65" s="1675" t="s">
        <v>1866</v>
      </c>
      <c r="AT65" s="1675"/>
      <c r="AU65" s="1675"/>
      <c r="AV65" s="1675"/>
      <c r="AW65" s="1675"/>
      <c r="AX65" s="1675"/>
      <c r="AY65" s="1675"/>
      <c r="AZ65" s="1675"/>
      <c r="BA65" s="1675"/>
      <c r="BB65" s="1675"/>
      <c r="BC65" s="1676" t="s">
        <v>223</v>
      </c>
      <c r="BD65" s="1677"/>
      <c r="BE65" s="1677"/>
      <c r="BF65" s="1678"/>
      <c r="BK65"/>
      <c r="BL65"/>
      <c r="BM65"/>
    </row>
    <row r="66" spans="6:65" s="12" customFormat="1" ht="16.350000000000001" customHeight="1">
      <c r="F66" s="1679"/>
      <c r="G66" s="1680"/>
      <c r="H66" s="1680"/>
      <c r="I66" s="1680"/>
      <c r="J66" s="1680"/>
      <c r="K66" s="1680"/>
      <c r="L66" s="1680"/>
      <c r="M66" s="1680"/>
      <c r="N66" s="1680"/>
      <c r="O66" s="1681"/>
      <c r="P66" s="1701"/>
      <c r="Q66" s="1701"/>
      <c r="R66" s="1701"/>
      <c r="S66" s="1701"/>
      <c r="T66" s="1701"/>
      <c r="U66" s="1701"/>
      <c r="V66" s="1701"/>
      <c r="W66" s="1701"/>
      <c r="X66" s="1701"/>
      <c r="Y66" s="1701"/>
      <c r="Z66" s="1701"/>
      <c r="AA66" s="1701"/>
      <c r="AB66" s="1701"/>
      <c r="AC66" s="1701"/>
      <c r="AD66" s="1701"/>
      <c r="AE66" s="1701"/>
      <c r="AF66" s="1701"/>
      <c r="AG66" s="1701"/>
      <c r="AH66" s="1701"/>
      <c r="AI66" s="1701"/>
      <c r="AJ66" s="1701"/>
      <c r="AK66" s="1701"/>
      <c r="AL66" s="1701"/>
      <c r="AM66" s="1701"/>
      <c r="AN66" s="1701"/>
      <c r="AO66" s="1701"/>
      <c r="AP66" s="1701"/>
      <c r="AQ66" s="1701"/>
      <c r="AR66" s="1701"/>
      <c r="AS66" s="1679"/>
      <c r="AT66" s="1680"/>
      <c r="AU66" s="1680"/>
      <c r="AV66" s="1680"/>
      <c r="AW66" s="1680"/>
      <c r="AX66" s="1680"/>
      <c r="AY66" s="1680"/>
      <c r="AZ66" s="1680"/>
      <c r="BA66" s="1680"/>
      <c r="BB66" s="1681"/>
      <c r="BC66" s="1700"/>
      <c r="BD66" s="1700"/>
      <c r="BE66" s="1700"/>
      <c r="BF66" s="1700"/>
      <c r="BK66"/>
      <c r="BL66"/>
      <c r="BM66"/>
    </row>
    <row r="67" spans="6:65" s="12" customFormat="1" ht="16.350000000000001" customHeight="1">
      <c r="F67" s="1679"/>
      <c r="G67" s="1680"/>
      <c r="H67" s="1680"/>
      <c r="I67" s="1680"/>
      <c r="J67" s="1680"/>
      <c r="K67" s="1680"/>
      <c r="L67" s="1680"/>
      <c r="M67" s="1680"/>
      <c r="N67" s="1680"/>
      <c r="O67" s="1681"/>
      <c r="P67" s="1701"/>
      <c r="Q67" s="1701"/>
      <c r="R67" s="1701"/>
      <c r="S67" s="1701"/>
      <c r="T67" s="1701"/>
      <c r="U67" s="1701"/>
      <c r="V67" s="1701"/>
      <c r="W67" s="1701"/>
      <c r="X67" s="1701"/>
      <c r="Y67" s="1701"/>
      <c r="Z67" s="1701"/>
      <c r="AA67" s="1701"/>
      <c r="AB67" s="1701"/>
      <c r="AC67" s="1701"/>
      <c r="AD67" s="1701"/>
      <c r="AE67" s="1701"/>
      <c r="AF67" s="1701"/>
      <c r="AG67" s="1701"/>
      <c r="AH67" s="1701"/>
      <c r="AI67" s="1701"/>
      <c r="AJ67" s="1701"/>
      <c r="AK67" s="1701"/>
      <c r="AL67" s="1701"/>
      <c r="AM67" s="1701"/>
      <c r="AN67" s="1701"/>
      <c r="AO67" s="1701"/>
      <c r="AP67" s="1701"/>
      <c r="AQ67" s="1701"/>
      <c r="AR67" s="1701"/>
      <c r="AS67" s="1679"/>
      <c r="AT67" s="1680"/>
      <c r="AU67" s="1680"/>
      <c r="AV67" s="1680"/>
      <c r="AW67" s="1680"/>
      <c r="AX67" s="1680"/>
      <c r="AY67" s="1680"/>
      <c r="AZ67" s="1680"/>
      <c r="BA67" s="1680"/>
      <c r="BB67" s="1681"/>
      <c r="BC67" s="1700"/>
      <c r="BD67" s="1700"/>
      <c r="BE67" s="1700"/>
      <c r="BF67" s="1700"/>
      <c r="BK67"/>
      <c r="BL67"/>
      <c r="BM67"/>
    </row>
    <row r="68" spans="6:65" s="12" customFormat="1" ht="16.350000000000001" customHeight="1">
      <c r="F68" s="1679"/>
      <c r="G68" s="1680"/>
      <c r="H68" s="1680"/>
      <c r="I68" s="1680"/>
      <c r="J68" s="1680"/>
      <c r="K68" s="1680"/>
      <c r="L68" s="1680"/>
      <c r="M68" s="1680"/>
      <c r="N68" s="1680"/>
      <c r="O68" s="1681"/>
      <c r="P68" s="1701"/>
      <c r="Q68" s="1701"/>
      <c r="R68" s="1701"/>
      <c r="S68" s="1701"/>
      <c r="T68" s="1701"/>
      <c r="U68" s="1701"/>
      <c r="V68" s="1701"/>
      <c r="W68" s="1701"/>
      <c r="X68" s="1701"/>
      <c r="Y68" s="1701"/>
      <c r="Z68" s="1701"/>
      <c r="AA68" s="1701"/>
      <c r="AB68" s="1701"/>
      <c r="AC68" s="1701"/>
      <c r="AD68" s="1701"/>
      <c r="AE68" s="1701"/>
      <c r="AF68" s="1701"/>
      <c r="AG68" s="1701"/>
      <c r="AH68" s="1701"/>
      <c r="AI68" s="1701"/>
      <c r="AJ68" s="1701"/>
      <c r="AK68" s="1701"/>
      <c r="AL68" s="1701"/>
      <c r="AM68" s="1701"/>
      <c r="AN68" s="1701"/>
      <c r="AO68" s="1701"/>
      <c r="AP68" s="1701"/>
      <c r="AQ68" s="1701"/>
      <c r="AR68" s="1701"/>
      <c r="AS68" s="1679"/>
      <c r="AT68" s="1680"/>
      <c r="AU68" s="1680"/>
      <c r="AV68" s="1680"/>
      <c r="AW68" s="1680"/>
      <c r="AX68" s="1680"/>
      <c r="AY68" s="1680"/>
      <c r="AZ68" s="1680"/>
      <c r="BA68" s="1680"/>
      <c r="BB68" s="1681"/>
      <c r="BC68" s="1700"/>
      <c r="BD68" s="1700"/>
      <c r="BE68" s="1700"/>
      <c r="BF68" s="1700"/>
      <c r="BK68"/>
      <c r="BL68"/>
      <c r="BM68"/>
    </row>
    <row r="69" spans="6:65" s="12" customFormat="1" ht="16.350000000000001" customHeight="1">
      <c r="F69" s="1679"/>
      <c r="G69" s="1680"/>
      <c r="H69" s="1680"/>
      <c r="I69" s="1680"/>
      <c r="J69" s="1680"/>
      <c r="K69" s="1680"/>
      <c r="L69" s="1680"/>
      <c r="M69" s="1680"/>
      <c r="N69" s="1680"/>
      <c r="O69" s="1681"/>
      <c r="P69" s="1701"/>
      <c r="Q69" s="1701"/>
      <c r="R69" s="1701"/>
      <c r="S69" s="1701"/>
      <c r="T69" s="1701"/>
      <c r="U69" s="1701"/>
      <c r="V69" s="1701"/>
      <c r="W69" s="1701"/>
      <c r="X69" s="1701"/>
      <c r="Y69" s="1701"/>
      <c r="Z69" s="1701"/>
      <c r="AA69" s="1701"/>
      <c r="AB69" s="1701"/>
      <c r="AC69" s="1701"/>
      <c r="AD69" s="1701"/>
      <c r="AE69" s="1701"/>
      <c r="AF69" s="1701"/>
      <c r="AG69" s="1701"/>
      <c r="AH69" s="1701"/>
      <c r="AI69" s="1701"/>
      <c r="AJ69" s="1701"/>
      <c r="AK69" s="1701"/>
      <c r="AL69" s="1701"/>
      <c r="AM69" s="1701"/>
      <c r="AN69" s="1701"/>
      <c r="AO69" s="1701"/>
      <c r="AP69" s="1701"/>
      <c r="AQ69" s="1701"/>
      <c r="AR69" s="1701"/>
      <c r="AS69" s="1679"/>
      <c r="AT69" s="1680"/>
      <c r="AU69" s="1680"/>
      <c r="AV69" s="1680"/>
      <c r="AW69" s="1680"/>
      <c r="AX69" s="1680"/>
      <c r="AY69" s="1680"/>
      <c r="AZ69" s="1680"/>
      <c r="BA69" s="1680"/>
      <c r="BB69" s="1681"/>
      <c r="BC69" s="1700"/>
      <c r="BD69" s="1700"/>
      <c r="BE69" s="1700"/>
      <c r="BF69" s="1700"/>
      <c r="BK69"/>
      <c r="BL69"/>
      <c r="BM69"/>
    </row>
    <row r="70" spans="6:65" s="12" customFormat="1" ht="16.350000000000001" customHeight="1">
      <c r="F70" s="1679"/>
      <c r="G70" s="1680"/>
      <c r="H70" s="1680"/>
      <c r="I70" s="1680"/>
      <c r="J70" s="1680"/>
      <c r="K70" s="1680"/>
      <c r="L70" s="1680"/>
      <c r="M70" s="1680"/>
      <c r="N70" s="1680"/>
      <c r="O70" s="1681"/>
      <c r="P70" s="1701"/>
      <c r="Q70" s="1701"/>
      <c r="R70" s="1701"/>
      <c r="S70" s="1701"/>
      <c r="T70" s="1701"/>
      <c r="U70" s="1701"/>
      <c r="V70" s="1701"/>
      <c r="W70" s="1701"/>
      <c r="X70" s="1701"/>
      <c r="Y70" s="1701"/>
      <c r="Z70" s="1701"/>
      <c r="AA70" s="1701"/>
      <c r="AB70" s="1701"/>
      <c r="AC70" s="1701"/>
      <c r="AD70" s="1701"/>
      <c r="AE70" s="1701"/>
      <c r="AF70" s="1701"/>
      <c r="AG70" s="1701"/>
      <c r="AH70" s="1701"/>
      <c r="AI70" s="1701"/>
      <c r="AJ70" s="1701"/>
      <c r="AK70" s="1701"/>
      <c r="AL70" s="1701"/>
      <c r="AM70" s="1701"/>
      <c r="AN70" s="1701"/>
      <c r="AO70" s="1701"/>
      <c r="AP70" s="1701"/>
      <c r="AQ70" s="1701"/>
      <c r="AR70" s="1701"/>
      <c r="AS70" s="1679"/>
      <c r="AT70" s="1680"/>
      <c r="AU70" s="1680"/>
      <c r="AV70" s="1680"/>
      <c r="AW70" s="1680"/>
      <c r="AX70" s="1680"/>
      <c r="AY70" s="1680"/>
      <c r="AZ70" s="1680"/>
      <c r="BA70" s="1680"/>
      <c r="BB70" s="1681"/>
      <c r="BC70" s="1700"/>
      <c r="BD70" s="1700"/>
      <c r="BE70" s="1700"/>
      <c r="BF70" s="1700"/>
      <c r="BK70"/>
      <c r="BL70"/>
      <c r="BM70"/>
    </row>
    <row r="71" spans="6:65" s="12" customFormat="1" ht="16.350000000000001" customHeight="1">
      <c r="F71" s="1679"/>
      <c r="G71" s="1680"/>
      <c r="H71" s="1680"/>
      <c r="I71" s="1680"/>
      <c r="J71" s="1680"/>
      <c r="K71" s="1680"/>
      <c r="L71" s="1680"/>
      <c r="M71" s="1680"/>
      <c r="N71" s="1680"/>
      <c r="O71" s="1681"/>
      <c r="P71" s="1701"/>
      <c r="Q71" s="1701"/>
      <c r="R71" s="1701"/>
      <c r="S71" s="1701"/>
      <c r="T71" s="1701"/>
      <c r="U71" s="1701"/>
      <c r="V71" s="1701"/>
      <c r="W71" s="1701"/>
      <c r="X71" s="1701"/>
      <c r="Y71" s="1701"/>
      <c r="Z71" s="1701"/>
      <c r="AA71" s="1701"/>
      <c r="AB71" s="1701"/>
      <c r="AC71" s="1701"/>
      <c r="AD71" s="1701"/>
      <c r="AE71" s="1701"/>
      <c r="AF71" s="1701"/>
      <c r="AG71" s="1701"/>
      <c r="AH71" s="1701"/>
      <c r="AI71" s="1701"/>
      <c r="AJ71" s="1701"/>
      <c r="AK71" s="1701"/>
      <c r="AL71" s="1701"/>
      <c r="AM71" s="1701"/>
      <c r="AN71" s="1701"/>
      <c r="AO71" s="1701"/>
      <c r="AP71" s="1701"/>
      <c r="AQ71" s="1701"/>
      <c r="AR71" s="1701"/>
      <c r="AS71" s="1679"/>
      <c r="AT71" s="1680"/>
      <c r="AU71" s="1680"/>
      <c r="AV71" s="1680"/>
      <c r="AW71" s="1680"/>
      <c r="AX71" s="1680"/>
      <c r="AY71" s="1680"/>
      <c r="AZ71" s="1680"/>
      <c r="BA71" s="1680"/>
      <c r="BB71" s="1681"/>
      <c r="BC71" s="1700"/>
      <c r="BD71" s="1700"/>
      <c r="BE71" s="1700"/>
      <c r="BF71" s="1700"/>
      <c r="BK71"/>
      <c r="BL71"/>
      <c r="BM71"/>
    </row>
    <row r="72" spans="6:65" s="12" customFormat="1" ht="16.350000000000001" customHeight="1">
      <c r="F72" s="1679"/>
      <c r="G72" s="1680"/>
      <c r="H72" s="1680"/>
      <c r="I72" s="1680"/>
      <c r="J72" s="1680"/>
      <c r="K72" s="1680"/>
      <c r="L72" s="1680"/>
      <c r="M72" s="1680"/>
      <c r="N72" s="1680"/>
      <c r="O72" s="1681"/>
      <c r="P72" s="1701"/>
      <c r="Q72" s="1701"/>
      <c r="R72" s="1701"/>
      <c r="S72" s="1701"/>
      <c r="T72" s="1701"/>
      <c r="U72" s="1701"/>
      <c r="V72" s="1701"/>
      <c r="W72" s="1701"/>
      <c r="X72" s="1701"/>
      <c r="Y72" s="1701"/>
      <c r="Z72" s="1701"/>
      <c r="AA72" s="1701"/>
      <c r="AB72" s="1701"/>
      <c r="AC72" s="1701"/>
      <c r="AD72" s="1701"/>
      <c r="AE72" s="1701"/>
      <c r="AF72" s="1701"/>
      <c r="AG72" s="1701"/>
      <c r="AH72" s="1701"/>
      <c r="AI72" s="1701"/>
      <c r="AJ72" s="1701"/>
      <c r="AK72" s="1701"/>
      <c r="AL72" s="1701"/>
      <c r="AM72" s="1701"/>
      <c r="AN72" s="1701"/>
      <c r="AO72" s="1701"/>
      <c r="AP72" s="1701"/>
      <c r="AQ72" s="1701"/>
      <c r="AR72" s="1701"/>
      <c r="AS72" s="1679"/>
      <c r="AT72" s="1680"/>
      <c r="AU72" s="1680"/>
      <c r="AV72" s="1680"/>
      <c r="AW72" s="1680"/>
      <c r="AX72" s="1680"/>
      <c r="AY72" s="1680"/>
      <c r="AZ72" s="1680"/>
      <c r="BA72" s="1680"/>
      <c r="BB72" s="1681"/>
      <c r="BC72" s="1700"/>
      <c r="BD72" s="1700"/>
      <c r="BE72" s="1700"/>
      <c r="BF72" s="1700"/>
      <c r="BK72"/>
      <c r="BL72"/>
      <c r="BM72"/>
    </row>
    <row r="73" spans="6:65" s="12" customFormat="1" ht="16.350000000000001" customHeight="1">
      <c r="F73" s="1679"/>
      <c r="G73" s="1680"/>
      <c r="H73" s="1680"/>
      <c r="I73" s="1680"/>
      <c r="J73" s="1680"/>
      <c r="K73" s="1680"/>
      <c r="L73" s="1680"/>
      <c r="M73" s="1680"/>
      <c r="N73" s="1680"/>
      <c r="O73" s="1681"/>
      <c r="P73" s="1701"/>
      <c r="Q73" s="1701"/>
      <c r="R73" s="1701"/>
      <c r="S73" s="1701"/>
      <c r="T73" s="1701"/>
      <c r="U73" s="1701"/>
      <c r="V73" s="1701"/>
      <c r="W73" s="1701"/>
      <c r="X73" s="1701"/>
      <c r="Y73" s="1701"/>
      <c r="Z73" s="1701"/>
      <c r="AA73" s="1701"/>
      <c r="AB73" s="1701"/>
      <c r="AC73" s="1701"/>
      <c r="AD73" s="1701"/>
      <c r="AE73" s="1701"/>
      <c r="AF73" s="1701"/>
      <c r="AG73" s="1701"/>
      <c r="AH73" s="1701"/>
      <c r="AI73" s="1701"/>
      <c r="AJ73" s="1701"/>
      <c r="AK73" s="1701"/>
      <c r="AL73" s="1701"/>
      <c r="AM73" s="1701"/>
      <c r="AN73" s="1701"/>
      <c r="AO73" s="1701"/>
      <c r="AP73" s="1701"/>
      <c r="AQ73" s="1701"/>
      <c r="AR73" s="1701"/>
      <c r="AS73" s="1679"/>
      <c r="AT73" s="1680"/>
      <c r="AU73" s="1680"/>
      <c r="AV73" s="1680"/>
      <c r="AW73" s="1680"/>
      <c r="AX73" s="1680"/>
      <c r="AY73" s="1680"/>
      <c r="AZ73" s="1680"/>
      <c r="BA73" s="1680"/>
      <c r="BB73" s="1681"/>
      <c r="BC73" s="1700"/>
      <c r="BD73" s="1700"/>
      <c r="BE73" s="1700"/>
      <c r="BF73" s="1700"/>
      <c r="BK73"/>
      <c r="BL73"/>
      <c r="BM73"/>
    </row>
    <row r="74" spans="6:65" s="12" customFormat="1" ht="16.350000000000001" customHeight="1">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K74"/>
      <c r="BL74"/>
      <c r="BM74"/>
    </row>
    <row r="75" spans="6:65" s="12" customFormat="1" ht="16.350000000000001" customHeight="1">
      <c r="F75" s="235"/>
      <c r="G75" s="237"/>
      <c r="H75" s="237"/>
      <c r="I75" s="237"/>
      <c r="J75" s="237"/>
      <c r="K75" s="237"/>
      <c r="L75" s="237"/>
      <c r="M75" s="237"/>
      <c r="N75" s="237"/>
      <c r="O75" s="237"/>
      <c r="P75" s="237"/>
      <c r="Q75" s="237"/>
      <c r="R75" s="237"/>
      <c r="S75" s="237"/>
      <c r="T75" s="237"/>
      <c r="U75" s="235"/>
      <c r="V75" s="230"/>
      <c r="W75" s="230"/>
      <c r="X75" s="230"/>
      <c r="Y75" s="230"/>
      <c r="Z75" s="249"/>
      <c r="AA75" s="232"/>
      <c r="AB75" s="232"/>
      <c r="AC75" s="232"/>
      <c r="AD75" s="232"/>
      <c r="AE75" s="232"/>
      <c r="AF75" s="235"/>
      <c r="AG75" s="231"/>
      <c r="AH75" s="231"/>
      <c r="AI75" s="231"/>
      <c r="AJ75" s="236"/>
      <c r="AK75" s="236"/>
      <c r="AL75" s="236"/>
      <c r="BK75"/>
      <c r="BL75"/>
      <c r="BM75"/>
    </row>
    <row r="76" spans="6:65" s="12" customFormat="1" ht="16.350000000000001" hidden="1" customHeight="1">
      <c r="F76" s="235"/>
      <c r="G76" s="237"/>
      <c r="H76" s="237"/>
      <c r="I76" s="237"/>
      <c r="J76" s="237"/>
      <c r="K76" s="237"/>
      <c r="L76" s="237"/>
      <c r="M76" s="237"/>
      <c r="N76" s="237"/>
      <c r="O76" s="237"/>
      <c r="P76" s="237"/>
      <c r="Q76" s="237"/>
      <c r="R76" s="237"/>
      <c r="S76" s="237"/>
      <c r="T76" s="237"/>
      <c r="U76" s="235"/>
      <c r="V76" s="230"/>
      <c r="W76" s="230"/>
      <c r="X76" s="230"/>
      <c r="Y76" s="230"/>
      <c r="Z76" s="249"/>
      <c r="AA76" s="232"/>
      <c r="AB76" s="232"/>
      <c r="AC76" s="232"/>
      <c r="AD76" s="232"/>
      <c r="AE76" s="232"/>
      <c r="AF76" s="235"/>
      <c r="AG76" s="231"/>
      <c r="AH76" s="231"/>
      <c r="AI76" s="231"/>
      <c r="AJ76" s="236"/>
      <c r="AK76" s="236"/>
      <c r="AL76" s="236"/>
      <c r="BK76"/>
      <c r="BL76"/>
      <c r="BM76"/>
    </row>
    <row r="77" spans="6:65" s="12" customFormat="1" ht="16.350000000000001" hidden="1" customHeight="1">
      <c r="F77" s="235"/>
      <c r="G77" s="237"/>
      <c r="H77" s="237"/>
      <c r="I77" s="237"/>
      <c r="J77" s="237"/>
      <c r="K77" s="237"/>
      <c r="L77" s="237"/>
      <c r="M77" s="237"/>
      <c r="N77" s="237"/>
      <c r="O77" s="237"/>
      <c r="P77" s="237"/>
      <c r="Q77" s="237"/>
      <c r="R77" s="237"/>
      <c r="S77" s="237"/>
      <c r="T77" s="237"/>
      <c r="U77" s="235"/>
      <c r="V77" s="230"/>
      <c r="W77" s="230"/>
      <c r="X77" s="230"/>
      <c r="Y77" s="230"/>
      <c r="Z77" s="249"/>
      <c r="AA77" s="232"/>
      <c r="AB77" s="232"/>
      <c r="AC77" s="232"/>
      <c r="AD77" s="232"/>
      <c r="AE77" s="232"/>
      <c r="AF77" s="235"/>
      <c r="AG77" s="231"/>
      <c r="AH77" s="231"/>
      <c r="AI77" s="231"/>
      <c r="AJ77" s="236"/>
      <c r="AK77" s="236"/>
      <c r="AL77" s="236"/>
      <c r="BK77"/>
      <c r="BL77"/>
      <c r="BM77"/>
    </row>
    <row r="78" spans="6:65" s="12" customFormat="1" ht="16.350000000000001" hidden="1" customHeight="1">
      <c r="F78" s="235"/>
      <c r="G78" s="237"/>
      <c r="H78" s="237"/>
      <c r="I78" s="237"/>
      <c r="J78" s="237"/>
      <c r="K78" s="237"/>
      <c r="L78" s="237"/>
      <c r="M78" s="237"/>
      <c r="N78" s="237"/>
      <c r="O78" s="237"/>
      <c r="P78" s="237"/>
      <c r="Q78" s="237"/>
      <c r="R78" s="237"/>
      <c r="S78" s="237"/>
      <c r="T78" s="237"/>
      <c r="U78" s="235"/>
      <c r="V78" s="230"/>
      <c r="W78" s="230"/>
      <c r="X78" s="230"/>
      <c r="Y78" s="230"/>
      <c r="Z78" s="249"/>
      <c r="AA78" s="232"/>
      <c r="AB78" s="232"/>
      <c r="AC78" s="232"/>
      <c r="AD78" s="232"/>
      <c r="AE78" s="232"/>
      <c r="AF78" s="235"/>
      <c r="AG78" s="231"/>
      <c r="AH78" s="231"/>
      <c r="AI78" s="231"/>
      <c r="AJ78" s="236"/>
      <c r="AK78" s="236"/>
      <c r="AL78" s="236"/>
      <c r="BK78"/>
      <c r="BL78"/>
      <c r="BM78"/>
    </row>
    <row r="79" spans="6:65" s="12" customFormat="1" ht="16.350000000000001" hidden="1" customHeight="1">
      <c r="F79" s="235"/>
      <c r="G79" s="237"/>
      <c r="H79" s="237"/>
      <c r="I79" s="237"/>
      <c r="J79" s="237"/>
      <c r="K79" s="237"/>
      <c r="L79" s="237"/>
      <c r="M79" s="237"/>
      <c r="N79" s="237"/>
      <c r="O79" s="237"/>
      <c r="P79" s="237"/>
      <c r="Q79" s="237"/>
      <c r="R79" s="237"/>
      <c r="S79" s="237"/>
      <c r="T79" s="237"/>
      <c r="U79" s="235"/>
      <c r="V79" s="230"/>
      <c r="W79" s="230"/>
      <c r="X79" s="230"/>
      <c r="Y79" s="230"/>
      <c r="Z79" s="249"/>
      <c r="AA79" s="232"/>
      <c r="AB79" s="232"/>
      <c r="AC79" s="232"/>
      <c r="AD79" s="232"/>
      <c r="AE79" s="232"/>
      <c r="AF79" s="235"/>
      <c r="AG79" s="231"/>
      <c r="AH79" s="231"/>
      <c r="AI79" s="231"/>
      <c r="AJ79" s="236"/>
      <c r="AK79" s="236"/>
      <c r="AL79" s="236"/>
      <c r="BK79"/>
      <c r="BL79"/>
      <c r="BM79"/>
    </row>
    <row r="80" spans="6:65" s="12" customFormat="1" ht="16.350000000000001" hidden="1" customHeight="1">
      <c r="F80" s="235"/>
      <c r="G80" s="237"/>
      <c r="H80" s="237"/>
      <c r="I80" s="237"/>
      <c r="J80" s="237"/>
      <c r="K80" s="237"/>
      <c r="L80" s="237"/>
      <c r="M80" s="237"/>
      <c r="N80" s="237"/>
      <c r="O80" s="237"/>
      <c r="P80" s="237"/>
      <c r="Q80" s="237"/>
      <c r="R80" s="237"/>
      <c r="S80" s="237"/>
      <c r="T80" s="237"/>
      <c r="U80" s="235"/>
      <c r="V80" s="230"/>
      <c r="W80" s="230"/>
      <c r="X80" s="230"/>
      <c r="Y80" s="230"/>
      <c r="Z80" s="249"/>
      <c r="AA80" s="232"/>
      <c r="AB80" s="232"/>
      <c r="AC80" s="232"/>
      <c r="AD80" s="232"/>
      <c r="AE80" s="232"/>
      <c r="AF80" s="235"/>
      <c r="AG80" s="231"/>
      <c r="AH80" s="231"/>
      <c r="AI80" s="231"/>
      <c r="AJ80" s="236"/>
      <c r="AK80" s="236"/>
      <c r="AL80" s="236"/>
      <c r="BK80"/>
      <c r="BL80"/>
      <c r="BM80"/>
    </row>
    <row r="81" spans="6:65" s="12" customFormat="1" ht="16.350000000000001" hidden="1" customHeight="1">
      <c r="F81" s="235"/>
      <c r="G81" s="237"/>
      <c r="H81" s="237"/>
      <c r="I81" s="237"/>
      <c r="J81" s="237"/>
      <c r="K81" s="237"/>
      <c r="L81" s="237"/>
      <c r="M81" s="237"/>
      <c r="N81" s="237"/>
      <c r="O81" s="237"/>
      <c r="P81" s="237"/>
      <c r="Q81" s="237"/>
      <c r="R81" s="237"/>
      <c r="S81" s="237"/>
      <c r="T81" s="237"/>
      <c r="U81" s="235"/>
      <c r="V81" s="230"/>
      <c r="W81" s="230"/>
      <c r="X81" s="230"/>
      <c r="Y81" s="230"/>
      <c r="Z81" s="249"/>
      <c r="AA81" s="232"/>
      <c r="AB81" s="232"/>
      <c r="AC81" s="232"/>
      <c r="AD81" s="232"/>
      <c r="AE81" s="232"/>
      <c r="AF81" s="235"/>
      <c r="AG81" s="231"/>
      <c r="AH81" s="231"/>
      <c r="AI81" s="231"/>
      <c r="AJ81" s="236"/>
      <c r="AK81" s="236"/>
      <c r="AL81" s="236"/>
      <c r="BK81"/>
      <c r="BL81"/>
      <c r="BM81"/>
    </row>
    <row r="82" spans="6:65" s="12" customFormat="1" ht="16.350000000000001" hidden="1" customHeight="1">
      <c r="F82" s="235"/>
      <c r="G82" s="237"/>
      <c r="H82" s="237"/>
      <c r="I82" s="237"/>
      <c r="J82" s="237"/>
      <c r="K82" s="237"/>
      <c r="L82" s="237"/>
      <c r="M82" s="237"/>
      <c r="N82" s="237"/>
      <c r="O82" s="237"/>
      <c r="P82" s="237"/>
      <c r="Q82" s="237"/>
      <c r="R82" s="237"/>
      <c r="S82" s="237"/>
      <c r="T82" s="237"/>
      <c r="U82" s="235"/>
      <c r="V82" s="230"/>
      <c r="W82" s="230"/>
      <c r="X82" s="230"/>
      <c r="Y82" s="230"/>
      <c r="Z82" s="249"/>
      <c r="AA82" s="232"/>
      <c r="AB82" s="232"/>
      <c r="AC82" s="232"/>
      <c r="AD82" s="232"/>
      <c r="AE82" s="232"/>
      <c r="AF82" s="235"/>
      <c r="AG82" s="231"/>
      <c r="AH82" s="231"/>
      <c r="AI82" s="231"/>
      <c r="AJ82" s="236"/>
      <c r="AK82" s="236"/>
      <c r="AL82" s="236"/>
      <c r="BK82"/>
      <c r="BL82"/>
      <c r="BM82"/>
    </row>
    <row r="83" spans="6:65" s="12" customFormat="1" ht="16.350000000000001" hidden="1" customHeight="1">
      <c r="F83" s="235"/>
      <c r="G83" s="237"/>
      <c r="H83" s="237"/>
      <c r="I83" s="237"/>
      <c r="J83" s="237"/>
      <c r="K83" s="237"/>
      <c r="L83" s="237"/>
      <c r="M83" s="237"/>
      <c r="N83" s="237"/>
      <c r="O83" s="237"/>
      <c r="P83" s="237"/>
      <c r="Q83" s="237"/>
      <c r="R83" s="237"/>
      <c r="S83" s="237"/>
      <c r="T83" s="237"/>
      <c r="U83" s="235"/>
      <c r="V83" s="230"/>
      <c r="W83" s="230"/>
      <c r="X83" s="230"/>
      <c r="Y83" s="230"/>
      <c r="Z83" s="249"/>
      <c r="AA83" s="232"/>
      <c r="AB83" s="232"/>
      <c r="AC83" s="232"/>
      <c r="AD83" s="232"/>
      <c r="AE83" s="232"/>
      <c r="AF83" s="235"/>
      <c r="AG83" s="231"/>
      <c r="AH83" s="231"/>
      <c r="AI83" s="231"/>
      <c r="AJ83" s="236"/>
      <c r="AK83" s="236"/>
      <c r="AL83" s="236"/>
      <c r="BK83"/>
      <c r="BL83"/>
      <c r="BM83"/>
    </row>
    <row r="84" spans="6:65" s="12" customFormat="1" ht="16.350000000000001" hidden="1" customHeight="1">
      <c r="F84" s="235"/>
      <c r="G84" s="237"/>
      <c r="H84" s="237"/>
      <c r="I84" s="237"/>
      <c r="J84" s="237"/>
      <c r="K84" s="237"/>
      <c r="L84" s="237"/>
      <c r="M84" s="237"/>
      <c r="N84" s="237"/>
      <c r="O84" s="237"/>
      <c r="P84" s="237"/>
      <c r="Q84" s="237"/>
      <c r="R84" s="237"/>
      <c r="S84" s="237"/>
      <c r="T84" s="237"/>
      <c r="U84" s="235"/>
      <c r="V84" s="230"/>
      <c r="W84" s="230"/>
      <c r="X84" s="230"/>
      <c r="Y84" s="230"/>
      <c r="Z84" s="249"/>
      <c r="AA84" s="232"/>
      <c r="AB84" s="232"/>
      <c r="AC84" s="232"/>
      <c r="AD84" s="232"/>
      <c r="AE84" s="232"/>
      <c r="AF84" s="235"/>
      <c r="AG84" s="231"/>
      <c r="AH84" s="231"/>
      <c r="AI84" s="231"/>
      <c r="AJ84" s="236"/>
      <c r="AK84" s="236"/>
      <c r="AL84" s="236"/>
      <c r="BK84"/>
      <c r="BL84"/>
      <c r="BM84"/>
    </row>
    <row r="85" spans="6:65" s="12" customFormat="1" ht="16.350000000000001" hidden="1" customHeight="1">
      <c r="F85" s="235"/>
      <c r="G85" s="237"/>
      <c r="H85" s="237"/>
      <c r="I85" s="237"/>
      <c r="J85" s="237"/>
      <c r="K85" s="237"/>
      <c r="L85" s="237"/>
      <c r="M85" s="237"/>
      <c r="N85" s="237"/>
      <c r="O85" s="237"/>
      <c r="P85" s="237"/>
      <c r="Q85" s="237"/>
      <c r="R85" s="237"/>
      <c r="S85" s="237"/>
      <c r="T85" s="237"/>
      <c r="U85" s="235"/>
      <c r="V85" s="230"/>
      <c r="W85" s="230"/>
      <c r="X85" s="230"/>
      <c r="Y85" s="230"/>
      <c r="Z85" s="249"/>
      <c r="AA85" s="232"/>
      <c r="AB85" s="232"/>
      <c r="AC85" s="232"/>
      <c r="AD85" s="232"/>
      <c r="AE85" s="232"/>
      <c r="AF85" s="235"/>
      <c r="AG85" s="231"/>
      <c r="AH85" s="231"/>
      <c r="AI85" s="231"/>
      <c r="AJ85" s="236"/>
      <c r="AK85" s="236"/>
      <c r="AL85" s="236"/>
      <c r="BK85"/>
      <c r="BL85"/>
      <c r="BM85"/>
    </row>
    <row r="86" spans="6:65" s="12" customFormat="1" ht="16.350000000000001" hidden="1" customHeight="1">
      <c r="F86" s="235"/>
      <c r="G86" s="237"/>
      <c r="H86" s="237"/>
      <c r="I86" s="237"/>
      <c r="J86" s="237"/>
      <c r="K86" s="237"/>
      <c r="L86" s="237"/>
      <c r="M86" s="237"/>
      <c r="N86" s="237"/>
      <c r="O86" s="237"/>
      <c r="P86" s="237"/>
      <c r="Q86" s="237"/>
      <c r="R86" s="237"/>
      <c r="S86" s="237"/>
      <c r="T86" s="237"/>
      <c r="U86" s="235"/>
      <c r="V86" s="230"/>
      <c r="W86" s="230"/>
      <c r="X86" s="230"/>
      <c r="Y86" s="230"/>
      <c r="Z86" s="249"/>
      <c r="AA86" s="232"/>
      <c r="AB86" s="232"/>
      <c r="AC86" s="232"/>
      <c r="AD86" s="232"/>
      <c r="AE86" s="232"/>
      <c r="AF86" s="235"/>
      <c r="AG86" s="231"/>
      <c r="AH86" s="231"/>
      <c r="AI86" s="231"/>
      <c r="AJ86" s="236"/>
      <c r="AK86" s="236"/>
      <c r="AL86" s="236"/>
      <c r="BK86"/>
      <c r="BL86"/>
      <c r="BM86"/>
    </row>
    <row r="87" spans="6:65" s="12" customFormat="1" ht="16.350000000000001" hidden="1" customHeight="1">
      <c r="F87" s="235"/>
      <c r="G87" s="237"/>
      <c r="H87" s="237"/>
      <c r="I87" s="237"/>
      <c r="J87" s="237"/>
      <c r="K87" s="237"/>
      <c r="L87" s="237"/>
      <c r="M87" s="237"/>
      <c r="N87" s="237"/>
      <c r="O87" s="237"/>
      <c r="P87" s="237"/>
      <c r="Q87" s="237"/>
      <c r="R87" s="237"/>
      <c r="S87" s="237"/>
      <c r="T87" s="237"/>
      <c r="U87" s="235"/>
      <c r="V87" s="230"/>
      <c r="W87" s="230"/>
      <c r="X87" s="230"/>
      <c r="Y87" s="230"/>
      <c r="Z87" s="249"/>
      <c r="AA87" s="232"/>
      <c r="AB87" s="232"/>
      <c r="AC87" s="232"/>
      <c r="AD87" s="232"/>
      <c r="AE87" s="232"/>
      <c r="AF87" s="235"/>
      <c r="AG87" s="231"/>
      <c r="AH87" s="231"/>
      <c r="AI87" s="231"/>
      <c r="AJ87" s="236"/>
      <c r="AK87" s="236"/>
      <c r="AL87" s="236"/>
      <c r="BK87"/>
      <c r="BL87"/>
      <c r="BM87"/>
    </row>
    <row r="88" spans="6:65" s="12" customFormat="1" ht="16.350000000000001" hidden="1" customHeight="1">
      <c r="F88" s="235"/>
      <c r="G88" s="237"/>
      <c r="H88" s="237"/>
      <c r="I88" s="237"/>
      <c r="J88" s="237"/>
      <c r="K88" s="237"/>
      <c r="L88" s="237"/>
      <c r="M88" s="237"/>
      <c r="N88" s="237"/>
      <c r="O88" s="237"/>
      <c r="P88" s="237"/>
      <c r="Q88" s="237"/>
      <c r="R88" s="237"/>
      <c r="S88" s="237"/>
      <c r="T88" s="237"/>
      <c r="U88" s="235"/>
      <c r="V88" s="230"/>
      <c r="W88" s="230"/>
      <c r="X88" s="230"/>
      <c r="Y88" s="230"/>
      <c r="Z88" s="249"/>
      <c r="AA88" s="232"/>
      <c r="AB88" s="232"/>
      <c r="AC88" s="232"/>
      <c r="AD88" s="232"/>
      <c r="AE88" s="232"/>
      <c r="AF88" s="235"/>
      <c r="AG88" s="231"/>
      <c r="AH88" s="231"/>
      <c r="AI88" s="231"/>
      <c r="AJ88" s="236"/>
      <c r="AK88" s="236"/>
      <c r="AL88" s="236"/>
      <c r="BK88"/>
      <c r="BL88"/>
      <c r="BM88"/>
    </row>
    <row r="89" spans="6:65" s="12" customFormat="1" ht="16.350000000000001" hidden="1" customHeight="1">
      <c r="F89" s="235"/>
      <c r="G89" s="237"/>
      <c r="H89" s="237"/>
      <c r="I89" s="237"/>
      <c r="J89" s="237"/>
      <c r="K89" s="237"/>
      <c r="L89" s="237"/>
      <c r="M89" s="237"/>
      <c r="N89" s="237"/>
      <c r="O89" s="237"/>
      <c r="P89" s="237"/>
      <c r="Q89" s="237"/>
      <c r="R89" s="237"/>
      <c r="S89" s="237"/>
      <c r="T89" s="237"/>
      <c r="U89" s="235"/>
      <c r="V89" s="230"/>
      <c r="W89" s="230"/>
      <c r="X89" s="230"/>
      <c r="Y89" s="230"/>
      <c r="Z89" s="249"/>
      <c r="AA89" s="232"/>
      <c r="AB89" s="232"/>
      <c r="AC89" s="232"/>
      <c r="AD89" s="232"/>
      <c r="AE89" s="232"/>
      <c r="AF89" s="235"/>
      <c r="AG89" s="231"/>
      <c r="AH89" s="231"/>
      <c r="AI89" s="231"/>
      <c r="AJ89" s="236"/>
      <c r="AK89" s="236"/>
      <c r="AL89" s="236"/>
      <c r="BK89"/>
      <c r="BL89"/>
      <c r="BM89"/>
    </row>
    <row r="90" spans="6:65" s="12" customFormat="1" ht="16.350000000000001" hidden="1" customHeight="1">
      <c r="F90" s="235"/>
      <c r="G90" s="237"/>
      <c r="H90" s="237"/>
      <c r="I90" s="237"/>
      <c r="J90" s="237"/>
      <c r="K90" s="237"/>
      <c r="L90" s="237"/>
      <c r="M90" s="237"/>
      <c r="N90" s="237"/>
      <c r="O90" s="237"/>
      <c r="P90" s="237"/>
      <c r="Q90" s="237"/>
      <c r="R90" s="237"/>
      <c r="S90" s="237"/>
      <c r="T90" s="237"/>
      <c r="U90" s="235"/>
      <c r="V90" s="230"/>
      <c r="W90" s="230"/>
      <c r="X90" s="230"/>
      <c r="Y90" s="230"/>
      <c r="Z90" s="249"/>
      <c r="AA90" s="232"/>
      <c r="AB90" s="232"/>
      <c r="AC90" s="232"/>
      <c r="AD90" s="232"/>
      <c r="AE90" s="232"/>
      <c r="AF90" s="235"/>
      <c r="AG90" s="231"/>
      <c r="AH90" s="231"/>
      <c r="AI90" s="231"/>
      <c r="AJ90" s="236"/>
      <c r="AK90" s="236"/>
      <c r="AL90" s="236"/>
      <c r="BK90"/>
      <c r="BL90"/>
      <c r="BM90"/>
    </row>
    <row r="91" spans="6:65" s="12" customFormat="1" ht="16.350000000000001" hidden="1" customHeight="1">
      <c r="F91" s="235"/>
      <c r="G91" s="237"/>
      <c r="H91" s="237"/>
      <c r="I91" s="237"/>
      <c r="J91" s="237"/>
      <c r="K91" s="237"/>
      <c r="L91" s="237"/>
      <c r="M91" s="237"/>
      <c r="N91" s="237"/>
      <c r="O91" s="237"/>
      <c r="P91" s="237"/>
      <c r="Q91" s="237"/>
      <c r="R91" s="237"/>
      <c r="S91" s="237"/>
      <c r="T91" s="237"/>
      <c r="U91" s="235"/>
      <c r="V91" s="230"/>
      <c r="W91" s="230"/>
      <c r="X91" s="230"/>
      <c r="Y91" s="230"/>
      <c r="Z91" s="249"/>
      <c r="AA91" s="232"/>
      <c r="AB91" s="232"/>
      <c r="AC91" s="232"/>
      <c r="AD91" s="232"/>
      <c r="AE91" s="232"/>
      <c r="AF91" s="235"/>
      <c r="AG91" s="231"/>
      <c r="AH91" s="231"/>
      <c r="AI91" s="231"/>
      <c r="AJ91" s="236"/>
      <c r="AK91" s="236"/>
      <c r="AL91" s="236"/>
      <c r="BK91"/>
      <c r="BL91"/>
      <c r="BM91"/>
    </row>
    <row r="92" spans="6:65" s="12" customFormat="1" ht="16.350000000000001" hidden="1" customHeight="1">
      <c r="F92" s="235"/>
      <c r="G92" s="237"/>
      <c r="H92" s="237"/>
      <c r="I92" s="237"/>
      <c r="J92" s="237"/>
      <c r="K92" s="237"/>
      <c r="L92" s="237"/>
      <c r="M92" s="237"/>
      <c r="N92" s="237"/>
      <c r="O92" s="237"/>
      <c r="P92" s="237"/>
      <c r="Q92" s="237"/>
      <c r="R92" s="237"/>
      <c r="S92" s="237"/>
      <c r="T92" s="237"/>
      <c r="U92" s="235"/>
      <c r="V92" s="230"/>
      <c r="W92" s="230"/>
      <c r="X92" s="230"/>
      <c r="Y92" s="230"/>
      <c r="Z92" s="249"/>
      <c r="AA92" s="232"/>
      <c r="AB92" s="232"/>
      <c r="AC92" s="232"/>
      <c r="AD92" s="232"/>
      <c r="AE92" s="232"/>
      <c r="AF92" s="235"/>
      <c r="AG92" s="231"/>
      <c r="AH92" s="231"/>
      <c r="AI92" s="231"/>
      <c r="AJ92" s="236"/>
      <c r="AK92" s="236"/>
      <c r="AL92" s="236"/>
      <c r="BK92"/>
      <c r="BL92"/>
      <c r="BM92"/>
    </row>
    <row r="93" spans="6:65" s="12" customFormat="1" ht="16.350000000000001" hidden="1" customHeight="1">
      <c r="F93" s="235"/>
      <c r="G93" s="237"/>
      <c r="H93" s="237"/>
      <c r="I93" s="237"/>
      <c r="J93" s="237"/>
      <c r="K93" s="237"/>
      <c r="L93" s="237"/>
      <c r="M93" s="237"/>
      <c r="N93" s="237"/>
      <c r="O93" s="237"/>
      <c r="P93" s="237"/>
      <c r="Q93" s="237"/>
      <c r="R93" s="237"/>
      <c r="S93" s="237"/>
      <c r="T93" s="237"/>
      <c r="U93" s="235"/>
      <c r="V93" s="230"/>
      <c r="W93" s="230"/>
      <c r="X93" s="230"/>
      <c r="Y93" s="230"/>
      <c r="Z93" s="249"/>
      <c r="AA93" s="232"/>
      <c r="AB93" s="232"/>
      <c r="AC93" s="232"/>
      <c r="AD93" s="232"/>
      <c r="AE93" s="232"/>
      <c r="AF93" s="235"/>
      <c r="AG93" s="231"/>
      <c r="AH93" s="231"/>
      <c r="AI93" s="231"/>
      <c r="AJ93" s="236"/>
      <c r="AK93" s="236"/>
      <c r="AL93" s="236"/>
      <c r="BK93"/>
      <c r="BL93"/>
      <c r="BM93"/>
    </row>
    <row r="94" spans="6:65" s="12" customFormat="1" ht="16.350000000000001" hidden="1" customHeight="1">
      <c r="F94" s="235"/>
      <c r="G94" s="237"/>
      <c r="H94" s="237"/>
      <c r="I94" s="237"/>
      <c r="J94" s="237"/>
      <c r="K94" s="237"/>
      <c r="L94" s="237"/>
      <c r="M94" s="237"/>
      <c r="N94" s="237"/>
      <c r="O94" s="237"/>
      <c r="P94" s="237"/>
      <c r="Q94" s="237"/>
      <c r="R94" s="237"/>
      <c r="S94" s="237"/>
      <c r="T94" s="237"/>
      <c r="U94" s="235"/>
      <c r="V94" s="230"/>
      <c r="W94" s="230"/>
      <c r="X94" s="230"/>
      <c r="Y94" s="230"/>
      <c r="Z94" s="249"/>
      <c r="AA94" s="232"/>
      <c r="AB94" s="232"/>
      <c r="AC94" s="232"/>
      <c r="AD94" s="232"/>
      <c r="AE94" s="232"/>
      <c r="AF94" s="235"/>
      <c r="AG94" s="231"/>
      <c r="AH94" s="231"/>
      <c r="AI94" s="231"/>
      <c r="AJ94" s="236"/>
      <c r="AK94" s="236"/>
      <c r="AL94" s="236"/>
      <c r="BK94"/>
      <c r="BL94"/>
      <c r="BM94"/>
    </row>
    <row r="95" spans="6:65" s="12" customFormat="1" ht="16.350000000000001" hidden="1" customHeight="1">
      <c r="F95" s="235"/>
      <c r="G95" s="237"/>
      <c r="H95" s="237"/>
      <c r="I95" s="237"/>
      <c r="J95" s="237"/>
      <c r="K95" s="237"/>
      <c r="L95" s="237"/>
      <c r="M95" s="237"/>
      <c r="N95" s="237"/>
      <c r="O95" s="237"/>
      <c r="P95" s="237"/>
      <c r="Q95" s="237"/>
      <c r="R95" s="237"/>
      <c r="S95" s="237"/>
      <c r="T95" s="237"/>
      <c r="U95" s="235"/>
      <c r="V95" s="230"/>
      <c r="W95" s="230"/>
      <c r="X95" s="230"/>
      <c r="Y95" s="230"/>
      <c r="Z95" s="249"/>
      <c r="AA95" s="232"/>
      <c r="AB95" s="232"/>
      <c r="AC95" s="232"/>
      <c r="AD95" s="232"/>
      <c r="AE95" s="232"/>
      <c r="AF95" s="235"/>
      <c r="AG95" s="231"/>
      <c r="AH95" s="231"/>
      <c r="AI95" s="231"/>
      <c r="AJ95" s="236"/>
      <c r="AK95" s="236"/>
      <c r="AL95" s="236"/>
      <c r="BK95"/>
      <c r="BL95"/>
      <c r="BM95"/>
    </row>
    <row r="96" spans="6:65" s="12" customFormat="1" ht="16.350000000000001" hidden="1" customHeight="1">
      <c r="F96" s="235"/>
      <c r="G96" s="237"/>
      <c r="H96" s="237"/>
      <c r="I96" s="237"/>
      <c r="J96" s="237"/>
      <c r="K96" s="237"/>
      <c r="L96" s="237"/>
      <c r="M96" s="237"/>
      <c r="N96" s="237"/>
      <c r="O96" s="237"/>
      <c r="P96" s="237"/>
      <c r="Q96" s="237"/>
      <c r="R96" s="237"/>
      <c r="S96" s="237"/>
      <c r="T96" s="237"/>
      <c r="U96" s="235"/>
      <c r="V96" s="230"/>
      <c r="W96" s="230"/>
      <c r="X96" s="230"/>
      <c r="Y96" s="230"/>
      <c r="Z96" s="249"/>
      <c r="AA96" s="232"/>
      <c r="AB96" s="232"/>
      <c r="AC96" s="232"/>
      <c r="AD96" s="232"/>
      <c r="AE96" s="232"/>
      <c r="AF96" s="235"/>
      <c r="AG96" s="231"/>
      <c r="AH96" s="231"/>
      <c r="AI96" s="231"/>
      <c r="AJ96" s="236"/>
      <c r="AK96" s="236"/>
      <c r="AL96" s="236"/>
      <c r="BK96"/>
      <c r="BL96"/>
      <c r="BM96"/>
    </row>
    <row r="97" spans="1:65" s="12" customFormat="1" ht="16.350000000000001" hidden="1" customHeight="1">
      <c r="F97" s="235"/>
      <c r="G97" s="237"/>
      <c r="H97" s="237"/>
      <c r="I97" s="237"/>
      <c r="J97" s="237"/>
      <c r="K97" s="237"/>
      <c r="L97" s="237"/>
      <c r="M97" s="237"/>
      <c r="N97" s="237"/>
      <c r="O97" s="237"/>
      <c r="P97" s="237"/>
      <c r="Q97" s="237"/>
      <c r="R97" s="237"/>
      <c r="S97" s="237"/>
      <c r="T97" s="237"/>
      <c r="U97" s="235"/>
      <c r="V97" s="230"/>
      <c r="W97" s="230"/>
      <c r="X97" s="230"/>
      <c r="Y97" s="230"/>
      <c r="Z97" s="249"/>
      <c r="AA97" s="232"/>
      <c r="AB97" s="232"/>
      <c r="AC97" s="232"/>
      <c r="AD97" s="232"/>
      <c r="AE97" s="232"/>
      <c r="AF97" s="235"/>
      <c r="AG97" s="231"/>
      <c r="AH97" s="231"/>
      <c r="AI97" s="231"/>
      <c r="AJ97" s="236"/>
      <c r="AK97" s="236"/>
      <c r="AL97" s="236"/>
      <c r="BK97"/>
      <c r="BL97"/>
      <c r="BM97"/>
    </row>
    <row r="98" spans="1:65" s="12" customFormat="1" ht="16.350000000000001" hidden="1" customHeight="1">
      <c r="F98" s="235"/>
      <c r="G98" s="237"/>
      <c r="H98" s="237"/>
      <c r="I98" s="237"/>
      <c r="J98" s="237"/>
      <c r="K98" s="237"/>
      <c r="L98" s="237"/>
      <c r="M98" s="237"/>
      <c r="N98" s="237"/>
      <c r="O98" s="237"/>
      <c r="P98" s="237"/>
      <c r="Q98" s="237"/>
      <c r="R98" s="237"/>
      <c r="S98" s="237"/>
      <c r="T98" s="237"/>
      <c r="U98" s="235"/>
      <c r="V98" s="230"/>
      <c r="W98" s="230"/>
      <c r="X98" s="230"/>
      <c r="Y98" s="230"/>
      <c r="Z98" s="249"/>
      <c r="AA98" s="232"/>
      <c r="AB98" s="232"/>
      <c r="AC98" s="232"/>
      <c r="AD98" s="232"/>
      <c r="AE98" s="232"/>
      <c r="AF98" s="235"/>
      <c r="AG98" s="231"/>
      <c r="AH98" s="231"/>
      <c r="AI98" s="231"/>
      <c r="AJ98" s="236"/>
      <c r="AK98" s="236"/>
      <c r="AL98" s="236"/>
      <c r="BK98"/>
      <c r="BL98"/>
      <c r="BM98"/>
    </row>
    <row r="99" spans="1:65" s="12" customFormat="1" ht="16.350000000000001" hidden="1" customHeight="1">
      <c r="F99" s="235"/>
      <c r="G99" s="237"/>
      <c r="H99" s="237"/>
      <c r="I99" s="237"/>
      <c r="J99" s="237"/>
      <c r="K99" s="237"/>
      <c r="L99" s="237"/>
      <c r="M99" s="237"/>
      <c r="N99" s="237"/>
      <c r="O99" s="237"/>
      <c r="P99" s="237"/>
      <c r="Q99" s="237"/>
      <c r="R99" s="237"/>
      <c r="S99" s="237"/>
      <c r="T99" s="237"/>
      <c r="U99" s="235"/>
      <c r="V99" s="230"/>
      <c r="W99" s="230"/>
      <c r="X99" s="230"/>
      <c r="Y99" s="230"/>
      <c r="Z99" s="249"/>
      <c r="AA99" s="232"/>
      <c r="AB99" s="232"/>
      <c r="AC99" s="232"/>
      <c r="AD99" s="232"/>
      <c r="AE99" s="232"/>
      <c r="AF99" s="235"/>
      <c r="AG99" s="231"/>
      <c r="AH99" s="231"/>
      <c r="AI99" s="231"/>
      <c r="AJ99" s="236"/>
      <c r="AK99" s="236"/>
      <c r="AL99" s="236"/>
      <c r="BK99"/>
      <c r="BL99"/>
      <c r="BM99"/>
    </row>
    <row r="100" spans="1:65" s="12" customFormat="1" ht="16.350000000000001" hidden="1" customHeight="1">
      <c r="F100" s="235"/>
      <c r="G100" s="237"/>
      <c r="H100" s="237"/>
      <c r="I100" s="237"/>
      <c r="J100" s="237"/>
      <c r="K100" s="237"/>
      <c r="L100" s="237"/>
      <c r="M100" s="237"/>
      <c r="N100" s="237"/>
      <c r="O100" s="237"/>
      <c r="P100" s="237"/>
      <c r="Q100" s="237"/>
      <c r="R100" s="237"/>
      <c r="S100" s="237"/>
      <c r="T100" s="237"/>
      <c r="U100" s="235"/>
      <c r="V100" s="230"/>
      <c r="W100" s="230"/>
      <c r="X100" s="230"/>
      <c r="Y100" s="230"/>
      <c r="Z100" s="249"/>
      <c r="AA100" s="232"/>
      <c r="AB100" s="232"/>
      <c r="AC100" s="232"/>
      <c r="AD100" s="232"/>
      <c r="AE100" s="232"/>
      <c r="AF100" s="235"/>
      <c r="AG100" s="231"/>
      <c r="AH100" s="231"/>
      <c r="AI100" s="231"/>
      <c r="AJ100" s="236"/>
      <c r="AK100" s="236"/>
      <c r="AL100" s="236"/>
      <c r="BK100"/>
      <c r="BL100"/>
      <c r="BM100"/>
    </row>
    <row r="101" spans="1:65" s="12" customFormat="1" ht="16.350000000000001" hidden="1" customHeight="1">
      <c r="F101" s="235"/>
      <c r="G101" s="237"/>
      <c r="H101" s="237"/>
      <c r="I101" s="237"/>
      <c r="J101" s="237"/>
      <c r="K101" s="237"/>
      <c r="L101" s="237"/>
      <c r="M101" s="237"/>
      <c r="N101" s="237"/>
      <c r="O101" s="237"/>
      <c r="P101" s="237"/>
      <c r="Q101" s="237"/>
      <c r="R101" s="237"/>
      <c r="S101" s="237"/>
      <c r="T101" s="237"/>
      <c r="U101" s="235"/>
      <c r="V101" s="230"/>
      <c r="W101" s="230"/>
      <c r="X101" s="230"/>
      <c r="Y101" s="230"/>
      <c r="Z101" s="249"/>
      <c r="AA101" s="232"/>
      <c r="AB101" s="232"/>
      <c r="AC101" s="232"/>
      <c r="AD101" s="232"/>
      <c r="AE101" s="232"/>
      <c r="AF101" s="235"/>
      <c r="AG101" s="231"/>
      <c r="AH101" s="231"/>
      <c r="AI101" s="231"/>
      <c r="AJ101" s="236"/>
      <c r="AK101" s="236"/>
      <c r="AL101" s="236"/>
      <c r="BK101"/>
      <c r="BL101"/>
      <c r="BM101"/>
    </row>
    <row r="102" spans="1:65" s="12" customFormat="1" ht="16.350000000000001" hidden="1" customHeight="1">
      <c r="F102" s="235"/>
      <c r="G102" s="237"/>
      <c r="H102" s="237"/>
      <c r="I102" s="237"/>
      <c r="J102" s="237"/>
      <c r="K102" s="237"/>
      <c r="L102" s="237"/>
      <c r="M102" s="237"/>
      <c r="N102" s="237"/>
      <c r="O102" s="237"/>
      <c r="P102" s="237"/>
      <c r="Q102" s="237"/>
      <c r="R102" s="237"/>
      <c r="S102" s="237"/>
      <c r="T102" s="237"/>
      <c r="U102" s="235"/>
      <c r="V102" s="230"/>
      <c r="W102" s="230"/>
      <c r="X102" s="230"/>
      <c r="Y102" s="230"/>
      <c r="Z102" s="249"/>
      <c r="AA102" s="232"/>
      <c r="AB102" s="232"/>
      <c r="AC102" s="232"/>
      <c r="AD102" s="232"/>
      <c r="AE102" s="232"/>
      <c r="AF102" s="235"/>
      <c r="AG102" s="231"/>
      <c r="AH102" s="231"/>
      <c r="AI102" s="231"/>
      <c r="AJ102" s="236"/>
      <c r="AK102" s="236"/>
      <c r="AL102" s="236"/>
      <c r="BK102"/>
      <c r="BL102"/>
      <c r="BM102"/>
    </row>
    <row r="103" spans="1:65" s="12" customFormat="1" ht="16.350000000000001" hidden="1" customHeight="1">
      <c r="F103" s="235"/>
      <c r="G103" s="237"/>
      <c r="H103" s="237"/>
      <c r="I103" s="237"/>
      <c r="J103" s="237"/>
      <c r="K103" s="237"/>
      <c r="L103" s="237"/>
      <c r="M103" s="237"/>
      <c r="N103" s="237"/>
      <c r="O103" s="237"/>
      <c r="P103" s="237"/>
      <c r="Q103" s="237"/>
      <c r="R103" s="237"/>
      <c r="S103" s="237"/>
      <c r="T103" s="237"/>
      <c r="U103" s="235"/>
      <c r="V103" s="230"/>
      <c r="W103" s="230"/>
      <c r="X103" s="230"/>
      <c r="Y103" s="230"/>
      <c r="Z103" s="249"/>
      <c r="AA103" s="232"/>
      <c r="AB103" s="232"/>
      <c r="AC103" s="232"/>
      <c r="AD103" s="232"/>
      <c r="AE103" s="232"/>
      <c r="AF103" s="235"/>
      <c r="AG103" s="231"/>
      <c r="AH103" s="231"/>
      <c r="AI103" s="231"/>
      <c r="AJ103" s="236"/>
      <c r="AK103" s="236"/>
      <c r="AL103" s="236"/>
      <c r="BK103"/>
      <c r="BL103"/>
      <c r="BM103"/>
    </row>
    <row r="104" spans="1:65" s="12" customFormat="1" ht="16.350000000000001" hidden="1" customHeight="1">
      <c r="F104" s="235"/>
      <c r="G104" s="237"/>
      <c r="H104" s="237"/>
      <c r="I104" s="237"/>
      <c r="J104" s="237"/>
      <c r="K104" s="237"/>
      <c r="L104" s="237"/>
      <c r="M104" s="237"/>
      <c r="N104" s="237"/>
      <c r="O104" s="237"/>
      <c r="P104" s="237"/>
      <c r="Q104" s="237"/>
      <c r="R104" s="237"/>
      <c r="S104" s="237"/>
      <c r="T104" s="237"/>
      <c r="U104" s="235"/>
      <c r="V104" s="230"/>
      <c r="W104" s="230"/>
      <c r="X104" s="230"/>
      <c r="Y104" s="230"/>
      <c r="Z104" s="249"/>
      <c r="AA104" s="232"/>
      <c r="AB104" s="232"/>
      <c r="AC104" s="232"/>
      <c r="AD104" s="232"/>
      <c r="AE104" s="232"/>
      <c r="AF104" s="235"/>
      <c r="AG104" s="231"/>
      <c r="AH104" s="231"/>
      <c r="AI104" s="231"/>
      <c r="AJ104" s="236"/>
      <c r="AK104" s="236"/>
      <c r="AL104" s="236"/>
      <c r="BK104"/>
      <c r="BL104"/>
      <c r="BM104"/>
    </row>
    <row r="105" spans="1:65" s="12" customFormat="1" ht="16.350000000000001" hidden="1" customHeight="1">
      <c r="BK105"/>
      <c r="BL105"/>
      <c r="BM105"/>
    </row>
    <row r="106" spans="1:65" customFormat="1" ht="16.350000000000001" hidden="1" customHeight="1"/>
    <row r="107" spans="1:65" s="568" customFormat="1" ht="16.350000000000001" customHeight="1">
      <c r="A107" s="504"/>
      <c r="B107" s="504" t="str">
        <f>FOOT1</f>
        <v>PSE&amp;G C&amp;I Energy Efficiency Program</v>
      </c>
      <c r="C107" s="504"/>
      <c r="D107" s="504"/>
      <c r="E107" s="504"/>
      <c r="F107" s="504"/>
      <c r="G107" s="504"/>
      <c r="H107" s="504"/>
      <c r="I107" s="504"/>
      <c r="J107" s="504"/>
      <c r="K107" s="504"/>
      <c r="L107" s="504"/>
      <c r="M107" s="504"/>
      <c r="N107" s="504"/>
      <c r="O107" s="504"/>
      <c r="P107" s="504"/>
      <c r="Q107" s="504"/>
      <c r="R107" s="721" t="s">
        <v>137</v>
      </c>
      <c r="S107" s="721"/>
      <c r="T107" s="721"/>
      <c r="U107" s="721"/>
      <c r="V107" s="721"/>
      <c r="W107" s="721"/>
      <c r="X107" s="721"/>
      <c r="Y107" s="721"/>
      <c r="Z107" s="721"/>
      <c r="AA107" s="721"/>
      <c r="AB107" s="721"/>
      <c r="AC107" s="721"/>
      <c r="AD107" s="721"/>
      <c r="AE107" s="721"/>
      <c r="AF107" s="721"/>
      <c r="AG107" s="721"/>
      <c r="AH107" s="721"/>
      <c r="AI107" s="721"/>
      <c r="AJ107" s="721"/>
      <c r="AK107" s="721"/>
      <c r="AL107" s="721"/>
      <c r="AM107" s="721"/>
      <c r="AN107" s="721"/>
      <c r="AO107" s="721"/>
      <c r="AP107" s="721"/>
      <c r="AQ107" s="721"/>
      <c r="AR107" s="721"/>
      <c r="AS107" s="504"/>
      <c r="AT107" s="504"/>
      <c r="AU107" s="504"/>
      <c r="AV107" s="504"/>
      <c r="AW107" s="504"/>
      <c r="AX107" s="504"/>
      <c r="AY107" s="504"/>
      <c r="AZ107" s="504"/>
      <c r="BA107" s="504"/>
      <c r="BB107" s="504"/>
      <c r="BC107" s="504"/>
      <c r="BD107" s="504"/>
      <c r="BE107" s="701"/>
      <c r="BF107" s="701" t="str">
        <f>FOOT4</f>
        <v>Engineered Solutions Tier 2 Advance Custom Incentive Application</v>
      </c>
      <c r="BG107" s="502"/>
      <c r="BK107"/>
      <c r="BL107"/>
      <c r="BM107"/>
    </row>
    <row r="108" spans="1:65" s="568" customFormat="1" ht="16.350000000000001" customHeight="1">
      <c r="A108" s="504"/>
      <c r="B108" s="504" t="str">
        <f>FOOT2</f>
        <v>1-844-300-PSEG (7734)</v>
      </c>
      <c r="C108" s="504"/>
      <c r="D108" s="504"/>
      <c r="E108" s="504"/>
      <c r="F108" s="504"/>
      <c r="G108" s="504"/>
      <c r="H108" s="504"/>
      <c r="I108" s="504"/>
      <c r="J108" s="504"/>
      <c r="K108" s="504"/>
      <c r="L108" s="504"/>
      <c r="M108" s="504"/>
      <c r="N108" s="504"/>
      <c r="O108" s="504"/>
      <c r="P108" s="504"/>
      <c r="Q108" s="504"/>
      <c r="R108" s="721"/>
      <c r="S108" s="721"/>
      <c r="T108" s="721"/>
      <c r="U108" s="721"/>
      <c r="V108" s="721"/>
      <c r="W108" s="721"/>
      <c r="X108" s="721"/>
      <c r="Y108" s="721"/>
      <c r="Z108" s="721"/>
      <c r="AA108" s="721"/>
      <c r="AB108" s="721"/>
      <c r="AC108" s="721"/>
      <c r="AD108" s="721"/>
      <c r="AE108" s="721"/>
      <c r="AF108" s="721"/>
      <c r="AG108" s="721"/>
      <c r="AH108" s="721"/>
      <c r="AI108" s="721"/>
      <c r="AJ108" s="721"/>
      <c r="AK108" s="721"/>
      <c r="AL108" s="721"/>
      <c r="AM108" s="721"/>
      <c r="AN108" s="721"/>
      <c r="AO108" s="721"/>
      <c r="AP108" s="721"/>
      <c r="AQ108" s="721"/>
      <c r="AR108" s="721"/>
      <c r="AS108" s="504"/>
      <c r="AT108" s="504"/>
      <c r="AU108" s="504"/>
      <c r="AV108" s="504"/>
      <c r="AW108" s="504"/>
      <c r="AX108" s="504"/>
      <c r="AY108" s="504"/>
      <c r="AZ108" s="504"/>
      <c r="BA108" s="504"/>
      <c r="BB108" s="504"/>
      <c r="BC108" s="504"/>
      <c r="BD108" s="504"/>
      <c r="BE108" s="701"/>
      <c r="BF108" s="701"/>
      <c r="BG108" s="502"/>
      <c r="BK108"/>
      <c r="BL108"/>
      <c r="BM108"/>
    </row>
    <row r="109" spans="1:65" s="568" customFormat="1" ht="16.350000000000001" customHeight="1">
      <c r="A109" s="504"/>
      <c r="B109" s="504" t="str">
        <f>FOOT3</f>
        <v>PSEGenergysaver@TRCcompanies.com</v>
      </c>
      <c r="C109" s="504"/>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4"/>
      <c r="Z109" s="504"/>
      <c r="AA109" s="504"/>
      <c r="AB109" s="504"/>
      <c r="AC109" s="504"/>
      <c r="AD109" s="702" t="str">
        <f>VERSION</f>
        <v>V1.0          Effective Date 1/1/25</v>
      </c>
      <c r="AE109" s="504"/>
      <c r="AF109" s="504"/>
      <c r="AG109" s="504"/>
      <c r="AH109" s="504"/>
      <c r="AI109" s="504"/>
      <c r="AJ109" s="504"/>
      <c r="AK109" s="504"/>
      <c r="AL109" s="504"/>
      <c r="AM109" s="504"/>
      <c r="AN109" s="504"/>
      <c r="AO109" s="504"/>
      <c r="AP109" s="504"/>
      <c r="AQ109" s="504"/>
      <c r="AR109" s="504"/>
      <c r="AS109" s="504"/>
      <c r="AT109" s="504"/>
      <c r="AU109" s="504"/>
      <c r="AV109" s="504"/>
      <c r="AW109" s="504"/>
      <c r="AX109" s="504"/>
      <c r="AY109" s="504"/>
      <c r="AZ109" s="504"/>
      <c r="BA109" s="504"/>
      <c r="BB109" s="504"/>
      <c r="BC109" s="504"/>
      <c r="BD109" s="504"/>
      <c r="BE109" s="701"/>
      <c r="BF109" s="701" t="str">
        <f>FOOT6</f>
        <v>This is a TRC tool</v>
      </c>
      <c r="BG109" s="502"/>
      <c r="BK109"/>
      <c r="BL109"/>
      <c r="BM109"/>
    </row>
  </sheetData>
  <sheetProtection algorithmName="SHA-512" hashValue="xLlYhBxRRYO/AmhmW/hKeQrrA0ve1FQCSv5s5qvgx1eLbV+hGK4NdQ7/DwHjwGOxcLT8p1PexfdZdwjsyaFg7A==" saltValue="BwWHKzUKg7o2S+v0oK2ewQ==" spinCount="100000" sheet="1" objects="1" scenarios="1"/>
  <mergeCells count="261">
    <mergeCell ref="AO1:AR3"/>
    <mergeCell ref="AS1:AV3"/>
    <mergeCell ref="AW1:AZ3"/>
    <mergeCell ref="BA1:BF3"/>
    <mergeCell ref="BG1:BJ3"/>
    <mergeCell ref="BG5:BI7"/>
    <mergeCell ref="BG8:BI8"/>
    <mergeCell ref="F63:AE63"/>
    <mergeCell ref="F61:AE61"/>
    <mergeCell ref="F62:AH62"/>
    <mergeCell ref="W22:Y22"/>
    <mergeCell ref="AB4:AG4"/>
    <mergeCell ref="AT4:AW4"/>
    <mergeCell ref="AX4:BB4"/>
    <mergeCell ref="BC4:BF4"/>
    <mergeCell ref="AW55:BF55"/>
    <mergeCell ref="S56:AB56"/>
    <mergeCell ref="AC56:AL56"/>
    <mergeCell ref="AM56:AV56"/>
    <mergeCell ref="AW56:BF56"/>
    <mergeCell ref="P57:R58"/>
    <mergeCell ref="S57:AB57"/>
    <mergeCell ref="AC57:AL57"/>
    <mergeCell ref="F55:L56"/>
    <mergeCell ref="BC73:BF73"/>
    <mergeCell ref="F73:O73"/>
    <mergeCell ref="BC71:BF71"/>
    <mergeCell ref="F72:O72"/>
    <mergeCell ref="BC72:BF72"/>
    <mergeCell ref="F71:O71"/>
    <mergeCell ref="BC69:BF69"/>
    <mergeCell ref="F70:O70"/>
    <mergeCell ref="BC70:BF70"/>
    <mergeCell ref="F69:O69"/>
    <mergeCell ref="P69:AR69"/>
    <mergeCell ref="AS69:BB69"/>
    <mergeCell ref="P70:AR70"/>
    <mergeCell ref="AS70:BB70"/>
    <mergeCell ref="P71:AR71"/>
    <mergeCell ref="AS71:BB71"/>
    <mergeCell ref="P72:AR72"/>
    <mergeCell ref="AS72:BB72"/>
    <mergeCell ref="P73:AR73"/>
    <mergeCell ref="AS73:BB73"/>
    <mergeCell ref="BC68:BF68"/>
    <mergeCell ref="BC66:BF66"/>
    <mergeCell ref="F67:O67"/>
    <mergeCell ref="BC67:BF67"/>
    <mergeCell ref="F66:O66"/>
    <mergeCell ref="F64:BF64"/>
    <mergeCell ref="F65:O65"/>
    <mergeCell ref="BC65:BF65"/>
    <mergeCell ref="AM57:AV57"/>
    <mergeCell ref="AW57:BF57"/>
    <mergeCell ref="S58:AB58"/>
    <mergeCell ref="AC58:AL58"/>
    <mergeCell ref="AM58:AV58"/>
    <mergeCell ref="AW58:BF58"/>
    <mergeCell ref="AS66:BB66"/>
    <mergeCell ref="P66:AR66"/>
    <mergeCell ref="P65:AR65"/>
    <mergeCell ref="AS65:BB65"/>
    <mergeCell ref="P67:AR67"/>
    <mergeCell ref="AS67:BB67"/>
    <mergeCell ref="P68:AR68"/>
    <mergeCell ref="AS68:BB68"/>
    <mergeCell ref="F57:L58"/>
    <mergeCell ref="M57:O58"/>
    <mergeCell ref="M55:O56"/>
    <mergeCell ref="P55:R56"/>
    <mergeCell ref="S55:AB55"/>
    <mergeCell ref="AC55:AL55"/>
    <mergeCell ref="AM55:AV55"/>
    <mergeCell ref="AM53:AV53"/>
    <mergeCell ref="AW53:BF53"/>
    <mergeCell ref="S54:AB54"/>
    <mergeCell ref="AC54:AL54"/>
    <mergeCell ref="AM54:AV54"/>
    <mergeCell ref="AW54:BF54"/>
    <mergeCell ref="AW51:BF51"/>
    <mergeCell ref="S52:AB52"/>
    <mergeCell ref="AC52:AL52"/>
    <mergeCell ref="AM52:AV52"/>
    <mergeCell ref="AW52:BF52"/>
    <mergeCell ref="AM51:AV51"/>
    <mergeCell ref="F53:L54"/>
    <mergeCell ref="M53:O54"/>
    <mergeCell ref="P53:R54"/>
    <mergeCell ref="S53:AB53"/>
    <mergeCell ref="AC53:AL53"/>
    <mergeCell ref="F51:L52"/>
    <mergeCell ref="M51:O52"/>
    <mergeCell ref="P51:R52"/>
    <mergeCell ref="S51:AB51"/>
    <mergeCell ref="AC51:AL51"/>
    <mergeCell ref="S49:AB49"/>
    <mergeCell ref="AC49:AL49"/>
    <mergeCell ref="AM49:AV49"/>
    <mergeCell ref="AW49:BF49"/>
    <mergeCell ref="S50:AB50"/>
    <mergeCell ref="AC50:AL50"/>
    <mergeCell ref="AM50:AV50"/>
    <mergeCell ref="AW50:BF50"/>
    <mergeCell ref="P47:R48"/>
    <mergeCell ref="S47:AB47"/>
    <mergeCell ref="AC47:AL47"/>
    <mergeCell ref="AM47:AV47"/>
    <mergeCell ref="AW47:BF47"/>
    <mergeCell ref="S48:AB48"/>
    <mergeCell ref="AC48:AL48"/>
    <mergeCell ref="AM48:AV48"/>
    <mergeCell ref="AW48:BF48"/>
    <mergeCell ref="AM45:AV45"/>
    <mergeCell ref="AW45:BF45"/>
    <mergeCell ref="S46:AB46"/>
    <mergeCell ref="AC46:AL46"/>
    <mergeCell ref="AM46:AV46"/>
    <mergeCell ref="AW46:BF46"/>
    <mergeCell ref="AW43:BF43"/>
    <mergeCell ref="S44:AB44"/>
    <mergeCell ref="AC44:AL44"/>
    <mergeCell ref="AM44:AV44"/>
    <mergeCell ref="AW44:BF44"/>
    <mergeCell ref="AM43:AV43"/>
    <mergeCell ref="F45:L46"/>
    <mergeCell ref="M45:O46"/>
    <mergeCell ref="P45:R46"/>
    <mergeCell ref="S45:AB45"/>
    <mergeCell ref="AC45:AL45"/>
    <mergeCell ref="F43:L44"/>
    <mergeCell ref="M43:O44"/>
    <mergeCell ref="P43:R44"/>
    <mergeCell ref="S43:AB43"/>
    <mergeCell ref="AC43:AL43"/>
    <mergeCell ref="AM41:AV41"/>
    <mergeCell ref="AW41:BF41"/>
    <mergeCell ref="S42:AB42"/>
    <mergeCell ref="AC42:AL42"/>
    <mergeCell ref="AM42:AV42"/>
    <mergeCell ref="AW42:BF42"/>
    <mergeCell ref="AW40:BF40"/>
    <mergeCell ref="P38:R38"/>
    <mergeCell ref="P39:R40"/>
    <mergeCell ref="AM40:AV40"/>
    <mergeCell ref="AW39:BF39"/>
    <mergeCell ref="AM39:AV39"/>
    <mergeCell ref="M41:O42"/>
    <mergeCell ref="P41:R42"/>
    <mergeCell ref="S41:AB41"/>
    <mergeCell ref="AC41:AL41"/>
    <mergeCell ref="M39:O40"/>
    <mergeCell ref="S40:AB40"/>
    <mergeCell ref="AC40:AL40"/>
    <mergeCell ref="S39:AB39"/>
    <mergeCell ref="AC39:AL39"/>
    <mergeCell ref="AT27:BF27"/>
    <mergeCell ref="AT28:BF28"/>
    <mergeCell ref="F21:T21"/>
    <mergeCell ref="U21:Y21"/>
    <mergeCell ref="M38:O38"/>
    <mergeCell ref="F26:BF26"/>
    <mergeCell ref="F37:BF37"/>
    <mergeCell ref="F35:O35"/>
    <mergeCell ref="P35:T35"/>
    <mergeCell ref="F27:O27"/>
    <mergeCell ref="F38:L38"/>
    <mergeCell ref="S38:BF38"/>
    <mergeCell ref="P27:T27"/>
    <mergeCell ref="F28:O28"/>
    <mergeCell ref="P28:T28"/>
    <mergeCell ref="Z28:AD28"/>
    <mergeCell ref="AE28:AI28"/>
    <mergeCell ref="F25:AO25"/>
    <mergeCell ref="AO28:AS28"/>
    <mergeCell ref="U32:Y32"/>
    <mergeCell ref="AE32:AI32"/>
    <mergeCell ref="AO32:AS32"/>
    <mergeCell ref="AO27:AS27"/>
    <mergeCell ref="AJ27:AN27"/>
    <mergeCell ref="U27:Y27"/>
    <mergeCell ref="F1:I3"/>
    <mergeCell ref="J1:M3"/>
    <mergeCell ref="F68:O68"/>
    <mergeCell ref="F49:L50"/>
    <mergeCell ref="M49:O50"/>
    <mergeCell ref="P49:R50"/>
    <mergeCell ref="F47:L48"/>
    <mergeCell ref="M47:O48"/>
    <mergeCell ref="F30:O30"/>
    <mergeCell ref="P30:T30"/>
    <mergeCell ref="F32:O32"/>
    <mergeCell ref="P32:T32"/>
    <mergeCell ref="F31:O31"/>
    <mergeCell ref="P31:T31"/>
    <mergeCell ref="F29:O29"/>
    <mergeCell ref="P29:T29"/>
    <mergeCell ref="F18:AE18"/>
    <mergeCell ref="F34:O34"/>
    <mergeCell ref="P34:T34"/>
    <mergeCell ref="F33:O33"/>
    <mergeCell ref="P33:T33"/>
    <mergeCell ref="F39:L40"/>
    <mergeCell ref="F41:L42"/>
    <mergeCell ref="AE34:AI34"/>
    <mergeCell ref="AE35:AI35"/>
    <mergeCell ref="AJ29:AN29"/>
    <mergeCell ref="AJ30:AN30"/>
    <mergeCell ref="AJ31:AN31"/>
    <mergeCell ref="AJ32:AN32"/>
    <mergeCell ref="AJ33:AN33"/>
    <mergeCell ref="AE27:AI27"/>
    <mergeCell ref="Z27:AD27"/>
    <mergeCell ref="AE31:AI31"/>
    <mergeCell ref="AO33:AS33"/>
    <mergeCell ref="AO34:AS34"/>
    <mergeCell ref="AO35:AS35"/>
    <mergeCell ref="AO29:AS29"/>
    <mergeCell ref="AO30:AS30"/>
    <mergeCell ref="AO31:AS31"/>
    <mergeCell ref="A9:BF10"/>
    <mergeCell ref="U28:Y28"/>
    <mergeCell ref="AJ28:AN28"/>
    <mergeCell ref="U33:Y33"/>
    <mergeCell ref="U34:Y34"/>
    <mergeCell ref="U35:Y35"/>
    <mergeCell ref="Z29:AD29"/>
    <mergeCell ref="Z30:AD30"/>
    <mergeCell ref="Z31:AD31"/>
    <mergeCell ref="Z32:AD32"/>
    <mergeCell ref="Z33:AD33"/>
    <mergeCell ref="Z34:AD34"/>
    <mergeCell ref="Z35:AD35"/>
    <mergeCell ref="U29:Y29"/>
    <mergeCell ref="U30:Y30"/>
    <mergeCell ref="U31:Y31"/>
    <mergeCell ref="AE33:AI33"/>
    <mergeCell ref="AT29:BF29"/>
    <mergeCell ref="F19:AP19"/>
    <mergeCell ref="R107:AR108"/>
    <mergeCell ref="AT30:BF30"/>
    <mergeCell ref="AT31:BF31"/>
    <mergeCell ref="AT32:BF32"/>
    <mergeCell ref="AT33:BF33"/>
    <mergeCell ref="AT34:BF34"/>
    <mergeCell ref="AT35:BF35"/>
    <mergeCell ref="AQ24:AS24"/>
    <mergeCell ref="BD22:BF22"/>
    <mergeCell ref="BD24:BF24"/>
    <mergeCell ref="AF21:AM21"/>
    <mergeCell ref="AF23:AM23"/>
    <mergeCell ref="AO21:AS21"/>
    <mergeCell ref="AO23:AS23"/>
    <mergeCell ref="AU21:AV21"/>
    <mergeCell ref="AU23:AV23"/>
    <mergeCell ref="AX21:BF21"/>
    <mergeCell ref="AX23:BF23"/>
    <mergeCell ref="AQ22:AS22"/>
    <mergeCell ref="AJ34:AN34"/>
    <mergeCell ref="AJ35:AN35"/>
    <mergeCell ref="AE29:AI29"/>
    <mergeCell ref="AE30:AI30"/>
  </mergeCells>
  <conditionalFormatting sqref="F28:F35">
    <cfRule type="expression" dxfId="111" priority="129">
      <formula>$F28=""</formula>
    </cfRule>
  </conditionalFormatting>
  <conditionalFormatting sqref="F66:O73">
    <cfRule type="expression" dxfId="110" priority="120">
      <formula>$F66=""</formula>
    </cfRule>
  </conditionalFormatting>
  <conditionalFormatting sqref="F25:AO25">
    <cfRule type="expression" dxfId="109" priority="4">
      <formula>$U$21&lt;&gt;"Yes"</formula>
    </cfRule>
  </conditionalFormatting>
  <conditionalFormatting sqref="F37:BF73">
    <cfRule type="expression" dxfId="108" priority="61">
      <formula>$U$21&lt;&gt;"Yes"</formula>
    </cfRule>
  </conditionalFormatting>
  <conditionalFormatting sqref="P66:P73 BC66:BF73 AS66:AS73">
    <cfRule type="expression" dxfId="107" priority="119">
      <formula>$F66&lt;&gt;""</formula>
    </cfRule>
  </conditionalFormatting>
  <conditionalFormatting sqref="P66:P73">
    <cfRule type="expression" dxfId="106" priority="118">
      <formula>AND($F66&lt;&gt;"",$P66&lt;&gt;"")</formula>
    </cfRule>
  </conditionalFormatting>
  <conditionalFormatting sqref="P28:T35">
    <cfRule type="expression" dxfId="105" priority="127">
      <formula>AND($F28&lt;&gt;"",$P28&lt;&gt;"")</formula>
    </cfRule>
  </conditionalFormatting>
  <conditionalFormatting sqref="P28:BF35">
    <cfRule type="expression" dxfId="104" priority="128">
      <formula>$F28&lt;&gt;""</formula>
    </cfRule>
  </conditionalFormatting>
  <conditionalFormatting sqref="S39">
    <cfRule type="expression" dxfId="103" priority="105">
      <formula>AND($M$39&lt;&gt;0,$S$39&lt;&gt;"")</formula>
    </cfRule>
  </conditionalFormatting>
  <conditionalFormatting sqref="S40">
    <cfRule type="expression" dxfId="102" priority="101">
      <formula>AND($M$39&lt;&gt;0,$S$40&lt;&gt;"")</formula>
    </cfRule>
  </conditionalFormatting>
  <conditionalFormatting sqref="S41">
    <cfRule type="expression" dxfId="101" priority="97">
      <formula>AND($M$41&lt;&gt;0,$S$41&lt;&gt;"")</formula>
    </cfRule>
  </conditionalFormatting>
  <conditionalFormatting sqref="S42">
    <cfRule type="expression" dxfId="100" priority="93">
      <formula>AND($M$41&lt;&gt;0,$S$42&lt;&gt;"")</formula>
    </cfRule>
  </conditionalFormatting>
  <conditionalFormatting sqref="S43">
    <cfRule type="expression" dxfId="99" priority="85">
      <formula>AND($M$43&lt;&gt;0,$S$43&lt;&gt;"")</formula>
    </cfRule>
  </conditionalFormatting>
  <conditionalFormatting sqref="S44">
    <cfRule type="expression" dxfId="98" priority="81">
      <formula>AND($M$43&lt;&gt;0,$S$44&lt;&gt;"")</formula>
    </cfRule>
  </conditionalFormatting>
  <conditionalFormatting sqref="S45">
    <cfRule type="expression" dxfId="97" priority="77">
      <formula>AND($M$45&lt;&gt;0,$S$45&lt;&gt;"")</formula>
    </cfRule>
  </conditionalFormatting>
  <conditionalFormatting sqref="S46">
    <cfRule type="expression" dxfId="96" priority="73">
      <formula>AND($M$45&lt;&gt;0,$S$46&lt;&gt;"")</formula>
    </cfRule>
  </conditionalFormatting>
  <conditionalFormatting sqref="S47">
    <cfRule type="expression" dxfId="95" priority="69">
      <formula>AND($M$47&lt;&gt;0,$S$47&lt;&gt;"")</formula>
    </cfRule>
  </conditionalFormatting>
  <conditionalFormatting sqref="S48">
    <cfRule type="expression" dxfId="94" priority="65">
      <formula>AND($M$47&lt;&gt;0,$S$48&lt;&gt;"")</formula>
    </cfRule>
  </conditionalFormatting>
  <conditionalFormatting sqref="S49">
    <cfRule type="expression" dxfId="93" priority="56">
      <formula>AND($M$49&lt;&gt;0,$S$49&lt;&gt;"")</formula>
    </cfRule>
  </conditionalFormatting>
  <conditionalFormatting sqref="S50">
    <cfRule type="expression" dxfId="92" priority="52">
      <formula>AND($M$49&lt;&gt;0,$S$50&lt;&gt;"")</formula>
    </cfRule>
  </conditionalFormatting>
  <conditionalFormatting sqref="S51">
    <cfRule type="expression" dxfId="91" priority="47">
      <formula>AND($M$51&lt;&gt;0,$S$51&lt;&gt;"")</formula>
    </cfRule>
  </conditionalFormatting>
  <conditionalFormatting sqref="S52">
    <cfRule type="expression" dxfId="90" priority="43">
      <formula>AND($M$51&lt;&gt;0,$S$52&lt;&gt;"")</formula>
    </cfRule>
  </conditionalFormatting>
  <conditionalFormatting sqref="S53">
    <cfRule type="expression" dxfId="89" priority="39">
      <formula>AND($M$53&lt;&gt;0,$S$53&lt;&gt;"")</formula>
    </cfRule>
  </conditionalFormatting>
  <conditionalFormatting sqref="S54">
    <cfRule type="expression" dxfId="88" priority="35">
      <formula>AND($M$53&lt;&gt;0,$S$54&lt;&gt;"")</formula>
    </cfRule>
  </conditionalFormatting>
  <conditionalFormatting sqref="S55">
    <cfRule type="expression" dxfId="87" priority="31">
      <formula>AND($M$55&lt;&gt;0,$S$55&lt;&gt;"")</formula>
    </cfRule>
  </conditionalFormatting>
  <conditionalFormatting sqref="S56">
    <cfRule type="expression" dxfId="86" priority="27">
      <formula>AND($M$55&lt;&gt;0,$S$56&lt;&gt;"")</formula>
    </cfRule>
  </conditionalFormatting>
  <conditionalFormatting sqref="S57">
    <cfRule type="expression" dxfId="85" priority="23">
      <formula>AND($M$57&lt;&gt;0,$S$57&lt;&gt;"")</formula>
    </cfRule>
  </conditionalFormatting>
  <conditionalFormatting sqref="S58">
    <cfRule type="expression" dxfId="84" priority="19">
      <formula>AND($M$57&lt;&gt;0,$S$58&lt;&gt;"")</formula>
    </cfRule>
  </conditionalFormatting>
  <conditionalFormatting sqref="S39:BF40">
    <cfRule type="expression" dxfId="83" priority="115">
      <formula>$M$39&lt;&gt;0</formula>
    </cfRule>
  </conditionalFormatting>
  <conditionalFormatting sqref="S41:BF42">
    <cfRule type="expression" dxfId="82" priority="114">
      <formula>$M$41&lt;&gt;0</formula>
    </cfRule>
  </conditionalFormatting>
  <conditionalFormatting sqref="S43:BF44">
    <cfRule type="expression" dxfId="81" priority="113">
      <formula>$M$43&lt;&gt;0</formula>
    </cfRule>
  </conditionalFormatting>
  <conditionalFormatting sqref="S45:BF46">
    <cfRule type="expression" dxfId="80" priority="112">
      <formula>$M$45&lt;&gt;0</formula>
    </cfRule>
  </conditionalFormatting>
  <conditionalFormatting sqref="S47:BF48">
    <cfRule type="expression" dxfId="79" priority="111">
      <formula>$M$47&lt;&gt;0</formula>
    </cfRule>
  </conditionalFormatting>
  <conditionalFormatting sqref="S49:BF50">
    <cfRule type="expression" dxfId="78" priority="110">
      <formula>$M$49&lt;&gt;0</formula>
    </cfRule>
  </conditionalFormatting>
  <conditionalFormatting sqref="S51:BF52">
    <cfRule type="expression" dxfId="77" priority="109">
      <formula>$M$51&lt;&gt;0</formula>
    </cfRule>
  </conditionalFormatting>
  <conditionalFormatting sqref="S53:BF54">
    <cfRule type="expression" dxfId="76" priority="108">
      <formula>$M$53&lt;&gt;0</formula>
    </cfRule>
  </conditionalFormatting>
  <conditionalFormatting sqref="S55:BF56">
    <cfRule type="expression" dxfId="75" priority="107">
      <formula>$M$55&lt;&gt;0</formula>
    </cfRule>
  </conditionalFormatting>
  <conditionalFormatting sqref="S57:BF58">
    <cfRule type="expression" dxfId="74" priority="106">
      <formula>$M$57&lt;&gt;0</formula>
    </cfRule>
  </conditionalFormatting>
  <conditionalFormatting sqref="U28:Y35">
    <cfRule type="expression" dxfId="73" priority="3">
      <formula>$F28&lt;&gt;""</formula>
    </cfRule>
    <cfRule type="expression" dxfId="72" priority="2">
      <formula>AND($F28&lt;&gt;"",$U28&lt;&gt;"")</formula>
    </cfRule>
  </conditionalFormatting>
  <conditionalFormatting sqref="Z28:Z35">
    <cfRule type="expression" dxfId="71" priority="11">
      <formula>AND($F28&lt;&gt;"",$Z28&lt;&gt;"")</formula>
    </cfRule>
  </conditionalFormatting>
  <conditionalFormatting sqref="Z28:BF35">
    <cfRule type="expression" dxfId="70" priority="1" stopIfTrue="1">
      <formula>$U$21="No"</formula>
    </cfRule>
  </conditionalFormatting>
  <conditionalFormatting sqref="AC39">
    <cfRule type="expression" dxfId="69" priority="104">
      <formula>AND($M$39&lt;&gt;0,$AC$39&lt;&gt;"")</formula>
    </cfRule>
  </conditionalFormatting>
  <conditionalFormatting sqref="AC40">
    <cfRule type="expression" dxfId="68" priority="100">
      <formula>AND($M$39&lt;&gt;0,$AC$40&lt;&gt;"")</formula>
    </cfRule>
  </conditionalFormatting>
  <conditionalFormatting sqref="AC41">
    <cfRule type="expression" dxfId="67" priority="96">
      <formula>AND($M$41&lt;&gt;0,$AC$41&lt;&gt;"")</formula>
    </cfRule>
  </conditionalFormatting>
  <conditionalFormatting sqref="AC42">
    <cfRule type="expression" dxfId="66" priority="92">
      <formula>AND($M$41&lt;&gt;0,$AC$42&lt;&gt;"")</formula>
    </cfRule>
  </conditionalFormatting>
  <conditionalFormatting sqref="AC44">
    <cfRule type="expression" dxfId="65" priority="80">
      <formula>AND($M$43&lt;&gt;0,$AC$44&lt;&gt;"")</formula>
    </cfRule>
  </conditionalFormatting>
  <conditionalFormatting sqref="AC45">
    <cfRule type="expression" dxfId="64" priority="76">
      <formula>AND($M$45&lt;&gt;0,$AC$45&lt;&gt;"")</formula>
    </cfRule>
  </conditionalFormatting>
  <conditionalFormatting sqref="AC46">
    <cfRule type="expression" dxfId="63" priority="72">
      <formula>AND($M$45&lt;&gt;0,$AC$46&lt;&gt;"")</formula>
    </cfRule>
  </conditionalFormatting>
  <conditionalFormatting sqref="AC47">
    <cfRule type="expression" dxfId="62" priority="68">
      <formula>AND($M$47&lt;&gt;0,$AC$47&lt;&gt;"")</formula>
    </cfRule>
  </conditionalFormatting>
  <conditionalFormatting sqref="AC48">
    <cfRule type="expression" dxfId="61" priority="64">
      <formula>AND($M$47&lt;&gt;0,$AC$48&lt;&gt;"")</formula>
    </cfRule>
  </conditionalFormatting>
  <conditionalFormatting sqref="AC49">
    <cfRule type="expression" dxfId="60" priority="55">
      <formula>AND($M$49&lt;&gt;0,$AC$49&lt;&gt;"")</formula>
    </cfRule>
  </conditionalFormatting>
  <conditionalFormatting sqref="AC50">
    <cfRule type="expression" dxfId="59" priority="51">
      <formula>AND($M$49&lt;&gt;0,$AC$50&lt;&gt;"")</formula>
    </cfRule>
  </conditionalFormatting>
  <conditionalFormatting sqref="AC51">
    <cfRule type="expression" dxfId="58" priority="46">
      <formula>AND($M$51&lt;&gt;0,$AC$51&lt;&gt;"")</formula>
    </cfRule>
  </conditionalFormatting>
  <conditionalFormatting sqref="AC52">
    <cfRule type="expression" dxfId="57" priority="42">
      <formula>AND($M$51&lt;&gt;0,$AC$52&lt;&gt;"")</formula>
    </cfRule>
  </conditionalFormatting>
  <conditionalFormatting sqref="AC53">
    <cfRule type="expression" dxfId="56" priority="38">
      <formula>AND($M$53&lt;&gt;0,$AC$53&lt;&gt;"")</formula>
    </cfRule>
  </conditionalFormatting>
  <conditionalFormatting sqref="AC54">
    <cfRule type="expression" dxfId="55" priority="34">
      <formula>AND($M$53&lt;&gt;0,$AC$54&lt;&gt;"")</formula>
    </cfRule>
  </conditionalFormatting>
  <conditionalFormatting sqref="AC55">
    <cfRule type="expression" dxfId="54" priority="30">
      <formula>AND($M$55&lt;&gt;0,$AC$55&lt;&gt;"")</formula>
    </cfRule>
  </conditionalFormatting>
  <conditionalFormatting sqref="AC56">
    <cfRule type="expression" dxfId="53" priority="26">
      <formula>AND($M$55&lt;&gt;0,$AC$56&lt;&gt;"")</formula>
    </cfRule>
  </conditionalFormatting>
  <conditionalFormatting sqref="AC57">
    <cfRule type="expression" dxfId="52" priority="22">
      <formula>AND($M$57&lt;&gt;0,$AC$57&lt;&gt;"")</formula>
    </cfRule>
  </conditionalFormatting>
  <conditionalFormatting sqref="AC58">
    <cfRule type="expression" dxfId="51" priority="18">
      <formula>AND($M$57&lt;&gt;0,$AC$58&lt;&gt;"")</formula>
    </cfRule>
  </conditionalFormatting>
  <conditionalFormatting sqref="AC43:AL43">
    <cfRule type="expression" dxfId="50" priority="84">
      <formula>AND($M$43&lt;&gt;0,$AC$43&lt;&gt;"")</formula>
    </cfRule>
  </conditionalFormatting>
  <conditionalFormatting sqref="AE28:AE35">
    <cfRule type="expression" dxfId="49" priority="10">
      <formula>AND($F28&lt;&gt;"",$AE28&lt;&gt;"")</formula>
    </cfRule>
  </conditionalFormatting>
  <conditionalFormatting sqref="AE20:BG21 AE22:AQ22 AT22:BD22 BG22 AE23:BG23 AE24:AQ24 AT24:BD24 BG24">
    <cfRule type="expression" dxfId="48" priority="8">
      <formula>$U$21&lt;&gt;"No"</formula>
    </cfRule>
  </conditionalFormatting>
  <conditionalFormatting sqref="AJ28:AJ35">
    <cfRule type="expression" dxfId="47" priority="12">
      <formula>AND($F28&lt;&gt;"",$AJ28&lt;&gt;"")</formula>
    </cfRule>
  </conditionalFormatting>
  <conditionalFormatting sqref="AM39">
    <cfRule type="expression" dxfId="46" priority="103">
      <formula>AND($M$39&lt;&gt;0,$AM$39&lt;&gt;"")</formula>
    </cfRule>
  </conditionalFormatting>
  <conditionalFormatting sqref="AM40">
    <cfRule type="expression" dxfId="45" priority="99">
      <formula>AND($M$39&lt;&gt;0,$AM$40&lt;&gt;"")</formula>
    </cfRule>
  </conditionalFormatting>
  <conditionalFormatting sqref="AM41">
    <cfRule type="expression" dxfId="44" priority="95">
      <formula>AND($M$41&lt;&gt;0,$AM$41&lt;&gt;"")</formula>
    </cfRule>
  </conditionalFormatting>
  <conditionalFormatting sqref="AM42">
    <cfRule type="expression" dxfId="43" priority="91">
      <formula>AND($M$41&lt;&gt;0,$AM$42&lt;&gt;"")</formula>
    </cfRule>
  </conditionalFormatting>
  <conditionalFormatting sqref="AM43">
    <cfRule type="expression" dxfId="42" priority="83">
      <formula>AND($M$43&lt;&gt;0,$AM$43&lt;&gt;"")</formula>
    </cfRule>
  </conditionalFormatting>
  <conditionalFormatting sqref="AM44">
    <cfRule type="expression" dxfId="41" priority="79">
      <formula>AND($M$43&lt;&gt;0,$AM$44&lt;&gt;"")</formula>
    </cfRule>
  </conditionalFormatting>
  <conditionalFormatting sqref="AM45">
    <cfRule type="expression" dxfId="40" priority="75">
      <formula>AND($M$45&lt;&gt;0,$AM$45&lt;&gt;"")</formula>
    </cfRule>
  </conditionalFormatting>
  <conditionalFormatting sqref="AM46">
    <cfRule type="expression" dxfId="39" priority="71">
      <formula>AND($M$45&lt;&gt;0,$AM$46&lt;&gt;"")</formula>
    </cfRule>
  </conditionalFormatting>
  <conditionalFormatting sqref="AM47">
    <cfRule type="expression" dxfId="38" priority="67">
      <formula>AND($M$47&lt;&gt;0,$AM$47&lt;&gt;"")</formula>
    </cfRule>
  </conditionalFormatting>
  <conditionalFormatting sqref="AM48">
    <cfRule type="expression" dxfId="37" priority="63">
      <formula>AND($M$47&lt;&gt;0,$AM$48&lt;&gt;"")</formula>
    </cfRule>
  </conditionalFormatting>
  <conditionalFormatting sqref="AM49">
    <cfRule type="expression" dxfId="36" priority="50">
      <formula>AND($M$49&lt;&gt;0,$AM$50&lt;&gt;"")</formula>
    </cfRule>
    <cfRule type="expression" dxfId="35" priority="54">
      <formula>AND($M$49&lt;&gt;0,$AM$49&lt;&gt;"")</formula>
    </cfRule>
  </conditionalFormatting>
  <conditionalFormatting sqref="AM51">
    <cfRule type="expression" dxfId="34" priority="45">
      <formula>AND($M$51&lt;&gt;0,$AM$51&lt;&gt;"")</formula>
    </cfRule>
  </conditionalFormatting>
  <conditionalFormatting sqref="AM52">
    <cfRule type="expression" dxfId="33" priority="41">
      <formula>AND($M$51&lt;&gt;0,$AM$52&lt;&gt;"")</formula>
    </cfRule>
  </conditionalFormatting>
  <conditionalFormatting sqref="AM53">
    <cfRule type="expression" dxfId="32" priority="37">
      <formula>AND($M$53&lt;&gt;0,$AM$53&lt;&gt;"")</formula>
    </cfRule>
  </conditionalFormatting>
  <conditionalFormatting sqref="AM54">
    <cfRule type="expression" dxfId="31" priority="33">
      <formula>AND($M$53&lt;&gt;0,$AM$54&lt;&gt;"")</formula>
    </cfRule>
  </conditionalFormatting>
  <conditionalFormatting sqref="AM55">
    <cfRule type="expression" dxfId="30" priority="29">
      <formula>AND($M$55&lt;&gt;0,$AM$55&lt;&gt;"")</formula>
    </cfRule>
  </conditionalFormatting>
  <conditionalFormatting sqref="AM56">
    <cfRule type="expression" dxfId="29" priority="25">
      <formula>AND($M$55&lt;&gt;0,$AM$56&lt;&gt;"")</formula>
    </cfRule>
  </conditionalFormatting>
  <conditionalFormatting sqref="AM57">
    <cfRule type="expression" dxfId="28" priority="21">
      <formula>AND($M$57&lt;&gt;0,$AM$57&lt;&gt;"")</formula>
    </cfRule>
  </conditionalFormatting>
  <conditionalFormatting sqref="AM58">
    <cfRule type="expression" dxfId="27" priority="17">
      <formula>AND($M$57&lt;&gt;0,$AM$58&lt;&gt;"")</formula>
    </cfRule>
  </conditionalFormatting>
  <conditionalFormatting sqref="AO28:AO35">
    <cfRule type="expression" dxfId="26" priority="13">
      <formula>AND($F28&lt;&gt;"",$AO28&lt;&gt;"")</formula>
    </cfRule>
  </conditionalFormatting>
  <conditionalFormatting sqref="AS66:AS73">
    <cfRule type="expression" dxfId="25" priority="15">
      <formula>AND($F66&lt;&gt;"",$AS66&lt;&gt;"")</formula>
    </cfRule>
  </conditionalFormatting>
  <conditionalFormatting sqref="AT28:AT35">
    <cfRule type="expression" dxfId="24" priority="9">
      <formula>AND($F28&lt;&gt;"",$AT28&lt;&gt;"")</formula>
    </cfRule>
  </conditionalFormatting>
  <conditionalFormatting sqref="AU21:BF21">
    <cfRule type="expression" dxfId="23" priority="6">
      <formula>$AO$21&lt;&gt;"Yes"</formula>
    </cfRule>
  </conditionalFormatting>
  <conditionalFormatting sqref="AU23:BF23">
    <cfRule type="expression" dxfId="22" priority="5">
      <formula>$AO$23&lt;&gt;"Yes"</formula>
    </cfRule>
  </conditionalFormatting>
  <conditionalFormatting sqref="AW39">
    <cfRule type="expression" dxfId="21" priority="102">
      <formula>AND($M$39&lt;&gt;0,$AW$39&lt;&gt;"")</formula>
    </cfRule>
  </conditionalFormatting>
  <conditionalFormatting sqref="AW40">
    <cfRule type="expression" dxfId="20" priority="98">
      <formula>AND($M$39&lt;&gt;0,$AW$40&lt;&gt;"")</formula>
    </cfRule>
  </conditionalFormatting>
  <conditionalFormatting sqref="AW41">
    <cfRule type="expression" dxfId="19" priority="94">
      <formula>AND($M$41&lt;&gt;0,$AW$41&lt;&gt;"")</formula>
    </cfRule>
  </conditionalFormatting>
  <conditionalFormatting sqref="AW42">
    <cfRule type="expression" dxfId="18" priority="90">
      <formula>AND($M$41&lt;&gt;0,$AW$42&lt;&gt;"")</formula>
    </cfRule>
  </conditionalFormatting>
  <conditionalFormatting sqref="AW43">
    <cfRule type="expression" dxfId="17" priority="82">
      <formula>AND($M$43&lt;&gt;0,$AW$43&lt;&gt;"")</formula>
    </cfRule>
  </conditionalFormatting>
  <conditionalFormatting sqref="AW44">
    <cfRule type="expression" dxfId="16" priority="78">
      <formula>AND($M$43&lt;&gt;0,$AW$44&lt;&gt;"")</formula>
    </cfRule>
  </conditionalFormatting>
  <conditionalFormatting sqref="AW45">
    <cfRule type="expression" dxfId="15" priority="74">
      <formula>AND($M$45&lt;&gt;0,$AW$45&lt;&gt;"")</formula>
    </cfRule>
  </conditionalFormatting>
  <conditionalFormatting sqref="AW46">
    <cfRule type="expression" dxfId="14" priority="70">
      <formula>AND($M$45&lt;&gt;0,$AW$46&lt;&gt;"")</formula>
    </cfRule>
  </conditionalFormatting>
  <conditionalFormatting sqref="AW47">
    <cfRule type="expression" dxfId="13" priority="66">
      <formula>AND($M$47&lt;&gt;0,$AW$47&lt;&gt;"")</formula>
    </cfRule>
  </conditionalFormatting>
  <conditionalFormatting sqref="AW48">
    <cfRule type="expression" dxfId="12" priority="62">
      <formula>AND($M$47&lt;&gt;0,$AW$48&lt;&gt;"")</formula>
    </cfRule>
  </conditionalFormatting>
  <conditionalFormatting sqref="AW49">
    <cfRule type="expression" dxfId="11" priority="53">
      <formula>AND($M$49&lt;&gt;0,$AW$49&lt;&gt;"")</formula>
    </cfRule>
  </conditionalFormatting>
  <conditionalFormatting sqref="AW50">
    <cfRule type="expression" dxfId="10" priority="49">
      <formula>AND($M$49&lt;&gt;0,$AW$50&lt;&gt;"")</formula>
    </cfRule>
  </conditionalFormatting>
  <conditionalFormatting sqref="AW51">
    <cfRule type="expression" dxfId="9" priority="44">
      <formula>AND($M$51&lt;&gt;0,$AW$51&lt;&gt;"")</formula>
    </cfRule>
  </conditionalFormatting>
  <conditionalFormatting sqref="AW52">
    <cfRule type="expression" dxfId="8" priority="40">
      <formula>AND($M$51&lt;&gt;0,$AW$52&lt;&gt;"")</formula>
    </cfRule>
  </conditionalFormatting>
  <conditionalFormatting sqref="AW53">
    <cfRule type="expression" dxfId="7" priority="36">
      <formula>AND($M$53&lt;&gt;0,$AW$53&lt;&gt;"")</formula>
    </cfRule>
  </conditionalFormatting>
  <conditionalFormatting sqref="AW54">
    <cfRule type="expression" dxfId="6" priority="32">
      <formula>AND($M$53&lt;&gt;0,$AW$54&lt;&gt;"")</formula>
    </cfRule>
  </conditionalFormatting>
  <conditionalFormatting sqref="AW55">
    <cfRule type="expression" dxfId="5" priority="28">
      <formula>AND($M$55&lt;&gt;0,$AW$55&lt;&gt;"")</formula>
    </cfRule>
  </conditionalFormatting>
  <conditionalFormatting sqref="AW56">
    <cfRule type="expression" dxfId="4" priority="24">
      <formula>AND($M$55&lt;&gt;0,$AW$56&lt;&gt;"")</formula>
    </cfRule>
  </conditionalFormatting>
  <conditionalFormatting sqref="AW57">
    <cfRule type="expression" dxfId="3" priority="20">
      <formula>AND($M$57&lt;&gt;0,$AW$57&lt;&gt;"")</formula>
    </cfRule>
  </conditionalFormatting>
  <conditionalFormatting sqref="AW58">
    <cfRule type="expression" dxfId="2" priority="16">
      <formula>AND($M$57&lt;&gt;0,$AW$58&lt;&gt;"")</formula>
    </cfRule>
  </conditionalFormatting>
  <conditionalFormatting sqref="BA8:BF8">
    <cfRule type="expression" dxfId="1" priority="58">
      <formula>IF($AO$8=PROJSTATMEASURE,FALSE,TRUE)</formula>
    </cfRule>
  </conditionalFormatting>
  <conditionalFormatting sqref="BC66:BF73">
    <cfRule type="expression" dxfId="0" priority="116">
      <formula>AND($F66&lt;&gt;"",$BC66&lt;&gt;"")</formula>
    </cfRule>
  </conditionalFormatting>
  <dataValidations count="7">
    <dataValidation type="custom" errorStyle="warning" allowBlank="1" showInputMessage="1" showErrorMessage="1" errorTitle="*Important*" error="Please enter a valid email. " sqref="AT28:AT35" xr:uid="{35593F3F-CC14-46B8-8EE4-5EE4A15A0A58}">
      <formula1>AND(FIND(".",AT28),FIND("@",AT28))</formula1>
    </dataValidation>
    <dataValidation type="decimal" operator="greaterThanOrEqual" allowBlank="1" showInputMessage="1" showErrorMessage="1" sqref="BC66:BF73" xr:uid="{5A5B705D-541E-4CA5-8CCC-9A1592A1BAF3}">
      <formula1>0</formula1>
    </dataValidation>
    <dataValidation type="list" allowBlank="1" showInputMessage="1" showErrorMessage="1" sqref="U21:Y21 AO21:AS21 AO23:AS23" xr:uid="{AAC76365-ACCE-4D55-8899-C9B30C5888E9}">
      <formula1>"Yes, No"</formula1>
    </dataValidation>
    <dataValidation type="list" allowBlank="1" showInputMessage="1" showErrorMessage="1" sqref="AS66:BB73 S39:BF58" xr:uid="{3E4C194E-D748-401C-8E3F-8F9A9D42F5AE}">
      <formula1>$P$28:$P$35</formula1>
    </dataValidation>
    <dataValidation type="textLength" errorStyle="warning" allowBlank="1" showInputMessage="1" showErrorMessage="1" errorTitle="*Important*" error="Please enter a valid phone number. Example: (111) 111-1111" sqref="AO28:AO35" xr:uid="{7343A7C1-417F-4D3D-8BE1-D0DC3801D9FE}">
      <formula1>7</formula1>
      <formula2>15</formula2>
    </dataValidation>
    <dataValidation type="list" allowBlank="1" sqref="P28:T35" xr:uid="{D3B6CCA2-3AB3-4E1C-805A-A0F0F8DCEBDA}">
      <formula1>UnionNumber</formula1>
    </dataValidation>
    <dataValidation type="date" operator="greaterThan" allowBlank="1" showInputMessage="1" showErrorMessage="1" errorTitle="*Important*" error="Please enter a valid date. mm/dd/yyyy" sqref="U28:Y35" xr:uid="{5F2EF9F5-4CE6-40C3-9AD5-6BEF96958D30}">
      <formula1>45307</formula1>
    </dataValidation>
  </dataValidations>
  <hyperlinks>
    <hyperlink ref="J1:M3" location="'M01-S02'!J1" tooltip="Instructions" display="'M01-S02'!J1" xr:uid="{35D9610C-B046-410C-9582-ECF010A155D8}"/>
    <hyperlink ref="AW1:AZ3" location="'M05-S05'!AL1" tooltip=" " display="'M05-S05'!AL1" xr:uid="{AEFE5B38-CCF4-4384-A366-9AB9B7A2CE47}"/>
    <hyperlink ref="BG1:BJ3" location="'M01-S03'!AP1" tooltip="Contact" display="'M01-S03'!AP1" xr:uid="{377B10A6-E094-4D43-B94B-136F069A5116}"/>
    <hyperlink ref="AS1:AV3" location="'M05-S04'!AH1" tooltip=" " display="'M05-S04'!AH1" xr:uid="{814BB8B1-9CC7-4572-AC58-41FBC3F40FC8}"/>
    <hyperlink ref="AO1:AR3" location="'M05-S05'!AL1" tooltip=" " display="'M05-S05'!AL1" xr:uid="{9200DD84-F5C0-47CE-8C10-E55CE769776A}"/>
  </hyperlinks>
  <printOptions horizontalCentered="1"/>
  <pageMargins left="0" right="0" top="0.25" bottom="0.25" header="0.25" footer="0.25"/>
  <pageSetup scale="5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66A34E4-B85C-495D-822A-77BED90C270A}">
          <x14:formula1>
            <xm:f>'DATA TABLES_Project'!$A$195:$A$200</xm:f>
          </x14:formula1>
          <xm:sqref>F66:O73</xm:sqref>
        </x14:dataValidation>
        <x14:dataValidation type="list" allowBlank="1" xr:uid="{62FE7000-0CEC-4352-863D-DC99B4EFE29F}">
          <x14:formula1>
            <xm:f>'DATA TABLES_Project'!$A$203:$A$204</xm:f>
          </x14:formula1>
          <xm:sqref>F28:O35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BE294-FCE4-4F18-8F68-89AAB614AF3D}">
  <sheetPr codeName="Sheet31">
    <tabColor theme="5"/>
  </sheetPr>
  <dimension ref="A1:NP113"/>
  <sheetViews>
    <sheetView zoomScale="80" zoomScaleNormal="80" workbookViewId="0">
      <pane xSplit="1" ySplit="1" topLeftCell="FK2" activePane="bottomRight" state="frozen"/>
      <selection pane="topRight" activeCell="B2" sqref="B2"/>
      <selection pane="bottomLeft" activeCell="B2" sqref="B2"/>
      <selection pane="bottomRight" activeCell="FM10" sqref="FM10"/>
    </sheetView>
  </sheetViews>
  <sheetFormatPr defaultRowHeight="15"/>
  <cols>
    <col min="1" max="1" width="34.5703125" bestFit="1" customWidth="1"/>
    <col min="2" max="2" width="10.140625" bestFit="1" customWidth="1"/>
    <col min="3" max="3" width="12.85546875" bestFit="1" customWidth="1"/>
    <col min="4" max="4" width="14.5703125" bestFit="1" customWidth="1"/>
    <col min="5" max="5" width="17.28515625" bestFit="1" customWidth="1"/>
    <col min="6" max="6" width="20.42578125" bestFit="1" customWidth="1"/>
    <col min="7" max="7" width="8.7109375" bestFit="1" customWidth="1"/>
    <col min="8" max="8" width="12.85546875" bestFit="1" customWidth="1"/>
    <col min="9" max="9" width="20" bestFit="1" customWidth="1"/>
    <col min="10" max="10" width="16.140625" bestFit="1" customWidth="1"/>
    <col min="11" max="11" width="16.42578125" bestFit="1" customWidth="1"/>
    <col min="12" max="12" width="11.85546875" bestFit="1" customWidth="1"/>
    <col min="13" max="13" width="24.42578125" bestFit="1" customWidth="1"/>
    <col min="14" max="14" width="15.5703125" bestFit="1" customWidth="1"/>
    <col min="15" max="15" width="8" bestFit="1" customWidth="1"/>
    <col min="16" max="16" width="18.5703125" bestFit="1" customWidth="1"/>
    <col min="17" max="17" width="13.85546875" bestFit="1" customWidth="1"/>
    <col min="18" max="18" width="11" bestFit="1" customWidth="1"/>
    <col min="19" max="19" width="11.42578125" bestFit="1" customWidth="1"/>
    <col min="20" max="20" width="10.140625" bestFit="1" customWidth="1"/>
    <col min="21" max="21" width="10.85546875" bestFit="1" customWidth="1"/>
    <col min="22" max="22" width="15.140625" bestFit="1" customWidth="1"/>
    <col min="23" max="23" width="13.7109375" bestFit="1" customWidth="1"/>
    <col min="24" max="24" width="14.5703125" bestFit="1" customWidth="1"/>
    <col min="25" max="25" width="27.85546875" bestFit="1" customWidth="1"/>
    <col min="26" max="26" width="27.5703125" bestFit="1" customWidth="1"/>
    <col min="27" max="27" width="16.5703125" bestFit="1" customWidth="1"/>
    <col min="28" max="28" width="11.85546875" bestFit="1" customWidth="1"/>
    <col min="29" max="29" width="16.5703125" bestFit="1" customWidth="1"/>
    <col min="30" max="30" width="11.85546875" bestFit="1" customWidth="1"/>
    <col min="31" max="31" width="15.28515625" bestFit="1" customWidth="1"/>
    <col min="32" max="32" width="11" bestFit="1" customWidth="1"/>
    <col min="33" max="33" width="6.42578125" bestFit="1" customWidth="1"/>
    <col min="34" max="34" width="13.5703125" bestFit="1" customWidth="1"/>
    <col min="35" max="35" width="22.42578125" bestFit="1" customWidth="1"/>
    <col min="36" max="36" width="31.42578125" bestFit="1" customWidth="1"/>
    <col min="37" max="37" width="21" bestFit="1" customWidth="1"/>
    <col min="38" max="38" width="21.5703125" bestFit="1" customWidth="1"/>
    <col min="39" max="39" width="28.42578125" bestFit="1" customWidth="1"/>
    <col min="40" max="40" width="18.85546875" bestFit="1" customWidth="1"/>
    <col min="41" max="41" width="20.7109375" bestFit="1" customWidth="1"/>
    <col min="42" max="42" width="21.140625" bestFit="1" customWidth="1"/>
    <col min="43" max="43" width="19.5703125" bestFit="1" customWidth="1"/>
    <col min="44" max="44" width="19.85546875" bestFit="1" customWidth="1"/>
    <col min="45" max="45" width="20.28515625" bestFit="1" customWidth="1"/>
    <col min="46" max="46" width="20.5703125" bestFit="1" customWidth="1"/>
    <col min="47" max="47" width="31.140625" bestFit="1" customWidth="1"/>
    <col min="48" max="48" width="26.42578125" bestFit="1" customWidth="1"/>
    <col min="49" max="49" width="31.140625" bestFit="1" customWidth="1"/>
    <col min="50" max="50" width="26.42578125" bestFit="1" customWidth="1"/>
    <col min="51" max="51" width="31.140625" bestFit="1" customWidth="1"/>
    <col min="52" max="52" width="26.42578125" bestFit="1" customWidth="1"/>
    <col min="53" max="53" width="31.42578125" bestFit="1" customWidth="1"/>
    <col min="54" max="54" width="26.7109375" bestFit="1" customWidth="1"/>
    <col min="55" max="55" width="31.42578125" bestFit="1" customWidth="1"/>
    <col min="56" max="56" width="26.7109375" bestFit="1" customWidth="1"/>
    <col min="57" max="57" width="31.42578125" bestFit="1" customWidth="1"/>
    <col min="58" max="58" width="26.7109375" bestFit="1" customWidth="1"/>
    <col min="59" max="59" width="28.7109375" bestFit="1" customWidth="1"/>
    <col min="60" max="60" width="24.5703125" customWidth="1"/>
    <col min="61" max="61" width="28.7109375" bestFit="1" customWidth="1"/>
    <col min="62" max="62" width="24.5703125" customWidth="1"/>
    <col min="63" max="63" width="28.7109375" bestFit="1" customWidth="1"/>
    <col min="64" max="64" width="24.5703125" customWidth="1"/>
    <col min="65" max="66" width="17" bestFit="1" customWidth="1"/>
    <col min="67" max="67" width="15.85546875" bestFit="1" customWidth="1"/>
    <col min="68" max="68" width="18.85546875" bestFit="1" customWidth="1"/>
    <col min="69" max="69" width="9" bestFit="1" customWidth="1"/>
    <col min="70" max="70" width="15.85546875" bestFit="1" customWidth="1"/>
    <col min="71" max="71" width="13.140625" bestFit="1" customWidth="1"/>
    <col min="72" max="72" width="15.85546875" bestFit="1" customWidth="1"/>
    <col min="73" max="73" width="10.7109375" bestFit="1" customWidth="1"/>
    <col min="74" max="74" width="10.42578125" bestFit="1" customWidth="1"/>
    <col min="75" max="75" width="20" bestFit="1" customWidth="1"/>
    <col min="76" max="76" width="15.28515625" bestFit="1" customWidth="1"/>
    <col min="77" max="77" width="15.140625" bestFit="1" customWidth="1"/>
    <col min="78" max="78" width="18.42578125" bestFit="1" customWidth="1"/>
    <col min="79" max="79" width="15.140625" bestFit="1" customWidth="1"/>
    <col min="80" max="80" width="9.5703125" bestFit="1" customWidth="1"/>
    <col min="81" max="81" width="12.85546875" bestFit="1" customWidth="1"/>
    <col min="82" max="82" width="9.85546875" bestFit="1" customWidth="1"/>
    <col min="83" max="83" width="6.5703125" bestFit="1" customWidth="1"/>
    <col min="84" max="84" width="19.5703125" bestFit="1" customWidth="1"/>
    <col min="85" max="85" width="20.5703125" bestFit="1" customWidth="1"/>
    <col min="86" max="86" width="10.85546875" bestFit="1" customWidth="1"/>
    <col min="87" max="87" width="8.28515625" bestFit="1" customWidth="1"/>
    <col min="88" max="88" width="16.140625" bestFit="1" customWidth="1"/>
    <col min="89" max="89" width="17.140625" bestFit="1" customWidth="1"/>
    <col min="90" max="90" width="18.28515625" bestFit="1" customWidth="1"/>
    <col min="91" max="91" width="18.5703125" bestFit="1" customWidth="1"/>
    <col min="92" max="92" width="6.5703125" bestFit="1" customWidth="1"/>
    <col min="93" max="93" width="5.5703125" bestFit="1" customWidth="1"/>
    <col min="94" max="94" width="3.5703125" bestFit="1" customWidth="1"/>
    <col min="95" max="95" width="6.5703125" bestFit="1" customWidth="1"/>
    <col min="96" max="96" width="16.140625" bestFit="1" customWidth="1"/>
    <col min="97" max="97" width="16.42578125" bestFit="1" customWidth="1"/>
    <col min="98" max="98" width="15.5703125" bestFit="1" customWidth="1"/>
    <col min="99" max="99" width="15.85546875" bestFit="1" customWidth="1"/>
    <col min="100" max="100" width="12.42578125" bestFit="1" customWidth="1"/>
    <col min="101" max="101" width="8.42578125" bestFit="1" customWidth="1"/>
    <col min="102" max="102" width="24.5703125" bestFit="1" customWidth="1"/>
    <col min="103" max="103" width="25.7109375" bestFit="1" customWidth="1"/>
    <col min="104" max="105" width="14.85546875" bestFit="1" customWidth="1"/>
    <col min="106" max="107" width="16.85546875" bestFit="1" customWidth="1"/>
    <col min="108" max="108" width="16.85546875" customWidth="1"/>
    <col min="109" max="109" width="13.7109375" bestFit="1" customWidth="1"/>
    <col min="110" max="110" width="23.85546875" bestFit="1" customWidth="1"/>
    <col min="111" max="111" width="13.7109375" bestFit="1" customWidth="1"/>
    <col min="112" max="112" width="23.85546875" bestFit="1" customWidth="1"/>
    <col min="113" max="113" width="13.7109375" bestFit="1" customWidth="1"/>
    <col min="114" max="114" width="23.85546875" bestFit="1" customWidth="1"/>
    <col min="115" max="115" width="13.7109375" bestFit="1" customWidth="1"/>
    <col min="116" max="116" width="23.85546875" bestFit="1" customWidth="1"/>
    <col min="117" max="117" width="13.7109375" bestFit="1" customWidth="1"/>
    <col min="118" max="118" width="23.85546875" bestFit="1" customWidth="1"/>
    <col min="119" max="119" width="13.7109375" bestFit="1" customWidth="1"/>
    <col min="120" max="120" width="23.85546875" bestFit="1" customWidth="1"/>
    <col min="121" max="121" width="13.7109375" bestFit="1" customWidth="1"/>
    <col min="122" max="122" width="23.85546875" bestFit="1" customWidth="1"/>
    <col min="123" max="123" width="13.7109375" bestFit="1" customWidth="1"/>
    <col min="124" max="124" width="23.85546875" bestFit="1" customWidth="1"/>
    <col min="125" max="125" width="27.42578125" bestFit="1" customWidth="1"/>
    <col min="126" max="126" width="22.5703125" bestFit="1" customWidth="1"/>
    <col min="127" max="127" width="25.140625" bestFit="1" customWidth="1"/>
    <col min="128" max="128" width="33.28515625" bestFit="1" customWidth="1"/>
    <col min="129" max="129" width="36" bestFit="1" customWidth="1"/>
    <col min="130" max="130" width="31.140625" bestFit="1" customWidth="1"/>
    <col min="131" max="131" width="33.5703125" bestFit="1" customWidth="1"/>
    <col min="132" max="132" width="29.85546875" bestFit="1" customWidth="1"/>
    <col min="133" max="133" width="25.140625" bestFit="1" customWidth="1"/>
    <col min="134" max="134" width="27.85546875" bestFit="1" customWidth="1"/>
    <col min="135" max="135" width="35.7109375" bestFit="1" customWidth="1"/>
    <col min="136" max="136" width="38.28515625" bestFit="1" customWidth="1"/>
    <col min="137" max="137" width="33.5703125" bestFit="1" customWidth="1"/>
    <col min="138" max="138" width="36.28515625" bestFit="1" customWidth="1"/>
    <col min="139" max="139" width="27.85546875" bestFit="1" customWidth="1"/>
    <col min="140" max="140" width="30.85546875" bestFit="1" customWidth="1"/>
    <col min="141" max="141" width="26.7109375" bestFit="1" customWidth="1"/>
    <col min="142" max="142" width="28.140625" bestFit="1" customWidth="1"/>
    <col min="143" max="143" width="36.28515625" bestFit="1" customWidth="1"/>
    <col min="144" max="144" width="38.85546875" bestFit="1" customWidth="1"/>
    <col min="145" max="145" width="34.140625" bestFit="1" customWidth="1"/>
    <col min="146" max="146" width="36.85546875" bestFit="1" customWidth="1"/>
    <col min="147" max="147" width="25.42578125" bestFit="1" customWidth="1"/>
    <col min="148" max="148" width="27.140625" hidden="1" customWidth="1"/>
    <col min="149" max="149" width="22.42578125" hidden="1" customWidth="1"/>
    <col min="150" max="150" width="24.85546875" hidden="1" customWidth="1"/>
    <col min="151" max="151" width="32.85546875" hidden="1" customWidth="1"/>
    <col min="152" max="152" width="35.5703125" hidden="1" customWidth="1"/>
    <col min="153" max="153" width="30.85546875" hidden="1" customWidth="1"/>
    <col min="154" max="154" width="33.42578125" hidden="1" customWidth="1"/>
    <col min="155" max="155" width="22.5703125" hidden="1" customWidth="1"/>
    <col min="156" max="156" width="24" bestFit="1" customWidth="1"/>
    <col min="157" max="157" width="21.28515625" bestFit="1" customWidth="1"/>
    <col min="158" max="158" width="36" bestFit="1" customWidth="1"/>
    <col min="159" max="159" width="33" bestFit="1" customWidth="1"/>
    <col min="160" max="160" width="33.28515625" bestFit="1" customWidth="1"/>
    <col min="161" max="161" width="30.28515625" bestFit="1" customWidth="1"/>
    <col min="162" max="162" width="24.85546875" bestFit="1" customWidth="1"/>
    <col min="163" max="163" width="27.5703125" bestFit="1" customWidth="1"/>
    <col min="164" max="164" width="23.28515625" bestFit="1" customWidth="1"/>
    <col min="165" max="165" width="25.42578125" bestFit="1" customWidth="1"/>
    <col min="166" max="166" width="33.42578125" bestFit="1" customWidth="1"/>
    <col min="167" max="167" width="36.140625" bestFit="1" customWidth="1"/>
    <col min="168" max="168" width="31.42578125" bestFit="1" customWidth="1"/>
    <col min="169" max="169" width="33.85546875" bestFit="1" customWidth="1"/>
    <col min="170" max="170" width="23.42578125" bestFit="1" customWidth="1"/>
    <col min="171" max="171" width="15.28515625" bestFit="1" customWidth="1"/>
    <col min="172" max="172" width="29.85546875" bestFit="1" customWidth="1"/>
    <col min="173" max="173" width="17.28515625" bestFit="1" customWidth="1"/>
    <col min="174" max="174" width="16.85546875" bestFit="1" customWidth="1"/>
    <col min="175" max="175" width="21.140625" bestFit="1" customWidth="1"/>
    <col min="176" max="176" width="17.140625" bestFit="1" customWidth="1"/>
    <col min="177" max="177" width="6.5703125" bestFit="1" customWidth="1"/>
    <col min="178" max="178" width="38.42578125" bestFit="1" customWidth="1"/>
    <col min="179" max="179" width="40.140625" bestFit="1" customWidth="1"/>
    <col min="180" max="180" width="33.28515625" bestFit="1" customWidth="1"/>
    <col min="181" max="181" width="6.5703125" bestFit="1" customWidth="1"/>
    <col min="182" max="182" width="64.85546875" bestFit="1" customWidth="1"/>
    <col min="183" max="183" width="14.5703125" bestFit="1" customWidth="1"/>
    <col min="184" max="184" width="12.42578125" bestFit="1" customWidth="1"/>
    <col min="185" max="185" width="6.5703125" bestFit="1" customWidth="1"/>
    <col min="186" max="186" width="33.28515625" bestFit="1" customWidth="1"/>
    <col min="187" max="187" width="22.140625" bestFit="1" customWidth="1"/>
    <col min="188" max="188" width="19.7109375" bestFit="1" customWidth="1"/>
    <col min="189" max="189" width="21.28515625" bestFit="1" customWidth="1"/>
    <col min="190" max="190" width="24.5703125" bestFit="1" customWidth="1"/>
    <col min="191" max="191" width="25.42578125" bestFit="1" customWidth="1"/>
    <col min="192" max="192" width="22.7109375" bestFit="1" customWidth="1"/>
    <col min="193" max="193" width="20.42578125" bestFit="1" customWidth="1"/>
    <col min="194" max="194" width="22.140625" bestFit="1" customWidth="1"/>
    <col min="195" max="195" width="25.140625" bestFit="1" customWidth="1"/>
    <col min="196" max="196" width="21.42578125" bestFit="1" customWidth="1"/>
    <col min="197" max="197" width="20.28515625" bestFit="1" customWidth="1"/>
    <col min="198" max="198" width="23.85546875" bestFit="1" customWidth="1"/>
    <col min="199" max="199" width="35" bestFit="1" customWidth="1"/>
    <col min="200" max="200" width="17" bestFit="1" customWidth="1"/>
    <col min="201" max="201" width="20.5703125" bestFit="1" customWidth="1"/>
    <col min="202" max="202" width="31.85546875" bestFit="1" customWidth="1"/>
    <col min="203" max="203" width="14.85546875" bestFit="1" customWidth="1"/>
    <col min="204" max="204" width="18" bestFit="1" customWidth="1"/>
    <col min="205" max="205" width="19.85546875" bestFit="1" customWidth="1"/>
    <col min="206" max="206" width="24.42578125" bestFit="1" customWidth="1"/>
    <col min="207" max="207" width="24" bestFit="1" customWidth="1"/>
    <col min="208" max="208" width="15.85546875" bestFit="1" customWidth="1"/>
    <col min="209" max="209" width="17.28515625" bestFit="1" customWidth="1"/>
    <col min="210" max="210" width="10.140625" bestFit="1" customWidth="1"/>
    <col min="211" max="211" width="27.85546875" bestFit="1" customWidth="1"/>
    <col min="212" max="212" width="15.85546875" bestFit="1" customWidth="1"/>
    <col min="213" max="213" width="36.85546875" bestFit="1" customWidth="1"/>
    <col min="214" max="214" width="32.140625" bestFit="1" customWidth="1"/>
    <col min="215" max="215" width="12.28515625" bestFit="1" customWidth="1"/>
    <col min="216" max="216" width="20.5703125" bestFit="1" customWidth="1"/>
    <col min="217" max="217" width="27.42578125" bestFit="1" customWidth="1"/>
    <col min="218" max="218" width="18.85546875" bestFit="1" customWidth="1"/>
    <col min="219" max="219" width="6.5703125" bestFit="1" customWidth="1"/>
    <col min="220" max="220" width="15.5703125" bestFit="1" customWidth="1"/>
    <col min="221" max="221" width="24" bestFit="1" customWidth="1"/>
    <col min="222" max="222" width="13.140625" bestFit="1" customWidth="1"/>
    <col min="223" max="223" width="15" bestFit="1" customWidth="1"/>
    <col min="224" max="224" width="18.28515625" bestFit="1" customWidth="1"/>
    <col min="225" max="225" width="28.140625" bestFit="1" customWidth="1"/>
    <col min="226" max="226" width="27.85546875" bestFit="1" customWidth="1"/>
    <col min="227" max="227" width="22.140625" bestFit="1" customWidth="1"/>
    <col min="228" max="228" width="31.42578125" bestFit="1" customWidth="1"/>
    <col min="229" max="229" width="23.140625" bestFit="1" customWidth="1"/>
    <col min="230" max="230" width="33" bestFit="1" customWidth="1"/>
    <col min="231" max="231" width="66.42578125" bestFit="1" customWidth="1"/>
    <col min="232" max="232" width="26.5703125" bestFit="1" customWidth="1"/>
    <col min="233" max="233" width="26" bestFit="1" customWidth="1"/>
    <col min="234" max="234" width="20.42578125" bestFit="1" customWidth="1"/>
    <col min="235" max="235" width="29.5703125" bestFit="1" customWidth="1"/>
    <col min="236" max="236" width="21.42578125" bestFit="1" customWidth="1"/>
    <col min="237" max="237" width="31.42578125" bestFit="1" customWidth="1"/>
    <col min="238" max="238" width="6.5703125" bestFit="1" customWidth="1"/>
    <col min="239" max="239" width="25.7109375" bestFit="1" customWidth="1"/>
    <col min="240" max="240" width="24.85546875" bestFit="1" customWidth="1"/>
    <col min="241" max="241" width="14.28515625" bestFit="1" customWidth="1"/>
    <col min="242" max="242" width="15.85546875" bestFit="1" customWidth="1"/>
    <col min="243" max="243" width="19.140625" bestFit="1" customWidth="1"/>
    <col min="244" max="244" width="28.85546875" bestFit="1" customWidth="1"/>
    <col min="245" max="245" width="28.5703125" bestFit="1" customWidth="1"/>
    <col min="246" max="246" width="23" bestFit="1" customWidth="1"/>
    <col min="247" max="247" width="32.140625" bestFit="1" customWidth="1"/>
    <col min="248" max="248" width="24" bestFit="1" customWidth="1"/>
    <col min="249" max="249" width="26.42578125" bestFit="1" customWidth="1"/>
    <col min="250" max="250" width="30.5703125" bestFit="1" customWidth="1"/>
    <col min="251" max="251" width="30.140625" bestFit="1" customWidth="1"/>
    <col min="252" max="252" width="24.5703125" bestFit="1" customWidth="1"/>
    <col min="253" max="253" width="33.5703125" bestFit="1" customWidth="1"/>
    <col min="254" max="254" width="25.42578125" bestFit="1" customWidth="1"/>
    <col min="255" max="255" width="27.85546875" bestFit="1" customWidth="1"/>
    <col min="256" max="256" width="6.5703125" bestFit="1" customWidth="1"/>
    <col min="257" max="257" width="17.140625" bestFit="1" customWidth="1"/>
    <col min="258" max="258" width="13.85546875" bestFit="1" customWidth="1"/>
    <col min="259" max="259" width="21.85546875" bestFit="1" customWidth="1"/>
    <col min="260" max="260" width="14.85546875" bestFit="1" customWidth="1"/>
    <col min="261" max="261" width="10.42578125" bestFit="1" customWidth="1"/>
    <col min="262" max="262" width="11.85546875" bestFit="1" customWidth="1"/>
    <col min="263" max="263" width="15.28515625" bestFit="1" customWidth="1"/>
    <col min="264" max="264" width="13.7109375" bestFit="1" customWidth="1"/>
    <col min="265" max="265" width="21.140625" bestFit="1" customWidth="1"/>
    <col min="266" max="266" width="12.42578125" bestFit="1" customWidth="1"/>
    <col min="267" max="267" width="15.85546875" bestFit="1" customWidth="1"/>
    <col min="268" max="268" width="28.85546875" bestFit="1" customWidth="1"/>
    <col min="269" max="269" width="6.5703125" bestFit="1" customWidth="1"/>
    <col min="270" max="270" width="28.5703125" bestFit="1" customWidth="1"/>
    <col min="271" max="271" width="55.7109375" bestFit="1" customWidth="1"/>
    <col min="272" max="272" width="24.42578125" bestFit="1" customWidth="1"/>
    <col min="273" max="273" width="17.140625" bestFit="1" customWidth="1"/>
    <col min="274" max="274" width="12.85546875" bestFit="1" customWidth="1"/>
    <col min="275" max="275" width="14.42578125" bestFit="1" customWidth="1"/>
    <col min="276" max="276" width="17.85546875" bestFit="1" customWidth="1"/>
    <col min="277" max="277" width="16.140625" bestFit="1" customWidth="1"/>
    <col min="278" max="278" width="23.7109375" bestFit="1" customWidth="1"/>
    <col min="279" max="279" width="15" bestFit="1" customWidth="1"/>
    <col min="280" max="280" width="18.5703125" bestFit="1" customWidth="1"/>
    <col min="281" max="281" width="31.42578125" bestFit="1" customWidth="1"/>
    <col min="282" max="282" width="12.85546875" bestFit="1" customWidth="1"/>
    <col min="283" max="283" width="31.42578125" bestFit="1" customWidth="1"/>
    <col min="284" max="284" width="23.7109375" bestFit="1" customWidth="1"/>
    <col min="285" max="285" width="35.28515625" bestFit="1" customWidth="1"/>
    <col min="286" max="286" width="28.140625" bestFit="1" customWidth="1"/>
    <col min="287" max="287" width="23.7109375" bestFit="1" customWidth="1"/>
    <col min="288" max="288" width="25.140625" bestFit="1" customWidth="1"/>
    <col min="289" max="289" width="28.5703125" bestFit="1" customWidth="1"/>
    <col min="290" max="290" width="27.140625" bestFit="1" customWidth="1"/>
    <col min="291" max="291" width="34.42578125" bestFit="1" customWidth="1"/>
    <col min="292" max="292" width="25.7109375" bestFit="1" customWidth="1"/>
    <col min="293" max="293" width="29.28515625" bestFit="1" customWidth="1"/>
    <col min="294" max="294" width="42.28515625" bestFit="1" customWidth="1"/>
    <col min="295" max="295" width="18.5703125" bestFit="1" customWidth="1"/>
    <col min="296" max="296" width="13.140625" bestFit="1" customWidth="1"/>
    <col min="297" max="297" width="15.28515625" bestFit="1" customWidth="1"/>
    <col min="298" max="298" width="17.85546875" bestFit="1" customWidth="1"/>
    <col min="299" max="299" width="21.5703125" bestFit="1" customWidth="1"/>
    <col min="300" max="300" width="24.140625" bestFit="1" customWidth="1"/>
    <col min="301" max="301" width="25.140625" bestFit="1" customWidth="1"/>
    <col min="302" max="302" width="24" bestFit="1" customWidth="1"/>
    <col min="303" max="303" width="30.85546875" bestFit="1" customWidth="1"/>
    <col min="304" max="304" width="17.5703125" bestFit="1" customWidth="1"/>
    <col min="305" max="305" width="15.85546875" bestFit="1" customWidth="1"/>
    <col min="306" max="306" width="14.42578125" bestFit="1" customWidth="1"/>
    <col min="307" max="307" width="23.7109375" bestFit="1" customWidth="1"/>
    <col min="308" max="308" width="16.42578125" bestFit="1" customWidth="1"/>
    <col min="309" max="309" width="24.5703125" bestFit="1" customWidth="1"/>
    <col min="310" max="310" width="26.85546875" bestFit="1" customWidth="1"/>
    <col min="311" max="311" width="26.5703125" bestFit="1" customWidth="1"/>
    <col min="312" max="312" width="20.7109375" bestFit="1" customWidth="1"/>
    <col min="313" max="313" width="30.5703125" bestFit="1" customWidth="1"/>
    <col min="314" max="314" width="21.85546875" bestFit="1" customWidth="1"/>
    <col min="315" max="315" width="21.5703125" bestFit="1" customWidth="1"/>
    <col min="316" max="316" width="23.7109375" bestFit="1" customWidth="1"/>
    <col min="317" max="317" width="16.42578125" bestFit="1" customWidth="1"/>
    <col min="318" max="318" width="24.5703125" bestFit="1" customWidth="1"/>
    <col min="319" max="319" width="26.85546875" bestFit="1" customWidth="1"/>
    <col min="320" max="320" width="26.5703125" bestFit="1" customWidth="1"/>
    <col min="321" max="321" width="20.7109375" bestFit="1" customWidth="1"/>
    <col min="322" max="322" width="30.5703125" bestFit="1" customWidth="1"/>
    <col min="323" max="323" width="21.85546875" bestFit="1" customWidth="1"/>
    <col min="324" max="324" width="21.5703125" bestFit="1" customWidth="1"/>
    <col min="325" max="325" width="23.7109375" bestFit="1" customWidth="1"/>
    <col min="326" max="326" width="16.42578125" bestFit="1" customWidth="1"/>
    <col min="327" max="327" width="24.5703125" bestFit="1" customWidth="1"/>
    <col min="328" max="328" width="26.85546875" bestFit="1" customWidth="1"/>
    <col min="329" max="329" width="26.5703125" bestFit="1" customWidth="1"/>
    <col min="330" max="330" width="20.7109375" bestFit="1" customWidth="1"/>
    <col min="331" max="331" width="30.5703125" bestFit="1" customWidth="1"/>
    <col min="332" max="332" width="21.85546875" bestFit="1" customWidth="1"/>
    <col min="333" max="333" width="21.5703125" bestFit="1" customWidth="1"/>
    <col min="334" max="334" width="23.7109375" bestFit="1" customWidth="1"/>
    <col min="335" max="335" width="16.42578125" bestFit="1" customWidth="1"/>
    <col min="336" max="336" width="24.5703125" bestFit="1" customWidth="1"/>
    <col min="337" max="337" width="26.85546875" bestFit="1" customWidth="1"/>
    <col min="338" max="338" width="26.5703125" bestFit="1" customWidth="1"/>
    <col min="339" max="339" width="20.7109375" bestFit="1" customWidth="1"/>
    <col min="340" max="340" width="30.5703125" bestFit="1" customWidth="1"/>
    <col min="341" max="341" width="21.85546875" bestFit="1" customWidth="1"/>
    <col min="342" max="342" width="21.5703125" bestFit="1" customWidth="1"/>
    <col min="343" max="343" width="23.7109375" bestFit="1" customWidth="1"/>
    <col min="344" max="344" width="16.42578125" bestFit="1" customWidth="1"/>
    <col min="345" max="345" width="24.5703125" bestFit="1" customWidth="1"/>
    <col min="346" max="346" width="26.85546875" bestFit="1" customWidth="1"/>
    <col min="347" max="347" width="26.5703125" bestFit="1" customWidth="1"/>
    <col min="348" max="348" width="20.7109375" bestFit="1" customWidth="1"/>
    <col min="349" max="349" width="30.5703125" bestFit="1" customWidth="1"/>
    <col min="350" max="350" width="21.85546875" bestFit="1" customWidth="1"/>
    <col min="351" max="351" width="21.5703125" bestFit="1" customWidth="1"/>
    <col min="352" max="352" width="23.7109375" bestFit="1" customWidth="1"/>
    <col min="353" max="353" width="16.42578125" bestFit="1" customWidth="1"/>
    <col min="354" max="354" width="24.5703125" bestFit="1" customWidth="1"/>
    <col min="355" max="355" width="26.85546875" bestFit="1" customWidth="1"/>
    <col min="356" max="356" width="26.5703125" bestFit="1" customWidth="1"/>
    <col min="357" max="357" width="20.7109375" bestFit="1" customWidth="1"/>
    <col min="358" max="358" width="30.5703125" bestFit="1" customWidth="1"/>
    <col min="359" max="359" width="21.85546875" bestFit="1" customWidth="1"/>
    <col min="360" max="360" width="21.5703125" bestFit="1" customWidth="1"/>
    <col min="361" max="361" width="23.7109375" bestFit="1" customWidth="1"/>
    <col min="362" max="362" width="16.42578125" bestFit="1" customWidth="1"/>
    <col min="363" max="363" width="24.5703125" bestFit="1" customWidth="1"/>
    <col min="364" max="364" width="26.85546875" bestFit="1" customWidth="1"/>
    <col min="365" max="365" width="26.5703125" bestFit="1" customWidth="1"/>
    <col min="366" max="366" width="20.7109375" bestFit="1" customWidth="1"/>
    <col min="367" max="367" width="30.5703125" bestFit="1" customWidth="1"/>
    <col min="368" max="368" width="21.85546875" bestFit="1" customWidth="1"/>
    <col min="369" max="369" width="21.5703125" bestFit="1" customWidth="1"/>
    <col min="370" max="370" width="23.7109375" bestFit="1" customWidth="1"/>
    <col min="371" max="371" width="16.42578125" bestFit="1" customWidth="1"/>
    <col min="372" max="372" width="24.5703125" bestFit="1" customWidth="1"/>
    <col min="373" max="373" width="26.85546875" bestFit="1" customWidth="1"/>
    <col min="374" max="374" width="26.5703125" bestFit="1" customWidth="1"/>
    <col min="375" max="375" width="20.7109375" bestFit="1" customWidth="1"/>
    <col min="376" max="376" width="30.5703125" bestFit="1" customWidth="1"/>
    <col min="377" max="377" width="21.85546875" bestFit="1" customWidth="1"/>
    <col min="378" max="378" width="21.5703125" bestFit="1" customWidth="1"/>
    <col min="379" max="379" width="9.140625" bestFit="1" customWidth="1"/>
    <col min="380" max="380" width="30.28515625" bestFit="1" customWidth="1"/>
  </cols>
  <sheetData>
    <row r="1" spans="1:380" s="205" customFormat="1" ht="18" customHeight="1">
      <c r="A1" s="213" t="s">
        <v>1867</v>
      </c>
      <c r="B1" s="214" t="s">
        <v>1868</v>
      </c>
      <c r="C1" s="214" t="s">
        <v>1869</v>
      </c>
      <c r="D1" s="214" t="s">
        <v>1870</v>
      </c>
      <c r="E1" s="215" t="s">
        <v>779</v>
      </c>
      <c r="F1" s="215" t="s">
        <v>1871</v>
      </c>
      <c r="G1" s="215" t="s">
        <v>201</v>
      </c>
      <c r="H1" s="215" t="s">
        <v>1772</v>
      </c>
      <c r="I1" s="215" t="s">
        <v>1872</v>
      </c>
      <c r="J1" s="215" t="s">
        <v>263</v>
      </c>
      <c r="K1" s="492" t="s">
        <v>1873</v>
      </c>
      <c r="L1" s="216" t="s">
        <v>1874</v>
      </c>
      <c r="M1" s="215" t="s">
        <v>1875</v>
      </c>
      <c r="N1" s="213" t="s">
        <v>1876</v>
      </c>
      <c r="O1" s="214" t="s">
        <v>230</v>
      </c>
      <c r="P1" s="214" t="s">
        <v>1877</v>
      </c>
      <c r="Q1" s="214" t="s">
        <v>732</v>
      </c>
      <c r="R1" s="480" t="s">
        <v>1878</v>
      </c>
      <c r="S1" s="214" t="s">
        <v>1879</v>
      </c>
      <c r="T1" s="214" t="s">
        <v>1880</v>
      </c>
      <c r="U1" s="480" t="s">
        <v>1881</v>
      </c>
      <c r="V1" s="214" t="s">
        <v>1882</v>
      </c>
      <c r="W1" s="214" t="s">
        <v>1414</v>
      </c>
      <c r="X1" s="214" t="s">
        <v>1451</v>
      </c>
      <c r="Y1" s="214" t="s">
        <v>1883</v>
      </c>
      <c r="Z1" s="214" t="s">
        <v>1884</v>
      </c>
      <c r="AA1" s="214" t="s">
        <v>1885</v>
      </c>
      <c r="AB1" s="214" t="s">
        <v>1886</v>
      </c>
      <c r="AC1" s="214" t="s">
        <v>1887</v>
      </c>
      <c r="AD1" s="214" t="s">
        <v>1888</v>
      </c>
      <c r="AE1" s="480" t="s">
        <v>1889</v>
      </c>
      <c r="AF1" s="480" t="s">
        <v>1890</v>
      </c>
      <c r="AG1" s="480" t="s">
        <v>1427</v>
      </c>
      <c r="AH1" s="480" t="s">
        <v>1891</v>
      </c>
      <c r="AI1" s="214" t="s">
        <v>1437</v>
      </c>
      <c r="AJ1" s="480" t="s">
        <v>1892</v>
      </c>
      <c r="AK1" s="214" t="s">
        <v>1438</v>
      </c>
      <c r="AL1" s="214" t="s">
        <v>1439</v>
      </c>
      <c r="AM1" s="480" t="s">
        <v>1893</v>
      </c>
      <c r="AN1" s="214" t="s">
        <v>1894</v>
      </c>
      <c r="AO1" s="214" t="s">
        <v>1895</v>
      </c>
      <c r="AP1" s="214" t="s">
        <v>1896</v>
      </c>
      <c r="AQ1" s="214" t="s">
        <v>1897</v>
      </c>
      <c r="AR1" s="214" t="s">
        <v>1898</v>
      </c>
      <c r="AS1" s="214" t="s">
        <v>1899</v>
      </c>
      <c r="AT1" s="214" t="s">
        <v>1900</v>
      </c>
      <c r="AU1" s="214" t="s">
        <v>1901</v>
      </c>
      <c r="AV1" s="214" t="s">
        <v>1902</v>
      </c>
      <c r="AW1" s="214" t="s">
        <v>1903</v>
      </c>
      <c r="AX1" s="214" t="s">
        <v>1904</v>
      </c>
      <c r="AY1" s="214" t="s">
        <v>1905</v>
      </c>
      <c r="AZ1" s="214" t="s">
        <v>1906</v>
      </c>
      <c r="BA1" s="214" t="s">
        <v>1907</v>
      </c>
      <c r="BB1" s="214" t="s">
        <v>1908</v>
      </c>
      <c r="BC1" s="214" t="s">
        <v>1909</v>
      </c>
      <c r="BD1" s="214" t="s">
        <v>1910</v>
      </c>
      <c r="BE1" s="214" t="s">
        <v>1911</v>
      </c>
      <c r="BF1" s="214" t="s">
        <v>1912</v>
      </c>
      <c r="BG1" s="480" t="s">
        <v>1913</v>
      </c>
      <c r="BH1" s="480" t="s">
        <v>1914</v>
      </c>
      <c r="BI1" s="480" t="s">
        <v>1915</v>
      </c>
      <c r="BJ1" s="480" t="s">
        <v>1916</v>
      </c>
      <c r="BK1" s="480" t="s">
        <v>1917</v>
      </c>
      <c r="BL1" s="480" t="s">
        <v>1918</v>
      </c>
      <c r="BM1" s="214" t="s">
        <v>1919</v>
      </c>
      <c r="BN1" s="214" t="s">
        <v>1920</v>
      </c>
      <c r="BO1" s="480" t="s">
        <v>1921</v>
      </c>
      <c r="BP1" s="214" t="s">
        <v>1922</v>
      </c>
      <c r="BQ1" s="214" t="s">
        <v>1923</v>
      </c>
      <c r="BR1" s="214" t="s">
        <v>1407</v>
      </c>
      <c r="BS1" s="214" t="s">
        <v>1444</v>
      </c>
      <c r="BT1" s="214" t="s">
        <v>1924</v>
      </c>
      <c r="BU1" s="214" t="s">
        <v>223</v>
      </c>
      <c r="BV1" s="214" t="s">
        <v>224</v>
      </c>
      <c r="BW1" s="214" t="s">
        <v>1925</v>
      </c>
      <c r="BX1" s="214" t="s">
        <v>1430</v>
      </c>
      <c r="BY1" s="214" t="s">
        <v>1432</v>
      </c>
      <c r="BZ1" s="213" t="s">
        <v>1926</v>
      </c>
      <c r="CA1" s="213" t="s">
        <v>1927</v>
      </c>
      <c r="CB1" s="484" t="s">
        <v>1928</v>
      </c>
      <c r="CC1" s="484" t="s">
        <v>1929</v>
      </c>
      <c r="CD1" s="484" t="s">
        <v>1930</v>
      </c>
      <c r="CE1" s="217" t="s">
        <v>1931</v>
      </c>
      <c r="CF1" s="214" t="s">
        <v>1932</v>
      </c>
      <c r="CG1" s="214" t="s">
        <v>1933</v>
      </c>
      <c r="CH1" s="214" t="s">
        <v>1934</v>
      </c>
      <c r="CI1" s="214" t="s">
        <v>1935</v>
      </c>
      <c r="CJ1" s="214" t="s">
        <v>1936</v>
      </c>
      <c r="CK1" s="214" t="s">
        <v>1937</v>
      </c>
      <c r="CL1" s="214" t="s">
        <v>1938</v>
      </c>
      <c r="CM1" s="214" t="s">
        <v>1939</v>
      </c>
      <c r="CN1" s="217" t="s">
        <v>1931</v>
      </c>
      <c r="CO1" s="214" t="s">
        <v>1940</v>
      </c>
      <c r="CP1" s="480" t="s">
        <v>1941</v>
      </c>
      <c r="CQ1" s="217" t="s">
        <v>1931</v>
      </c>
      <c r="CR1" s="215" t="s">
        <v>1942</v>
      </c>
      <c r="CS1" s="215" t="s">
        <v>1943</v>
      </c>
      <c r="CT1" s="214" t="s">
        <v>1944</v>
      </c>
      <c r="CU1" s="214" t="s">
        <v>1945</v>
      </c>
      <c r="CV1" s="214" t="s">
        <v>1946</v>
      </c>
      <c r="CW1" s="214" t="s">
        <v>259</v>
      </c>
      <c r="CX1" s="680" t="s">
        <v>1947</v>
      </c>
      <c r="CY1" s="680" t="s">
        <v>1948</v>
      </c>
      <c r="CZ1" s="680" t="s">
        <v>1949</v>
      </c>
      <c r="DA1" s="680" t="s">
        <v>1950</v>
      </c>
      <c r="DB1" s="680" t="s">
        <v>1951</v>
      </c>
      <c r="DC1" s="680" t="s">
        <v>1952</v>
      </c>
      <c r="DD1" s="704" t="s">
        <v>1953</v>
      </c>
      <c r="DE1" s="650" t="s">
        <v>1954</v>
      </c>
      <c r="DF1" s="650" t="s">
        <v>1955</v>
      </c>
      <c r="DG1" s="650" t="s">
        <v>1956</v>
      </c>
      <c r="DH1" s="650" t="s">
        <v>1957</v>
      </c>
      <c r="DI1" s="650" t="s">
        <v>1958</v>
      </c>
      <c r="DJ1" s="650" t="s">
        <v>1959</v>
      </c>
      <c r="DK1" s="650" t="s">
        <v>1960</v>
      </c>
      <c r="DL1" s="650" t="s">
        <v>1961</v>
      </c>
      <c r="DM1" s="650" t="s">
        <v>1962</v>
      </c>
      <c r="DN1" s="650" t="s">
        <v>1963</v>
      </c>
      <c r="DO1" s="650" t="s">
        <v>1964</v>
      </c>
      <c r="DP1" s="650" t="s">
        <v>1965</v>
      </c>
      <c r="DQ1" s="650" t="s">
        <v>1966</v>
      </c>
      <c r="DR1" s="650" t="s">
        <v>1967</v>
      </c>
      <c r="DS1" s="650" t="s">
        <v>1968</v>
      </c>
      <c r="DT1" s="650" t="s">
        <v>1969</v>
      </c>
      <c r="DU1" s="663" t="s">
        <v>1970</v>
      </c>
      <c r="DV1" s="663" t="s">
        <v>1971</v>
      </c>
      <c r="DW1" s="663" t="s">
        <v>1972</v>
      </c>
      <c r="DX1" s="663" t="s">
        <v>1973</v>
      </c>
      <c r="DY1" s="663" t="s">
        <v>1974</v>
      </c>
      <c r="DZ1" s="663" t="s">
        <v>1975</v>
      </c>
      <c r="EA1" s="663" t="s">
        <v>1976</v>
      </c>
      <c r="EB1" s="663" t="s">
        <v>1977</v>
      </c>
      <c r="EC1" s="663" t="s">
        <v>1978</v>
      </c>
      <c r="ED1" s="663" t="s">
        <v>1979</v>
      </c>
      <c r="EE1" s="663" t="s">
        <v>1980</v>
      </c>
      <c r="EF1" s="663" t="s">
        <v>1981</v>
      </c>
      <c r="EG1" s="663" t="s">
        <v>1982</v>
      </c>
      <c r="EH1" s="663" t="s">
        <v>1983</v>
      </c>
      <c r="EI1" s="663" t="s">
        <v>1984</v>
      </c>
      <c r="EJ1" s="663" t="s">
        <v>1985</v>
      </c>
      <c r="EK1" s="663" t="s">
        <v>1986</v>
      </c>
      <c r="EL1" s="663" t="s">
        <v>1987</v>
      </c>
      <c r="EM1" s="663" t="s">
        <v>1988</v>
      </c>
      <c r="EN1" s="663" t="s">
        <v>1989</v>
      </c>
      <c r="EO1" s="663" t="s">
        <v>1990</v>
      </c>
      <c r="EP1" s="663" t="s">
        <v>1991</v>
      </c>
      <c r="EQ1" s="663" t="s">
        <v>1992</v>
      </c>
      <c r="ER1" s="663" t="s">
        <v>1993</v>
      </c>
      <c r="ES1" s="663" t="s">
        <v>1994</v>
      </c>
      <c r="ET1" s="663" t="s">
        <v>1995</v>
      </c>
      <c r="EU1" s="663" t="s">
        <v>1996</v>
      </c>
      <c r="EV1" s="663" t="s">
        <v>1997</v>
      </c>
      <c r="EW1" s="663" t="s">
        <v>1998</v>
      </c>
      <c r="EX1" s="663" t="s">
        <v>1999</v>
      </c>
      <c r="EY1" s="663" t="s">
        <v>2000</v>
      </c>
      <c r="EZ1" s="663" t="s">
        <v>1477</v>
      </c>
      <c r="FA1" s="663" t="s">
        <v>1478</v>
      </c>
      <c r="FB1" s="663" t="s">
        <v>1479</v>
      </c>
      <c r="FC1" s="663" t="s">
        <v>1480</v>
      </c>
      <c r="FD1" s="663" t="s">
        <v>1481</v>
      </c>
      <c r="FE1" s="663" t="s">
        <v>1482</v>
      </c>
      <c r="FF1" s="663" t="s">
        <v>1483</v>
      </c>
      <c r="FG1" s="663" t="s">
        <v>2001</v>
      </c>
      <c r="FH1" s="663" t="s">
        <v>2002</v>
      </c>
      <c r="FI1" s="663" t="s">
        <v>1486</v>
      </c>
      <c r="FJ1" s="663" t="s">
        <v>1487</v>
      </c>
      <c r="FK1" s="663" t="s">
        <v>1488</v>
      </c>
      <c r="FL1" s="663" t="s">
        <v>1489</v>
      </c>
      <c r="FM1" s="663" t="s">
        <v>1490</v>
      </c>
      <c r="FN1" s="215" t="s">
        <v>2003</v>
      </c>
      <c r="FO1" s="214" t="s">
        <v>2004</v>
      </c>
      <c r="FP1" s="214" t="s">
        <v>2005</v>
      </c>
      <c r="FQ1" s="214" t="s">
        <v>2006</v>
      </c>
      <c r="FR1" s="214" t="s">
        <v>2007</v>
      </c>
      <c r="FS1" s="214" t="s">
        <v>2008</v>
      </c>
      <c r="FT1" s="215" t="s">
        <v>1726</v>
      </c>
      <c r="FU1" s="217" t="s">
        <v>1931</v>
      </c>
      <c r="FV1" s="215" t="s">
        <v>2009</v>
      </c>
      <c r="FW1" s="215" t="s">
        <v>2010</v>
      </c>
      <c r="FX1" s="215" t="s">
        <v>2011</v>
      </c>
      <c r="FY1" s="217" t="s">
        <v>1931</v>
      </c>
      <c r="FZ1" s="215" t="s">
        <v>2012</v>
      </c>
      <c r="GA1" s="215" t="s">
        <v>769</v>
      </c>
      <c r="GB1" s="215" t="s">
        <v>770</v>
      </c>
      <c r="GC1" s="217" t="s">
        <v>1931</v>
      </c>
      <c r="GD1" s="215" t="s">
        <v>718</v>
      </c>
      <c r="GE1" s="215" t="s">
        <v>2013</v>
      </c>
      <c r="GF1" s="215" t="s">
        <v>2014</v>
      </c>
      <c r="GG1" s="215" t="s">
        <v>2015</v>
      </c>
      <c r="GH1" s="215" t="s">
        <v>2016</v>
      </c>
      <c r="GI1" s="215" t="s">
        <v>716</v>
      </c>
      <c r="GJ1" s="215" t="s">
        <v>2017</v>
      </c>
      <c r="GK1" s="215" t="s">
        <v>2018</v>
      </c>
      <c r="GL1" s="215" t="s">
        <v>2019</v>
      </c>
      <c r="GM1" s="215" t="s">
        <v>2020</v>
      </c>
      <c r="GN1" s="215" t="s">
        <v>725</v>
      </c>
      <c r="GO1" s="215" t="s">
        <v>726</v>
      </c>
      <c r="GP1" s="215" t="s">
        <v>727</v>
      </c>
      <c r="GQ1" s="214" t="s">
        <v>2021</v>
      </c>
      <c r="GR1" s="215" t="s">
        <v>729</v>
      </c>
      <c r="GS1" s="215" t="s">
        <v>730</v>
      </c>
      <c r="GT1" s="214" t="s">
        <v>2022</v>
      </c>
      <c r="GU1" s="214" t="s">
        <v>719</v>
      </c>
      <c r="GV1" s="480" t="s">
        <v>2023</v>
      </c>
      <c r="GW1" s="214" t="s">
        <v>733</v>
      </c>
      <c r="GX1" s="214" t="s">
        <v>735</v>
      </c>
      <c r="GY1" s="214" t="s">
        <v>736</v>
      </c>
      <c r="GZ1" s="214" t="s">
        <v>737</v>
      </c>
      <c r="HA1" s="214" t="s">
        <v>738</v>
      </c>
      <c r="HB1" s="214" t="s">
        <v>739</v>
      </c>
      <c r="HC1" s="214" t="s">
        <v>740</v>
      </c>
      <c r="HD1" s="214" t="s">
        <v>2024</v>
      </c>
      <c r="HE1" s="214" t="s">
        <v>744</v>
      </c>
      <c r="HF1" s="215" t="s">
        <v>745</v>
      </c>
      <c r="HG1" s="214" t="s">
        <v>746</v>
      </c>
      <c r="HH1" s="214" t="s">
        <v>747</v>
      </c>
      <c r="HI1" s="214" t="s">
        <v>748</v>
      </c>
      <c r="HJ1" s="214" t="s">
        <v>742</v>
      </c>
      <c r="HK1" s="217" t="s">
        <v>1931</v>
      </c>
      <c r="HL1" s="215" t="s">
        <v>1533</v>
      </c>
      <c r="HM1" s="215" t="s">
        <v>2025</v>
      </c>
      <c r="HN1" s="215" t="s">
        <v>2026</v>
      </c>
      <c r="HO1" s="215" t="s">
        <v>2027</v>
      </c>
      <c r="HP1" s="215" t="s">
        <v>2028</v>
      </c>
      <c r="HQ1" s="213" t="s">
        <v>2029</v>
      </c>
      <c r="HR1" s="213" t="s">
        <v>2030</v>
      </c>
      <c r="HS1" s="213" t="s">
        <v>2031</v>
      </c>
      <c r="HT1" s="213" t="s">
        <v>2032</v>
      </c>
      <c r="HU1" s="213" t="s">
        <v>2033</v>
      </c>
      <c r="HV1" s="213" t="s">
        <v>2034</v>
      </c>
      <c r="HW1" s="215" t="s">
        <v>765</v>
      </c>
      <c r="HX1" s="213" t="s">
        <v>2035</v>
      </c>
      <c r="HY1" s="213" t="s">
        <v>2036</v>
      </c>
      <c r="HZ1" s="213" t="s">
        <v>2037</v>
      </c>
      <c r="IA1" s="213" t="s">
        <v>2038</v>
      </c>
      <c r="IB1" s="213" t="s">
        <v>2039</v>
      </c>
      <c r="IC1" s="213" t="s">
        <v>2040</v>
      </c>
      <c r="ID1" s="217" t="s">
        <v>1931</v>
      </c>
      <c r="IE1" s="215" t="s">
        <v>2041</v>
      </c>
      <c r="IF1" s="215" t="s">
        <v>2042</v>
      </c>
      <c r="IG1" s="215" t="s">
        <v>2043</v>
      </c>
      <c r="IH1" s="215" t="s">
        <v>2044</v>
      </c>
      <c r="II1" s="215" t="s">
        <v>2045</v>
      </c>
      <c r="IJ1" s="213" t="s">
        <v>2046</v>
      </c>
      <c r="IK1" s="213" t="s">
        <v>2047</v>
      </c>
      <c r="IL1" s="213" t="s">
        <v>2048</v>
      </c>
      <c r="IM1" s="213" t="s">
        <v>2049</v>
      </c>
      <c r="IN1" s="213" t="s">
        <v>2050</v>
      </c>
      <c r="IO1" s="213" t="s">
        <v>2051</v>
      </c>
      <c r="IP1" s="213" t="s">
        <v>2052</v>
      </c>
      <c r="IQ1" s="213" t="s">
        <v>2053</v>
      </c>
      <c r="IR1" s="213" t="s">
        <v>2054</v>
      </c>
      <c r="IS1" s="213" t="s">
        <v>2055</v>
      </c>
      <c r="IT1" s="213" t="s">
        <v>2056</v>
      </c>
      <c r="IU1" s="213" t="s">
        <v>2057</v>
      </c>
      <c r="IV1" s="217" t="s">
        <v>1931</v>
      </c>
      <c r="IW1" s="214" t="s">
        <v>2058</v>
      </c>
      <c r="IX1" s="214" t="s">
        <v>1711</v>
      </c>
      <c r="IY1" s="214" t="s">
        <v>1496</v>
      </c>
      <c r="IZ1" s="214" t="s">
        <v>1815</v>
      </c>
      <c r="JA1" s="214" t="s">
        <v>2059</v>
      </c>
      <c r="JB1" s="214" t="s">
        <v>2060</v>
      </c>
      <c r="JC1" s="214" t="s">
        <v>2061</v>
      </c>
      <c r="JD1" s="214" t="s">
        <v>2062</v>
      </c>
      <c r="JE1" s="214" t="s">
        <v>2063</v>
      </c>
      <c r="JF1" s="214" t="s">
        <v>1814</v>
      </c>
      <c r="JG1" s="214" t="s">
        <v>2064</v>
      </c>
      <c r="JH1" s="214" t="s">
        <v>2065</v>
      </c>
      <c r="JI1" s="217" t="s">
        <v>1931</v>
      </c>
      <c r="JJ1" s="214" t="s">
        <v>2066</v>
      </c>
      <c r="JK1" s="214" t="s">
        <v>2067</v>
      </c>
      <c r="JL1" s="214" t="s">
        <v>2068</v>
      </c>
      <c r="JM1" s="214" t="s">
        <v>2069</v>
      </c>
      <c r="JN1" s="214" t="s">
        <v>2070</v>
      </c>
      <c r="JO1" s="214" t="s">
        <v>2071</v>
      </c>
      <c r="JP1" s="214" t="s">
        <v>2072</v>
      </c>
      <c r="JQ1" s="214" t="s">
        <v>2073</v>
      </c>
      <c r="JR1" s="214" t="s">
        <v>2074</v>
      </c>
      <c r="JS1" s="214" t="s">
        <v>2075</v>
      </c>
      <c r="JT1" s="214" t="s">
        <v>2076</v>
      </c>
      <c r="JU1" s="214" t="s">
        <v>2077</v>
      </c>
      <c r="JV1" s="214" t="s">
        <v>2078</v>
      </c>
      <c r="JW1" s="214" t="s">
        <v>2079</v>
      </c>
      <c r="JX1" s="215" t="s">
        <v>2080</v>
      </c>
      <c r="JY1" s="214" t="s">
        <v>2081</v>
      </c>
      <c r="JZ1" s="214" t="s">
        <v>2082</v>
      </c>
      <c r="KA1" s="214" t="s">
        <v>2083</v>
      </c>
      <c r="KB1" s="214" t="s">
        <v>2084</v>
      </c>
      <c r="KC1" s="214" t="s">
        <v>2085</v>
      </c>
      <c r="KD1" s="214" t="s">
        <v>2086</v>
      </c>
      <c r="KE1" s="214" t="s">
        <v>2087</v>
      </c>
      <c r="KF1" s="214" t="s">
        <v>2088</v>
      </c>
      <c r="KG1" s="214" t="s">
        <v>2089</v>
      </c>
      <c r="KH1" s="214" t="s">
        <v>2090</v>
      </c>
      <c r="KI1" s="214" t="s">
        <v>2091</v>
      </c>
      <c r="KJ1" s="215" t="s">
        <v>2092</v>
      </c>
      <c r="KK1" s="215" t="s">
        <v>2093</v>
      </c>
      <c r="KL1" s="215" t="s">
        <v>2094</v>
      </c>
      <c r="KM1" s="215" t="s">
        <v>2095</v>
      </c>
      <c r="KN1" s="215" t="s">
        <v>2096</v>
      </c>
      <c r="KO1" s="215" t="s">
        <v>1754</v>
      </c>
      <c r="KP1" s="215" t="s">
        <v>1769</v>
      </c>
      <c r="KQ1" s="652" t="s">
        <v>2097</v>
      </c>
      <c r="KR1" s="652" t="s">
        <v>2098</v>
      </c>
      <c r="KS1" s="652" t="s">
        <v>2099</v>
      </c>
      <c r="KT1" s="652" t="s">
        <v>2100</v>
      </c>
      <c r="KU1" s="652" t="s">
        <v>2101</v>
      </c>
      <c r="KV1" s="653" t="s">
        <v>2102</v>
      </c>
      <c r="KW1" s="653" t="s">
        <v>2103</v>
      </c>
      <c r="KX1" s="653" t="s">
        <v>2104</v>
      </c>
      <c r="KY1" s="653" t="s">
        <v>2105</v>
      </c>
      <c r="KZ1" s="653" t="s">
        <v>2106</v>
      </c>
      <c r="LA1" s="653" t="s">
        <v>2107</v>
      </c>
      <c r="LB1" s="653" t="s">
        <v>2108</v>
      </c>
      <c r="LC1" s="653" t="s">
        <v>2109</v>
      </c>
      <c r="LD1" s="652" t="s">
        <v>2110</v>
      </c>
      <c r="LE1" s="653" t="s">
        <v>2111</v>
      </c>
      <c r="LF1" s="653" t="s">
        <v>2112</v>
      </c>
      <c r="LG1" s="653" t="s">
        <v>2113</v>
      </c>
      <c r="LH1" s="653" t="s">
        <v>2114</v>
      </c>
      <c r="LI1" s="653" t="s">
        <v>2115</v>
      </c>
      <c r="LJ1" s="653" t="s">
        <v>2116</v>
      </c>
      <c r="LK1" s="653" t="s">
        <v>2117</v>
      </c>
      <c r="LL1" s="653" t="s">
        <v>2118</v>
      </c>
      <c r="LM1" s="652" t="s">
        <v>2119</v>
      </c>
      <c r="LN1" s="653" t="s">
        <v>2120</v>
      </c>
      <c r="LO1" s="653" t="s">
        <v>2121</v>
      </c>
      <c r="LP1" s="653" t="s">
        <v>2122</v>
      </c>
      <c r="LQ1" s="653" t="s">
        <v>2123</v>
      </c>
      <c r="LR1" s="653" t="s">
        <v>2124</v>
      </c>
      <c r="LS1" s="653" t="s">
        <v>2125</v>
      </c>
      <c r="LT1" s="653" t="s">
        <v>2126</v>
      </c>
      <c r="LU1" s="653" t="s">
        <v>2127</v>
      </c>
      <c r="LV1" s="652" t="s">
        <v>2128</v>
      </c>
      <c r="LW1" s="653" t="s">
        <v>2129</v>
      </c>
      <c r="LX1" s="653" t="s">
        <v>2130</v>
      </c>
      <c r="LY1" s="653" t="s">
        <v>2131</v>
      </c>
      <c r="LZ1" s="653" t="s">
        <v>2132</v>
      </c>
      <c r="MA1" s="653" t="s">
        <v>2133</v>
      </c>
      <c r="MB1" s="653" t="s">
        <v>2134</v>
      </c>
      <c r="MC1" s="653" t="s">
        <v>2135</v>
      </c>
      <c r="MD1" s="653" t="s">
        <v>2136</v>
      </c>
      <c r="ME1" s="652" t="s">
        <v>2137</v>
      </c>
      <c r="MF1" s="653" t="s">
        <v>2138</v>
      </c>
      <c r="MG1" s="653" t="s">
        <v>2139</v>
      </c>
      <c r="MH1" s="653" t="s">
        <v>2140</v>
      </c>
      <c r="MI1" s="653" t="s">
        <v>2141</v>
      </c>
      <c r="MJ1" s="653" t="s">
        <v>2142</v>
      </c>
      <c r="MK1" s="653" t="s">
        <v>2143</v>
      </c>
      <c r="ML1" s="653" t="s">
        <v>2144</v>
      </c>
      <c r="MM1" s="653" t="s">
        <v>2145</v>
      </c>
      <c r="MN1" s="652" t="s">
        <v>2146</v>
      </c>
      <c r="MO1" s="653" t="s">
        <v>2147</v>
      </c>
      <c r="MP1" s="653" t="s">
        <v>2148</v>
      </c>
      <c r="MQ1" s="653" t="s">
        <v>2149</v>
      </c>
      <c r="MR1" s="653" t="s">
        <v>2150</v>
      </c>
      <c r="MS1" s="653" t="s">
        <v>2151</v>
      </c>
      <c r="MT1" s="653" t="s">
        <v>2152</v>
      </c>
      <c r="MU1" s="653" t="s">
        <v>2153</v>
      </c>
      <c r="MV1" s="653" t="s">
        <v>2154</v>
      </c>
      <c r="MW1" s="652" t="s">
        <v>2155</v>
      </c>
      <c r="MX1" s="653" t="s">
        <v>2156</v>
      </c>
      <c r="MY1" s="653" t="s">
        <v>2157</v>
      </c>
      <c r="MZ1" s="653" t="s">
        <v>2158</v>
      </c>
      <c r="NA1" s="653" t="s">
        <v>2159</v>
      </c>
      <c r="NB1" s="653" t="s">
        <v>2160</v>
      </c>
      <c r="NC1" s="653" t="s">
        <v>2161</v>
      </c>
      <c r="ND1" s="653" t="s">
        <v>2162</v>
      </c>
      <c r="NE1" s="653" t="s">
        <v>2163</v>
      </c>
      <c r="NF1" s="652" t="s">
        <v>2164</v>
      </c>
      <c r="NG1" s="653" t="s">
        <v>2165</v>
      </c>
      <c r="NH1" s="653" t="s">
        <v>2166</v>
      </c>
      <c r="NI1" s="653" t="s">
        <v>2167</v>
      </c>
      <c r="NJ1" s="653" t="s">
        <v>2168</v>
      </c>
      <c r="NK1" s="653" t="s">
        <v>2169</v>
      </c>
      <c r="NL1" s="653" t="s">
        <v>2170</v>
      </c>
      <c r="NM1" s="653" t="s">
        <v>2171</v>
      </c>
      <c r="NN1" s="653" t="s">
        <v>2172</v>
      </c>
      <c r="NO1" s="661" t="s">
        <v>2173</v>
      </c>
      <c r="NP1" s="699" t="s">
        <v>2174</v>
      </c>
    </row>
    <row r="2" spans="1:380">
      <c r="A2">
        <f>IFERROR(PROJID,"")</f>
        <v>0</v>
      </c>
      <c r="CV2">
        <f>CBALL</f>
        <v>0</v>
      </c>
      <c r="CW2">
        <f>PAYALL</f>
        <v>0</v>
      </c>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FO2" t="str">
        <f>IFERROR(IF(PROJID="","",PROJID),"")</f>
        <v/>
      </c>
      <c r="FP2" t="str">
        <f>IFERROR(IF(VERSION="","",VERSION),"")</f>
        <v>V1.0          Effective Date 1/1/25</v>
      </c>
      <c r="FQ2" t="str">
        <f>IFERROR(IF(M05S07F11="","",M05S07F11),"")</f>
        <v/>
      </c>
      <c r="FR2" t="str">
        <f>IFERROR(IF(M05S07F07="","",M05S07F07),"")</f>
        <v>Custom</v>
      </c>
      <c r="FS2" t="str">
        <f>IFERROR(IF(M05S07F10="","",M05S07F10),"")</f>
        <v>Downstream</v>
      </c>
      <c r="FT2" s="6">
        <f>IFERROR(IF(Cost_Total_All="","",Cost_Total_All),"")</f>
        <v>0</v>
      </c>
      <c r="FV2" t="str">
        <f>IFERROR(IF(M01S02F01="","",M01S02F01),"")</f>
        <v/>
      </c>
      <c r="FW2" t="str">
        <f>IFERROR(IF(M01S02F02="","",M01S02F02),"")</f>
        <v/>
      </c>
      <c r="FX2" t="str">
        <f>IFERROR(IF(EmailPlatformSelection="","",EmailPlatformSelection),"")</f>
        <v/>
      </c>
      <c r="FZ2" t="str">
        <f>IFERROR(IF(M02S01F01="","",M02S01F01),"")</f>
        <v/>
      </c>
      <c r="GA2" t="str">
        <f>IFERROR(IF(M02S01F02="","",M02S01F02),"")</f>
        <v/>
      </c>
      <c r="GB2" s="486" t="str">
        <f>IFERROR(IF(M02S01F03="","",M02S01F03),"")</f>
        <v/>
      </c>
      <c r="GD2" t="str">
        <f>IFERROR(IF(M02S02F02="","",M02S02F02),"")</f>
        <v/>
      </c>
      <c r="GE2" t="str">
        <f>IFERROR(IF(M02S02F03="","",M02S02F03),"")</f>
        <v/>
      </c>
      <c r="GF2" t="str">
        <f>IFERROR(IF(M02S02F06="","",M02S02F06),"")</f>
        <v/>
      </c>
      <c r="GG2" t="str">
        <f>IFERROR(IF(M02S02F07="","",M02S02F07),"")</f>
        <v>NJ</v>
      </c>
      <c r="GH2" s="11" t="str">
        <f>IFERROR(IF(M02S02F08="","",TEXT(M02S02F08,"00000")),"")</f>
        <v/>
      </c>
      <c r="GI2" t="str">
        <f>IFERROR(IF(M02S02F01="","",M02S02F01),"")</f>
        <v/>
      </c>
      <c r="GJ2" t="str">
        <f>IFERROR(IF(M02S02F04="","",M02S02F04),"")</f>
        <v/>
      </c>
      <c r="GK2" t="str">
        <f>IFERROR(IF(M02S02F09="","",M02S02F09),"")</f>
        <v/>
      </c>
      <c r="GL2" t="str">
        <f>IFERROR(IF(M02S02F10="","",M02S02F10),"")</f>
        <v/>
      </c>
      <c r="GM2" s="11" t="str">
        <f>IFERROR(IF(M02S02F11="","",TEXT(M02S02F11,"00000")),"")</f>
        <v/>
      </c>
      <c r="GN2" t="str">
        <f>IFERROR(IF(M02S02F12="","",M02S02F12),"")</f>
        <v/>
      </c>
      <c r="GO2" t="str">
        <f>IFERROR(IF(M02S02F13="","",M02S02F13),"")</f>
        <v/>
      </c>
      <c r="GP2" s="11" t="str">
        <f>IFERROR(IF(M02S02F13="PSE&amp;G",IF(M02S02F14="","",M02S02F14),""),"")</f>
        <v/>
      </c>
      <c r="GQ2" s="11" t="str">
        <f>IFERROR(IF(M02S02F13&lt;&gt;"PSE&amp;G",IF(M02S02F14="","",M02S02F14),""),"")</f>
        <v/>
      </c>
      <c r="GR2" t="str">
        <f>IFERROR(M02S02F15,"")</f>
        <v/>
      </c>
      <c r="GS2" s="11" t="str">
        <f>IFERROR(IF(M02S02F15="PSE&amp;G",IF(M02S02F16="","",M02S02F16),""),"")</f>
        <v/>
      </c>
      <c r="GT2" s="11" t="str">
        <f>IFERROR(IF(M02S02F15&lt;&gt;"PSE&amp;G",IF(M02S02F16="","",M02S02F16),""),"")</f>
        <v/>
      </c>
      <c r="GU2" t="str">
        <f>IFERROR(IF(M02S02F05="","",M02S02F05),"")</f>
        <v/>
      </c>
      <c r="GV2" t="str">
        <f>IFERROR(IF(BuildingInfo_Building_Type="","",BuildingInfo_Building_Type),"")</f>
        <v/>
      </c>
      <c r="GW2" t="str">
        <f>IFERROR(IF(M02S02F18="","",M02S02F18),"")</f>
        <v/>
      </c>
      <c r="GX2" t="str">
        <f>IFERROR(IF(M02S02F19="","",M02S02F19),"")</f>
        <v/>
      </c>
      <c r="GY2" t="str">
        <f>IFERROR(IF(M02S02F20="","",M02S02F20),"")</f>
        <v/>
      </c>
      <c r="GZ2" t="str">
        <f>IFERROR(IF(M02S02F21="","",M02S02F21),"")</f>
        <v/>
      </c>
      <c r="HA2" t="str">
        <f>IFERROR(IF(M02S02F22="","",M02S02F22),"")</f>
        <v/>
      </c>
      <c r="HB2" t="str">
        <f>IFERROR(IF(M02S02F23="","",M02S02F23),"")</f>
        <v/>
      </c>
      <c r="HC2" t="str">
        <f>IFERROR(IF(M02S02F24="","",M02S02F24),"")</f>
        <v/>
      </c>
      <c r="HD2" t="str">
        <f>IFERROR(IF(M02S02F25="","",M02S02F25),"")</f>
        <v/>
      </c>
      <c r="HE2" t="str">
        <f>IFERROR(IF(M02S02F26="","",M02S02F26),"")</f>
        <v/>
      </c>
      <c r="HF2" t="str">
        <f>IFERROR(IF(M02S02F27="","",M02S02F27),"")</f>
        <v/>
      </c>
      <c r="HG2" t="str">
        <f>IFERROR(IF(M02S02F27="Yes",IF(M02S02F28="","",TEXT(M02S02F28,"MM/DD/YYYY")),""),"")</f>
        <v/>
      </c>
      <c r="HH2" t="str">
        <f>IFERROR(IF(M02S02F27="No",IF(M02S02F29="","",TEXT(M02S02F29,"MM/DD/YYYY")),""),"")</f>
        <v/>
      </c>
      <c r="HI2" t="str">
        <f>IFERROR(IF(M02S02F27="No",IF(M02S02F30="","",TEXT(M02S02F30,"MM/DD/YYYY")),""),"")</f>
        <v/>
      </c>
      <c r="HJ2" t="str">
        <f>IFERROR(IF(M02S02F31="","",M02S02F31),"")</f>
        <v/>
      </c>
      <c r="HL2" t="str">
        <f>IFERROR(IF(M02S03F01="","",M02S03F01),"")</f>
        <v/>
      </c>
      <c r="HM2" t="str">
        <f>IFERROR(IF(M02S03F05="","",M02S03F05),"")</f>
        <v/>
      </c>
      <c r="HN2" t="str">
        <f>IFERROR(IF(M02S03F09="","",M02S03F09),"")</f>
        <v/>
      </c>
      <c r="HO2" t="str">
        <f>IFERROR(IF(M02S03F10="","",M02S03F10),"")</f>
        <v/>
      </c>
      <c r="HP2" s="11" t="str">
        <f>IFERROR(IF(M02S03F11="","",TEXT(M02S03F11,"00000")),"")</f>
        <v/>
      </c>
      <c r="HQ2" t="str">
        <f>IFERROR(IF(M02S03F03="","",M02S03F03),"")</f>
        <v/>
      </c>
      <c r="HR2" t="str">
        <f>IFERROR(IF(M02S03F04="","",M02S03F04),"")</f>
        <v/>
      </c>
      <c r="HS2" t="str">
        <f>IFERROR(IF(M02S03F06="","",M02S03F06),"")</f>
        <v/>
      </c>
      <c r="HT2" t="str">
        <f>IFERROR(IF(M02S03F07="","",TEXT(M02S03F07,"(###) ###-####")),"")</f>
        <v/>
      </c>
      <c r="HU2" t="str">
        <f>IFERROR(IF(M02S03F08="","",M02S03F08),"")</f>
        <v/>
      </c>
      <c r="HV2" s="29" t="str">
        <f>IFERROR(IF(M02S03F01="","",M02S03F01),"")</f>
        <v/>
      </c>
      <c r="HW2" t="str">
        <f>IFERROR(IF(M02S03F12="","",M02S03F12),"")</f>
        <v/>
      </c>
      <c r="HX2" t="str">
        <f>IFERROR(IF(M02S03F13="","",M02S03F13),"")</f>
        <v/>
      </c>
      <c r="HY2" t="str">
        <f>IFERROR(IF(M02S03F14="","",M02S03F14),"")</f>
        <v/>
      </c>
      <c r="HZ2" t="str">
        <f>IFERROR(IF(M02S03F15="","",M02S03F15),"")</f>
        <v/>
      </c>
      <c r="IA2" t="str">
        <f>IFERROR(IF(M02S03F16="","",TEXT(M02S03F16,"(###) ###-####")),"")</f>
        <v/>
      </c>
      <c r="IB2" t="str">
        <f>IFERROR(IF(M02S03F17="","",M02S03F17),"")</f>
        <v/>
      </c>
      <c r="IC2" s="29" t="str">
        <f>IFERROR(IF(M02S02F02="","",M02S02F02),"")</f>
        <v/>
      </c>
      <c r="IE2" t="str">
        <f>IFERROR(IF(M02S04F02="","",M02S04F02),"")</f>
        <v/>
      </c>
      <c r="IF2" t="str">
        <f>IFERROR(IF(M02S04F03="","",M02S04F03),"")</f>
        <v/>
      </c>
      <c r="IG2" t="str">
        <f>IFERROR(IF(M02S04F05="","",M02S04F05),"")</f>
        <v/>
      </c>
      <c r="IH2" t="str">
        <f>IFERROR(IF(M02S04F06="","",M02S04F06),"")</f>
        <v/>
      </c>
      <c r="II2" s="11" t="str">
        <f>IFERROR(IF(M02S04F07="","",TEXT(M02S04F07,"00000")),"")</f>
        <v/>
      </c>
      <c r="IJ2" t="str">
        <f>IFERROR(IF(M02S04F08="","",M02S04F08),"")</f>
        <v/>
      </c>
      <c r="IK2" t="str">
        <f>IFERROR(IF(M02S04F09="","",M02S04F09),"")</f>
        <v/>
      </c>
      <c r="IL2" t="str">
        <f>IFERROR(IF(M02S04F10="","",M02S04F10),"")</f>
        <v/>
      </c>
      <c r="IM2" t="str">
        <f>IFERROR(IF(M02S04F11="","",TEXT(M02S04F11,"(###) ###-####")),"")</f>
        <v/>
      </c>
      <c r="IN2" t="str">
        <f>IFERROR(IF(M02S04F12="","",M02S04F12),"")</f>
        <v/>
      </c>
      <c r="IO2" s="29" t="str">
        <f>IFERROR(IF(M02S04F02="","",M02S04F02),"")</f>
        <v/>
      </c>
      <c r="IP2" t="str">
        <f>IFERROR(IF(M02S04F13="","",M02S04F13),"")</f>
        <v/>
      </c>
      <c r="IQ2" t="str">
        <f>IFERROR(IF(M02S04F14="","",M02S04F14),"")</f>
        <v/>
      </c>
      <c r="IR2" t="str">
        <f>IFERROR(IF(M02S04F15="","",M02S04F15),"")</f>
        <v/>
      </c>
      <c r="IS2" t="str">
        <f>IFERROR(IF(M02S04F16="","",TEXT(M02S04F16,"(###) ###-####")),"")</f>
        <v/>
      </c>
      <c r="IT2" t="str">
        <f>IFERROR(IF(M02S04F17="","",M02S04F17),"")</f>
        <v/>
      </c>
      <c r="IU2" s="29" t="str">
        <f>IFERROR(IF(M02S04F02="","",M02S04F02),"")</f>
        <v/>
      </c>
      <c r="IW2" t="str">
        <f>IFERROR(IF(M05S01AF01="","",M05S01AF01),"")</f>
        <v/>
      </c>
      <c r="IX2" s="29" t="str">
        <f>IFERROR(IF(IW2="","","Check"),"")</f>
        <v/>
      </c>
      <c r="IY2" t="str">
        <f>IFERROR(IF(M05S01AF02="","",M05S01AF02),"")</f>
        <v/>
      </c>
      <c r="IZ2" t="str">
        <f>IFERROR(IF(M05S01AF08="","",M05S01AF08),"")</f>
        <v/>
      </c>
      <c r="JA2" t="str">
        <f>IFERROR(IF(M05S01AF11="","",M05S01AF11),"")</f>
        <v/>
      </c>
      <c r="JB2" t="str">
        <f>IFERROR(IF(M05S01AF12="","",M05S01AF12),"")</f>
        <v/>
      </c>
      <c r="JC2" s="11" t="str">
        <f>IFERROR(IF(M05S01AF13="","",TEXT(M05S01AF13,"00000")),"")</f>
        <v/>
      </c>
      <c r="JD2" t="str">
        <f>IFERROR(IF(AND(M05S01AF06="",M05S01AF07=""),"",CONCATENATE(M05S01AF06," ",M05S01AF07)),"")</f>
        <v/>
      </c>
      <c r="JE2" t="str">
        <f>IFERROR(IF(M05S01AF09="","",TEXT(M05S01AF09,"(###) ###-####")),"")</f>
        <v/>
      </c>
      <c r="JF2" t="str">
        <f>IFERROR(IF(M05S01AF10="","",M05S01AF10),"")</f>
        <v/>
      </c>
      <c r="JG2" t="str">
        <f>IFERROR(IF(M05S01AF03="","",M05S01AF03),"")</f>
        <v/>
      </c>
      <c r="JH2" t="str">
        <f>IFERROR(IF(AND(M05S01AF04="",M05S01AF05=""),"",CONCATENATE(M05S01AF04,"-",M05S01AF05)),"")</f>
        <v/>
      </c>
      <c r="JJ2" t="str">
        <f>IFERROR(IF(M05S01BF01="","",M05S01BF01),"")</f>
        <v/>
      </c>
      <c r="JK2" t="str">
        <f>IFERROR(IF(M05S01BF02="","",M05S01BF02),"")</f>
        <v/>
      </c>
      <c r="JL2" t="str">
        <f>IFERROR(IF(M05S01BF03="","",M05S01BF03),"")</f>
        <v/>
      </c>
      <c r="JM2" t="str">
        <f>IFERROR(IF(M05S01BF21="","",M05S01BF21),"")</f>
        <v/>
      </c>
      <c r="JN2" t="str">
        <f>IFERROR(IF(M05S01BF23="","",M05S01BF23),"")</f>
        <v/>
      </c>
      <c r="JO2" t="str">
        <f>IFERROR(IF(M05S01BF24="","",M05S01BF24),"")</f>
        <v/>
      </c>
      <c r="JP2" s="11" t="str">
        <f>IFERROR(IF(M05S01BF25="","",TEXT(M05S01BF25,"00000")),"")</f>
        <v/>
      </c>
      <c r="JQ2" t="str">
        <f>IFERROR(IF(AND(M05S01BF08="",M05S01BF09=""),"",M05S01BF08&amp;" "&amp;M05S01BF09),"")</f>
        <v/>
      </c>
      <c r="JR2" t="str">
        <f>IFERROR(IF(M05S01BF14="","",TEXT(M05S01BF14,"(###) ###-####")),"")</f>
        <v/>
      </c>
      <c r="JS2" t="str">
        <f>IFERROR(IF(M05S01BF15="","",M05S01BF15),"")</f>
        <v/>
      </c>
      <c r="JT2" t="str">
        <f>IFERROR(IF(M05S01BF04="","",M05S01BF04),"")</f>
        <v/>
      </c>
      <c r="JU2" t="str">
        <f>IFERROR(IF(AND(M05S01BF05="",M05S01BF06=""),"",M05S01BF05&amp;"-"&amp;M05S01BF06),"")</f>
        <v/>
      </c>
      <c r="JV2" t="str">
        <f>IFERROR(IF(M05S01BF10="","",M05S01BF10),"")</f>
        <v/>
      </c>
      <c r="JW2" t="str">
        <f>IFERROR(IF(M05S01BF17="","",M05S01BF17),"")</f>
        <v/>
      </c>
      <c r="JX2" s="6" t="str">
        <f>IFERROR(IF(M05S01BF01&lt;&gt;"Yes","",IF(OBR_Amount_Requested_Final="","",IF(AND(OBR_Amount_Requested_Final&lt;&gt;0,OBR_Amount_Requested_Final&lt;OBR_Amount_Requested),OBR_Amount_Requested_Final,OBR_Amount_Requested))),"")</f>
        <v/>
      </c>
      <c r="JY2" t="str">
        <f>IFERROR(IF(M05S01BF07="","",M05S01BF07),"")</f>
        <v/>
      </c>
      <c r="JZ2" t="str">
        <f>IFERROR(IF(M05S01BF22="","",M05S01BF22),"")</f>
        <v/>
      </c>
      <c r="KA2" t="str">
        <f>IFERROR(IF(M05S01BF27="","",M05S01BF27),"")</f>
        <v/>
      </c>
      <c r="KB2" t="str">
        <f>IFERROR(IF(M05S01BF28="","",M05S01BF28),"")</f>
        <v/>
      </c>
      <c r="KC2" s="11" t="str">
        <f>IFERROR(IF(M05S01BF29="","",TEXT(M05S01BF29,"00000")),"")</f>
        <v/>
      </c>
      <c r="KD2" t="str">
        <f>IFERROR(IF(AND(M05S01BF11="",M05S01BF12=""),"",M05S01BF11&amp;" "&amp;M05S01BF12),"")</f>
        <v/>
      </c>
      <c r="KE2" t="str">
        <f>IFERROR(IF(M05S01BF19="","",TEXT(M05S01BF19,"(###) ###-####")),"")</f>
        <v/>
      </c>
      <c r="KF2" t="str">
        <f>IFERROR(IF(M05S01BF20="","",M05S01BF20),"")</f>
        <v/>
      </c>
      <c r="KG2" t="str">
        <f>IFERROR(IF(M05S01BF33="","",M05S01BF33),"")</f>
        <v/>
      </c>
      <c r="KH2" t="str">
        <f>IFERROR(IF(AND(M05S01BF34="",M05S01BF35=""),"",M05S01BF34&amp;"-"&amp;M05S01BF35),"")</f>
        <v/>
      </c>
      <c r="KI2" s="6">
        <f>IFERROR(IF(AND('M05-S06'!W38="",'M05-S06'!W42=""),"",'M05-S06'!W42),"")</f>
        <v>0</v>
      </c>
      <c r="KJ2" s="29"/>
      <c r="KK2" s="29"/>
      <c r="KL2" s="29"/>
      <c r="KM2" s="29"/>
      <c r="KN2" s="29"/>
      <c r="KO2" t="str">
        <f>IFERROR(IF(M05S07F08="","",M05S07F08),"")</f>
        <v/>
      </c>
      <c r="KP2" t="str">
        <f>IFERROR(IF(M05S07F09="","",M05S07F09),"")</f>
        <v/>
      </c>
      <c r="KQ2" t="str">
        <f>IFERROR(IF(M05S08F11="","",M05S08F11),"")</f>
        <v/>
      </c>
      <c r="KR2" t="str">
        <f>IFERROR(IF(M05S08F12="","",M05S08F12),"")</f>
        <v/>
      </c>
      <c r="KS2" t="str">
        <f>IFERROR(IF(M05S08F13="","",M05S08F13),"")</f>
        <v/>
      </c>
      <c r="KT2" t="str">
        <f>IFERROR(IF(M05S08F14="","",M05S08F14),"")</f>
        <v/>
      </c>
      <c r="KU2" t="str">
        <f>IFERROR(IF(M05S08F03="","",M05S08F03),"")</f>
        <v/>
      </c>
      <c r="KV2" t="str">
        <f>IFERROR(IF(M05S08F04="","",M05S08F04),"")</f>
        <v/>
      </c>
      <c r="KW2" s="486" t="str">
        <f>IFERROR(IF(M05S08F05="","",M05S08F05),"")</f>
        <v/>
      </c>
      <c r="KX2" t="str">
        <f>IFERROR(IF(M05S08F06="","",M05S08F06),"")</f>
        <v/>
      </c>
      <c r="KY2" t="str">
        <f>IFERROR(IF(M05S08F07="","",M05S08F07),"")</f>
        <v/>
      </c>
      <c r="KZ2" t="str">
        <f>IFERROR(IF(M05S08F08="","",M05S08F08),"")</f>
        <v/>
      </c>
      <c r="LA2" t="str">
        <f>IFERROR(IF(M05S08F09="","",M05S08F09),"")</f>
        <v/>
      </c>
      <c r="LB2" t="str" cm="1">
        <f t="array" ref="LB2">IFERROR(IF(M05S08F015="","",M05S08F015),"")</f>
        <v/>
      </c>
      <c r="LC2" t="str">
        <f>IF(KU2="","",IFERROR(VLOOKUP(KV2,TEMPLATE!G51:H58,2,FALSE),""))</f>
        <v/>
      </c>
      <c r="LD2" t="str">
        <f>IFERROR(IF('M05-S08'!F29="","",'M05-S08'!F29),"")</f>
        <v/>
      </c>
      <c r="LE2" t="str">
        <f>IFERROR(IF('M05-S08'!P29="","",'M05-S08'!P29),"")</f>
        <v/>
      </c>
      <c r="LF2" s="486" t="str">
        <f>IFERROR(IF('M05-S08'!U29="","",'M05-S08'!U29),"")</f>
        <v/>
      </c>
      <c r="LG2" t="str">
        <f>IFERROR(IF('M05-S08'!Z29="","",'M05-S08'!Z29),"")</f>
        <v/>
      </c>
      <c r="LH2" t="str">
        <f>IFERROR(IF('M05-S08'!AE29="","",'M05-S08'!AE29),"")</f>
        <v/>
      </c>
      <c r="LI2" t="str">
        <f>IFERROR(IF('M05-S08'!AJ29="","",'M05-S08'!AJ29),"")</f>
        <v/>
      </c>
      <c r="LJ2" t="str">
        <f>IFERROR(IF('M05-S08'!AO29="","",'M05-S08'!AO29),"")</f>
        <v/>
      </c>
      <c r="LK2" t="str">
        <f>IFERROR(IF('M05-S08'!AT29="","",'M05-S08'!AT29),"")</f>
        <v/>
      </c>
      <c r="LL2" t="str">
        <f>IF(LD2="","",IFERROR(VLOOKUP(LE2,TEMPLATE!G51:H58,2,FALSE),""))</f>
        <v/>
      </c>
      <c r="LM2" t="str">
        <f>IFERROR(IF('M05-S08'!F30="","",'M05-S08'!F30),"")</f>
        <v/>
      </c>
      <c r="LN2" t="str">
        <f>IFERROR(IF('M05-S08'!P30="","",'M05-S08'!P30),"")</f>
        <v/>
      </c>
      <c r="LO2" s="486" t="str">
        <f>IFERROR(IF('M05-S08'!U30="","",'M05-S08'!U30),"")</f>
        <v/>
      </c>
      <c r="LP2" t="str">
        <f>IFERROR(IF('M05-S08'!Z30="","",'M05-S08'!Z30),"")</f>
        <v/>
      </c>
      <c r="LQ2" t="str">
        <f>IFERROR(IF('M05-S08'!AE30="","",'M05-S08'!AE30),"")</f>
        <v/>
      </c>
      <c r="LR2" t="str">
        <f>IFERROR(IF('M05-S08'!AJ30="","",'M05-S08'!AJ30),"")</f>
        <v/>
      </c>
      <c r="LS2" t="str">
        <f>IFERROR(IF('M05-S08'!AO30="","",'M05-S08'!AO30),"")</f>
        <v/>
      </c>
      <c r="LT2" t="str">
        <f>IFERROR(IF('M05-S08'!AT30="","",'M05-S08'!AT30),"")</f>
        <v/>
      </c>
      <c r="LU2" t="str">
        <f>IF(LM2="","",IFERROR(VLOOKUP(LN2,TEMPLATE!G51:H58,2,FALSE),""))</f>
        <v/>
      </c>
      <c r="LV2" t="str">
        <f>IFERROR(IF('M05-S08'!F31="","",'M05-S08'!F31),"")</f>
        <v/>
      </c>
      <c r="LW2" t="str">
        <f>IFERROR(IF('M05-S08'!P31="","",'M05-S08'!P31),"")</f>
        <v/>
      </c>
      <c r="LX2" s="486" t="str">
        <f>IFERROR(IF('M05-S08'!U31="","",'M05-S08'!U31),"")</f>
        <v/>
      </c>
      <c r="LY2" t="str">
        <f>IFERROR(IF('M05-S08'!Z31="","",'M05-S08'!Z31),"")</f>
        <v/>
      </c>
      <c r="LZ2" t="str">
        <f>IFERROR(IF('M05-S08'!AE31="","",'M05-S08'!AE31),"")</f>
        <v/>
      </c>
      <c r="MA2" t="str">
        <f>IFERROR(IF('M05-S08'!AJ31="","",'M05-S08'!AJ31),"")</f>
        <v/>
      </c>
      <c r="MB2" t="str">
        <f>IFERROR(IF('M05-S08'!AO31="","",'M05-S08'!AO31),"")</f>
        <v/>
      </c>
      <c r="MC2" t="str">
        <f>IFERROR(IF('M05-S08'!AT31="","",'M05-S08'!AT31),"")</f>
        <v/>
      </c>
      <c r="MD2" t="str">
        <f>IF(LV2="","",IFERROR(VLOOKUP(LW2,TEMPLATE!G51:H58,2,FALSE),""))</f>
        <v/>
      </c>
      <c r="ME2" t="str">
        <f>IFERROR(IF('M05-S08'!F32="","",'M05-S08'!F32),"")</f>
        <v/>
      </c>
      <c r="MF2" t="str">
        <f>IFERROR(IF('M05-S08'!P32="","",'M05-S08'!P32),"")</f>
        <v/>
      </c>
      <c r="MG2" s="486" t="str">
        <f>IFERROR(IF('M05-S08'!U32="","",'M05-S08'!U32),"")</f>
        <v/>
      </c>
      <c r="MH2" t="str">
        <f>IFERROR(IF('M05-S08'!Z32="","",'M05-S08'!Z32),"")</f>
        <v/>
      </c>
      <c r="MI2" t="str">
        <f>IFERROR(IF('M05-S08'!AE32="","",'M05-S08'!AE32),"")</f>
        <v/>
      </c>
      <c r="MJ2" t="str">
        <f>IFERROR(IF('M05-S08'!AJ32="","",'M05-S08'!AJ32),"")</f>
        <v/>
      </c>
      <c r="MK2" t="str">
        <f>IFERROR(IF('M05-S08'!AO32="","",'M05-S08'!AO32),"")</f>
        <v/>
      </c>
      <c r="ML2" t="str">
        <f>IFERROR(IF('M05-S08'!AT32="","",'M05-S08'!AT32),"")</f>
        <v/>
      </c>
      <c r="MM2" t="str">
        <f>IF(ME2="","",IFERROR(VLOOKUP(MF2,TEMPLATE!G51:H58,2,FALSE),""))</f>
        <v/>
      </c>
      <c r="MN2" t="str">
        <f>IFERROR(IF('M05-S08'!F33="","",'M05-S08'!F33),"")</f>
        <v/>
      </c>
      <c r="MO2" t="str">
        <f>IFERROR(IF('M05-S08'!P33="","",'M05-S08'!P33),"")</f>
        <v/>
      </c>
      <c r="MP2" s="486" t="str">
        <f>IFERROR(IF('M05-S08'!U33="","",'M05-S08'!U33),"")</f>
        <v/>
      </c>
      <c r="MQ2" t="str">
        <f>IFERROR(IF('M05-S08'!Z33="","",'M05-S08'!Z33),"")</f>
        <v/>
      </c>
      <c r="MR2" t="str">
        <f>IFERROR(IF('M05-S08'!AE33="","",'M05-S08'!AE33),"")</f>
        <v/>
      </c>
      <c r="MS2" t="str">
        <f>IFERROR(IF('M05-S08'!AJ33="","",'M05-S08'!AJ33),"")</f>
        <v/>
      </c>
      <c r="MT2" t="str">
        <f>IFERROR(IF('M05-S08'!AO33="","",'M05-S08'!AO33),"")</f>
        <v/>
      </c>
      <c r="MU2" t="str">
        <f>IFERROR(IF('M05-S08'!AT33="","",'M05-S08'!AT33),"")</f>
        <v/>
      </c>
      <c r="MV2" t="str">
        <f>IF(MN2="","",IFERROR(VLOOKUP(MO2,TEMPLATE!G51:H58,2,FALSE),""))</f>
        <v/>
      </c>
      <c r="MW2" t="str">
        <f>IFERROR(IF('M05-S08'!F34="","",'M05-S08'!F34),"")</f>
        <v/>
      </c>
      <c r="MX2" t="str">
        <f>IFERROR(IF('M05-S08'!P34="","",'M05-S08'!P34),"")</f>
        <v/>
      </c>
      <c r="MY2" s="486" t="str">
        <f>IFERROR(IF('M05-S08'!U34="","",'M05-S08'!U34),"")</f>
        <v/>
      </c>
      <c r="MZ2" t="str">
        <f>IFERROR(IF('M05-S08'!Z34="","",'M05-S08'!Z34),"")</f>
        <v/>
      </c>
      <c r="NA2" t="str">
        <f>IFERROR(IF('M05-S08'!AE34="","",'M05-S08'!AE34),"")</f>
        <v/>
      </c>
      <c r="NB2" t="str">
        <f>IFERROR(IF('M05-S08'!AJ34="","",'M05-S08'!AJ34),"")</f>
        <v/>
      </c>
      <c r="NC2" t="str">
        <f>IFERROR(IF('M05-S08'!AO34="","",'M05-S08'!AO34),"")</f>
        <v/>
      </c>
      <c r="ND2" t="str">
        <f>IFERROR(IF('M05-S08'!AT34="","",'M05-S08'!AT34),"")</f>
        <v/>
      </c>
      <c r="NE2" t="str">
        <f>IF(MW2="","",IFERROR(VLOOKUP(MX2,TEMPLATE!G51:H58,2,FALSE),""))</f>
        <v/>
      </c>
      <c r="NF2" t="str">
        <f>IFERROR(IF('M05-S08'!F35="","",'M05-S08'!F35),"")</f>
        <v/>
      </c>
      <c r="NG2" t="str">
        <f>IFERROR(IF('M05-S08'!P35="","",'M05-S08'!P35),"")</f>
        <v/>
      </c>
      <c r="NH2" s="486" t="str">
        <f>IFERROR(IF('M05-S08'!U35="","",'M05-S08'!U35),"")</f>
        <v/>
      </c>
      <c r="NI2" t="str">
        <f>IFERROR(IF('M05-S08'!Z35="","",'M05-S08'!Z35),"")</f>
        <v/>
      </c>
      <c r="NJ2" t="str">
        <f>IFERROR(IF('M05-S08'!AE35="","",'M05-S08'!AE35),"")</f>
        <v/>
      </c>
      <c r="NK2" t="str">
        <f>IFERROR(IF('M05-S08'!AJ35="","",'M05-S08'!AJ35),"")</f>
        <v/>
      </c>
      <c r="NL2" t="str">
        <f>IFERROR(IF('M05-S08'!AO35="","",'M05-S08'!AO35),"")</f>
        <v/>
      </c>
      <c r="NM2" t="str">
        <f>IFERROR(IF('M05-S08'!AT35="","",'M05-S08'!AT35),"")</f>
        <v/>
      </c>
      <c r="NN2" t="str">
        <f>IF(NF2="","",IFERROR(VLOOKUP(NG2,TEMPLATE!G51:H58,2,FALSE),""))</f>
        <v/>
      </c>
      <c r="NO2" t="str">
        <f>_xlfn.TEXTJOIN(",",TRUE,Table128[End Uses])</f>
        <v/>
      </c>
      <c r="NP2">
        <f>SUM(Z:Z)</f>
        <v>0</v>
      </c>
    </row>
    <row r="3" spans="1:380">
      <c r="A3" s="218" t="str">
        <f>"Custom "&amp;M4S2</f>
        <v>Custom Lighting &amp; Lighting Controls</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row>
    <row r="4" spans="1:380">
      <c r="A4" t="str">
        <f>IFERROR(IF(D4="","",PROJID),"")</f>
        <v/>
      </c>
      <c r="B4" t="str">
        <f>IFERROR(IF(D4="","",CONCATENATE(ROW(),"-",D4)),"")</f>
        <v/>
      </c>
      <c r="C4" t="str" cm="1">
        <f t="array" ref="C4">IFERROR(IF(D4="","",INDEX('M04-S02'!$B$18:$B$199,2*(ROWS(C$4:C4)-1)+1)),"")</f>
        <v/>
      </c>
      <c r="D4" t="str">
        <f>IFERROR(IF(E4="","",E4),"")</f>
        <v/>
      </c>
      <c r="E4" t="str" cm="1">
        <f t="array" ref="E4">IFERROR(IF(INDEX('M04-S02'!$CC$18:$CC$199,2*(ROWS(E$4:E4)-1)+1)="","",INDEX('M04-S02'!$CC$18:$CC$199,2*(ROWS(E$4:E4)-1)+1)),"")</f>
        <v/>
      </c>
      <c r="G4" t="str">
        <f>IFERROR(IF(C4&lt;&gt;"","Custom",""),"")</f>
        <v/>
      </c>
      <c r="H4" t="str">
        <f t="shared" ref="H4" si="0">IFERROR(IF(C4&lt;&gt;"","Downstream",""),"")</f>
        <v/>
      </c>
      <c r="L4" t="str">
        <f>IF($C4="","",IF(AND(AI4&gt;0,AN4&gt;0),"Electric &amp; Gas",IF(AI4&gt;0,"Electric",IF(AN4&gt;0,"Gas",""))))</f>
        <v/>
      </c>
      <c r="O4" t="str">
        <f>IF($C4="","",TRUE)</f>
        <v/>
      </c>
      <c r="V4" t="str" cm="1">
        <f t="array" ref="V4">IFERROR(IF(D4="","",INDEX('M04-S02'!$AY$18:$AY$199,2*(ROWS(V$4:V4)-1)+1)),"")</f>
        <v/>
      </c>
      <c r="W4" t="str" cm="1">
        <f t="array" ref="W4">IFERROR(IF(D4="","",INDEX('M04-S02'!$AV$18:$AV$199,2*(ROWS(W$4:W4)-1)+1)),"")</f>
        <v/>
      </c>
      <c r="X4" t="str" cm="1">
        <f t="array" ref="X4">IFERROR(IF(D4="","",INDEX('M04-S02'!$AV$18:$AV$199,2*(ROWS(X$4:X4)-0)+0)),"")</f>
        <v/>
      </c>
      <c r="AG4" s="98" t="str" cm="1">
        <f t="array" ref="AG4">IFERROR(IF(D4="","",IF(INDEX('M04-S02'!$CB$18:$CB$199,2*(ROWS(AG$4:AG4)-1)+1)="","",INDEX('M04-S02'!$CB$18:$CB$199,2*(ROWS(AG$4:AG4)-1)+1))),"")</f>
        <v/>
      </c>
      <c r="AH4" s="98" t="str" cm="1">
        <f t="array" ref="AH4">IFERROR(IF(D4="","",IF(INDEX('M04-S02'!$CU$18:$CU$199,2*(ROWS(AH$4:AH4)-1)+1)="","",INDEX('M04-S02'!$CU$18:$CU$199,2*(ROWS(AH$4:AH4)-1)+1))),"")</f>
        <v/>
      </c>
      <c r="AI4" s="20" t="str" cm="1">
        <f t="array" ref="AI4">IFERROR(IF(D4="","",IF(INDEX('M04-S02'!$CM$18:$CM$199,2*(ROWS(AI$4:AI4)-1)+1)="",0,INDEX('M04-S02'!$CM$18:$CM$199,2*(ROWS(AI$4:AI4)-1)+1))),"")</f>
        <v/>
      </c>
      <c r="AJ4" s="20" t="str">
        <f t="shared" ref="AJ4:AJ53" si="1">IFERROR(ROUND(IF(D4="","",AI4*(3412/1000000)),4),"")</f>
        <v/>
      </c>
      <c r="AK4" s="487" t="str" cm="1">
        <f t="array" ref="AK4">IFERROR(IF(D4="","",IF(INDEX('M04-S02'!$CN$18:$CN$199,2*(ROWS(AK$4:AK4)-1)+1)="",0,INDEX('M04-S02'!$CN$18:$CN$199,2*(ROWS(AK$4:AK4)-1)+1))),"")</f>
        <v/>
      </c>
      <c r="AL4" s="20" t="str">
        <f>IF(AN4&gt;=0,AN4,0)</f>
        <v/>
      </c>
      <c r="AM4" s="20" t="str">
        <f t="shared" ref="AM4:AM13" si="2">IFERROR(ROUND(IF(D4="","",AL4/10),6),"")</f>
        <v/>
      </c>
      <c r="AN4" s="20" t="str" cm="1">
        <f t="array" ref="AN4">IFERROR(IF(D4="","",IF(INDEX('M04-S02'!$CO$18:$CO$199,2*(ROWS(AN$4:AN4)-1)+1)="",0,INDEX('M04-S02'!$CO$18:$CO$199,2*(ROWS(AN$4:AN4)-1)+1))),"")</f>
        <v/>
      </c>
      <c r="AO4" s="20" t="str" cm="1">
        <f t="array" ref="AO4">IFERROR(IF(D4="","",INDEX('M04-S02'!$R$18:$R$199,2*(ROWS(AO$4:AO4)-1)+1)),"")</f>
        <v/>
      </c>
      <c r="AP4" s="20" t="str" cm="1">
        <f t="array" ref="AP4">IFERROR(IF(D4="","",INDEX('M04-S02'!$AJ$18:$AJ$199,2*(ROWS(AP$4:AP4)-1)+1)),"")</f>
        <v/>
      </c>
      <c r="AQ4" s="487" t="str" cm="1">
        <f t="array" ref="AQ4">IFERROR(IF(D4="","",INDEX('M04-S02'!$U$18:$U$199,2*(ROWS(AQ$4:AQ4)-1)+1)),"")</f>
        <v/>
      </c>
      <c r="AR4" s="487" t="str" cm="1">
        <f t="array" ref="AR4">IFERROR(IF(D4="","",INDEX('M04-S02'!$AM$18:$AM$199,2*(ROWS(AR$4:AR4)-1)+1)),"")</f>
        <v/>
      </c>
      <c r="AS4" s="20" t="str" cm="1">
        <f t="array" ref="AS4">IFERROR(IF(D4="","",INDEX('M04-S02'!$X$18:$X$199,2*(ROWS(AS$4:AS4)-1)+1)),"")</f>
        <v/>
      </c>
      <c r="AT4" s="20" t="str" cm="1">
        <f t="array" ref="AT4">IFERROR(IF(D4="","",INDEX('M04-S02'!$AP$18:$AP$199,2*(ROWS(AT$4:AT4)-1)+1)),"")</f>
        <v/>
      </c>
      <c r="BP4" t="str" cm="1">
        <f t="array" ref="BP4">IFERROR(IF(D4="","",INDEX('M04-S02'!$CS$18:$CS$199,2*(ROWS(BP$4:BP4)-1)+1)),"")</f>
        <v/>
      </c>
      <c r="BR4" t="str" cm="1">
        <f t="array" ref="BR4">IFERROR(IF(D4="","",LEFT(INDEX('M04-S02'!$C$18:$C$199,2*(ROWS(BR$4:BR4)-1)+1),150)),"")</f>
        <v/>
      </c>
      <c r="BS4" t="str" cm="1">
        <f t="array" ref="BS4">IFERROR(IF(D4="","",INDEX('M04-S02'!$CT$18:$CT$199,2*(ROWS(BS$4:BS4)-1)+1)),"")</f>
        <v/>
      </c>
      <c r="BT4" s="6" t="str" cm="1">
        <f t="array" ref="BT4">IFERROR(ROUND(IF(D4="","",INDEX('M04-S02'!$BB$18:$BB$199,2*(ROWS(BT$4:BT4)-1)+1)),2),"")</f>
        <v/>
      </c>
      <c r="BU4" s="6" t="str" cm="1">
        <f t="array" ref="BU4">IFERROR(IF(D4="","",INDEX('M04-S02'!$CX$18:$CX$199,2*(ROWS(BU$4:BU4)-1)+1)),"")</f>
        <v/>
      </c>
      <c r="BV4" s="6" t="str" cm="1">
        <f t="array" ref="BV4">IFERROR(IF(D4="","",INDEX('M04-S02'!$CY$18:$CY$199,2*(ROWS(BV$4:BV4)-1)+1)),"")</f>
        <v/>
      </c>
      <c r="BW4" t="str">
        <f>IF(D4="","","Measure")</f>
        <v/>
      </c>
      <c r="BX4" t="str">
        <f>IF(D4="","",1)</f>
        <v/>
      </c>
      <c r="BY4" s="6" t="str" cm="1">
        <f t="array" ref="BY4">IFERROR(IF(D4="","",INDEX('M04-S02'!$CI$18:$CI$199,2*(ROWS(BY$4:BY4)-1)+1)),"")</f>
        <v/>
      </c>
      <c r="BZ4" s="6" t="str">
        <f>IFERROR(IF(D4="","",(SUMIF(AJ4,"&gt;0")/(SUMIF(AJ4,"&gt;0")+SUMIF(AM4,"&gt;0")))*BY4),"")</f>
        <v/>
      </c>
      <c r="CA4" s="6" t="str">
        <f>IFERROR(IF(D4="","",(SUMIF(AM4,"&gt;0")/(SUMIF(AJ4,"&gt;0")+SUMIF(AM4,"&gt;0")))*BY4),"")</f>
        <v/>
      </c>
      <c r="CB4" s="6" t="str">
        <f t="shared" ref="CB4:CB53" si="3">IFERROR(ROUND(IF(D4="","",BV4-BY4),2),"")</f>
        <v/>
      </c>
      <c r="CC4" s="6" t="str">
        <f t="shared" ref="CC4" si="4">IFERROR(IF(D4="","",AJ4/(AJ4+AM4)*CB4),"")</f>
        <v/>
      </c>
      <c r="CD4" s="6" t="str">
        <f t="shared" ref="CD4" si="5">IFERROR(IF(D4="","",AM4/(AJ4+AM4)*CB4),"")</f>
        <v/>
      </c>
      <c r="CS4" t="str" cm="1">
        <f t="array" ref="CS4">IFERROR(IF(D4="","",INDEX('M04-S02'!$F$18:$F$199,2*(ROWS(CS$4:CS4)-1)+1)),"")</f>
        <v/>
      </c>
      <c r="CT4" t="str" cm="1">
        <f t="array" ref="CT4">IFERROR(IF(D4="","",INDEX('M04-S02'!$L$18:$L$199,2*(ROWS(CT$4:CT4)-1)+1)),"")</f>
        <v/>
      </c>
      <c r="CU4" t="str" cm="1">
        <f t="array" ref="CU4">IFERROR(IF(D4="","",INDEX('M04-S02'!$AD$18:$AD$199,2*(ROWS(CU$4:CU4)-1)+1)),"")</f>
        <v/>
      </c>
      <c r="DE4" s="150"/>
      <c r="DF4" s="150" t="str">
        <f>IFERROR(ROUND(IF(OR(D4="",DE4=""),"",TEMPLATE!$V$10),2),"")</f>
        <v/>
      </c>
      <c r="DG4" s="150"/>
      <c r="DH4" s="150" t="str">
        <f>IFERROR(ROUND(IF(OR(D4="",DG4=""),"",TEMPLATE!$V$10),2),"")</f>
        <v/>
      </c>
      <c r="DI4" s="150"/>
      <c r="DJ4" s="150" t="str">
        <f>IFERROR(ROUND(IF(OR(D4="",DI4=""),"",TEMPLATE!$V$10),2),"")</f>
        <v/>
      </c>
      <c r="DK4" s="150"/>
      <c r="DL4" s="150" t="str">
        <f>IFERROR(ROUND(IF(OR(D4="",DK4=""),"",TEMPLATE!$V$10),2),"")</f>
        <v/>
      </c>
      <c r="DM4" s="150"/>
      <c r="DN4" s="150" t="str">
        <f>IFERROR(ROUND(IF(OR(D4="",DM4=""),"",TEMPLATE!$V$10),2),"")</f>
        <v/>
      </c>
      <c r="DO4" s="150"/>
      <c r="DP4" s="150" t="str">
        <f>IFERROR(ROUND(IF(OR(D4="",DO4=""),"",TEMPLATE!$V$10),2),"")</f>
        <v/>
      </c>
      <c r="DQ4" s="150"/>
      <c r="DR4" s="150" t="str">
        <f>IFERROR(ROUND(IF(OR(D4="",DQ4=""),"",TEMPLATE!$V$10),2),"")</f>
        <v/>
      </c>
      <c r="DS4" s="150"/>
      <c r="DT4" s="150" t="str">
        <f>IFERROR(ROUND(IF(OR(D4="",DS4=""),"",TEMPLATE!$V$10),2),"")</f>
        <v/>
      </c>
      <c r="DU4" s="150" t="str" cm="1">
        <f t="array" ref="DU4">IFERROR(ROUND(IF($D4="","",INDEX('M04-S02'!DD$18:DD$199,2*(ROWS(DU$4:DU4)-1)+1)),4),"")</f>
        <v/>
      </c>
      <c r="DV4" s="150" t="str" cm="1">
        <f t="array" ref="DV4">IFERROR(ROUND(IF($D4="","",INDEX('M04-S02'!DE$18:DE$199,2*(ROWS(DV$4:DV4)-1)+1)),4),"")</f>
        <v/>
      </c>
      <c r="DW4" s="150" t="str" cm="1">
        <f t="array" ref="DW4">IFERROR(ROUND(IF($D4="","",INDEX('M04-S02'!DF$18:DF$199,2*(ROWS(DW$4:DW4)-1)+1)),4),"")</f>
        <v/>
      </c>
      <c r="DX4" s="150" t="str" cm="1">
        <f t="array" ref="DX4">IFERROR(ROUND(IF($D4="","",INDEX('M04-S02'!DG$18:DG$199,2*(ROWS(DX$4:DX4)-1)+1)),4),"")</f>
        <v/>
      </c>
      <c r="DY4" s="150" t="str" cm="1">
        <f t="array" ref="DY4">IFERROR(ROUND(IF($D4="","",INDEX('M04-S02'!DH$18:DH$199,2*(ROWS(DY$4:DY4)-1)+1)),4),"")</f>
        <v/>
      </c>
      <c r="DZ4" s="150" t="str" cm="1">
        <f t="array" ref="DZ4">IFERROR(ROUND(IF($D4="","",INDEX('M04-S02'!DI$18:DI$199,2*(ROWS(DZ$4:DZ4)-1)+1)),4),"")</f>
        <v/>
      </c>
      <c r="EA4" s="150" t="str" cm="1">
        <f t="array" ref="EA4">IFERROR(ROUND(IF($D4="","",INDEX('M04-S02'!DJ$18:DJ$199,2*(ROWS(EA$4:EA4)-1)+1)),4),"")</f>
        <v/>
      </c>
      <c r="EB4" s="150" t="str" cm="1">
        <f t="array" ref="EB4">IFERROR(ROUND(IF($D4="","",INDEX('M04-S02'!DK$18:DK$199,2*(ROWS(EB$4:EB4)-1)+1)),6),"")</f>
        <v/>
      </c>
      <c r="EC4" s="150" t="str" cm="1">
        <f t="array" ref="EC4">IFERROR(ROUND(IF($D4="","",INDEX('M04-S02'!DL$18:DL$199,2*(ROWS(EC$4:EC4)-1)+1)),6),"")</f>
        <v/>
      </c>
      <c r="ED4" s="150" t="str" cm="1">
        <f t="array" ref="ED4">IFERROR(ROUND(IF($D4="","",INDEX('M04-S02'!DM$18:DM$199,2*(ROWS(ED$4:ED4)-1)+1)),6),"")</f>
        <v/>
      </c>
      <c r="EE4" s="150" t="str" cm="1">
        <f t="array" ref="EE4">IFERROR(ROUND(IF($D4="","",INDEX('M04-S02'!DN$18:DN$199,2*(ROWS(EE$4:EE4)-1)+1)),6),"")</f>
        <v/>
      </c>
      <c r="EF4" s="150" t="str" cm="1">
        <f t="array" ref="EF4">IFERROR(ROUND(IF($D4="","",INDEX('M04-S02'!DO$18:DO$199,2*(ROWS(EF$4:EF4)-1)+1)),6),"")</f>
        <v/>
      </c>
      <c r="EG4" s="150" t="str" cm="1">
        <f t="array" ref="EG4">IFERROR(ROUND(IF($D4="","",INDEX('M04-S02'!DP$18:DP$199,2*(ROWS(EG$4:EG4)-1)+1)),6),"")</f>
        <v/>
      </c>
      <c r="EH4" s="150" t="str" cm="1">
        <f t="array" ref="EH4">IFERROR(ROUND(IF($D4="","",INDEX('M04-S02'!DQ$18:DQ$199,2*(ROWS(EH$4:EH4)-1)+1)),6),"")</f>
        <v/>
      </c>
      <c r="EI4" s="150" t="str" cm="1">
        <f t="array" ref="EI4">IFERROR(ROUND(IF($D4="","",INDEX('M04-S02'!DR$18:DR$199,2*(ROWS(EI$4:EI4)-1)+1)),6),"")</f>
        <v/>
      </c>
      <c r="EJ4" s="150" t="str" cm="1">
        <f t="array" ref="EJ4">IFERROR(ROUND(IF($D4="","",INDEX('M04-S02'!DS$18:DS$199,2*(ROWS(EJ$4:EJ4)-1)+1)),6),"")</f>
        <v/>
      </c>
      <c r="EK4" s="150" t="str" cm="1">
        <f t="array" ref="EK4">IFERROR(ROUND(IF($D4="","",INDEX('M04-S02'!DT$18:DT$199,2*(ROWS(EK$4:EK4)-1)+1)),6),"")</f>
        <v/>
      </c>
      <c r="EL4" s="150" t="str" cm="1">
        <f t="array" ref="EL4">IFERROR(ROUND(IF($D4="","",INDEX('M04-S02'!DU$18:DU$199,2*(ROWS(EL$4:EL4)-1)+1)),6),"")</f>
        <v/>
      </c>
      <c r="EM4" s="150" t="str" cm="1">
        <f t="array" ref="EM4">IFERROR(ROUND(IF($D4="","",INDEX('M04-S02'!DV$18:DV$199,2*(ROWS(EM$4:EM4)-1)+1)),6),"")</f>
        <v/>
      </c>
      <c r="EN4" s="150" t="str" cm="1">
        <f t="array" ref="EN4">IFERROR(ROUND(IF($D4="","",INDEX('M04-S02'!DW$18:DW$199,2*(ROWS(EN$4:EN4)-1)+1)),6),"")</f>
        <v/>
      </c>
      <c r="EO4" s="150" t="str" cm="1">
        <f t="array" ref="EO4">IFERROR(ROUND(IF($D4="","",INDEX('M04-S02'!DX$18:DX$199,2*(ROWS(EO$4:EO4)-1)+1)),6),"")</f>
        <v/>
      </c>
      <c r="EP4" s="150" t="str" cm="1">
        <f t="array" ref="EP4">IFERROR(ROUND(IF($D4="","",INDEX('M04-S02'!DY$18:DY$199,2*(ROWS(EP$4:EP4)-1)+1)),6),"")</f>
        <v/>
      </c>
      <c r="EQ4" s="150" t="str" cm="1">
        <f t="array" ref="EQ4">IFERROR(ROUND(IF($D4="","",INDEX('M04-S02'!DZ$18:DZ$199,2*(ROWS(EQ$4:EQ4)-1)+1)),6),"")</f>
        <v/>
      </c>
      <c r="ER4" s="150" t="str">
        <f>IFERROR(ROUND(IF($D4="","",EB4),6),"")</f>
        <v/>
      </c>
      <c r="ES4" s="150" t="str">
        <f t="shared" ref="ES4:EX19" si="6">IFERROR(ROUND(IF($D4="","",EC4),6),"")</f>
        <v/>
      </c>
      <c r="ET4" s="150" t="str">
        <f t="shared" si="6"/>
        <v/>
      </c>
      <c r="EU4" s="150" t="str">
        <f t="shared" si="6"/>
        <v/>
      </c>
      <c r="EV4" s="150" t="str">
        <f t="shared" si="6"/>
        <v/>
      </c>
      <c r="EW4" s="150" t="str">
        <f t="shared" si="6"/>
        <v/>
      </c>
      <c r="EX4" s="150" t="str">
        <f t="shared" si="6"/>
        <v/>
      </c>
      <c r="EY4" s="150" t="str">
        <f>IFERROR(ROUND(IF($D4="","",EQ4),6),"")</f>
        <v/>
      </c>
      <c r="EZ4" s="150" t="str" cm="1">
        <f t="array" ref="EZ4">IFERROR(ROUND(IF($D4="","",INDEX('M04-S02'!EA$18:EA$199,2*(ROWS(EZ$4:EZ4)-1)+1)),6),"")</f>
        <v/>
      </c>
      <c r="FA4" s="150" t="str" cm="1">
        <f t="array" ref="FA4">IFERROR(ROUND(IF($D4="","",INDEX('M04-S02'!EB$18:EB$199,2*(ROWS(FA$4:FA4)-1)+1)),6),"")</f>
        <v/>
      </c>
      <c r="FB4" s="150" t="str" cm="1">
        <f t="array" ref="FB4">IFERROR(ROUND(IF($D4="","",INDEX('M04-S02'!EC$18:EC$199,2*(ROWS(FB$4:FB4)-1)+1)),6),"")</f>
        <v/>
      </c>
      <c r="FC4" s="150" t="str" cm="1">
        <f t="array" ref="FC4">IFERROR(ROUND(IF($D4="","",INDEX('M04-S02'!ED$18:ED$199,2*(ROWS(FC$4:FC4)-1)+1)),6),"")</f>
        <v/>
      </c>
      <c r="FD4" s="150" t="str" cm="1">
        <f t="array" ref="FD4">IFERROR(ROUND(IF($D4="","",INDEX('M04-S02'!EE$18:EE$199,2*(ROWS(FD$4:FD4)-1)+1)),6),"")</f>
        <v/>
      </c>
      <c r="FE4" s="150" t="str" cm="1">
        <f t="array" ref="FE4">IFERROR(ROUND(IF($D4="","",INDEX('M04-S02'!EF$18:EF$199,2*(ROWS(FE$4:FE4)-1)+1)),6),"")</f>
        <v/>
      </c>
      <c r="FF4" s="150" t="str" cm="1">
        <f t="array" ref="FF4">IFERROR(ROUND(IF($D4="","",INDEX('M04-S02'!EG$18:EG$199,2*(ROWS(FF$4:FF4)-1)+1)),6),"")</f>
        <v/>
      </c>
      <c r="FG4" s="150" t="str" cm="1">
        <f t="array" ref="FG4">IFERROR(ROUND(IF($D4="","",INDEX('M04-S02'!EH$18:EH$199,2*(ROWS(FG$4:FG4)-1)+1)),6),"")</f>
        <v/>
      </c>
      <c r="FH4" s="150" t="str" cm="1">
        <f t="array" ref="FH4">IFERROR(ROUND(IF($D4="","",INDEX('M04-S02'!EI$18:EI$199,2*(ROWS(FH$4:FH4)-1)+1)),6),"")</f>
        <v/>
      </c>
      <c r="FI4" s="150" t="str" cm="1">
        <f t="array" ref="FI4">IFERROR(ROUND(IF($D4="","",INDEX('M04-S02'!EJ$18:EJ$199,2*(ROWS(FI$4:FI4)-1)+1)),6),"")</f>
        <v/>
      </c>
      <c r="FJ4" s="150" t="str" cm="1">
        <f t="array" ref="FJ4">IFERROR(ROUND(IF($D4="","",INDEX('M04-S02'!EK$18:EK$199,2*(ROWS(FJ$4:FJ4)-1)+1)),6),"")</f>
        <v/>
      </c>
      <c r="FK4" s="150" t="str" cm="1">
        <f t="array" ref="FK4">IFERROR(ROUND(IF($D4="","",INDEX('M04-S02'!EL$18:EL$199,2*(ROWS(FK$4:FK4)-1)+1)),6),"")</f>
        <v/>
      </c>
      <c r="FL4" s="150" t="str" cm="1">
        <f t="array" ref="FL4">IFERROR(ROUND(IF($D4="","",INDEX('M04-S02'!EM$18:EM$199,2*(ROWS(FL$4:FL4)-1)+1)),6),"")</f>
        <v/>
      </c>
      <c r="FM4" s="150" t="str" cm="1">
        <f t="array" ref="FM4">IFERROR(ROUND(IF($D4="","",INDEX('M04-S02'!EN$18:EN$199,2*(ROWS(FM$4:FM4)-1)+1)),6),"")</f>
        <v/>
      </c>
    </row>
    <row r="5" spans="1:380">
      <c r="A5" t="str">
        <f t="shared" ref="A5:A13" si="7">IFERROR(IF(D5="","",PROJID),"")</f>
        <v/>
      </c>
      <c r="B5" t="str">
        <f t="shared" ref="B5:B13" si="8">IFERROR(IF(D5="","",CONCATENATE(ROW(),"-",D5)),"")</f>
        <v/>
      </c>
      <c r="C5" t="str" cm="1">
        <f t="array" ref="C5">IFERROR(IF(D5="","",INDEX('M04-S02'!$B$18:$B$199,2*(ROWS(C$4:C5)-1)+1)),"")</f>
        <v/>
      </c>
      <c r="D5" t="str">
        <f t="shared" ref="D5:D13" si="9">IFERROR(IF(E5="","",E5),"")</f>
        <v/>
      </c>
      <c r="E5" t="str" cm="1">
        <f t="array" ref="E5">IFERROR(IF(INDEX('M04-S02'!$CC$18:$CC$199,2*(ROWS(E$4:E5)-1)+1)="","",INDEX('M04-S02'!$CC$18:$CC$199,2*(ROWS(E$4:E5)-1)+1)),"")</f>
        <v/>
      </c>
      <c r="G5" t="str">
        <f t="shared" ref="G5:G13" si="10">IFERROR(IF(C5&lt;&gt;"","Custom",""),"")</f>
        <v/>
      </c>
      <c r="H5" t="str">
        <f t="shared" ref="H5:H13" si="11">IFERROR(IF(C5&lt;&gt;"","Downstream",""),"")</f>
        <v/>
      </c>
      <c r="L5" t="str">
        <f t="shared" ref="L5:L13" si="12">IF($C5="","",IF(AND(AI5&gt;0,AN5&gt;0),"Electric &amp; Gas",IF(AI5&gt;0,"Electric",IF(AN5&gt;0,"Gas",""))))</f>
        <v/>
      </c>
      <c r="O5" t="str">
        <f t="shared" ref="O5:O13" si="13">IF($C5="","",TRUE)</f>
        <v/>
      </c>
      <c r="V5" t="str" cm="1">
        <f t="array" ref="V5">IFERROR(IF(D5="","",INDEX('M04-S02'!$AY$18:$AY$199,2*(ROWS(V$4:V5)-1)+1)),"")</f>
        <v/>
      </c>
      <c r="W5" t="str" cm="1">
        <f t="array" ref="W5">IFERROR(IF(D5="","",INDEX('M04-S02'!$AV$18:$AV$199,2*(ROWS(W$4:W5)-1)+1)),"")</f>
        <v/>
      </c>
      <c r="X5" t="str" cm="1">
        <f t="array" ref="X5">IFERROR(IF(D5="","",INDEX('M04-S02'!$AV$18:$AV$199,2*(ROWS(X$4:X5)-0)+0)),"")</f>
        <v/>
      </c>
      <c r="AG5" s="98" t="str" cm="1">
        <f t="array" ref="AG5">IFERROR(IF(D5="","",IF(INDEX('M04-S02'!$CB$18:$CB$199,2*(ROWS(AG$4:AG5)-1)+1)="","",INDEX('M04-S02'!$CB$18:$CB$199,2*(ROWS(AG$4:AG5)-1)+1))),"")</f>
        <v/>
      </c>
      <c r="AH5" s="98" t="str" cm="1">
        <f t="array" ref="AH5">IFERROR(IF(D5="","",IF(INDEX('M04-S02'!$CU$18:$CU$199,2*(ROWS(AH$4:AH5)-1)+1)="","",INDEX('M04-S02'!$CU$18:$CU$199,2*(ROWS(AH$4:AH5)-1)+1))),"")</f>
        <v/>
      </c>
      <c r="AI5" s="20" t="str" cm="1">
        <f t="array" ref="AI5">IFERROR(IF(D5="","",IF(INDEX('M04-S02'!$CM$18:$CM$199,2*(ROWS(AI$4:AI5)-1)+1)="",0,INDEX('M04-S02'!$CM$18:$CM$199,2*(ROWS(AI$4:AI5)-1)+1))),"")</f>
        <v/>
      </c>
      <c r="AJ5" s="20" t="str">
        <f t="shared" si="1"/>
        <v/>
      </c>
      <c r="AK5" s="487" t="str" cm="1">
        <f t="array" ref="AK5">IFERROR(IF(D5="","",IF(INDEX('M04-S02'!$CN$18:$CN$199,2*(ROWS(AK$4:AK5)-1)+1)="",0,INDEX('M04-S02'!$CN$18:$CN$199,2*(ROWS(AK$4:AK5)-1)+1))),"")</f>
        <v/>
      </c>
      <c r="AL5" s="20" t="str">
        <f t="shared" ref="AL5:AL13" si="14">IF(AN5&gt;=0,AN5,0)</f>
        <v/>
      </c>
      <c r="AM5" s="20" t="str">
        <f t="shared" si="2"/>
        <v/>
      </c>
      <c r="AN5" s="20" t="str" cm="1">
        <f t="array" ref="AN5">IFERROR(IF(D5="","",IF(INDEX('M04-S02'!$CO$18:$CO$199,2*(ROWS(AN$4:AN5)-1)+1)="",0,INDEX('M04-S02'!$CO$18:$CO$199,2*(ROWS(AN$4:AN5)-1)+1))),"")</f>
        <v/>
      </c>
      <c r="AO5" s="20" t="str" cm="1">
        <f t="array" ref="AO5">IFERROR(IF(D5="","",INDEX('M04-S02'!$R$18:$R$199,2*(ROWS(AO$4:AO5)-1)+1)),"")</f>
        <v/>
      </c>
      <c r="AP5" s="20" t="str" cm="1">
        <f t="array" ref="AP5">IFERROR(IF(D5="","",INDEX('M04-S02'!$AJ$18:$AJ$199,2*(ROWS(AP$4:AP5)-1)+1)),"")</f>
        <v/>
      </c>
      <c r="AQ5" s="487" t="str" cm="1">
        <f t="array" ref="AQ5">IFERROR(IF(D5="","",INDEX('M04-S02'!$U$18:$U$199,2*(ROWS(AQ$4:AQ5)-1)+1)),"")</f>
        <v/>
      </c>
      <c r="AR5" s="487" t="str" cm="1">
        <f t="array" ref="AR5">IFERROR(IF(D5="","",INDEX('M04-S02'!$AM$18:$AM$199,2*(ROWS(AR$4:AR5)-1)+1)),"")</f>
        <v/>
      </c>
      <c r="AS5" s="20" t="str" cm="1">
        <f t="array" ref="AS5">IFERROR(IF(D5="","",INDEX('M04-S02'!$X$18:$X$199,2*(ROWS(AS$4:AS5)-1)+1)),"")</f>
        <v/>
      </c>
      <c r="AT5" s="20" t="str" cm="1">
        <f t="array" ref="AT5">IFERROR(IF(D5="","",INDEX('M04-S02'!$AP$18:$AP$199,2*(ROWS(AT$4:AT5)-1)+1)),"")</f>
        <v/>
      </c>
      <c r="BP5" t="str" cm="1">
        <f t="array" ref="BP5">IFERROR(IF(D5="","",INDEX('M04-S02'!$CS$18:$CS$199,2*(ROWS(BP$4:BP5)-1)+1)),"")</f>
        <v/>
      </c>
      <c r="BR5" t="str" cm="1">
        <f t="array" ref="BR5">IFERROR(IF(D5="","",LEFT(INDEX('M04-S02'!$C$18:$C$199,2*(ROWS(BR$4:BR5)-1)+1),150)),"")</f>
        <v/>
      </c>
      <c r="BS5" t="str" cm="1">
        <f t="array" ref="BS5">IFERROR(IF(D5="","",INDEX('M04-S02'!$CT$18:$CT$199,2*(ROWS(BS$4:BS5)-1)+1)),"")</f>
        <v/>
      </c>
      <c r="BT5" s="6" t="str" cm="1">
        <f t="array" ref="BT5">IFERROR(ROUND(IF(D5="","",INDEX('M04-S02'!$BB$18:$BB$199,2*(ROWS(BT$4:BT5)-1)+1)),2),"")</f>
        <v/>
      </c>
      <c r="BU5" s="6" t="str" cm="1">
        <f t="array" ref="BU5">IFERROR(IF(D5="","",INDEX('M04-S02'!$CX$18:$CX$199,2*(ROWS(BU$4:BU5)-1)+1)),"")</f>
        <v/>
      </c>
      <c r="BV5" s="6" t="str" cm="1">
        <f t="array" ref="BV5">IFERROR(IF(D5="","",INDEX('M04-S02'!$CY$18:$CY$199,2*(ROWS(BV$4:BV5)-1)+1)),"")</f>
        <v/>
      </c>
      <c r="BW5" t="str">
        <f t="shared" ref="BW5:BW13" si="15">IF(D5="","","Measure")</f>
        <v/>
      </c>
      <c r="BX5" t="str">
        <f t="shared" ref="BX5:BX13" si="16">IF(D5="","",1)</f>
        <v/>
      </c>
      <c r="BY5" s="6" t="str" cm="1">
        <f t="array" ref="BY5">IFERROR(IF(D5="","",INDEX('M04-S02'!$CI$18:$CI$199,2*(ROWS(BY$4:BY5)-1)+1)),"")</f>
        <v/>
      </c>
      <c r="BZ5" s="6" t="str">
        <f t="shared" ref="BZ5:BZ68" si="17">IFERROR(IF(D5="","",(SUMIF(AJ5,"&gt;0")/(SUMIF(AJ5,"&gt;0")+SUMIF(AM5,"&gt;0")))*BY5),"")</f>
        <v/>
      </c>
      <c r="CA5" s="6" t="str">
        <f t="shared" ref="CA5:CA68" si="18">IFERROR(IF(D5="","",(SUMIF(AM5,"&gt;0")/(SUMIF(AJ5,"&gt;0")+SUMIF(AM5,"&gt;0")))*BY5),"")</f>
        <v/>
      </c>
      <c r="CB5" s="6" t="str">
        <f t="shared" si="3"/>
        <v/>
      </c>
      <c r="CC5" s="6" t="str">
        <f t="shared" ref="CC5:CC13" si="19">IFERROR(IF(D5="","",AJ5/(AJ5+AM5)*CB5),"")</f>
        <v/>
      </c>
      <c r="CD5" s="6" t="str">
        <f t="shared" ref="CD5:CD13" si="20">IFERROR(IF(D5="","",AM5/(AJ5+AM5)*CB5),"")</f>
        <v/>
      </c>
      <c r="CS5" t="str" cm="1">
        <f t="array" ref="CS5">IFERROR(IF(D5="","",INDEX('M04-S02'!$F$18:$F$199,2*(ROWS(CS$4:CS5)-1)+1)),"")</f>
        <v/>
      </c>
      <c r="CT5" t="str" cm="1">
        <f t="array" ref="CT5">IFERROR(IF(D5="","",INDEX('M04-S02'!$L$18:$L$199,2*(ROWS(CT$4:CT5)-1)+1)),"")</f>
        <v/>
      </c>
      <c r="CU5" t="str" cm="1">
        <f t="array" ref="CU5">IFERROR(IF(D5="","",INDEX('M04-S02'!$AD$18:$AD$199,2*(ROWS(CU$4:CU5)-1)+1)),"")</f>
        <v/>
      </c>
      <c r="DE5" s="150"/>
      <c r="DF5" s="150" t="str">
        <f>IFERROR(ROUND(IF(OR(D5="",DE5=""),"",TEMPLATE!$V$10),2),"")</f>
        <v/>
      </c>
      <c r="DG5" s="150"/>
      <c r="DH5" s="150" t="str">
        <f>IFERROR(ROUND(IF(OR(D5="",DG5=""),"",TEMPLATE!$V$10),2),"")</f>
        <v/>
      </c>
      <c r="DI5" s="150"/>
      <c r="DJ5" s="150" t="str">
        <f>IFERROR(ROUND(IF(OR(D5="",DI5=""),"",TEMPLATE!$V$10),2),"")</f>
        <v/>
      </c>
      <c r="DK5" s="150"/>
      <c r="DL5" s="150" t="str">
        <f>IFERROR(ROUND(IF(OR(D5="",DK5=""),"",TEMPLATE!$V$10),2),"")</f>
        <v/>
      </c>
      <c r="DM5" s="150"/>
      <c r="DN5" s="150" t="str">
        <f>IFERROR(ROUND(IF(OR(D5="",DM5=""),"",TEMPLATE!$V$10),2),"")</f>
        <v/>
      </c>
      <c r="DO5" s="150"/>
      <c r="DP5" s="150" t="str">
        <f>IFERROR(ROUND(IF(OR(D5="",DO5=""),"",TEMPLATE!$V$10),2),"")</f>
        <v/>
      </c>
      <c r="DQ5" s="150"/>
      <c r="DR5" s="150" t="str">
        <f>IFERROR(ROUND(IF(OR(D5="",DQ5=""),"",TEMPLATE!$V$10),2),"")</f>
        <v/>
      </c>
      <c r="DS5" s="150"/>
      <c r="DT5" s="150" t="str">
        <f>IFERROR(ROUND(IF(OR(D5="",DS5=""),"",TEMPLATE!$V$10),2),"")</f>
        <v/>
      </c>
      <c r="DU5" s="150" t="str" cm="1">
        <f t="array" ref="DU5">IFERROR(ROUND(IF($D5="","",INDEX('M04-S02'!DD$18:DD$199,2*(ROWS(DU$4:DU5)-1)+1)),4),"")</f>
        <v/>
      </c>
      <c r="DV5" s="150" t="str" cm="1">
        <f t="array" ref="DV5">IFERROR(ROUND(IF($D5="","",INDEX('M04-S02'!DE$18:DE$199,2*(ROWS(DV$4:DV5)-1)+1)),4),"")</f>
        <v/>
      </c>
      <c r="DW5" s="150" t="str" cm="1">
        <f t="array" ref="DW5">IFERROR(ROUND(IF($D5="","",INDEX('M04-S02'!DF$18:DF$199,2*(ROWS(DW$4:DW5)-1)+1)),4),"")</f>
        <v/>
      </c>
      <c r="DX5" s="150" t="str" cm="1">
        <f t="array" ref="DX5">IFERROR(ROUND(IF($D5="","",INDEX('M04-S02'!DG$18:DG$199,2*(ROWS(DX$4:DX5)-1)+1)),4),"")</f>
        <v/>
      </c>
      <c r="DY5" s="150" t="str" cm="1">
        <f t="array" ref="DY5">IFERROR(ROUND(IF($D5="","",INDEX('M04-S02'!DH$18:DH$199,2*(ROWS(DY$4:DY5)-1)+1)),4),"")</f>
        <v/>
      </c>
      <c r="DZ5" s="150" t="str" cm="1">
        <f t="array" ref="DZ5">IFERROR(ROUND(IF($D5="","",INDEX('M04-S02'!DI$18:DI$199,2*(ROWS(DZ$4:DZ5)-1)+1)),4),"")</f>
        <v/>
      </c>
      <c r="EA5" s="150" t="str" cm="1">
        <f t="array" ref="EA5">IFERROR(ROUND(IF($D5="","",INDEX('M04-S02'!DJ$18:DJ$199,2*(ROWS(EA$4:EA5)-1)+1)),4),"")</f>
        <v/>
      </c>
      <c r="EB5" s="150" t="str" cm="1">
        <f t="array" ref="EB5">IFERROR(ROUND(IF($D5="","",INDEX('M04-S02'!DK$18:DK$199,2*(ROWS(EB$4:EB5)-1)+1)),6),"")</f>
        <v/>
      </c>
      <c r="EC5" s="150" t="str" cm="1">
        <f t="array" ref="EC5">IFERROR(ROUND(IF($D5="","",INDEX('M04-S02'!DL$18:DL$199,2*(ROWS(EC$4:EC5)-1)+1)),6),"")</f>
        <v/>
      </c>
      <c r="ED5" s="150" t="str" cm="1">
        <f t="array" ref="ED5">IFERROR(ROUND(IF($D5="","",INDEX('M04-S02'!DM$18:DM$199,2*(ROWS(ED$4:ED5)-1)+1)),6),"")</f>
        <v/>
      </c>
      <c r="EE5" s="150" t="str" cm="1">
        <f t="array" ref="EE5">IFERROR(ROUND(IF($D5="","",INDEX('M04-S02'!DN$18:DN$199,2*(ROWS(EE$4:EE5)-1)+1)),6),"")</f>
        <v/>
      </c>
      <c r="EF5" s="150" t="str" cm="1">
        <f t="array" ref="EF5">IFERROR(ROUND(IF($D5="","",INDEX('M04-S02'!DO$18:DO$199,2*(ROWS(EF$4:EF5)-1)+1)),6),"")</f>
        <v/>
      </c>
      <c r="EG5" s="150" t="str" cm="1">
        <f t="array" ref="EG5">IFERROR(ROUND(IF($D5="","",INDEX('M04-S02'!DP$18:DP$199,2*(ROWS(EG$4:EG5)-1)+1)),6),"")</f>
        <v/>
      </c>
      <c r="EH5" s="150" t="str" cm="1">
        <f t="array" ref="EH5">IFERROR(ROUND(IF($D5="","",INDEX('M04-S02'!DQ$18:DQ$199,2*(ROWS(EH$4:EH5)-1)+1)),6),"")</f>
        <v/>
      </c>
      <c r="EI5" s="150" t="str" cm="1">
        <f t="array" ref="EI5">IFERROR(ROUND(IF($D5="","",INDEX('M04-S02'!DR$18:DR$199,2*(ROWS(EI$4:EI5)-1)+1)),6),"")</f>
        <v/>
      </c>
      <c r="EJ5" s="150" t="str" cm="1">
        <f t="array" ref="EJ5">IFERROR(ROUND(IF($D5="","",INDEX('M04-S02'!DS$18:DS$199,2*(ROWS(EJ$4:EJ5)-1)+1)),6),"")</f>
        <v/>
      </c>
      <c r="EK5" s="150" t="str" cm="1">
        <f t="array" ref="EK5">IFERROR(ROUND(IF($D5="","",INDEX('M04-S02'!DT$18:DT$199,2*(ROWS(EK$4:EK5)-1)+1)),6),"")</f>
        <v/>
      </c>
      <c r="EL5" s="150" t="str" cm="1">
        <f t="array" ref="EL5">IFERROR(ROUND(IF($D5="","",INDEX('M04-S02'!DU$18:DU$199,2*(ROWS(EL$4:EL5)-1)+1)),6),"")</f>
        <v/>
      </c>
      <c r="EM5" s="150" t="str" cm="1">
        <f t="array" ref="EM5">IFERROR(ROUND(IF($D5="","",INDEX('M04-S02'!DV$18:DV$199,2*(ROWS(EM$4:EM5)-1)+1)),6),"")</f>
        <v/>
      </c>
      <c r="EN5" s="150" t="str" cm="1">
        <f t="array" ref="EN5">IFERROR(ROUND(IF($D5="","",INDEX('M04-S02'!DW$18:DW$199,2*(ROWS(EN$4:EN5)-1)+1)),6),"")</f>
        <v/>
      </c>
      <c r="EO5" s="150" t="str" cm="1">
        <f t="array" ref="EO5">IFERROR(ROUND(IF($D5="","",INDEX('M04-S02'!DX$18:DX$199,2*(ROWS(EO$4:EO5)-1)+1)),6),"")</f>
        <v/>
      </c>
      <c r="EP5" s="150" t="str" cm="1">
        <f t="array" ref="EP5">IFERROR(ROUND(IF($D5="","",INDEX('M04-S02'!DY$18:DY$199,2*(ROWS(EP$4:EP5)-1)+1)),6),"")</f>
        <v/>
      </c>
      <c r="EQ5" s="150" t="str" cm="1">
        <f t="array" ref="EQ5">IFERROR(ROUND(IF($D5="","",INDEX('M04-S02'!DZ$18:DZ$199,2*(ROWS(EQ$4:EQ5)-1)+1)),6),"")</f>
        <v/>
      </c>
      <c r="ER5" s="150" t="str">
        <f t="shared" ref="ER5:ER68" si="21">IFERROR(ROUND(IF($D5="","",EB5),6),"")</f>
        <v/>
      </c>
      <c r="ES5" s="150" t="str">
        <f t="shared" si="6"/>
        <v/>
      </c>
      <c r="ET5" s="150" t="str">
        <f t="shared" si="6"/>
        <v/>
      </c>
      <c r="EU5" s="150" t="str">
        <f t="shared" si="6"/>
        <v/>
      </c>
      <c r="EV5" s="150" t="str">
        <f t="shared" si="6"/>
        <v/>
      </c>
      <c r="EW5" s="150" t="str">
        <f t="shared" si="6"/>
        <v/>
      </c>
      <c r="EX5" s="150" t="str">
        <f t="shared" si="6"/>
        <v/>
      </c>
      <c r="EY5" s="150" t="str">
        <f t="shared" ref="EY5:EY68" si="22">IFERROR(ROUND(IF($D5="","",EQ5),6),"")</f>
        <v/>
      </c>
      <c r="EZ5" s="150" t="str" cm="1">
        <f t="array" ref="EZ5">IFERROR(ROUND(IF($D5="","",INDEX('M04-S02'!EA$18:EA$199,2*(ROWS(EZ$4:EZ5)-1)+1)),6),"")</f>
        <v/>
      </c>
      <c r="FA5" s="150" t="str" cm="1">
        <f t="array" ref="FA5">IFERROR(ROUND(IF($D5="","",INDEX('M04-S02'!EB$18:EB$199,2*(ROWS(FA$4:FA5)-1)+1)),6),"")</f>
        <v/>
      </c>
      <c r="FB5" s="150" t="str" cm="1">
        <f t="array" ref="FB5">IFERROR(ROUND(IF($D5="","",INDEX('M04-S02'!EC$18:EC$199,2*(ROWS(FB$4:FB5)-1)+1)),6),"")</f>
        <v/>
      </c>
      <c r="FC5" s="150" t="str" cm="1">
        <f t="array" ref="FC5">IFERROR(ROUND(IF($D5="","",INDEX('M04-S02'!ED$18:ED$199,2*(ROWS(FC$4:FC5)-1)+1)),6),"")</f>
        <v/>
      </c>
      <c r="FD5" s="150" t="str" cm="1">
        <f t="array" ref="FD5">IFERROR(ROUND(IF($D5="","",INDEX('M04-S02'!EE$18:EE$199,2*(ROWS(FD$4:FD5)-1)+1)),6),"")</f>
        <v/>
      </c>
      <c r="FE5" s="150" t="str" cm="1">
        <f t="array" ref="FE5">IFERROR(ROUND(IF($D5="","",INDEX('M04-S02'!EF$18:EF$199,2*(ROWS(FE$4:FE5)-1)+1)),6),"")</f>
        <v/>
      </c>
      <c r="FF5" s="150" t="str" cm="1">
        <f t="array" ref="FF5">IFERROR(ROUND(IF($D5="","",INDEX('M04-S02'!EG$18:EG$199,2*(ROWS(FF$4:FF5)-1)+1)),6),"")</f>
        <v/>
      </c>
      <c r="FG5" s="150" t="str" cm="1">
        <f t="array" ref="FG5">IFERROR(ROUND(IF($D5="","",INDEX('M04-S02'!EH$18:EH$199,2*(ROWS(FG$4:FG5)-1)+1)),6),"")</f>
        <v/>
      </c>
      <c r="FH5" s="150" t="str" cm="1">
        <f t="array" ref="FH5">IFERROR(ROUND(IF($D5="","",INDEX('M04-S02'!EI$18:EI$199,2*(ROWS(FH$4:FH5)-1)+1)),6),"")</f>
        <v/>
      </c>
      <c r="FI5" s="150" t="str" cm="1">
        <f t="array" ref="FI5">IFERROR(ROUND(IF($D5="","",INDEX('M04-S02'!EJ$18:EJ$199,2*(ROWS(FI$4:FI5)-1)+1)),6),"")</f>
        <v/>
      </c>
      <c r="FJ5" s="150" t="str" cm="1">
        <f t="array" ref="FJ5">IFERROR(ROUND(IF($D5="","",INDEX('M04-S02'!EK$18:EK$199,2*(ROWS(FJ$4:FJ5)-1)+1)),6),"")</f>
        <v/>
      </c>
      <c r="FK5" s="150" t="str" cm="1">
        <f t="array" ref="FK5">IFERROR(ROUND(IF($D5="","",INDEX('M04-S02'!EL$18:EL$199,2*(ROWS(FK$4:FK5)-1)+1)),6),"")</f>
        <v/>
      </c>
      <c r="FL5" s="150" t="str" cm="1">
        <f t="array" ref="FL5">IFERROR(ROUND(IF($D5="","",INDEX('M04-S02'!EM$18:EM$199,2*(ROWS(FL$4:FL5)-1)+1)),6),"")</f>
        <v/>
      </c>
      <c r="FM5" s="150" t="str" cm="1">
        <f t="array" ref="FM5">IFERROR(ROUND(IF($D5="","",INDEX('M04-S02'!EN$18:EN$199,2*(ROWS(FM$4:FM5)-1)+1)),6),"")</f>
        <v/>
      </c>
    </row>
    <row r="6" spans="1:380">
      <c r="A6" t="str">
        <f t="shared" si="7"/>
        <v/>
      </c>
      <c r="B6" t="str">
        <f t="shared" si="8"/>
        <v/>
      </c>
      <c r="C6" t="str" cm="1">
        <f t="array" ref="C6">IFERROR(IF(D6="","",INDEX('M04-S02'!$B$18:$B$199,2*(ROWS(C$4:C6)-1)+1)),"")</f>
        <v/>
      </c>
      <c r="D6" t="str">
        <f t="shared" si="9"/>
        <v/>
      </c>
      <c r="E6" t="str" cm="1">
        <f t="array" ref="E6">IFERROR(IF(INDEX('M04-S02'!$CC$18:$CC$199,2*(ROWS(E$4:E6)-1)+1)="","",INDEX('M04-S02'!$CC$18:$CC$199,2*(ROWS(E$4:E6)-1)+1)),"")</f>
        <v/>
      </c>
      <c r="G6" t="str">
        <f t="shared" si="10"/>
        <v/>
      </c>
      <c r="H6" t="str">
        <f t="shared" si="11"/>
        <v/>
      </c>
      <c r="L6" t="str">
        <f t="shared" si="12"/>
        <v/>
      </c>
      <c r="O6" t="str">
        <f t="shared" si="13"/>
        <v/>
      </c>
      <c r="V6" t="str" cm="1">
        <f t="array" ref="V6">IFERROR(IF(D6="","",INDEX('M04-S02'!$AY$18:$AY$199,2*(ROWS(V$4:V6)-1)+1)),"")</f>
        <v/>
      </c>
      <c r="W6" t="str" cm="1">
        <f t="array" ref="W6">IFERROR(IF(D6="","",INDEX('M04-S02'!$AV$18:$AV$199,2*(ROWS(W$4:W6)-1)+1)),"")</f>
        <v/>
      </c>
      <c r="X6" t="str" cm="1">
        <f t="array" ref="X6">IFERROR(IF(D6="","",INDEX('M04-S02'!$AV$18:$AV$199,2*(ROWS(X$4:X6)-0)+0)),"")</f>
        <v/>
      </c>
      <c r="AG6" s="98" t="str" cm="1">
        <f t="array" ref="AG6">IFERROR(IF(D6="","",IF(INDEX('M04-S02'!$CB$18:$CB$199,2*(ROWS(AG$4:AG6)-1)+1)="","",INDEX('M04-S02'!$CB$18:$CB$199,2*(ROWS(AG$4:AG6)-1)+1))),"")</f>
        <v/>
      </c>
      <c r="AH6" s="98" t="str" cm="1">
        <f t="array" ref="AH6">IFERROR(IF(D6="","",IF(INDEX('M04-S02'!$CU$18:$CU$199,2*(ROWS(AH$4:AH6)-1)+1)="","",INDEX('M04-S02'!$CU$18:$CU$199,2*(ROWS(AH$4:AH6)-1)+1))),"")</f>
        <v/>
      </c>
      <c r="AI6" s="20" t="str" cm="1">
        <f t="array" ref="AI6">IFERROR(IF(D6="","",IF(INDEX('M04-S02'!$CM$18:$CM$199,2*(ROWS(AI$4:AI6)-1)+1)="",0,INDEX('M04-S02'!$CM$18:$CM$199,2*(ROWS(AI$4:AI6)-1)+1))),"")</f>
        <v/>
      </c>
      <c r="AJ6" s="20" t="str">
        <f t="shared" si="1"/>
        <v/>
      </c>
      <c r="AK6" s="487" t="str" cm="1">
        <f t="array" ref="AK6">IFERROR(IF(D6="","",IF(INDEX('M04-S02'!$CN$18:$CN$199,2*(ROWS(AK$4:AK6)-1)+1)="",0,INDEX('M04-S02'!$CN$18:$CN$199,2*(ROWS(AK$4:AK6)-1)+1))),"")</f>
        <v/>
      </c>
      <c r="AL6" s="20" t="str">
        <f t="shared" si="14"/>
        <v/>
      </c>
      <c r="AM6" s="20" t="str">
        <f t="shared" si="2"/>
        <v/>
      </c>
      <c r="AN6" s="20" t="str" cm="1">
        <f t="array" ref="AN6">IFERROR(IF(D6="","",IF(INDEX('M04-S02'!$CO$18:$CO$199,2*(ROWS(AN$4:AN6)-1)+1)="",0,INDEX('M04-S02'!$CO$18:$CO$199,2*(ROWS(AN$4:AN6)-1)+1))),"")</f>
        <v/>
      </c>
      <c r="AO6" s="20" t="str" cm="1">
        <f t="array" ref="AO6">IFERROR(IF(D6="","",INDEX('M04-S02'!$R$18:$R$199,2*(ROWS(AO$4:AO6)-1)+1)),"")</f>
        <v/>
      </c>
      <c r="AP6" s="20" t="str" cm="1">
        <f t="array" ref="AP6">IFERROR(IF(D6="","",INDEX('M04-S02'!$AJ$18:$AJ$199,2*(ROWS(AP$4:AP6)-1)+1)),"")</f>
        <v/>
      </c>
      <c r="AQ6" s="487" t="str" cm="1">
        <f t="array" ref="AQ6">IFERROR(IF(D6="","",INDEX('M04-S02'!$U$18:$U$199,2*(ROWS(AQ$4:AQ6)-1)+1)),"")</f>
        <v/>
      </c>
      <c r="AR6" s="487" t="str" cm="1">
        <f t="array" ref="AR6">IFERROR(IF(D6="","",INDEX('M04-S02'!$AM$18:$AM$199,2*(ROWS(AR$4:AR6)-1)+1)),"")</f>
        <v/>
      </c>
      <c r="AS6" s="20" t="str" cm="1">
        <f t="array" ref="AS6">IFERROR(IF(D6="","",INDEX('M04-S02'!$X$18:$X$199,2*(ROWS(AS$4:AS6)-1)+1)),"")</f>
        <v/>
      </c>
      <c r="AT6" s="20" t="str" cm="1">
        <f t="array" ref="AT6">IFERROR(IF(D6="","",INDEX('M04-S02'!$AP$18:$AP$199,2*(ROWS(AT$4:AT6)-1)+1)),"")</f>
        <v/>
      </c>
      <c r="BP6" t="str" cm="1">
        <f t="array" ref="BP6">IFERROR(IF(D6="","",INDEX('M04-S02'!$CS$18:$CS$199,2*(ROWS(BP$4:BP6)-1)+1)),"")</f>
        <v/>
      </c>
      <c r="BR6" t="str" cm="1">
        <f t="array" ref="BR6">IFERROR(IF(D6="","",LEFT(INDEX('M04-S02'!$C$18:$C$199,2*(ROWS(BR$4:BR6)-1)+1),150)),"")</f>
        <v/>
      </c>
      <c r="BS6" t="str" cm="1">
        <f t="array" ref="BS6">IFERROR(IF(D6="","",INDEX('M04-S02'!$CT$18:$CT$199,2*(ROWS(BS$4:BS6)-1)+1)),"")</f>
        <v/>
      </c>
      <c r="BT6" s="6" t="str" cm="1">
        <f t="array" ref="BT6">IFERROR(ROUND(IF(D6="","",INDEX('M04-S02'!$BB$18:$BB$199,2*(ROWS(BT$4:BT6)-1)+1)),2),"")</f>
        <v/>
      </c>
      <c r="BU6" s="6" t="str" cm="1">
        <f t="array" ref="BU6">IFERROR(IF(D6="","",INDEX('M04-S02'!$CX$18:$CX$199,2*(ROWS(BU$4:BU6)-1)+1)),"")</f>
        <v/>
      </c>
      <c r="BV6" s="6" t="str" cm="1">
        <f t="array" ref="BV6">IFERROR(IF(D6="","",INDEX('M04-S02'!$CY$18:$CY$199,2*(ROWS(BV$4:BV6)-1)+1)),"")</f>
        <v/>
      </c>
      <c r="BW6" t="str">
        <f t="shared" si="15"/>
        <v/>
      </c>
      <c r="BX6" t="str">
        <f t="shared" si="16"/>
        <v/>
      </c>
      <c r="BY6" s="6" t="str" cm="1">
        <f t="array" ref="BY6">IFERROR(IF(D6="","",INDEX('M04-S02'!$CI$18:$CI$199,2*(ROWS(BY$4:BY6)-1)+1)),"")</f>
        <v/>
      </c>
      <c r="BZ6" s="6" t="str">
        <f t="shared" si="17"/>
        <v/>
      </c>
      <c r="CA6" s="6" t="str">
        <f t="shared" si="18"/>
        <v/>
      </c>
      <c r="CB6" s="6" t="str">
        <f t="shared" si="3"/>
        <v/>
      </c>
      <c r="CC6" s="6" t="str">
        <f t="shared" si="19"/>
        <v/>
      </c>
      <c r="CD6" s="6" t="str">
        <f t="shared" si="20"/>
        <v/>
      </c>
      <c r="CS6" t="str" cm="1">
        <f t="array" ref="CS6">IFERROR(IF(D6="","",INDEX('M04-S02'!$F$18:$F$199,2*(ROWS(CS$4:CS6)-1)+1)),"")</f>
        <v/>
      </c>
      <c r="CT6" t="str" cm="1">
        <f t="array" ref="CT6">IFERROR(IF(D6="","",INDEX('M04-S02'!$L$18:$L$199,2*(ROWS(CT$4:CT6)-1)+1)),"")</f>
        <v/>
      </c>
      <c r="CU6" t="str" cm="1">
        <f t="array" ref="CU6">IFERROR(IF(D6="","",INDEX('M04-S02'!$AD$18:$AD$199,2*(ROWS(CU$4:CU6)-1)+1)),"")</f>
        <v/>
      </c>
      <c r="DE6" s="150"/>
      <c r="DF6" s="150" t="str">
        <f>IFERROR(ROUND(IF(OR(D6="",DE6=""),"",TEMPLATE!$V$10),2),"")</f>
        <v/>
      </c>
      <c r="DG6" s="150"/>
      <c r="DH6" s="150" t="str">
        <f>IFERROR(ROUND(IF(OR(D6="",DG6=""),"",TEMPLATE!$V$10),2),"")</f>
        <v/>
      </c>
      <c r="DI6" s="150"/>
      <c r="DJ6" s="150" t="str">
        <f>IFERROR(ROUND(IF(OR(D6="",DI6=""),"",TEMPLATE!$V$10),2),"")</f>
        <v/>
      </c>
      <c r="DK6" s="150"/>
      <c r="DL6" s="150" t="str">
        <f>IFERROR(ROUND(IF(OR(D6="",DK6=""),"",TEMPLATE!$V$10),2),"")</f>
        <v/>
      </c>
      <c r="DM6" s="150"/>
      <c r="DN6" s="150" t="str">
        <f>IFERROR(ROUND(IF(OR(D6="",DM6=""),"",TEMPLATE!$V$10),2),"")</f>
        <v/>
      </c>
      <c r="DO6" s="150"/>
      <c r="DP6" s="150" t="str">
        <f>IFERROR(ROUND(IF(OR(D6="",DO6=""),"",TEMPLATE!$V$10),2),"")</f>
        <v/>
      </c>
      <c r="DQ6" s="150"/>
      <c r="DR6" s="150" t="str">
        <f>IFERROR(ROUND(IF(OR(D6="",DQ6=""),"",TEMPLATE!$V$10),2),"")</f>
        <v/>
      </c>
      <c r="DS6" s="150"/>
      <c r="DT6" s="150" t="str">
        <f>IFERROR(ROUND(IF(OR(D6="",DS6=""),"",TEMPLATE!$V$10),2),"")</f>
        <v/>
      </c>
      <c r="DU6" s="150" t="str" cm="1">
        <f t="array" ref="DU6">IFERROR(ROUND(IF($D6="","",INDEX('M04-S02'!DD$18:DD$199,2*(ROWS(DU$4:DU6)-1)+1)),4),"")</f>
        <v/>
      </c>
      <c r="DV6" s="150" t="str" cm="1">
        <f t="array" ref="DV6">IFERROR(ROUND(IF($D6="","",INDEX('M04-S02'!DE$18:DE$199,2*(ROWS(DV$4:DV6)-1)+1)),4),"")</f>
        <v/>
      </c>
      <c r="DW6" s="150" t="str" cm="1">
        <f t="array" ref="DW6">IFERROR(ROUND(IF($D6="","",INDEX('M04-S02'!DF$18:DF$199,2*(ROWS(DW$4:DW6)-1)+1)),4),"")</f>
        <v/>
      </c>
      <c r="DX6" s="150" t="str" cm="1">
        <f t="array" ref="DX6">IFERROR(ROUND(IF($D6="","",INDEX('M04-S02'!DG$18:DG$199,2*(ROWS(DX$4:DX6)-1)+1)),4),"")</f>
        <v/>
      </c>
      <c r="DY6" s="150" t="str" cm="1">
        <f t="array" ref="DY6">IFERROR(ROUND(IF($D6="","",INDEX('M04-S02'!DH$18:DH$199,2*(ROWS(DY$4:DY6)-1)+1)),4),"")</f>
        <v/>
      </c>
      <c r="DZ6" s="150" t="str" cm="1">
        <f t="array" ref="DZ6">IFERROR(ROUND(IF($D6="","",INDEX('M04-S02'!DI$18:DI$199,2*(ROWS(DZ$4:DZ6)-1)+1)),4),"")</f>
        <v/>
      </c>
      <c r="EA6" s="150" t="str" cm="1">
        <f t="array" ref="EA6">IFERROR(ROUND(IF($D6="","",INDEX('M04-S02'!DJ$18:DJ$199,2*(ROWS(EA$4:EA6)-1)+1)),4),"")</f>
        <v/>
      </c>
      <c r="EB6" s="150" t="str" cm="1">
        <f t="array" ref="EB6">IFERROR(ROUND(IF($D6="","",INDEX('M04-S02'!DK$18:DK$199,2*(ROWS(EB$4:EB6)-1)+1)),6),"")</f>
        <v/>
      </c>
      <c r="EC6" s="150" t="str" cm="1">
        <f t="array" ref="EC6">IFERROR(ROUND(IF($D6="","",INDEX('M04-S02'!DL$18:DL$199,2*(ROWS(EC$4:EC6)-1)+1)),6),"")</f>
        <v/>
      </c>
      <c r="ED6" s="150" t="str" cm="1">
        <f t="array" ref="ED6">IFERROR(ROUND(IF($D6="","",INDEX('M04-S02'!DM$18:DM$199,2*(ROWS(ED$4:ED6)-1)+1)),6),"")</f>
        <v/>
      </c>
      <c r="EE6" s="150" t="str" cm="1">
        <f t="array" ref="EE6">IFERROR(ROUND(IF($D6="","",INDEX('M04-S02'!DN$18:DN$199,2*(ROWS(EE$4:EE6)-1)+1)),6),"")</f>
        <v/>
      </c>
      <c r="EF6" s="150" t="str" cm="1">
        <f t="array" ref="EF6">IFERROR(ROUND(IF($D6="","",INDEX('M04-S02'!DO$18:DO$199,2*(ROWS(EF$4:EF6)-1)+1)),6),"")</f>
        <v/>
      </c>
      <c r="EG6" s="150" t="str" cm="1">
        <f t="array" ref="EG6">IFERROR(ROUND(IF($D6="","",INDEX('M04-S02'!DP$18:DP$199,2*(ROWS(EG$4:EG6)-1)+1)),6),"")</f>
        <v/>
      </c>
      <c r="EH6" s="150" t="str" cm="1">
        <f t="array" ref="EH6">IFERROR(ROUND(IF($D6="","",INDEX('M04-S02'!DQ$18:DQ$199,2*(ROWS(EH$4:EH6)-1)+1)),6),"")</f>
        <v/>
      </c>
      <c r="EI6" s="150" t="str" cm="1">
        <f t="array" ref="EI6">IFERROR(ROUND(IF($D6="","",INDEX('M04-S02'!DR$18:DR$199,2*(ROWS(EI$4:EI6)-1)+1)),6),"")</f>
        <v/>
      </c>
      <c r="EJ6" s="150" t="str" cm="1">
        <f t="array" ref="EJ6">IFERROR(ROUND(IF($D6="","",INDEX('M04-S02'!DS$18:DS$199,2*(ROWS(EJ$4:EJ6)-1)+1)),6),"")</f>
        <v/>
      </c>
      <c r="EK6" s="150" t="str" cm="1">
        <f t="array" ref="EK6">IFERROR(ROUND(IF($D6="","",INDEX('M04-S02'!DT$18:DT$199,2*(ROWS(EK$4:EK6)-1)+1)),6),"")</f>
        <v/>
      </c>
      <c r="EL6" s="150" t="str" cm="1">
        <f t="array" ref="EL6">IFERROR(ROUND(IF($D6="","",INDEX('M04-S02'!DU$18:DU$199,2*(ROWS(EL$4:EL6)-1)+1)),6),"")</f>
        <v/>
      </c>
      <c r="EM6" s="150" t="str" cm="1">
        <f t="array" ref="EM6">IFERROR(ROUND(IF($D6="","",INDEX('M04-S02'!DV$18:DV$199,2*(ROWS(EM$4:EM6)-1)+1)),6),"")</f>
        <v/>
      </c>
      <c r="EN6" s="150" t="str" cm="1">
        <f t="array" ref="EN6">IFERROR(ROUND(IF($D6="","",INDEX('M04-S02'!DW$18:DW$199,2*(ROWS(EN$4:EN6)-1)+1)),6),"")</f>
        <v/>
      </c>
      <c r="EO6" s="150" t="str" cm="1">
        <f t="array" ref="EO6">IFERROR(ROUND(IF($D6="","",INDEX('M04-S02'!DX$18:DX$199,2*(ROWS(EO$4:EO6)-1)+1)),6),"")</f>
        <v/>
      </c>
      <c r="EP6" s="150" t="str" cm="1">
        <f t="array" ref="EP6">IFERROR(ROUND(IF($D6="","",INDEX('M04-S02'!DY$18:DY$199,2*(ROWS(EP$4:EP6)-1)+1)),6),"")</f>
        <v/>
      </c>
      <c r="EQ6" s="150" t="str" cm="1">
        <f t="array" ref="EQ6">IFERROR(ROUND(IF($D6="","",INDEX('M04-S02'!DZ$18:DZ$199,2*(ROWS(EQ$4:EQ6)-1)+1)),6),"")</f>
        <v/>
      </c>
      <c r="ER6" s="150" t="str">
        <f t="shared" si="21"/>
        <v/>
      </c>
      <c r="ES6" s="150" t="str">
        <f t="shared" si="6"/>
        <v/>
      </c>
      <c r="ET6" s="150" t="str">
        <f t="shared" si="6"/>
        <v/>
      </c>
      <c r="EU6" s="150" t="str">
        <f t="shared" si="6"/>
        <v/>
      </c>
      <c r="EV6" s="150" t="str">
        <f t="shared" si="6"/>
        <v/>
      </c>
      <c r="EW6" s="150" t="str">
        <f t="shared" si="6"/>
        <v/>
      </c>
      <c r="EX6" s="150" t="str">
        <f t="shared" si="6"/>
        <v/>
      </c>
      <c r="EY6" s="150" t="str">
        <f t="shared" si="22"/>
        <v/>
      </c>
      <c r="EZ6" s="150" t="str" cm="1">
        <f t="array" ref="EZ6">IFERROR(ROUND(IF($D6="","",INDEX('M04-S02'!EA$18:EA$199,2*(ROWS(EZ$4:EZ6)-1)+1)),6),"")</f>
        <v/>
      </c>
      <c r="FA6" s="150" t="str" cm="1">
        <f t="array" ref="FA6">IFERROR(ROUND(IF($D6="","",INDEX('M04-S02'!EB$18:EB$199,2*(ROWS(FA$4:FA6)-1)+1)),6),"")</f>
        <v/>
      </c>
      <c r="FB6" s="150" t="str" cm="1">
        <f t="array" ref="FB6">IFERROR(ROUND(IF($D6="","",INDEX('M04-S02'!EC$18:EC$199,2*(ROWS(FB$4:FB6)-1)+1)),6),"")</f>
        <v/>
      </c>
      <c r="FC6" s="150" t="str" cm="1">
        <f t="array" ref="FC6">IFERROR(ROUND(IF($D6="","",INDEX('M04-S02'!ED$18:ED$199,2*(ROWS(FC$4:FC6)-1)+1)),6),"")</f>
        <v/>
      </c>
      <c r="FD6" s="150" t="str" cm="1">
        <f t="array" ref="FD6">IFERROR(ROUND(IF($D6="","",INDEX('M04-S02'!EE$18:EE$199,2*(ROWS(FD$4:FD6)-1)+1)),6),"")</f>
        <v/>
      </c>
      <c r="FE6" s="150" t="str" cm="1">
        <f t="array" ref="FE6">IFERROR(ROUND(IF($D6="","",INDEX('M04-S02'!EF$18:EF$199,2*(ROWS(FE$4:FE6)-1)+1)),6),"")</f>
        <v/>
      </c>
      <c r="FF6" s="150" t="str" cm="1">
        <f t="array" ref="FF6">IFERROR(ROUND(IF($D6="","",INDEX('M04-S02'!EG$18:EG$199,2*(ROWS(FF$4:FF6)-1)+1)),6),"")</f>
        <v/>
      </c>
      <c r="FG6" s="150" t="str" cm="1">
        <f t="array" ref="FG6">IFERROR(ROUND(IF($D6="","",INDEX('M04-S02'!EH$18:EH$199,2*(ROWS(FG$4:FG6)-1)+1)),6),"")</f>
        <v/>
      </c>
      <c r="FH6" s="150" t="str" cm="1">
        <f t="array" ref="FH6">IFERROR(ROUND(IF($D6="","",INDEX('M04-S02'!EI$18:EI$199,2*(ROWS(FH$4:FH6)-1)+1)),6),"")</f>
        <v/>
      </c>
      <c r="FI6" s="150" t="str" cm="1">
        <f t="array" ref="FI6">IFERROR(ROUND(IF($D6="","",INDEX('M04-S02'!EJ$18:EJ$199,2*(ROWS(FI$4:FI6)-1)+1)),6),"")</f>
        <v/>
      </c>
      <c r="FJ6" s="150" t="str" cm="1">
        <f t="array" ref="FJ6">IFERROR(ROUND(IF($D6="","",INDEX('M04-S02'!EK$18:EK$199,2*(ROWS(FJ$4:FJ6)-1)+1)),6),"")</f>
        <v/>
      </c>
      <c r="FK6" s="150" t="str" cm="1">
        <f t="array" ref="FK6">IFERROR(ROUND(IF($D6="","",INDEX('M04-S02'!EL$18:EL$199,2*(ROWS(FK$4:FK6)-1)+1)),6),"")</f>
        <v/>
      </c>
      <c r="FL6" s="150" t="str" cm="1">
        <f t="array" ref="FL6">IFERROR(ROUND(IF($D6="","",INDEX('M04-S02'!EM$18:EM$199,2*(ROWS(FL$4:FL6)-1)+1)),6),"")</f>
        <v/>
      </c>
      <c r="FM6" s="150" t="str" cm="1">
        <f t="array" ref="FM6">IFERROR(ROUND(IF($D6="","",INDEX('M04-S02'!EN$18:EN$199,2*(ROWS(FM$4:FM6)-1)+1)),6),"")</f>
        <v/>
      </c>
    </row>
    <row r="7" spans="1:380">
      <c r="A7" t="str">
        <f t="shared" si="7"/>
        <v/>
      </c>
      <c r="B7" t="str">
        <f t="shared" si="8"/>
        <v/>
      </c>
      <c r="C7" t="str" cm="1">
        <f t="array" ref="C7">IFERROR(IF(D7="","",INDEX('M04-S02'!$B$18:$B$199,2*(ROWS(C$4:C7)-1)+1)),"")</f>
        <v/>
      </c>
      <c r="D7" t="str">
        <f t="shared" si="9"/>
        <v/>
      </c>
      <c r="E7" t="str" cm="1">
        <f t="array" ref="E7">IFERROR(IF(INDEX('M04-S02'!$CC$18:$CC$199,2*(ROWS(E$4:E7)-1)+1)="","",INDEX('M04-S02'!$CC$18:$CC$199,2*(ROWS(E$4:E7)-1)+1)),"")</f>
        <v/>
      </c>
      <c r="G7" t="str">
        <f t="shared" si="10"/>
        <v/>
      </c>
      <c r="H7" t="str">
        <f t="shared" si="11"/>
        <v/>
      </c>
      <c r="L7" t="str">
        <f t="shared" si="12"/>
        <v/>
      </c>
      <c r="O7" t="str">
        <f t="shared" si="13"/>
        <v/>
      </c>
      <c r="V7" t="str" cm="1">
        <f t="array" ref="V7">IFERROR(IF(D7="","",INDEX('M04-S02'!$AY$18:$AY$199,2*(ROWS(V$4:V7)-1)+1)),"")</f>
        <v/>
      </c>
      <c r="W7" t="str" cm="1">
        <f t="array" ref="W7">IFERROR(IF(D7="","",INDEX('M04-S02'!$AV$18:$AV$199,2*(ROWS(W$4:W7)-1)+1)),"")</f>
        <v/>
      </c>
      <c r="X7" t="str" cm="1">
        <f t="array" ref="X7">IFERROR(IF(D7="","",INDEX('M04-S02'!$AV$18:$AV$199,2*(ROWS(X$4:X7)-0)+0)),"")</f>
        <v/>
      </c>
      <c r="AG7" s="98" t="str" cm="1">
        <f t="array" ref="AG7">IFERROR(IF(D7="","",IF(INDEX('M04-S02'!$CB$18:$CB$199,2*(ROWS(AG$4:AG7)-1)+1)="","",INDEX('M04-S02'!$CB$18:$CB$199,2*(ROWS(AG$4:AG7)-1)+1))),"")</f>
        <v/>
      </c>
      <c r="AH7" s="98" t="str" cm="1">
        <f t="array" ref="AH7">IFERROR(IF(D7="","",IF(INDEX('M04-S02'!$CU$18:$CU$199,2*(ROWS(AH$4:AH7)-1)+1)="","",INDEX('M04-S02'!$CU$18:$CU$199,2*(ROWS(AH$4:AH7)-1)+1))),"")</f>
        <v/>
      </c>
      <c r="AI7" s="20" t="str" cm="1">
        <f t="array" ref="AI7">IFERROR(IF(D7="","",IF(INDEX('M04-S02'!$CM$18:$CM$199,2*(ROWS(AI$4:AI7)-1)+1)="",0,INDEX('M04-S02'!$CM$18:$CM$199,2*(ROWS(AI$4:AI7)-1)+1))),"")</f>
        <v/>
      </c>
      <c r="AJ7" s="20" t="str">
        <f t="shared" si="1"/>
        <v/>
      </c>
      <c r="AK7" s="487" t="str" cm="1">
        <f t="array" ref="AK7">IFERROR(IF(D7="","",IF(INDEX('M04-S02'!$CN$18:$CN$199,2*(ROWS(AK$4:AK7)-1)+1)="",0,INDEX('M04-S02'!$CN$18:$CN$199,2*(ROWS(AK$4:AK7)-1)+1))),"")</f>
        <v/>
      </c>
      <c r="AL7" s="20" t="str">
        <f t="shared" si="14"/>
        <v/>
      </c>
      <c r="AM7" s="20" t="str">
        <f t="shared" si="2"/>
        <v/>
      </c>
      <c r="AN7" s="20" t="str" cm="1">
        <f t="array" ref="AN7">IFERROR(IF(D7="","",IF(INDEX('M04-S02'!$CO$18:$CO$199,2*(ROWS(AN$4:AN7)-1)+1)="",0,INDEX('M04-S02'!$CO$18:$CO$199,2*(ROWS(AN$4:AN7)-1)+1))),"")</f>
        <v/>
      </c>
      <c r="AO7" s="20" t="str" cm="1">
        <f t="array" ref="AO7">IFERROR(IF(D7="","",INDEX('M04-S02'!$R$18:$R$199,2*(ROWS(AO$4:AO7)-1)+1)),"")</f>
        <v/>
      </c>
      <c r="AP7" s="20" t="str" cm="1">
        <f t="array" ref="AP7">IFERROR(IF(D7="","",INDEX('M04-S02'!$AJ$18:$AJ$199,2*(ROWS(AP$4:AP7)-1)+1)),"")</f>
        <v/>
      </c>
      <c r="AQ7" s="487" t="str" cm="1">
        <f t="array" ref="AQ7">IFERROR(IF(D7="","",INDEX('M04-S02'!$U$18:$U$199,2*(ROWS(AQ$4:AQ7)-1)+1)),"")</f>
        <v/>
      </c>
      <c r="AR7" s="487" t="str" cm="1">
        <f t="array" ref="AR7">IFERROR(IF(D7="","",INDEX('M04-S02'!$AM$18:$AM$199,2*(ROWS(AR$4:AR7)-1)+1)),"")</f>
        <v/>
      </c>
      <c r="AS7" s="20" t="str" cm="1">
        <f t="array" ref="AS7">IFERROR(IF(D7="","",INDEX('M04-S02'!$X$18:$X$199,2*(ROWS(AS$4:AS7)-1)+1)),"")</f>
        <v/>
      </c>
      <c r="AT7" s="20" t="str" cm="1">
        <f t="array" ref="AT7">IFERROR(IF(D7="","",INDEX('M04-S02'!$AP$18:$AP$199,2*(ROWS(AT$4:AT7)-1)+1)),"")</f>
        <v/>
      </c>
      <c r="BP7" t="str" cm="1">
        <f t="array" ref="BP7">IFERROR(IF(D7="","",INDEX('M04-S02'!$CS$18:$CS$199,2*(ROWS(BP$4:BP7)-1)+1)),"")</f>
        <v/>
      </c>
      <c r="BR7" t="str" cm="1">
        <f t="array" ref="BR7">IFERROR(IF(D7="","",LEFT(INDEX('M04-S02'!$C$18:$C$199,2*(ROWS(BR$4:BR7)-1)+1),150)),"")</f>
        <v/>
      </c>
      <c r="BS7" t="str" cm="1">
        <f t="array" ref="BS7">IFERROR(IF(D7="","",INDEX('M04-S02'!$CT$18:$CT$199,2*(ROWS(BS$4:BS7)-1)+1)),"")</f>
        <v/>
      </c>
      <c r="BT7" s="6" t="str" cm="1">
        <f t="array" ref="BT7">IFERROR(ROUND(IF(D7="","",INDEX('M04-S02'!$BB$18:$BB$199,2*(ROWS(BT$4:BT7)-1)+1)),2),"")</f>
        <v/>
      </c>
      <c r="BU7" s="6" t="str" cm="1">
        <f t="array" ref="BU7">IFERROR(IF(D7="","",INDEX('M04-S02'!$CX$18:$CX$199,2*(ROWS(BU$4:BU7)-1)+1)),"")</f>
        <v/>
      </c>
      <c r="BV7" s="6" t="str" cm="1">
        <f t="array" ref="BV7">IFERROR(IF(D7="","",INDEX('M04-S02'!$CY$18:$CY$199,2*(ROWS(BV$4:BV7)-1)+1)),"")</f>
        <v/>
      </c>
      <c r="BW7" t="str">
        <f t="shared" si="15"/>
        <v/>
      </c>
      <c r="BX7" t="str">
        <f t="shared" si="16"/>
        <v/>
      </c>
      <c r="BY7" s="6" t="str" cm="1">
        <f t="array" ref="BY7">IFERROR(IF(D7="","",INDEX('M04-S02'!$CI$18:$CI$199,2*(ROWS(BY$4:BY7)-1)+1)),"")</f>
        <v/>
      </c>
      <c r="BZ7" s="6" t="str">
        <f t="shared" si="17"/>
        <v/>
      </c>
      <c r="CA7" s="6" t="str">
        <f t="shared" si="18"/>
        <v/>
      </c>
      <c r="CB7" s="6" t="str">
        <f t="shared" si="3"/>
        <v/>
      </c>
      <c r="CC7" s="6" t="str">
        <f t="shared" si="19"/>
        <v/>
      </c>
      <c r="CD7" s="6" t="str">
        <f t="shared" si="20"/>
        <v/>
      </c>
      <c r="CS7" t="str" cm="1">
        <f t="array" ref="CS7">IFERROR(IF(D7="","",INDEX('M04-S02'!$F$18:$F$199,2*(ROWS(CS$4:CS7)-1)+1)),"")</f>
        <v/>
      </c>
      <c r="CT7" t="str" cm="1">
        <f t="array" ref="CT7">IFERROR(IF(D7="","",INDEX('M04-S02'!$L$18:$L$199,2*(ROWS(CT$4:CT7)-1)+1)),"")</f>
        <v/>
      </c>
      <c r="CU7" t="str" cm="1">
        <f t="array" ref="CU7">IFERROR(IF(D7="","",INDEX('M04-S02'!$AD$18:$AD$199,2*(ROWS(CU$4:CU7)-1)+1)),"")</f>
        <v/>
      </c>
      <c r="DE7" s="150"/>
      <c r="DF7" s="150" t="str">
        <f>IFERROR(ROUND(IF(OR(D7="",DE7=""),"",TEMPLATE!$V$10),2),"")</f>
        <v/>
      </c>
      <c r="DG7" s="150"/>
      <c r="DH7" s="150" t="str">
        <f>IFERROR(ROUND(IF(OR(D7="",DG7=""),"",TEMPLATE!$V$10),2),"")</f>
        <v/>
      </c>
      <c r="DI7" s="150"/>
      <c r="DJ7" s="150" t="str">
        <f>IFERROR(ROUND(IF(OR(D7="",DI7=""),"",TEMPLATE!$V$10),2),"")</f>
        <v/>
      </c>
      <c r="DK7" s="150"/>
      <c r="DL7" s="150" t="str">
        <f>IFERROR(ROUND(IF(OR(D7="",DK7=""),"",TEMPLATE!$V$10),2),"")</f>
        <v/>
      </c>
      <c r="DM7" s="150"/>
      <c r="DN7" s="150" t="str">
        <f>IFERROR(ROUND(IF(OR(D7="",DM7=""),"",TEMPLATE!$V$10),2),"")</f>
        <v/>
      </c>
      <c r="DO7" s="150"/>
      <c r="DP7" s="150" t="str">
        <f>IFERROR(ROUND(IF(OR(D7="",DO7=""),"",TEMPLATE!$V$10),2),"")</f>
        <v/>
      </c>
      <c r="DQ7" s="150"/>
      <c r="DR7" s="150" t="str">
        <f>IFERROR(ROUND(IF(OR(D7="",DQ7=""),"",TEMPLATE!$V$10),2),"")</f>
        <v/>
      </c>
      <c r="DS7" s="150"/>
      <c r="DT7" s="150" t="str">
        <f>IFERROR(ROUND(IF(OR(D7="",DS7=""),"",TEMPLATE!$V$10),2),"")</f>
        <v/>
      </c>
      <c r="DU7" s="150" t="str" cm="1">
        <f t="array" ref="DU7">IFERROR(ROUND(IF($D7="","",INDEX('M04-S02'!DD$18:DD$199,2*(ROWS(DU$4:DU7)-1)+1)),4),"")</f>
        <v/>
      </c>
      <c r="DV7" s="150" t="str" cm="1">
        <f t="array" ref="DV7">IFERROR(ROUND(IF($D7="","",INDEX('M04-S02'!DE$18:DE$199,2*(ROWS(DV$4:DV7)-1)+1)),4),"")</f>
        <v/>
      </c>
      <c r="DW7" s="150" t="str" cm="1">
        <f t="array" ref="DW7">IFERROR(ROUND(IF($D7="","",INDEX('M04-S02'!DF$18:DF$199,2*(ROWS(DW$4:DW7)-1)+1)),4),"")</f>
        <v/>
      </c>
      <c r="DX7" s="150" t="str" cm="1">
        <f t="array" ref="DX7">IFERROR(ROUND(IF($D7="","",INDEX('M04-S02'!DG$18:DG$199,2*(ROWS(DX$4:DX7)-1)+1)),4),"")</f>
        <v/>
      </c>
      <c r="DY7" s="150" t="str" cm="1">
        <f t="array" ref="DY7">IFERROR(ROUND(IF($D7="","",INDEX('M04-S02'!DH$18:DH$199,2*(ROWS(DY$4:DY7)-1)+1)),4),"")</f>
        <v/>
      </c>
      <c r="DZ7" s="150" t="str" cm="1">
        <f t="array" ref="DZ7">IFERROR(ROUND(IF($D7="","",INDEX('M04-S02'!DI$18:DI$199,2*(ROWS(DZ$4:DZ7)-1)+1)),4),"")</f>
        <v/>
      </c>
      <c r="EA7" s="150" t="str" cm="1">
        <f t="array" ref="EA7">IFERROR(ROUND(IF($D7="","",INDEX('M04-S02'!DJ$18:DJ$199,2*(ROWS(EA$4:EA7)-1)+1)),4),"")</f>
        <v/>
      </c>
      <c r="EB7" s="150" t="str" cm="1">
        <f t="array" ref="EB7">IFERROR(ROUND(IF($D7="","",INDEX('M04-S02'!DK$18:DK$199,2*(ROWS(EB$4:EB7)-1)+1)),6),"")</f>
        <v/>
      </c>
      <c r="EC7" s="150" t="str" cm="1">
        <f t="array" ref="EC7">IFERROR(ROUND(IF($D7="","",INDEX('M04-S02'!DL$18:DL$199,2*(ROWS(EC$4:EC7)-1)+1)),6),"")</f>
        <v/>
      </c>
      <c r="ED7" s="150" t="str" cm="1">
        <f t="array" ref="ED7">IFERROR(ROUND(IF($D7="","",INDEX('M04-S02'!DM$18:DM$199,2*(ROWS(ED$4:ED7)-1)+1)),6),"")</f>
        <v/>
      </c>
      <c r="EE7" s="150" t="str" cm="1">
        <f t="array" ref="EE7">IFERROR(ROUND(IF($D7="","",INDEX('M04-S02'!DN$18:DN$199,2*(ROWS(EE$4:EE7)-1)+1)),6),"")</f>
        <v/>
      </c>
      <c r="EF7" s="150" t="str" cm="1">
        <f t="array" ref="EF7">IFERROR(ROUND(IF($D7="","",INDEX('M04-S02'!DO$18:DO$199,2*(ROWS(EF$4:EF7)-1)+1)),6),"")</f>
        <v/>
      </c>
      <c r="EG7" s="150" t="str" cm="1">
        <f t="array" ref="EG7">IFERROR(ROUND(IF($D7="","",INDEX('M04-S02'!DP$18:DP$199,2*(ROWS(EG$4:EG7)-1)+1)),6),"")</f>
        <v/>
      </c>
      <c r="EH7" s="150" t="str" cm="1">
        <f t="array" ref="EH7">IFERROR(ROUND(IF($D7="","",INDEX('M04-S02'!DQ$18:DQ$199,2*(ROWS(EH$4:EH7)-1)+1)),6),"")</f>
        <v/>
      </c>
      <c r="EI7" s="150" t="str" cm="1">
        <f t="array" ref="EI7">IFERROR(ROUND(IF($D7="","",INDEX('M04-S02'!DR$18:DR$199,2*(ROWS(EI$4:EI7)-1)+1)),6),"")</f>
        <v/>
      </c>
      <c r="EJ7" s="150" t="str" cm="1">
        <f t="array" ref="EJ7">IFERROR(ROUND(IF($D7="","",INDEX('M04-S02'!DS$18:DS$199,2*(ROWS(EJ$4:EJ7)-1)+1)),6),"")</f>
        <v/>
      </c>
      <c r="EK7" s="150" t="str" cm="1">
        <f t="array" ref="EK7">IFERROR(ROUND(IF($D7="","",INDEX('M04-S02'!DT$18:DT$199,2*(ROWS(EK$4:EK7)-1)+1)),6),"")</f>
        <v/>
      </c>
      <c r="EL7" s="150" t="str" cm="1">
        <f t="array" ref="EL7">IFERROR(ROUND(IF($D7="","",INDEX('M04-S02'!DU$18:DU$199,2*(ROWS(EL$4:EL7)-1)+1)),6),"")</f>
        <v/>
      </c>
      <c r="EM7" s="150" t="str" cm="1">
        <f t="array" ref="EM7">IFERROR(ROUND(IF($D7="","",INDEX('M04-S02'!DV$18:DV$199,2*(ROWS(EM$4:EM7)-1)+1)),6),"")</f>
        <v/>
      </c>
      <c r="EN7" s="150" t="str" cm="1">
        <f t="array" ref="EN7">IFERROR(ROUND(IF($D7="","",INDEX('M04-S02'!DW$18:DW$199,2*(ROWS(EN$4:EN7)-1)+1)),6),"")</f>
        <v/>
      </c>
      <c r="EO7" s="150" t="str" cm="1">
        <f t="array" ref="EO7">IFERROR(ROUND(IF($D7="","",INDEX('M04-S02'!DX$18:DX$199,2*(ROWS(EO$4:EO7)-1)+1)),6),"")</f>
        <v/>
      </c>
      <c r="EP7" s="150" t="str" cm="1">
        <f t="array" ref="EP7">IFERROR(ROUND(IF($D7="","",INDEX('M04-S02'!DY$18:DY$199,2*(ROWS(EP$4:EP7)-1)+1)),6),"")</f>
        <v/>
      </c>
      <c r="EQ7" s="150" t="str" cm="1">
        <f t="array" ref="EQ7">IFERROR(ROUND(IF($D7="","",INDEX('M04-S02'!DZ$18:DZ$199,2*(ROWS(EQ$4:EQ7)-1)+1)),6),"")</f>
        <v/>
      </c>
      <c r="ER7" s="150" t="str">
        <f t="shared" si="21"/>
        <v/>
      </c>
      <c r="ES7" s="150" t="str">
        <f t="shared" si="6"/>
        <v/>
      </c>
      <c r="ET7" s="150" t="str">
        <f t="shared" si="6"/>
        <v/>
      </c>
      <c r="EU7" s="150" t="str">
        <f t="shared" si="6"/>
        <v/>
      </c>
      <c r="EV7" s="150" t="str">
        <f t="shared" si="6"/>
        <v/>
      </c>
      <c r="EW7" s="150" t="str">
        <f t="shared" si="6"/>
        <v/>
      </c>
      <c r="EX7" s="150" t="str">
        <f t="shared" si="6"/>
        <v/>
      </c>
      <c r="EY7" s="150" t="str">
        <f t="shared" si="22"/>
        <v/>
      </c>
      <c r="EZ7" s="150" t="str" cm="1">
        <f t="array" ref="EZ7">IFERROR(ROUND(IF($D7="","",INDEX('M04-S02'!EA$18:EA$199,2*(ROWS(EZ$4:EZ7)-1)+1)),6),"")</f>
        <v/>
      </c>
      <c r="FA7" s="150" t="str" cm="1">
        <f t="array" ref="FA7">IFERROR(ROUND(IF($D7="","",INDEX('M04-S02'!EB$18:EB$199,2*(ROWS(FA$4:FA7)-1)+1)),6),"")</f>
        <v/>
      </c>
      <c r="FB7" s="150" t="str" cm="1">
        <f t="array" ref="FB7">IFERROR(ROUND(IF($D7="","",INDEX('M04-S02'!EC$18:EC$199,2*(ROWS(FB$4:FB7)-1)+1)),6),"")</f>
        <v/>
      </c>
      <c r="FC7" s="150" t="str" cm="1">
        <f t="array" ref="FC7">IFERROR(ROUND(IF($D7="","",INDEX('M04-S02'!ED$18:ED$199,2*(ROWS(FC$4:FC7)-1)+1)),6),"")</f>
        <v/>
      </c>
      <c r="FD7" s="150" t="str" cm="1">
        <f t="array" ref="FD7">IFERROR(ROUND(IF($D7="","",INDEX('M04-S02'!EE$18:EE$199,2*(ROWS(FD$4:FD7)-1)+1)),6),"")</f>
        <v/>
      </c>
      <c r="FE7" s="150" t="str" cm="1">
        <f t="array" ref="FE7">IFERROR(ROUND(IF($D7="","",INDEX('M04-S02'!EF$18:EF$199,2*(ROWS(FE$4:FE7)-1)+1)),6),"")</f>
        <v/>
      </c>
      <c r="FF7" s="150" t="str" cm="1">
        <f t="array" ref="FF7">IFERROR(ROUND(IF($D7="","",INDEX('M04-S02'!EG$18:EG$199,2*(ROWS(FF$4:FF7)-1)+1)),6),"")</f>
        <v/>
      </c>
      <c r="FG7" s="150" t="str" cm="1">
        <f t="array" ref="FG7">IFERROR(ROUND(IF($D7="","",INDEX('M04-S02'!EH$18:EH$199,2*(ROWS(FG$4:FG7)-1)+1)),6),"")</f>
        <v/>
      </c>
      <c r="FH7" s="150" t="str" cm="1">
        <f t="array" ref="FH7">IFERROR(ROUND(IF($D7="","",INDEX('M04-S02'!EI$18:EI$199,2*(ROWS(FH$4:FH7)-1)+1)),6),"")</f>
        <v/>
      </c>
      <c r="FI7" s="150" t="str" cm="1">
        <f t="array" ref="FI7">IFERROR(ROUND(IF($D7="","",INDEX('M04-S02'!EJ$18:EJ$199,2*(ROWS(FI$4:FI7)-1)+1)),6),"")</f>
        <v/>
      </c>
      <c r="FJ7" s="150" t="str" cm="1">
        <f t="array" ref="FJ7">IFERROR(ROUND(IF($D7="","",INDEX('M04-S02'!EK$18:EK$199,2*(ROWS(FJ$4:FJ7)-1)+1)),6),"")</f>
        <v/>
      </c>
      <c r="FK7" s="150" t="str" cm="1">
        <f t="array" ref="FK7">IFERROR(ROUND(IF($D7="","",INDEX('M04-S02'!EL$18:EL$199,2*(ROWS(FK$4:FK7)-1)+1)),6),"")</f>
        <v/>
      </c>
      <c r="FL7" s="150" t="str" cm="1">
        <f t="array" ref="FL7">IFERROR(ROUND(IF($D7="","",INDEX('M04-S02'!EM$18:EM$199,2*(ROWS(FL$4:FL7)-1)+1)),6),"")</f>
        <v/>
      </c>
      <c r="FM7" s="150" t="str" cm="1">
        <f t="array" ref="FM7">IFERROR(ROUND(IF($D7="","",INDEX('M04-S02'!EN$18:EN$199,2*(ROWS(FM$4:FM7)-1)+1)),6),"")</f>
        <v/>
      </c>
    </row>
    <row r="8" spans="1:380">
      <c r="A8" t="str">
        <f t="shared" si="7"/>
        <v/>
      </c>
      <c r="B8" t="str">
        <f t="shared" si="8"/>
        <v/>
      </c>
      <c r="C8" t="str" cm="1">
        <f t="array" ref="C8">IFERROR(IF(D8="","",INDEX('M04-S02'!$B$18:$B$199,2*(ROWS(C$4:C8)-1)+1)),"")</f>
        <v/>
      </c>
      <c r="D8" t="str">
        <f t="shared" si="9"/>
        <v/>
      </c>
      <c r="E8" t="str" cm="1">
        <f t="array" ref="E8">IFERROR(IF(INDEX('M04-S02'!$CC$18:$CC$199,2*(ROWS(E$4:E8)-1)+1)="","",INDEX('M04-S02'!$CC$18:$CC$199,2*(ROWS(E$4:E8)-1)+1)),"")</f>
        <v/>
      </c>
      <c r="G8" t="str">
        <f t="shared" si="10"/>
        <v/>
      </c>
      <c r="H8" t="str">
        <f t="shared" si="11"/>
        <v/>
      </c>
      <c r="L8" t="str">
        <f t="shared" si="12"/>
        <v/>
      </c>
      <c r="O8" t="str">
        <f t="shared" si="13"/>
        <v/>
      </c>
      <c r="V8" t="str" cm="1">
        <f t="array" ref="V8">IFERROR(IF(D8="","",INDEX('M04-S02'!$AY$18:$AY$199,2*(ROWS(V$4:V8)-1)+1)),"")</f>
        <v/>
      </c>
      <c r="W8" t="str" cm="1">
        <f t="array" ref="W8">IFERROR(IF(D8="","",INDEX('M04-S02'!$AV$18:$AV$199,2*(ROWS(W$4:W8)-1)+1)),"")</f>
        <v/>
      </c>
      <c r="X8" t="str" cm="1">
        <f t="array" ref="X8">IFERROR(IF(D8="","",INDEX('M04-S02'!$AV$18:$AV$199,2*(ROWS(X$4:X8)-0)+0)),"")</f>
        <v/>
      </c>
      <c r="AG8" s="98" t="str" cm="1">
        <f t="array" ref="AG8">IFERROR(IF(D8="","",IF(INDEX('M04-S02'!$CB$18:$CB$199,2*(ROWS(AG$4:AG8)-1)+1)="","",INDEX('M04-S02'!$CB$18:$CB$199,2*(ROWS(AG$4:AG8)-1)+1))),"")</f>
        <v/>
      </c>
      <c r="AH8" s="98" t="str" cm="1">
        <f t="array" ref="AH8">IFERROR(IF(D8="","",IF(INDEX('M04-S02'!$CU$18:$CU$199,2*(ROWS(AH$4:AH8)-1)+1)="","",INDEX('M04-S02'!$CU$18:$CU$199,2*(ROWS(AH$4:AH8)-1)+1))),"")</f>
        <v/>
      </c>
      <c r="AI8" s="20" t="str" cm="1">
        <f t="array" ref="AI8">IFERROR(IF(D8="","",IF(INDEX('M04-S02'!$CM$18:$CM$199,2*(ROWS(AI$4:AI8)-1)+1)="",0,INDEX('M04-S02'!$CM$18:$CM$199,2*(ROWS(AI$4:AI8)-1)+1))),"")</f>
        <v/>
      </c>
      <c r="AJ8" s="20" t="str">
        <f t="shared" si="1"/>
        <v/>
      </c>
      <c r="AK8" s="487" t="str" cm="1">
        <f t="array" ref="AK8">IFERROR(IF(D8="","",IF(INDEX('M04-S02'!$CN$18:$CN$199,2*(ROWS(AK$4:AK8)-1)+1)="",0,INDEX('M04-S02'!$CN$18:$CN$199,2*(ROWS(AK$4:AK8)-1)+1))),"")</f>
        <v/>
      </c>
      <c r="AL8" s="20" t="str">
        <f t="shared" si="14"/>
        <v/>
      </c>
      <c r="AM8" s="20" t="str">
        <f t="shared" si="2"/>
        <v/>
      </c>
      <c r="AN8" s="20" t="str" cm="1">
        <f t="array" ref="AN8">IFERROR(IF(D8="","",IF(INDEX('M04-S02'!$CO$18:$CO$199,2*(ROWS(AN$4:AN8)-1)+1)="",0,INDEX('M04-S02'!$CO$18:$CO$199,2*(ROWS(AN$4:AN8)-1)+1))),"")</f>
        <v/>
      </c>
      <c r="AO8" s="20" t="str" cm="1">
        <f t="array" ref="AO8">IFERROR(IF(D8="","",INDEX('M04-S02'!$R$18:$R$199,2*(ROWS(AO$4:AO8)-1)+1)),"")</f>
        <v/>
      </c>
      <c r="AP8" s="20" t="str" cm="1">
        <f t="array" ref="AP8">IFERROR(IF(D8="","",INDEX('M04-S02'!$AJ$18:$AJ$199,2*(ROWS(AP$4:AP8)-1)+1)),"")</f>
        <v/>
      </c>
      <c r="AQ8" s="487" t="str" cm="1">
        <f t="array" ref="AQ8">IFERROR(IF(D8="","",INDEX('M04-S02'!$U$18:$U$199,2*(ROWS(AQ$4:AQ8)-1)+1)),"")</f>
        <v/>
      </c>
      <c r="AR8" s="487" t="str" cm="1">
        <f t="array" ref="AR8">IFERROR(IF(D8="","",INDEX('M04-S02'!$AM$18:$AM$199,2*(ROWS(AR$4:AR8)-1)+1)),"")</f>
        <v/>
      </c>
      <c r="AS8" s="20" t="str" cm="1">
        <f t="array" ref="AS8">IFERROR(IF(D8="","",INDEX('M04-S02'!$X$18:$X$199,2*(ROWS(AS$4:AS8)-1)+1)),"")</f>
        <v/>
      </c>
      <c r="AT8" s="20" t="str" cm="1">
        <f t="array" ref="AT8">IFERROR(IF(D8="","",INDEX('M04-S02'!$AP$18:$AP$199,2*(ROWS(AT$4:AT8)-1)+1)),"")</f>
        <v/>
      </c>
      <c r="BP8" t="str" cm="1">
        <f t="array" ref="BP8">IFERROR(IF(D8="","",INDEX('M04-S02'!$CS$18:$CS$199,2*(ROWS(BP$4:BP8)-1)+1)),"")</f>
        <v/>
      </c>
      <c r="BR8" t="str" cm="1">
        <f t="array" ref="BR8">IFERROR(IF(D8="","",LEFT(INDEX('M04-S02'!$C$18:$C$199,2*(ROWS(BR$4:BR8)-1)+1),150)),"")</f>
        <v/>
      </c>
      <c r="BS8" t="str" cm="1">
        <f t="array" ref="BS8">IFERROR(IF(D8="","",INDEX('M04-S02'!$CT$18:$CT$199,2*(ROWS(BS$4:BS8)-1)+1)),"")</f>
        <v/>
      </c>
      <c r="BT8" s="6" t="str" cm="1">
        <f t="array" ref="BT8">IFERROR(ROUND(IF(D8="","",INDEX('M04-S02'!$BB$18:$BB$199,2*(ROWS(BT$4:BT8)-1)+1)),2),"")</f>
        <v/>
      </c>
      <c r="BU8" s="6" t="str" cm="1">
        <f t="array" ref="BU8">IFERROR(IF(D8="","",INDEX('M04-S02'!$CX$18:$CX$199,2*(ROWS(BU$4:BU8)-1)+1)),"")</f>
        <v/>
      </c>
      <c r="BV8" s="6" t="str" cm="1">
        <f t="array" ref="BV8">IFERROR(IF(D8="","",INDEX('M04-S02'!$CY$18:$CY$199,2*(ROWS(BV$4:BV8)-1)+1)),"")</f>
        <v/>
      </c>
      <c r="BW8" t="str">
        <f t="shared" si="15"/>
        <v/>
      </c>
      <c r="BX8" t="str">
        <f t="shared" si="16"/>
        <v/>
      </c>
      <c r="BY8" s="6" t="str" cm="1">
        <f t="array" ref="BY8">IFERROR(IF(D8="","",INDEX('M04-S02'!$CI$18:$CI$199,2*(ROWS(BY$4:BY8)-1)+1)),"")</f>
        <v/>
      </c>
      <c r="BZ8" s="6" t="str">
        <f t="shared" si="17"/>
        <v/>
      </c>
      <c r="CA8" s="6" t="str">
        <f t="shared" si="18"/>
        <v/>
      </c>
      <c r="CB8" s="6" t="str">
        <f t="shared" si="3"/>
        <v/>
      </c>
      <c r="CC8" s="6" t="str">
        <f t="shared" si="19"/>
        <v/>
      </c>
      <c r="CD8" s="6" t="str">
        <f t="shared" si="20"/>
        <v/>
      </c>
      <c r="CS8" t="str" cm="1">
        <f t="array" ref="CS8">IFERROR(IF(D8="","",INDEX('M04-S02'!$F$18:$F$199,2*(ROWS(CS$4:CS8)-1)+1)),"")</f>
        <v/>
      </c>
      <c r="CT8" t="str" cm="1">
        <f t="array" ref="CT8">IFERROR(IF(D8="","",INDEX('M04-S02'!$L$18:$L$199,2*(ROWS(CT$4:CT8)-1)+1)),"")</f>
        <v/>
      </c>
      <c r="CU8" t="str" cm="1">
        <f t="array" ref="CU8">IFERROR(IF(D8="","",INDEX('M04-S02'!$AD$18:$AD$199,2*(ROWS(CU$4:CU8)-1)+1)),"")</f>
        <v/>
      </c>
      <c r="DE8" s="150"/>
      <c r="DF8" s="150" t="str">
        <f>IFERROR(ROUND(IF(OR(D8="",DE8=""),"",TEMPLATE!$V$10),2),"")</f>
        <v/>
      </c>
      <c r="DG8" s="150"/>
      <c r="DH8" s="150" t="str">
        <f>IFERROR(ROUND(IF(OR(D8="",DG8=""),"",TEMPLATE!$V$10),2),"")</f>
        <v/>
      </c>
      <c r="DI8" s="150"/>
      <c r="DJ8" s="150" t="str">
        <f>IFERROR(ROUND(IF(OR(D8="",DI8=""),"",TEMPLATE!$V$10),2),"")</f>
        <v/>
      </c>
      <c r="DK8" s="150"/>
      <c r="DL8" s="150" t="str">
        <f>IFERROR(ROUND(IF(OR(D8="",DK8=""),"",TEMPLATE!$V$10),2),"")</f>
        <v/>
      </c>
      <c r="DM8" s="150"/>
      <c r="DN8" s="150" t="str">
        <f>IFERROR(ROUND(IF(OR(D8="",DM8=""),"",TEMPLATE!$V$10),2),"")</f>
        <v/>
      </c>
      <c r="DO8" s="150"/>
      <c r="DP8" s="150" t="str">
        <f>IFERROR(ROUND(IF(OR(D8="",DO8=""),"",TEMPLATE!$V$10),2),"")</f>
        <v/>
      </c>
      <c r="DQ8" s="150"/>
      <c r="DR8" s="150" t="str">
        <f>IFERROR(ROUND(IF(OR(D8="",DQ8=""),"",TEMPLATE!$V$10),2),"")</f>
        <v/>
      </c>
      <c r="DS8" s="150"/>
      <c r="DT8" s="150" t="str">
        <f>IFERROR(ROUND(IF(OR(D8="",DS8=""),"",TEMPLATE!$V$10),2),"")</f>
        <v/>
      </c>
      <c r="DU8" s="150" t="str" cm="1">
        <f t="array" ref="DU8">IFERROR(ROUND(IF($D8="","",INDEX('M04-S02'!DD$18:DD$199,2*(ROWS(DU$4:DU8)-1)+1)),4),"")</f>
        <v/>
      </c>
      <c r="DV8" s="150" t="str" cm="1">
        <f t="array" ref="DV8">IFERROR(ROUND(IF($D8="","",INDEX('M04-S02'!DE$18:DE$199,2*(ROWS(DV$4:DV8)-1)+1)),4),"")</f>
        <v/>
      </c>
      <c r="DW8" s="150" t="str" cm="1">
        <f t="array" ref="DW8">IFERROR(ROUND(IF($D8="","",INDEX('M04-S02'!DF$18:DF$199,2*(ROWS(DW$4:DW8)-1)+1)),4),"")</f>
        <v/>
      </c>
      <c r="DX8" s="150" t="str" cm="1">
        <f t="array" ref="DX8">IFERROR(ROUND(IF($D8="","",INDEX('M04-S02'!DG$18:DG$199,2*(ROWS(DX$4:DX8)-1)+1)),4),"")</f>
        <v/>
      </c>
      <c r="DY8" s="150" t="str" cm="1">
        <f t="array" ref="DY8">IFERROR(ROUND(IF($D8="","",INDEX('M04-S02'!DH$18:DH$199,2*(ROWS(DY$4:DY8)-1)+1)),4),"")</f>
        <v/>
      </c>
      <c r="DZ8" s="150" t="str" cm="1">
        <f t="array" ref="DZ8">IFERROR(ROUND(IF($D8="","",INDEX('M04-S02'!DI$18:DI$199,2*(ROWS(DZ$4:DZ8)-1)+1)),4),"")</f>
        <v/>
      </c>
      <c r="EA8" s="150" t="str" cm="1">
        <f t="array" ref="EA8">IFERROR(ROUND(IF($D8="","",INDEX('M04-S02'!DJ$18:DJ$199,2*(ROWS(EA$4:EA8)-1)+1)),4),"")</f>
        <v/>
      </c>
      <c r="EB8" s="150" t="str" cm="1">
        <f t="array" ref="EB8">IFERROR(ROUND(IF($D8="","",INDEX('M04-S02'!DK$18:DK$199,2*(ROWS(EB$4:EB8)-1)+1)),6),"")</f>
        <v/>
      </c>
      <c r="EC8" s="150" t="str" cm="1">
        <f t="array" ref="EC8">IFERROR(ROUND(IF($D8="","",INDEX('M04-S02'!DL$18:DL$199,2*(ROWS(EC$4:EC8)-1)+1)),6),"")</f>
        <v/>
      </c>
      <c r="ED8" s="150" t="str" cm="1">
        <f t="array" ref="ED8">IFERROR(ROUND(IF($D8="","",INDEX('M04-S02'!DM$18:DM$199,2*(ROWS(ED$4:ED8)-1)+1)),6),"")</f>
        <v/>
      </c>
      <c r="EE8" s="150" t="str" cm="1">
        <f t="array" ref="EE8">IFERROR(ROUND(IF($D8="","",INDEX('M04-S02'!DN$18:DN$199,2*(ROWS(EE$4:EE8)-1)+1)),6),"")</f>
        <v/>
      </c>
      <c r="EF8" s="150" t="str" cm="1">
        <f t="array" ref="EF8">IFERROR(ROUND(IF($D8="","",INDEX('M04-S02'!DO$18:DO$199,2*(ROWS(EF$4:EF8)-1)+1)),6),"")</f>
        <v/>
      </c>
      <c r="EG8" s="150" t="str" cm="1">
        <f t="array" ref="EG8">IFERROR(ROUND(IF($D8="","",INDEX('M04-S02'!DP$18:DP$199,2*(ROWS(EG$4:EG8)-1)+1)),6),"")</f>
        <v/>
      </c>
      <c r="EH8" s="150" t="str" cm="1">
        <f t="array" ref="EH8">IFERROR(ROUND(IF($D8="","",INDEX('M04-S02'!DQ$18:DQ$199,2*(ROWS(EH$4:EH8)-1)+1)),6),"")</f>
        <v/>
      </c>
      <c r="EI8" s="150" t="str" cm="1">
        <f t="array" ref="EI8">IFERROR(ROUND(IF($D8="","",INDEX('M04-S02'!DR$18:DR$199,2*(ROWS(EI$4:EI8)-1)+1)),6),"")</f>
        <v/>
      </c>
      <c r="EJ8" s="150" t="str" cm="1">
        <f t="array" ref="EJ8">IFERROR(ROUND(IF($D8="","",INDEX('M04-S02'!DS$18:DS$199,2*(ROWS(EJ$4:EJ8)-1)+1)),6),"")</f>
        <v/>
      </c>
      <c r="EK8" s="150" t="str" cm="1">
        <f t="array" ref="EK8">IFERROR(ROUND(IF($D8="","",INDEX('M04-S02'!DT$18:DT$199,2*(ROWS(EK$4:EK8)-1)+1)),6),"")</f>
        <v/>
      </c>
      <c r="EL8" s="150" t="str" cm="1">
        <f t="array" ref="EL8">IFERROR(ROUND(IF($D8="","",INDEX('M04-S02'!DU$18:DU$199,2*(ROWS(EL$4:EL8)-1)+1)),6),"")</f>
        <v/>
      </c>
      <c r="EM8" s="150" t="str" cm="1">
        <f t="array" ref="EM8">IFERROR(ROUND(IF($D8="","",INDEX('M04-S02'!DV$18:DV$199,2*(ROWS(EM$4:EM8)-1)+1)),6),"")</f>
        <v/>
      </c>
      <c r="EN8" s="150" t="str" cm="1">
        <f t="array" ref="EN8">IFERROR(ROUND(IF($D8="","",INDEX('M04-S02'!DW$18:DW$199,2*(ROWS(EN$4:EN8)-1)+1)),6),"")</f>
        <v/>
      </c>
      <c r="EO8" s="150" t="str" cm="1">
        <f t="array" ref="EO8">IFERROR(ROUND(IF($D8="","",INDEX('M04-S02'!DX$18:DX$199,2*(ROWS(EO$4:EO8)-1)+1)),6),"")</f>
        <v/>
      </c>
      <c r="EP8" s="150" t="str" cm="1">
        <f t="array" ref="EP8">IFERROR(ROUND(IF($D8="","",INDEX('M04-S02'!DY$18:DY$199,2*(ROWS(EP$4:EP8)-1)+1)),6),"")</f>
        <v/>
      </c>
      <c r="EQ8" s="150" t="str" cm="1">
        <f t="array" ref="EQ8">IFERROR(ROUND(IF($D8="","",INDEX('M04-S02'!DZ$18:DZ$199,2*(ROWS(EQ$4:EQ8)-1)+1)),6),"")</f>
        <v/>
      </c>
      <c r="ER8" s="150" t="str">
        <f t="shared" si="21"/>
        <v/>
      </c>
      <c r="ES8" s="150" t="str">
        <f t="shared" si="6"/>
        <v/>
      </c>
      <c r="ET8" s="150" t="str">
        <f t="shared" si="6"/>
        <v/>
      </c>
      <c r="EU8" s="150" t="str">
        <f t="shared" si="6"/>
        <v/>
      </c>
      <c r="EV8" s="150" t="str">
        <f t="shared" si="6"/>
        <v/>
      </c>
      <c r="EW8" s="150" t="str">
        <f t="shared" si="6"/>
        <v/>
      </c>
      <c r="EX8" s="150" t="str">
        <f t="shared" si="6"/>
        <v/>
      </c>
      <c r="EY8" s="150" t="str">
        <f t="shared" si="22"/>
        <v/>
      </c>
      <c r="EZ8" s="150" t="str" cm="1">
        <f t="array" ref="EZ8">IFERROR(ROUND(IF($D8="","",INDEX('M04-S02'!EA$18:EA$199,2*(ROWS(EZ$4:EZ8)-1)+1)),6),"")</f>
        <v/>
      </c>
      <c r="FA8" s="150" t="str" cm="1">
        <f t="array" ref="FA8">IFERROR(ROUND(IF($D8="","",INDEX('M04-S02'!EB$18:EB$199,2*(ROWS(FA$4:FA8)-1)+1)),6),"")</f>
        <v/>
      </c>
      <c r="FB8" s="150" t="str" cm="1">
        <f t="array" ref="FB8">IFERROR(ROUND(IF($D8="","",INDEX('M04-S02'!EC$18:EC$199,2*(ROWS(FB$4:FB8)-1)+1)),6),"")</f>
        <v/>
      </c>
      <c r="FC8" s="150" t="str" cm="1">
        <f t="array" ref="FC8">IFERROR(ROUND(IF($D8="","",INDEX('M04-S02'!ED$18:ED$199,2*(ROWS(FC$4:FC8)-1)+1)),6),"")</f>
        <v/>
      </c>
      <c r="FD8" s="150" t="str" cm="1">
        <f t="array" ref="FD8">IFERROR(ROUND(IF($D8="","",INDEX('M04-S02'!EE$18:EE$199,2*(ROWS(FD$4:FD8)-1)+1)),6),"")</f>
        <v/>
      </c>
      <c r="FE8" s="150" t="str" cm="1">
        <f t="array" ref="FE8">IFERROR(ROUND(IF($D8="","",INDEX('M04-S02'!EF$18:EF$199,2*(ROWS(FE$4:FE8)-1)+1)),6),"")</f>
        <v/>
      </c>
      <c r="FF8" s="150" t="str" cm="1">
        <f t="array" ref="FF8">IFERROR(ROUND(IF($D8="","",INDEX('M04-S02'!EG$18:EG$199,2*(ROWS(FF$4:FF8)-1)+1)),6),"")</f>
        <v/>
      </c>
      <c r="FG8" s="150" t="str" cm="1">
        <f t="array" ref="FG8">IFERROR(ROUND(IF($D8="","",INDEX('M04-S02'!EH$18:EH$199,2*(ROWS(FG$4:FG8)-1)+1)),6),"")</f>
        <v/>
      </c>
      <c r="FH8" s="150" t="str" cm="1">
        <f t="array" ref="FH8">IFERROR(ROUND(IF($D8="","",INDEX('M04-S02'!EI$18:EI$199,2*(ROWS(FH$4:FH8)-1)+1)),6),"")</f>
        <v/>
      </c>
      <c r="FI8" s="150" t="str" cm="1">
        <f t="array" ref="FI8">IFERROR(ROUND(IF($D8="","",INDEX('M04-S02'!EJ$18:EJ$199,2*(ROWS(FI$4:FI8)-1)+1)),6),"")</f>
        <v/>
      </c>
      <c r="FJ8" s="150" t="str" cm="1">
        <f t="array" ref="FJ8">IFERROR(ROUND(IF($D8="","",INDEX('M04-S02'!EK$18:EK$199,2*(ROWS(FJ$4:FJ8)-1)+1)),6),"")</f>
        <v/>
      </c>
      <c r="FK8" s="150" t="str" cm="1">
        <f t="array" ref="FK8">IFERROR(ROUND(IF($D8="","",INDEX('M04-S02'!EL$18:EL$199,2*(ROWS(FK$4:FK8)-1)+1)),6),"")</f>
        <v/>
      </c>
      <c r="FL8" s="150" t="str" cm="1">
        <f t="array" ref="FL8">IFERROR(ROUND(IF($D8="","",INDEX('M04-S02'!EM$18:EM$199,2*(ROWS(FL$4:FL8)-1)+1)),6),"")</f>
        <v/>
      </c>
      <c r="FM8" s="150" t="str" cm="1">
        <f t="array" ref="FM8">IFERROR(ROUND(IF($D8="","",INDEX('M04-S02'!EN$18:EN$199,2*(ROWS(FM$4:FM8)-1)+1)),6),"")</f>
        <v/>
      </c>
    </row>
    <row r="9" spans="1:380">
      <c r="A9" t="str">
        <f t="shared" si="7"/>
        <v/>
      </c>
      <c r="B9" t="str">
        <f t="shared" si="8"/>
        <v/>
      </c>
      <c r="C9" t="str" cm="1">
        <f t="array" ref="C9">IFERROR(IF(D9="","",INDEX('M04-S02'!$B$18:$B$199,2*(ROWS(C$4:C9)-1)+1)),"")</f>
        <v/>
      </c>
      <c r="D9" t="str">
        <f t="shared" si="9"/>
        <v/>
      </c>
      <c r="E9" t="str" cm="1">
        <f t="array" ref="E9">IFERROR(IF(INDEX('M04-S02'!$CC$18:$CC$199,2*(ROWS(E$4:E9)-1)+1)="","",INDEX('M04-S02'!$CC$18:$CC$199,2*(ROWS(E$4:E9)-1)+1)),"")</f>
        <v/>
      </c>
      <c r="G9" t="str">
        <f t="shared" si="10"/>
        <v/>
      </c>
      <c r="H9" t="str">
        <f t="shared" si="11"/>
        <v/>
      </c>
      <c r="L9" t="str">
        <f t="shared" si="12"/>
        <v/>
      </c>
      <c r="O9" t="str">
        <f t="shared" si="13"/>
        <v/>
      </c>
      <c r="V9" t="str" cm="1">
        <f t="array" ref="V9">IFERROR(IF(D9="","",INDEX('M04-S02'!$AY$18:$AY$199,2*(ROWS(V$4:V9)-1)+1)),"")</f>
        <v/>
      </c>
      <c r="W9" t="str" cm="1">
        <f t="array" ref="W9">IFERROR(IF(D9="","",INDEX('M04-S02'!$AV$18:$AV$199,2*(ROWS(W$4:W9)-1)+1)),"")</f>
        <v/>
      </c>
      <c r="X9" t="str" cm="1">
        <f t="array" ref="X9">IFERROR(IF(D9="","",INDEX('M04-S02'!$AV$18:$AV$199,2*(ROWS(X$4:X9)-0)+0)),"")</f>
        <v/>
      </c>
      <c r="AG9" s="98" t="str" cm="1">
        <f t="array" ref="AG9">IFERROR(IF(D9="","",IF(INDEX('M04-S02'!$CB$18:$CB$199,2*(ROWS(AG$4:AG9)-1)+1)="","",INDEX('M04-S02'!$CB$18:$CB$199,2*(ROWS(AG$4:AG9)-1)+1))),"")</f>
        <v/>
      </c>
      <c r="AH9" s="98" t="str" cm="1">
        <f t="array" ref="AH9">IFERROR(IF(D9="","",IF(INDEX('M04-S02'!$CU$18:$CU$199,2*(ROWS(AH$4:AH9)-1)+1)="","",INDEX('M04-S02'!$CU$18:$CU$199,2*(ROWS(AH$4:AH9)-1)+1))),"")</f>
        <v/>
      </c>
      <c r="AI9" s="20" t="str" cm="1">
        <f t="array" ref="AI9">IFERROR(IF(D9="","",IF(INDEX('M04-S02'!$CM$18:$CM$199,2*(ROWS(AI$4:AI9)-1)+1)="",0,INDEX('M04-S02'!$CM$18:$CM$199,2*(ROWS(AI$4:AI9)-1)+1))),"")</f>
        <v/>
      </c>
      <c r="AJ9" s="20" t="str">
        <f t="shared" si="1"/>
        <v/>
      </c>
      <c r="AK9" s="487" t="str" cm="1">
        <f t="array" ref="AK9">IFERROR(IF(D9="","",IF(INDEX('M04-S02'!$CN$18:$CN$199,2*(ROWS(AK$4:AK9)-1)+1)="",0,INDEX('M04-S02'!$CN$18:$CN$199,2*(ROWS(AK$4:AK9)-1)+1))),"")</f>
        <v/>
      </c>
      <c r="AL9" s="20" t="str">
        <f t="shared" si="14"/>
        <v/>
      </c>
      <c r="AM9" s="20" t="str">
        <f t="shared" si="2"/>
        <v/>
      </c>
      <c r="AN9" s="20" t="str" cm="1">
        <f t="array" ref="AN9">IFERROR(IF(D9="","",IF(INDEX('M04-S02'!$CO$18:$CO$199,2*(ROWS(AN$4:AN9)-1)+1)="",0,INDEX('M04-S02'!$CO$18:$CO$199,2*(ROWS(AN$4:AN9)-1)+1))),"")</f>
        <v/>
      </c>
      <c r="AO9" s="20" t="str" cm="1">
        <f t="array" ref="AO9">IFERROR(IF(D9="","",INDEX('M04-S02'!$R$18:$R$199,2*(ROWS(AO$4:AO9)-1)+1)),"")</f>
        <v/>
      </c>
      <c r="AP9" s="20" t="str" cm="1">
        <f t="array" ref="AP9">IFERROR(IF(D9="","",INDEX('M04-S02'!$AJ$18:$AJ$199,2*(ROWS(AP$4:AP9)-1)+1)),"")</f>
        <v/>
      </c>
      <c r="AQ9" s="487" t="str" cm="1">
        <f t="array" ref="AQ9">IFERROR(IF(D9="","",INDEX('M04-S02'!$U$18:$U$199,2*(ROWS(AQ$4:AQ9)-1)+1)),"")</f>
        <v/>
      </c>
      <c r="AR9" s="487" t="str" cm="1">
        <f t="array" ref="AR9">IFERROR(IF(D9="","",INDEX('M04-S02'!$AM$18:$AM$199,2*(ROWS(AR$4:AR9)-1)+1)),"")</f>
        <v/>
      </c>
      <c r="AS9" s="20" t="str" cm="1">
        <f t="array" ref="AS9">IFERROR(IF(D9="","",INDEX('M04-S02'!$X$18:$X$199,2*(ROWS(AS$4:AS9)-1)+1)),"")</f>
        <v/>
      </c>
      <c r="AT9" s="20" t="str" cm="1">
        <f t="array" ref="AT9">IFERROR(IF(D9="","",INDEX('M04-S02'!$AP$18:$AP$199,2*(ROWS(AT$4:AT9)-1)+1)),"")</f>
        <v/>
      </c>
      <c r="BP9" t="str" cm="1">
        <f t="array" ref="BP9">IFERROR(IF(D9="","",INDEX('M04-S02'!$CS$18:$CS$199,2*(ROWS(BP$4:BP9)-1)+1)),"")</f>
        <v/>
      </c>
      <c r="BR9" t="str" cm="1">
        <f t="array" ref="BR9">IFERROR(IF(D9="","",LEFT(INDEX('M04-S02'!$C$18:$C$199,2*(ROWS(BR$4:BR9)-1)+1),150)),"")</f>
        <v/>
      </c>
      <c r="BS9" t="str" cm="1">
        <f t="array" ref="BS9">IFERROR(IF(D9="","",INDEX('M04-S02'!$CT$18:$CT$199,2*(ROWS(BS$4:BS9)-1)+1)),"")</f>
        <v/>
      </c>
      <c r="BT9" s="6" t="str" cm="1">
        <f t="array" ref="BT9">IFERROR(ROUND(IF(D9="","",INDEX('M04-S02'!$BB$18:$BB$199,2*(ROWS(BT$4:BT9)-1)+1)),2),"")</f>
        <v/>
      </c>
      <c r="BU9" s="6" t="str" cm="1">
        <f t="array" ref="BU9">IFERROR(IF(D9="","",INDEX('M04-S02'!$CX$18:$CX$199,2*(ROWS(BU$4:BU9)-1)+1)),"")</f>
        <v/>
      </c>
      <c r="BV9" s="6" t="str" cm="1">
        <f t="array" ref="BV9">IFERROR(IF(D9="","",INDEX('M04-S02'!$CY$18:$CY$199,2*(ROWS(BV$4:BV9)-1)+1)),"")</f>
        <v/>
      </c>
      <c r="BW9" t="str">
        <f t="shared" si="15"/>
        <v/>
      </c>
      <c r="BX9" t="str">
        <f t="shared" si="16"/>
        <v/>
      </c>
      <c r="BY9" s="6" t="str" cm="1">
        <f t="array" ref="BY9">IFERROR(IF(D9="","",INDEX('M04-S02'!$CI$18:$CI$199,2*(ROWS(BY$4:BY9)-1)+1)),"")</f>
        <v/>
      </c>
      <c r="BZ9" s="6" t="str">
        <f t="shared" si="17"/>
        <v/>
      </c>
      <c r="CA9" s="6" t="str">
        <f t="shared" si="18"/>
        <v/>
      </c>
      <c r="CB9" s="6" t="str">
        <f t="shared" si="3"/>
        <v/>
      </c>
      <c r="CC9" s="6" t="str">
        <f t="shared" si="19"/>
        <v/>
      </c>
      <c r="CD9" s="6" t="str">
        <f t="shared" si="20"/>
        <v/>
      </c>
      <c r="CS9" t="str" cm="1">
        <f t="array" ref="CS9">IFERROR(IF(D9="","",INDEX('M04-S02'!$F$18:$F$199,2*(ROWS(CS$4:CS9)-1)+1)),"")</f>
        <v/>
      </c>
      <c r="CT9" t="str" cm="1">
        <f t="array" ref="CT9">IFERROR(IF(D9="","",INDEX('M04-S02'!$L$18:$L$199,2*(ROWS(CT$4:CT9)-1)+1)),"")</f>
        <v/>
      </c>
      <c r="CU9" t="str" cm="1">
        <f t="array" ref="CU9">IFERROR(IF(D9="","",INDEX('M04-S02'!$AD$18:$AD$199,2*(ROWS(CU$4:CU9)-1)+1)),"")</f>
        <v/>
      </c>
      <c r="DE9" s="150"/>
      <c r="DF9" s="150" t="str">
        <f>IFERROR(ROUND(IF(OR(D9="",DE9=""),"",TEMPLATE!$V$10),2),"")</f>
        <v/>
      </c>
      <c r="DG9" s="150"/>
      <c r="DH9" s="150" t="str">
        <f>IFERROR(ROUND(IF(OR(D9="",DG9=""),"",TEMPLATE!$V$10),2),"")</f>
        <v/>
      </c>
      <c r="DI9" s="150"/>
      <c r="DJ9" s="150" t="str">
        <f>IFERROR(ROUND(IF(OR(D9="",DI9=""),"",TEMPLATE!$V$10),2),"")</f>
        <v/>
      </c>
      <c r="DK9" s="150"/>
      <c r="DL9" s="150" t="str">
        <f>IFERROR(ROUND(IF(OR(D9="",DK9=""),"",TEMPLATE!$V$10),2),"")</f>
        <v/>
      </c>
      <c r="DM9" s="150"/>
      <c r="DN9" s="150" t="str">
        <f>IFERROR(ROUND(IF(OR(D9="",DM9=""),"",TEMPLATE!$V$10),2),"")</f>
        <v/>
      </c>
      <c r="DO9" s="150"/>
      <c r="DP9" s="150" t="str">
        <f>IFERROR(ROUND(IF(OR(D9="",DO9=""),"",TEMPLATE!$V$10),2),"")</f>
        <v/>
      </c>
      <c r="DQ9" s="150"/>
      <c r="DR9" s="150" t="str">
        <f>IFERROR(ROUND(IF(OR(D9="",DQ9=""),"",TEMPLATE!$V$10),2),"")</f>
        <v/>
      </c>
      <c r="DS9" s="150"/>
      <c r="DT9" s="150" t="str">
        <f>IFERROR(ROUND(IF(OR(D9="",DS9=""),"",TEMPLATE!$V$10),2),"")</f>
        <v/>
      </c>
      <c r="DU9" s="150" t="str" cm="1">
        <f t="array" ref="DU9">IFERROR(ROUND(IF($D9="","",INDEX('M04-S02'!DD$18:DD$199,2*(ROWS(DU$4:DU9)-1)+1)),4),"")</f>
        <v/>
      </c>
      <c r="DV9" s="150" t="str" cm="1">
        <f t="array" ref="DV9">IFERROR(ROUND(IF($D9="","",INDEX('M04-S02'!DE$18:DE$199,2*(ROWS(DV$4:DV9)-1)+1)),4),"")</f>
        <v/>
      </c>
      <c r="DW9" s="150" t="str" cm="1">
        <f t="array" ref="DW9">IFERROR(ROUND(IF($D9="","",INDEX('M04-S02'!DF$18:DF$199,2*(ROWS(DW$4:DW9)-1)+1)),4),"")</f>
        <v/>
      </c>
      <c r="DX9" s="150" t="str" cm="1">
        <f t="array" ref="DX9">IFERROR(ROUND(IF($D9="","",INDEX('M04-S02'!DG$18:DG$199,2*(ROWS(DX$4:DX9)-1)+1)),4),"")</f>
        <v/>
      </c>
      <c r="DY9" s="150" t="str" cm="1">
        <f t="array" ref="DY9">IFERROR(ROUND(IF($D9="","",INDEX('M04-S02'!DH$18:DH$199,2*(ROWS(DY$4:DY9)-1)+1)),4),"")</f>
        <v/>
      </c>
      <c r="DZ9" s="150" t="str" cm="1">
        <f t="array" ref="DZ9">IFERROR(ROUND(IF($D9="","",INDEX('M04-S02'!DI$18:DI$199,2*(ROWS(DZ$4:DZ9)-1)+1)),4),"")</f>
        <v/>
      </c>
      <c r="EA9" s="150" t="str" cm="1">
        <f t="array" ref="EA9">IFERROR(ROUND(IF($D9="","",INDEX('M04-S02'!DJ$18:DJ$199,2*(ROWS(EA$4:EA9)-1)+1)),4),"")</f>
        <v/>
      </c>
      <c r="EB9" s="150" t="str" cm="1">
        <f t="array" ref="EB9">IFERROR(ROUND(IF($D9="","",INDEX('M04-S02'!DK$18:DK$199,2*(ROWS(EB$4:EB9)-1)+1)),6),"")</f>
        <v/>
      </c>
      <c r="EC9" s="150" t="str" cm="1">
        <f t="array" ref="EC9">IFERROR(ROUND(IF($D9="","",INDEX('M04-S02'!DL$18:DL$199,2*(ROWS(EC$4:EC9)-1)+1)),6),"")</f>
        <v/>
      </c>
      <c r="ED9" s="150" t="str" cm="1">
        <f t="array" ref="ED9">IFERROR(ROUND(IF($D9="","",INDEX('M04-S02'!DM$18:DM$199,2*(ROWS(ED$4:ED9)-1)+1)),6),"")</f>
        <v/>
      </c>
      <c r="EE9" s="150" t="str" cm="1">
        <f t="array" ref="EE9">IFERROR(ROUND(IF($D9="","",INDEX('M04-S02'!DN$18:DN$199,2*(ROWS(EE$4:EE9)-1)+1)),6),"")</f>
        <v/>
      </c>
      <c r="EF9" s="150" t="str" cm="1">
        <f t="array" ref="EF9">IFERROR(ROUND(IF($D9="","",INDEX('M04-S02'!DO$18:DO$199,2*(ROWS(EF$4:EF9)-1)+1)),6),"")</f>
        <v/>
      </c>
      <c r="EG9" s="150" t="str" cm="1">
        <f t="array" ref="EG9">IFERROR(ROUND(IF($D9="","",INDEX('M04-S02'!DP$18:DP$199,2*(ROWS(EG$4:EG9)-1)+1)),6),"")</f>
        <v/>
      </c>
      <c r="EH9" s="150" t="str" cm="1">
        <f t="array" ref="EH9">IFERROR(ROUND(IF($D9="","",INDEX('M04-S02'!DQ$18:DQ$199,2*(ROWS(EH$4:EH9)-1)+1)),6),"")</f>
        <v/>
      </c>
      <c r="EI9" s="150" t="str" cm="1">
        <f t="array" ref="EI9">IFERROR(ROUND(IF($D9="","",INDEX('M04-S02'!DR$18:DR$199,2*(ROWS(EI$4:EI9)-1)+1)),6),"")</f>
        <v/>
      </c>
      <c r="EJ9" s="150" t="str" cm="1">
        <f t="array" ref="EJ9">IFERROR(ROUND(IF($D9="","",INDEX('M04-S02'!DS$18:DS$199,2*(ROWS(EJ$4:EJ9)-1)+1)),6),"")</f>
        <v/>
      </c>
      <c r="EK9" s="150" t="str" cm="1">
        <f t="array" ref="EK9">IFERROR(ROUND(IF($D9="","",INDEX('M04-S02'!DT$18:DT$199,2*(ROWS(EK$4:EK9)-1)+1)),6),"")</f>
        <v/>
      </c>
      <c r="EL9" s="150" t="str" cm="1">
        <f t="array" ref="EL9">IFERROR(ROUND(IF($D9="","",INDEX('M04-S02'!DU$18:DU$199,2*(ROWS(EL$4:EL9)-1)+1)),6),"")</f>
        <v/>
      </c>
      <c r="EM9" s="150" t="str" cm="1">
        <f t="array" ref="EM9">IFERROR(ROUND(IF($D9="","",INDEX('M04-S02'!DV$18:DV$199,2*(ROWS(EM$4:EM9)-1)+1)),6),"")</f>
        <v/>
      </c>
      <c r="EN9" s="150" t="str" cm="1">
        <f t="array" ref="EN9">IFERROR(ROUND(IF($D9="","",INDEX('M04-S02'!DW$18:DW$199,2*(ROWS(EN$4:EN9)-1)+1)),6),"")</f>
        <v/>
      </c>
      <c r="EO9" s="150" t="str" cm="1">
        <f t="array" ref="EO9">IFERROR(ROUND(IF($D9="","",INDEX('M04-S02'!DX$18:DX$199,2*(ROWS(EO$4:EO9)-1)+1)),6),"")</f>
        <v/>
      </c>
      <c r="EP9" s="150" t="str" cm="1">
        <f t="array" ref="EP9">IFERROR(ROUND(IF($D9="","",INDEX('M04-S02'!DY$18:DY$199,2*(ROWS(EP$4:EP9)-1)+1)),6),"")</f>
        <v/>
      </c>
      <c r="EQ9" s="150" t="str" cm="1">
        <f t="array" ref="EQ9">IFERROR(ROUND(IF($D9="","",INDEX('M04-S02'!DZ$18:DZ$199,2*(ROWS(EQ$4:EQ9)-1)+1)),6),"")</f>
        <v/>
      </c>
      <c r="ER9" s="150" t="str">
        <f t="shared" si="21"/>
        <v/>
      </c>
      <c r="ES9" s="150" t="str">
        <f t="shared" si="6"/>
        <v/>
      </c>
      <c r="ET9" s="150" t="str">
        <f t="shared" si="6"/>
        <v/>
      </c>
      <c r="EU9" s="150" t="str">
        <f t="shared" si="6"/>
        <v/>
      </c>
      <c r="EV9" s="150" t="str">
        <f t="shared" si="6"/>
        <v/>
      </c>
      <c r="EW9" s="150" t="str">
        <f t="shared" si="6"/>
        <v/>
      </c>
      <c r="EX9" s="150" t="str">
        <f t="shared" si="6"/>
        <v/>
      </c>
      <c r="EY9" s="150" t="str">
        <f t="shared" si="22"/>
        <v/>
      </c>
      <c r="EZ9" s="150" t="str" cm="1">
        <f t="array" ref="EZ9">IFERROR(ROUND(IF($D9="","",INDEX('M04-S02'!EA$18:EA$199,2*(ROWS(EZ$4:EZ9)-1)+1)),6),"")</f>
        <v/>
      </c>
      <c r="FA9" s="150" t="str" cm="1">
        <f t="array" ref="FA9">IFERROR(ROUND(IF($D9="","",INDEX('M04-S02'!EB$18:EB$199,2*(ROWS(FA$4:FA9)-1)+1)),6),"")</f>
        <v/>
      </c>
      <c r="FB9" s="150" t="str" cm="1">
        <f t="array" ref="FB9">IFERROR(ROUND(IF($D9="","",INDEX('M04-S02'!EC$18:EC$199,2*(ROWS(FB$4:FB9)-1)+1)),6),"")</f>
        <v/>
      </c>
      <c r="FC9" s="150" t="str" cm="1">
        <f t="array" ref="FC9">IFERROR(ROUND(IF($D9="","",INDEX('M04-S02'!ED$18:ED$199,2*(ROWS(FC$4:FC9)-1)+1)),6),"")</f>
        <v/>
      </c>
      <c r="FD9" s="150" t="str" cm="1">
        <f t="array" ref="FD9">IFERROR(ROUND(IF($D9="","",INDEX('M04-S02'!EE$18:EE$199,2*(ROWS(FD$4:FD9)-1)+1)),6),"")</f>
        <v/>
      </c>
      <c r="FE9" s="150" t="str" cm="1">
        <f t="array" ref="FE9">IFERROR(ROUND(IF($D9="","",INDEX('M04-S02'!EF$18:EF$199,2*(ROWS(FE$4:FE9)-1)+1)),6),"")</f>
        <v/>
      </c>
      <c r="FF9" s="150" t="str" cm="1">
        <f t="array" ref="FF9">IFERROR(ROUND(IF($D9="","",INDEX('M04-S02'!EG$18:EG$199,2*(ROWS(FF$4:FF9)-1)+1)),6),"")</f>
        <v/>
      </c>
      <c r="FG9" s="150" t="str" cm="1">
        <f t="array" ref="FG9">IFERROR(ROUND(IF($D9="","",INDEX('M04-S02'!EH$18:EH$199,2*(ROWS(FG$4:FG9)-1)+1)),6),"")</f>
        <v/>
      </c>
      <c r="FH9" s="150" t="str" cm="1">
        <f t="array" ref="FH9">IFERROR(ROUND(IF($D9="","",INDEX('M04-S02'!EI$18:EI$199,2*(ROWS(FH$4:FH9)-1)+1)),6),"")</f>
        <v/>
      </c>
      <c r="FI9" s="150" t="str" cm="1">
        <f t="array" ref="FI9">IFERROR(ROUND(IF($D9="","",INDEX('M04-S02'!EJ$18:EJ$199,2*(ROWS(FI$4:FI9)-1)+1)),6),"")</f>
        <v/>
      </c>
      <c r="FJ9" s="150" t="str" cm="1">
        <f t="array" ref="FJ9">IFERROR(ROUND(IF($D9="","",INDEX('M04-S02'!EK$18:EK$199,2*(ROWS(FJ$4:FJ9)-1)+1)),6),"")</f>
        <v/>
      </c>
      <c r="FK9" s="150" t="str" cm="1">
        <f t="array" ref="FK9">IFERROR(ROUND(IF($D9="","",INDEX('M04-S02'!EL$18:EL$199,2*(ROWS(FK$4:FK9)-1)+1)),6),"")</f>
        <v/>
      </c>
      <c r="FL9" s="150" t="str" cm="1">
        <f t="array" ref="FL9">IFERROR(ROUND(IF($D9="","",INDEX('M04-S02'!EM$18:EM$199,2*(ROWS(FL$4:FL9)-1)+1)),6),"")</f>
        <v/>
      </c>
      <c r="FM9" s="150" t="str" cm="1">
        <f t="array" ref="FM9">IFERROR(ROUND(IF($D9="","",INDEX('M04-S02'!EN$18:EN$199,2*(ROWS(FM$4:FM9)-1)+1)),6),"")</f>
        <v/>
      </c>
    </row>
    <row r="10" spans="1:380">
      <c r="A10" t="str">
        <f t="shared" si="7"/>
        <v/>
      </c>
      <c r="B10" t="str">
        <f t="shared" si="8"/>
        <v/>
      </c>
      <c r="C10" t="str" cm="1">
        <f t="array" ref="C10">IFERROR(IF(D10="","",INDEX('M04-S02'!$B$18:$B$199,2*(ROWS(C$4:C10)-1)+1)),"")</f>
        <v/>
      </c>
      <c r="D10" t="str">
        <f t="shared" si="9"/>
        <v/>
      </c>
      <c r="E10" t="str" cm="1">
        <f t="array" ref="E10">IFERROR(IF(INDEX('M04-S02'!$CC$18:$CC$199,2*(ROWS(E$4:E10)-1)+1)="","",INDEX('M04-S02'!$CC$18:$CC$199,2*(ROWS(E$4:E10)-1)+1)),"")</f>
        <v/>
      </c>
      <c r="G10" t="str">
        <f t="shared" si="10"/>
        <v/>
      </c>
      <c r="H10" t="str">
        <f t="shared" si="11"/>
        <v/>
      </c>
      <c r="L10" t="str">
        <f t="shared" si="12"/>
        <v/>
      </c>
      <c r="O10" t="str">
        <f t="shared" si="13"/>
        <v/>
      </c>
      <c r="V10" t="str" cm="1">
        <f t="array" ref="V10">IFERROR(IF(D10="","",INDEX('M04-S02'!$AY$18:$AY$199,2*(ROWS(V$4:V10)-1)+1)),"")</f>
        <v/>
      </c>
      <c r="W10" t="str" cm="1">
        <f t="array" ref="W10">IFERROR(IF(D10="","",INDEX('M04-S02'!$AV$18:$AV$199,2*(ROWS(W$4:W10)-1)+1)),"")</f>
        <v/>
      </c>
      <c r="X10" t="str" cm="1">
        <f t="array" ref="X10">IFERROR(IF(D10="","",INDEX('M04-S02'!$AV$18:$AV$199,2*(ROWS(X$4:X10)-0)+0)),"")</f>
        <v/>
      </c>
      <c r="AG10" s="98" t="str" cm="1">
        <f t="array" ref="AG10">IFERROR(IF(D10="","",IF(INDEX('M04-S02'!$CB$18:$CB$199,2*(ROWS(AG$4:AG10)-1)+1)="","",INDEX('M04-S02'!$CB$18:$CB$199,2*(ROWS(AG$4:AG10)-1)+1))),"")</f>
        <v/>
      </c>
      <c r="AH10" s="98" t="str" cm="1">
        <f t="array" ref="AH10">IFERROR(IF(D10="","",IF(INDEX('M04-S02'!$CU$18:$CU$199,2*(ROWS(AH$4:AH10)-1)+1)="","",INDEX('M04-S02'!$CU$18:$CU$199,2*(ROWS(AH$4:AH10)-1)+1))),"")</f>
        <v/>
      </c>
      <c r="AI10" s="20" t="str" cm="1">
        <f t="array" ref="AI10">IFERROR(IF(D10="","",IF(INDEX('M04-S02'!$CM$18:$CM$199,2*(ROWS(AI$4:AI10)-1)+1)="",0,INDEX('M04-S02'!$CM$18:$CM$199,2*(ROWS(AI$4:AI10)-1)+1))),"")</f>
        <v/>
      </c>
      <c r="AJ10" s="20" t="str">
        <f t="shared" si="1"/>
        <v/>
      </c>
      <c r="AK10" s="487" t="str" cm="1">
        <f t="array" ref="AK10">IFERROR(IF(D10="","",IF(INDEX('M04-S02'!$CN$18:$CN$199,2*(ROWS(AK$4:AK10)-1)+1)="",0,INDEX('M04-S02'!$CN$18:$CN$199,2*(ROWS(AK$4:AK10)-1)+1))),"")</f>
        <v/>
      </c>
      <c r="AL10" s="20" t="str">
        <f t="shared" si="14"/>
        <v/>
      </c>
      <c r="AM10" s="20" t="str">
        <f t="shared" si="2"/>
        <v/>
      </c>
      <c r="AN10" s="20" t="str" cm="1">
        <f t="array" ref="AN10">IFERROR(IF(D10="","",IF(INDEX('M04-S02'!$CO$18:$CO$199,2*(ROWS(AN$4:AN10)-1)+1)="",0,INDEX('M04-S02'!$CO$18:$CO$199,2*(ROWS(AN$4:AN10)-1)+1))),"")</f>
        <v/>
      </c>
      <c r="AO10" s="20" t="str" cm="1">
        <f t="array" ref="AO10">IFERROR(IF(D10="","",INDEX('M04-S02'!$R$18:$R$199,2*(ROWS(AO$4:AO10)-1)+1)),"")</f>
        <v/>
      </c>
      <c r="AP10" s="20" t="str" cm="1">
        <f t="array" ref="AP10">IFERROR(IF(D10="","",INDEX('M04-S02'!$AJ$18:$AJ$199,2*(ROWS(AP$4:AP10)-1)+1)),"")</f>
        <v/>
      </c>
      <c r="AQ10" s="487" t="str" cm="1">
        <f t="array" ref="AQ10">IFERROR(IF(D10="","",INDEX('M04-S02'!$U$18:$U$199,2*(ROWS(AQ$4:AQ10)-1)+1)),"")</f>
        <v/>
      </c>
      <c r="AR10" s="487" t="str" cm="1">
        <f t="array" ref="AR10">IFERROR(IF(D10="","",INDEX('M04-S02'!$AM$18:$AM$199,2*(ROWS(AR$4:AR10)-1)+1)),"")</f>
        <v/>
      </c>
      <c r="AS10" s="20" t="str" cm="1">
        <f t="array" ref="AS10">IFERROR(IF(D10="","",INDEX('M04-S02'!$X$18:$X$199,2*(ROWS(AS$4:AS10)-1)+1)),"")</f>
        <v/>
      </c>
      <c r="AT10" s="20" t="str" cm="1">
        <f t="array" ref="AT10">IFERROR(IF(D10="","",INDEX('M04-S02'!$AP$18:$AP$199,2*(ROWS(AT$4:AT10)-1)+1)),"")</f>
        <v/>
      </c>
      <c r="BP10" t="str" cm="1">
        <f t="array" ref="BP10">IFERROR(IF(D10="","",INDEX('M04-S02'!$CS$18:$CS$199,2*(ROWS(BP$4:BP10)-1)+1)),"")</f>
        <v/>
      </c>
      <c r="BR10" t="str" cm="1">
        <f t="array" ref="BR10">IFERROR(IF(D10="","",LEFT(INDEX('M04-S02'!$C$18:$C$199,2*(ROWS(BR$4:BR10)-1)+1),150)),"")</f>
        <v/>
      </c>
      <c r="BS10" t="str" cm="1">
        <f t="array" ref="BS10">IFERROR(IF(D10="","",INDEX('M04-S02'!$CT$18:$CT$199,2*(ROWS(BS$4:BS10)-1)+1)),"")</f>
        <v/>
      </c>
      <c r="BT10" s="6" t="str" cm="1">
        <f t="array" ref="BT10">IFERROR(ROUND(IF(D10="","",INDEX('M04-S02'!$BB$18:$BB$199,2*(ROWS(BT$4:BT10)-1)+1)),2),"")</f>
        <v/>
      </c>
      <c r="BU10" s="6" t="str" cm="1">
        <f t="array" ref="BU10">IFERROR(IF(D10="","",INDEX('M04-S02'!$CX$18:$CX$199,2*(ROWS(BU$4:BU10)-1)+1)),"")</f>
        <v/>
      </c>
      <c r="BV10" s="6" t="str" cm="1">
        <f t="array" ref="BV10">IFERROR(IF(D10="","",INDEX('M04-S02'!$CY$18:$CY$199,2*(ROWS(BV$4:BV10)-1)+1)),"")</f>
        <v/>
      </c>
      <c r="BW10" t="str">
        <f t="shared" si="15"/>
        <v/>
      </c>
      <c r="BX10" t="str">
        <f t="shared" si="16"/>
        <v/>
      </c>
      <c r="BY10" s="6" t="str" cm="1">
        <f t="array" ref="BY10">IFERROR(IF(D10="","",INDEX('M04-S02'!$CI$18:$CI$199,2*(ROWS(BY$4:BY10)-1)+1)),"")</f>
        <v/>
      </c>
      <c r="BZ10" s="6" t="str">
        <f t="shared" si="17"/>
        <v/>
      </c>
      <c r="CA10" s="6" t="str">
        <f t="shared" si="18"/>
        <v/>
      </c>
      <c r="CB10" s="6" t="str">
        <f t="shared" si="3"/>
        <v/>
      </c>
      <c r="CC10" s="6" t="str">
        <f t="shared" si="19"/>
        <v/>
      </c>
      <c r="CD10" s="6" t="str">
        <f t="shared" si="20"/>
        <v/>
      </c>
      <c r="CS10" t="str" cm="1">
        <f t="array" ref="CS10">IFERROR(IF(D10="","",INDEX('M04-S02'!$F$18:$F$199,2*(ROWS(CS$4:CS10)-1)+1)),"")</f>
        <v/>
      </c>
      <c r="CT10" t="str" cm="1">
        <f t="array" ref="CT10">IFERROR(IF(D10="","",INDEX('M04-S02'!$L$18:$L$199,2*(ROWS(CT$4:CT10)-1)+1)),"")</f>
        <v/>
      </c>
      <c r="CU10" t="str" cm="1">
        <f t="array" ref="CU10">IFERROR(IF(D10="","",INDEX('M04-S02'!$AD$18:$AD$199,2*(ROWS(CU$4:CU10)-1)+1)),"")</f>
        <v/>
      </c>
      <c r="DE10" s="150"/>
      <c r="DF10" s="150" t="str">
        <f>IFERROR(ROUND(IF(OR(D10="",DE10=""),"",TEMPLATE!$V$10),2),"")</f>
        <v/>
      </c>
      <c r="DG10" s="150"/>
      <c r="DH10" s="150" t="str">
        <f>IFERROR(ROUND(IF(OR(D10="",DG10=""),"",TEMPLATE!$V$10),2),"")</f>
        <v/>
      </c>
      <c r="DI10" s="150"/>
      <c r="DJ10" s="150" t="str">
        <f>IFERROR(ROUND(IF(OR(D10="",DI10=""),"",TEMPLATE!$V$10),2),"")</f>
        <v/>
      </c>
      <c r="DK10" s="150"/>
      <c r="DL10" s="150" t="str">
        <f>IFERROR(ROUND(IF(OR(D10="",DK10=""),"",TEMPLATE!$V$10),2),"")</f>
        <v/>
      </c>
      <c r="DM10" s="150"/>
      <c r="DN10" s="150" t="str">
        <f>IFERROR(ROUND(IF(OR(D10="",DM10=""),"",TEMPLATE!$V$10),2),"")</f>
        <v/>
      </c>
      <c r="DO10" s="150"/>
      <c r="DP10" s="150" t="str">
        <f>IFERROR(ROUND(IF(OR(D10="",DO10=""),"",TEMPLATE!$V$10),2),"")</f>
        <v/>
      </c>
      <c r="DQ10" s="150"/>
      <c r="DR10" s="150" t="str">
        <f>IFERROR(ROUND(IF(OR(D10="",DQ10=""),"",TEMPLATE!$V$10),2),"")</f>
        <v/>
      </c>
      <c r="DS10" s="150"/>
      <c r="DT10" s="150" t="str">
        <f>IFERROR(ROUND(IF(OR(D10="",DS10=""),"",TEMPLATE!$V$10),2),"")</f>
        <v/>
      </c>
      <c r="DU10" s="150" t="str" cm="1">
        <f t="array" ref="DU10">IFERROR(ROUND(IF($D10="","",INDEX('M04-S02'!DD$18:DD$199,2*(ROWS(DU$4:DU10)-1)+1)),4),"")</f>
        <v/>
      </c>
      <c r="DV10" s="150" t="str" cm="1">
        <f t="array" ref="DV10">IFERROR(ROUND(IF($D10="","",INDEX('M04-S02'!DE$18:DE$199,2*(ROWS(DV$4:DV10)-1)+1)),4),"")</f>
        <v/>
      </c>
      <c r="DW10" s="150" t="str" cm="1">
        <f t="array" ref="DW10">IFERROR(ROUND(IF($D10="","",INDEX('M04-S02'!DF$18:DF$199,2*(ROWS(DW$4:DW10)-1)+1)),4),"")</f>
        <v/>
      </c>
      <c r="DX10" s="150" t="str" cm="1">
        <f t="array" ref="DX10">IFERROR(ROUND(IF($D10="","",INDEX('M04-S02'!DG$18:DG$199,2*(ROWS(DX$4:DX10)-1)+1)),4),"")</f>
        <v/>
      </c>
      <c r="DY10" s="150" t="str" cm="1">
        <f t="array" ref="DY10">IFERROR(ROUND(IF($D10="","",INDEX('M04-S02'!DH$18:DH$199,2*(ROWS(DY$4:DY10)-1)+1)),4),"")</f>
        <v/>
      </c>
      <c r="DZ10" s="150" t="str" cm="1">
        <f t="array" ref="DZ10">IFERROR(ROUND(IF($D10="","",INDEX('M04-S02'!DI$18:DI$199,2*(ROWS(DZ$4:DZ10)-1)+1)),4),"")</f>
        <v/>
      </c>
      <c r="EA10" s="150" t="str" cm="1">
        <f t="array" ref="EA10">IFERROR(ROUND(IF($D10="","",INDEX('M04-S02'!DJ$18:DJ$199,2*(ROWS(EA$4:EA10)-1)+1)),4),"")</f>
        <v/>
      </c>
      <c r="EB10" s="150" t="str" cm="1">
        <f t="array" ref="EB10">IFERROR(ROUND(IF($D10="","",INDEX('M04-S02'!DK$18:DK$199,2*(ROWS(EB$4:EB10)-1)+1)),6),"")</f>
        <v/>
      </c>
      <c r="EC10" s="150" t="str" cm="1">
        <f t="array" ref="EC10">IFERROR(ROUND(IF($D10="","",INDEX('M04-S02'!DL$18:DL$199,2*(ROWS(EC$4:EC10)-1)+1)),6),"")</f>
        <v/>
      </c>
      <c r="ED10" s="150" t="str" cm="1">
        <f t="array" ref="ED10">IFERROR(ROUND(IF($D10="","",INDEX('M04-S02'!DM$18:DM$199,2*(ROWS(ED$4:ED10)-1)+1)),6),"")</f>
        <v/>
      </c>
      <c r="EE10" s="150" t="str" cm="1">
        <f t="array" ref="EE10">IFERROR(ROUND(IF($D10="","",INDEX('M04-S02'!DN$18:DN$199,2*(ROWS(EE$4:EE10)-1)+1)),6),"")</f>
        <v/>
      </c>
      <c r="EF10" s="150" t="str" cm="1">
        <f t="array" ref="EF10">IFERROR(ROUND(IF($D10="","",INDEX('M04-S02'!DO$18:DO$199,2*(ROWS(EF$4:EF10)-1)+1)),6),"")</f>
        <v/>
      </c>
      <c r="EG10" s="150" t="str" cm="1">
        <f t="array" ref="EG10">IFERROR(ROUND(IF($D10="","",INDEX('M04-S02'!DP$18:DP$199,2*(ROWS(EG$4:EG10)-1)+1)),6),"")</f>
        <v/>
      </c>
      <c r="EH10" s="150" t="str" cm="1">
        <f t="array" ref="EH10">IFERROR(ROUND(IF($D10="","",INDEX('M04-S02'!DQ$18:DQ$199,2*(ROWS(EH$4:EH10)-1)+1)),6),"")</f>
        <v/>
      </c>
      <c r="EI10" s="150" t="str" cm="1">
        <f t="array" ref="EI10">IFERROR(ROUND(IF($D10="","",INDEX('M04-S02'!DR$18:DR$199,2*(ROWS(EI$4:EI10)-1)+1)),6),"")</f>
        <v/>
      </c>
      <c r="EJ10" s="150" t="str" cm="1">
        <f t="array" ref="EJ10">IFERROR(ROUND(IF($D10="","",INDEX('M04-S02'!DS$18:DS$199,2*(ROWS(EJ$4:EJ10)-1)+1)),6),"")</f>
        <v/>
      </c>
      <c r="EK10" s="150" t="str" cm="1">
        <f t="array" ref="EK10">IFERROR(ROUND(IF($D10="","",INDEX('M04-S02'!DT$18:DT$199,2*(ROWS(EK$4:EK10)-1)+1)),6),"")</f>
        <v/>
      </c>
      <c r="EL10" s="150" t="str" cm="1">
        <f t="array" ref="EL10">IFERROR(ROUND(IF($D10="","",INDEX('M04-S02'!DU$18:DU$199,2*(ROWS(EL$4:EL10)-1)+1)),6),"")</f>
        <v/>
      </c>
      <c r="EM10" s="150" t="str" cm="1">
        <f t="array" ref="EM10">IFERROR(ROUND(IF($D10="","",INDEX('M04-S02'!DV$18:DV$199,2*(ROWS(EM$4:EM10)-1)+1)),6),"")</f>
        <v/>
      </c>
      <c r="EN10" s="150" t="str" cm="1">
        <f t="array" ref="EN10">IFERROR(ROUND(IF($D10="","",INDEX('M04-S02'!DW$18:DW$199,2*(ROWS(EN$4:EN10)-1)+1)),6),"")</f>
        <v/>
      </c>
      <c r="EO10" s="150" t="str" cm="1">
        <f t="array" ref="EO10">IFERROR(ROUND(IF($D10="","",INDEX('M04-S02'!DX$18:DX$199,2*(ROWS(EO$4:EO10)-1)+1)),6),"")</f>
        <v/>
      </c>
      <c r="EP10" s="150" t="str" cm="1">
        <f t="array" ref="EP10">IFERROR(ROUND(IF($D10="","",INDEX('M04-S02'!DY$18:DY$199,2*(ROWS(EP$4:EP10)-1)+1)),6),"")</f>
        <v/>
      </c>
      <c r="EQ10" s="150" t="str" cm="1">
        <f t="array" ref="EQ10">IFERROR(ROUND(IF($D10="","",INDEX('M04-S02'!DZ$18:DZ$199,2*(ROWS(EQ$4:EQ10)-1)+1)),6),"")</f>
        <v/>
      </c>
      <c r="ER10" s="150" t="str">
        <f t="shared" si="21"/>
        <v/>
      </c>
      <c r="ES10" s="150" t="str">
        <f t="shared" si="6"/>
        <v/>
      </c>
      <c r="ET10" s="150" t="str">
        <f t="shared" si="6"/>
        <v/>
      </c>
      <c r="EU10" s="150" t="str">
        <f t="shared" si="6"/>
        <v/>
      </c>
      <c r="EV10" s="150" t="str">
        <f t="shared" si="6"/>
        <v/>
      </c>
      <c r="EW10" s="150" t="str">
        <f t="shared" si="6"/>
        <v/>
      </c>
      <c r="EX10" s="150" t="str">
        <f t="shared" si="6"/>
        <v/>
      </c>
      <c r="EY10" s="150" t="str">
        <f t="shared" si="22"/>
        <v/>
      </c>
      <c r="EZ10" s="150" t="str" cm="1">
        <f t="array" ref="EZ10">IFERROR(ROUND(IF($D10="","",INDEX('M04-S02'!EA$18:EA$199,2*(ROWS(EZ$4:EZ10)-1)+1)),6),"")</f>
        <v/>
      </c>
      <c r="FA10" s="150" t="str" cm="1">
        <f t="array" ref="FA10">IFERROR(ROUND(IF($D10="","",INDEX('M04-S02'!EB$18:EB$199,2*(ROWS(FA$4:FA10)-1)+1)),6),"")</f>
        <v/>
      </c>
      <c r="FB10" s="150" t="str" cm="1">
        <f t="array" ref="FB10">IFERROR(ROUND(IF($D10="","",INDEX('M04-S02'!EC$18:EC$199,2*(ROWS(FB$4:FB10)-1)+1)),6),"")</f>
        <v/>
      </c>
      <c r="FC10" s="150" t="str" cm="1">
        <f t="array" ref="FC10">IFERROR(ROUND(IF($D10="","",INDEX('M04-S02'!ED$18:ED$199,2*(ROWS(FC$4:FC10)-1)+1)),6),"")</f>
        <v/>
      </c>
      <c r="FD10" s="150" t="str" cm="1">
        <f t="array" ref="FD10">IFERROR(ROUND(IF($D10="","",INDEX('M04-S02'!EE$18:EE$199,2*(ROWS(FD$4:FD10)-1)+1)),6),"")</f>
        <v/>
      </c>
      <c r="FE10" s="150" t="str" cm="1">
        <f t="array" ref="FE10">IFERROR(ROUND(IF($D10="","",INDEX('M04-S02'!EF$18:EF$199,2*(ROWS(FE$4:FE10)-1)+1)),6),"")</f>
        <v/>
      </c>
      <c r="FF10" s="150" t="str" cm="1">
        <f t="array" ref="FF10">IFERROR(ROUND(IF($D10="","",INDEX('M04-S02'!EG$18:EG$199,2*(ROWS(FF$4:FF10)-1)+1)),6),"")</f>
        <v/>
      </c>
      <c r="FG10" s="150" t="str" cm="1">
        <f t="array" ref="FG10">IFERROR(ROUND(IF($D10="","",INDEX('M04-S02'!EH$18:EH$199,2*(ROWS(FG$4:FG10)-1)+1)),6),"")</f>
        <v/>
      </c>
      <c r="FH10" s="150" t="str" cm="1">
        <f t="array" ref="FH10">IFERROR(ROUND(IF($D10="","",INDEX('M04-S02'!EI$18:EI$199,2*(ROWS(FH$4:FH10)-1)+1)),6),"")</f>
        <v/>
      </c>
      <c r="FI10" s="150" t="str" cm="1">
        <f t="array" ref="FI10">IFERROR(ROUND(IF($D10="","",INDEX('M04-S02'!EJ$18:EJ$199,2*(ROWS(FI$4:FI10)-1)+1)),6),"")</f>
        <v/>
      </c>
      <c r="FJ10" s="150" t="str" cm="1">
        <f t="array" ref="FJ10">IFERROR(ROUND(IF($D10="","",INDEX('M04-S02'!EK$18:EK$199,2*(ROWS(FJ$4:FJ10)-1)+1)),6),"")</f>
        <v/>
      </c>
      <c r="FK10" s="150" t="str" cm="1">
        <f t="array" ref="FK10">IFERROR(ROUND(IF($D10="","",INDEX('M04-S02'!EL$18:EL$199,2*(ROWS(FK$4:FK10)-1)+1)),6),"")</f>
        <v/>
      </c>
      <c r="FL10" s="150" t="str" cm="1">
        <f t="array" ref="FL10">IFERROR(ROUND(IF($D10="","",INDEX('M04-S02'!EM$18:EM$199,2*(ROWS(FL$4:FL10)-1)+1)),6),"")</f>
        <v/>
      </c>
      <c r="FM10" s="150" t="str" cm="1">
        <f t="array" ref="FM10">IFERROR(ROUND(IF($D10="","",INDEX('M04-S02'!EN$18:EN$199,2*(ROWS(FM$4:FM10)-1)+1)),6),"")</f>
        <v/>
      </c>
    </row>
    <row r="11" spans="1:380">
      <c r="A11" t="str">
        <f t="shared" si="7"/>
        <v/>
      </c>
      <c r="B11" t="str">
        <f t="shared" si="8"/>
        <v/>
      </c>
      <c r="C11" t="str" cm="1">
        <f t="array" ref="C11">IFERROR(IF(D11="","",INDEX('M04-S02'!$B$18:$B$199,2*(ROWS(C$4:C11)-1)+1)),"")</f>
        <v/>
      </c>
      <c r="D11" t="str">
        <f t="shared" si="9"/>
        <v/>
      </c>
      <c r="E11" t="str" cm="1">
        <f t="array" ref="E11">IFERROR(IF(INDEX('M04-S02'!$CC$18:$CC$199,2*(ROWS(E$4:E11)-1)+1)="","",INDEX('M04-S02'!$CC$18:$CC$199,2*(ROWS(E$4:E11)-1)+1)),"")</f>
        <v/>
      </c>
      <c r="G11" t="str">
        <f t="shared" si="10"/>
        <v/>
      </c>
      <c r="H11" t="str">
        <f t="shared" si="11"/>
        <v/>
      </c>
      <c r="L11" t="str">
        <f t="shared" si="12"/>
        <v/>
      </c>
      <c r="O11" t="str">
        <f t="shared" si="13"/>
        <v/>
      </c>
      <c r="V11" t="str" cm="1">
        <f t="array" ref="V11">IFERROR(IF(D11="","",INDEX('M04-S02'!$AY$18:$AY$199,2*(ROWS(V$4:V11)-1)+1)),"")</f>
        <v/>
      </c>
      <c r="W11" t="str" cm="1">
        <f t="array" ref="W11">IFERROR(IF(D11="","",INDEX('M04-S02'!$AV$18:$AV$199,2*(ROWS(W$4:W11)-1)+1)),"")</f>
        <v/>
      </c>
      <c r="X11" t="str" cm="1">
        <f t="array" ref="X11">IFERROR(IF(D11="","",INDEX('M04-S02'!$AV$18:$AV$199,2*(ROWS(X$4:X11)-0)+0)),"")</f>
        <v/>
      </c>
      <c r="AG11" s="98" t="str" cm="1">
        <f t="array" ref="AG11">IFERROR(IF(D11="","",IF(INDEX('M04-S02'!$CB$18:$CB$199,2*(ROWS(AG$4:AG11)-1)+1)="","",INDEX('M04-S02'!$CB$18:$CB$199,2*(ROWS(AG$4:AG11)-1)+1))),"")</f>
        <v/>
      </c>
      <c r="AH11" s="98" t="str" cm="1">
        <f t="array" ref="AH11">IFERROR(IF(D11="","",IF(INDEX('M04-S02'!$CU$18:$CU$199,2*(ROWS(AH$4:AH11)-1)+1)="","",INDEX('M04-S02'!$CU$18:$CU$199,2*(ROWS(AH$4:AH11)-1)+1))),"")</f>
        <v/>
      </c>
      <c r="AI11" s="20" t="str" cm="1">
        <f t="array" ref="AI11">IFERROR(IF(D11="","",IF(INDEX('M04-S02'!$CM$18:$CM$199,2*(ROWS(AI$4:AI11)-1)+1)="",0,INDEX('M04-S02'!$CM$18:$CM$199,2*(ROWS(AI$4:AI11)-1)+1))),"")</f>
        <v/>
      </c>
      <c r="AJ11" s="20" t="str">
        <f t="shared" si="1"/>
        <v/>
      </c>
      <c r="AK11" s="487" t="str" cm="1">
        <f t="array" ref="AK11">IFERROR(IF(D11="","",IF(INDEX('M04-S02'!$CN$18:$CN$199,2*(ROWS(AK$4:AK11)-1)+1)="",0,INDEX('M04-S02'!$CN$18:$CN$199,2*(ROWS(AK$4:AK11)-1)+1))),"")</f>
        <v/>
      </c>
      <c r="AL11" s="20" t="str">
        <f t="shared" si="14"/>
        <v/>
      </c>
      <c r="AM11" s="20" t="str">
        <f t="shared" si="2"/>
        <v/>
      </c>
      <c r="AN11" s="20" t="str" cm="1">
        <f t="array" ref="AN11">IFERROR(IF(D11="","",IF(INDEX('M04-S02'!$CO$18:$CO$199,2*(ROWS(AN$4:AN11)-1)+1)="",0,INDEX('M04-S02'!$CO$18:$CO$199,2*(ROWS(AN$4:AN11)-1)+1))),"")</f>
        <v/>
      </c>
      <c r="AO11" s="20" t="str" cm="1">
        <f t="array" ref="AO11">IFERROR(IF(D11="","",INDEX('M04-S02'!$R$18:$R$199,2*(ROWS(AO$4:AO11)-1)+1)),"")</f>
        <v/>
      </c>
      <c r="AP11" s="20" t="str" cm="1">
        <f t="array" ref="AP11">IFERROR(IF(D11="","",INDEX('M04-S02'!$AJ$18:$AJ$199,2*(ROWS(AP$4:AP11)-1)+1)),"")</f>
        <v/>
      </c>
      <c r="AQ11" s="487" t="str" cm="1">
        <f t="array" ref="AQ11">IFERROR(IF(D11="","",INDEX('M04-S02'!$U$18:$U$199,2*(ROWS(AQ$4:AQ11)-1)+1)),"")</f>
        <v/>
      </c>
      <c r="AR11" s="487" t="str" cm="1">
        <f t="array" ref="AR11">IFERROR(IF(D11="","",INDEX('M04-S02'!$AM$18:$AM$199,2*(ROWS(AR$4:AR11)-1)+1)),"")</f>
        <v/>
      </c>
      <c r="AS11" s="20" t="str" cm="1">
        <f t="array" ref="AS11">IFERROR(IF(D11="","",INDEX('M04-S02'!$X$18:$X$199,2*(ROWS(AS$4:AS11)-1)+1)),"")</f>
        <v/>
      </c>
      <c r="AT11" s="20" t="str" cm="1">
        <f t="array" ref="AT11">IFERROR(IF(D11="","",INDEX('M04-S02'!$AP$18:$AP$199,2*(ROWS(AT$4:AT11)-1)+1)),"")</f>
        <v/>
      </c>
      <c r="BP11" t="str" cm="1">
        <f t="array" ref="BP11">IFERROR(IF(D11="","",INDEX('M04-S02'!$CS$18:$CS$199,2*(ROWS(BP$4:BP11)-1)+1)),"")</f>
        <v/>
      </c>
      <c r="BR11" t="str" cm="1">
        <f t="array" ref="BR11">IFERROR(IF(D11="","",LEFT(INDEX('M04-S02'!$C$18:$C$199,2*(ROWS(BR$4:BR11)-1)+1),150)),"")</f>
        <v/>
      </c>
      <c r="BS11" t="str" cm="1">
        <f t="array" ref="BS11">IFERROR(IF(D11="","",INDEX('M04-S02'!$CT$18:$CT$199,2*(ROWS(BS$4:BS11)-1)+1)),"")</f>
        <v/>
      </c>
      <c r="BT11" s="6" t="str" cm="1">
        <f t="array" ref="BT11">IFERROR(ROUND(IF(D11="","",INDEX('M04-S02'!$BB$18:$BB$199,2*(ROWS(BT$4:BT11)-1)+1)),2),"")</f>
        <v/>
      </c>
      <c r="BU11" s="6" t="str" cm="1">
        <f t="array" ref="BU11">IFERROR(IF(D11="","",INDEX('M04-S02'!$CX$18:$CX$199,2*(ROWS(BU$4:BU11)-1)+1)),"")</f>
        <v/>
      </c>
      <c r="BV11" s="6" t="str" cm="1">
        <f t="array" ref="BV11">IFERROR(IF(D11="","",INDEX('M04-S02'!$CY$18:$CY$199,2*(ROWS(BV$4:BV11)-1)+1)),"")</f>
        <v/>
      </c>
      <c r="BW11" t="str">
        <f t="shared" si="15"/>
        <v/>
      </c>
      <c r="BX11" t="str">
        <f t="shared" si="16"/>
        <v/>
      </c>
      <c r="BY11" s="6" t="str" cm="1">
        <f t="array" ref="BY11">IFERROR(IF(D11="","",INDEX('M04-S02'!$CI$18:$CI$199,2*(ROWS(BY$4:BY11)-1)+1)),"")</f>
        <v/>
      </c>
      <c r="BZ11" s="6" t="str">
        <f t="shared" si="17"/>
        <v/>
      </c>
      <c r="CA11" s="6" t="str">
        <f t="shared" si="18"/>
        <v/>
      </c>
      <c r="CB11" s="6" t="str">
        <f t="shared" si="3"/>
        <v/>
      </c>
      <c r="CC11" s="6" t="str">
        <f t="shared" si="19"/>
        <v/>
      </c>
      <c r="CD11" s="6" t="str">
        <f t="shared" si="20"/>
        <v/>
      </c>
      <c r="CS11" t="str" cm="1">
        <f t="array" ref="CS11">IFERROR(IF(D11="","",INDEX('M04-S02'!$F$18:$F$199,2*(ROWS(CS$4:CS11)-1)+1)),"")</f>
        <v/>
      </c>
      <c r="CT11" t="str" cm="1">
        <f t="array" ref="CT11">IFERROR(IF(D11="","",INDEX('M04-S02'!$L$18:$L$199,2*(ROWS(CT$4:CT11)-1)+1)),"")</f>
        <v/>
      </c>
      <c r="CU11" t="str" cm="1">
        <f t="array" ref="CU11">IFERROR(IF(D11="","",INDEX('M04-S02'!$AD$18:$AD$199,2*(ROWS(CU$4:CU11)-1)+1)),"")</f>
        <v/>
      </c>
      <c r="DE11" s="150"/>
      <c r="DF11" s="150" t="str">
        <f>IFERROR(ROUND(IF(OR(D11="",DE11=""),"",TEMPLATE!$V$10),2),"")</f>
        <v/>
      </c>
      <c r="DG11" s="150"/>
      <c r="DH11" s="150" t="str">
        <f>IFERROR(ROUND(IF(OR(D11="",DG11=""),"",TEMPLATE!$V$10),2),"")</f>
        <v/>
      </c>
      <c r="DI11" s="150"/>
      <c r="DJ11" s="150" t="str">
        <f>IFERROR(ROUND(IF(OR(D11="",DI11=""),"",TEMPLATE!$V$10),2),"")</f>
        <v/>
      </c>
      <c r="DK11" s="150"/>
      <c r="DL11" s="150" t="str">
        <f>IFERROR(ROUND(IF(OR(D11="",DK11=""),"",TEMPLATE!$V$10),2),"")</f>
        <v/>
      </c>
      <c r="DM11" s="150"/>
      <c r="DN11" s="150" t="str">
        <f>IFERROR(ROUND(IF(OR(D11="",DM11=""),"",TEMPLATE!$V$10),2),"")</f>
        <v/>
      </c>
      <c r="DO11" s="150"/>
      <c r="DP11" s="150" t="str">
        <f>IFERROR(ROUND(IF(OR(D11="",DO11=""),"",TEMPLATE!$V$10),2),"")</f>
        <v/>
      </c>
      <c r="DQ11" s="150"/>
      <c r="DR11" s="150" t="str">
        <f>IFERROR(ROUND(IF(OR(D11="",DQ11=""),"",TEMPLATE!$V$10),2),"")</f>
        <v/>
      </c>
      <c r="DS11" s="150"/>
      <c r="DT11" s="150" t="str">
        <f>IFERROR(ROUND(IF(OR(D11="",DS11=""),"",TEMPLATE!$V$10),2),"")</f>
        <v/>
      </c>
      <c r="DU11" s="150" t="str" cm="1">
        <f t="array" ref="DU11">IFERROR(ROUND(IF($D11="","",INDEX('M04-S02'!DD$18:DD$199,2*(ROWS(DU$4:DU11)-1)+1)),4),"")</f>
        <v/>
      </c>
      <c r="DV11" s="150" t="str" cm="1">
        <f t="array" ref="DV11">IFERROR(ROUND(IF($D11="","",INDEX('M04-S02'!DE$18:DE$199,2*(ROWS(DV$4:DV11)-1)+1)),4),"")</f>
        <v/>
      </c>
      <c r="DW11" s="150" t="str" cm="1">
        <f t="array" ref="DW11">IFERROR(ROUND(IF($D11="","",INDEX('M04-S02'!DF$18:DF$199,2*(ROWS(DW$4:DW11)-1)+1)),4),"")</f>
        <v/>
      </c>
      <c r="DX11" s="150" t="str" cm="1">
        <f t="array" ref="DX11">IFERROR(ROUND(IF($D11="","",INDEX('M04-S02'!DG$18:DG$199,2*(ROWS(DX$4:DX11)-1)+1)),4),"")</f>
        <v/>
      </c>
      <c r="DY11" s="150" t="str" cm="1">
        <f t="array" ref="DY11">IFERROR(ROUND(IF($D11="","",INDEX('M04-S02'!DH$18:DH$199,2*(ROWS(DY$4:DY11)-1)+1)),4),"")</f>
        <v/>
      </c>
      <c r="DZ11" s="150" t="str" cm="1">
        <f t="array" ref="DZ11">IFERROR(ROUND(IF($D11="","",INDEX('M04-S02'!DI$18:DI$199,2*(ROWS(DZ$4:DZ11)-1)+1)),4),"")</f>
        <v/>
      </c>
      <c r="EA11" s="150" t="str" cm="1">
        <f t="array" ref="EA11">IFERROR(ROUND(IF($D11="","",INDEX('M04-S02'!DJ$18:DJ$199,2*(ROWS(EA$4:EA11)-1)+1)),4),"")</f>
        <v/>
      </c>
      <c r="EB11" s="150" t="str" cm="1">
        <f t="array" ref="EB11">IFERROR(ROUND(IF($D11="","",INDEX('M04-S02'!DK$18:DK$199,2*(ROWS(EB$4:EB11)-1)+1)),6),"")</f>
        <v/>
      </c>
      <c r="EC11" s="150" t="str" cm="1">
        <f t="array" ref="EC11">IFERROR(ROUND(IF($D11="","",INDEX('M04-S02'!DL$18:DL$199,2*(ROWS(EC$4:EC11)-1)+1)),6),"")</f>
        <v/>
      </c>
      <c r="ED11" s="150" t="str" cm="1">
        <f t="array" ref="ED11">IFERROR(ROUND(IF($D11="","",INDEX('M04-S02'!DM$18:DM$199,2*(ROWS(ED$4:ED11)-1)+1)),6),"")</f>
        <v/>
      </c>
      <c r="EE11" s="150" t="str" cm="1">
        <f t="array" ref="EE11">IFERROR(ROUND(IF($D11="","",INDEX('M04-S02'!DN$18:DN$199,2*(ROWS(EE$4:EE11)-1)+1)),6),"")</f>
        <v/>
      </c>
      <c r="EF11" s="150" t="str" cm="1">
        <f t="array" ref="EF11">IFERROR(ROUND(IF($D11="","",INDEX('M04-S02'!DO$18:DO$199,2*(ROWS(EF$4:EF11)-1)+1)),6),"")</f>
        <v/>
      </c>
      <c r="EG11" s="150" t="str" cm="1">
        <f t="array" ref="EG11">IFERROR(ROUND(IF($D11="","",INDEX('M04-S02'!DP$18:DP$199,2*(ROWS(EG$4:EG11)-1)+1)),6),"")</f>
        <v/>
      </c>
      <c r="EH11" s="150" t="str" cm="1">
        <f t="array" ref="EH11">IFERROR(ROUND(IF($D11="","",INDEX('M04-S02'!DQ$18:DQ$199,2*(ROWS(EH$4:EH11)-1)+1)),6),"")</f>
        <v/>
      </c>
      <c r="EI11" s="150" t="str" cm="1">
        <f t="array" ref="EI11">IFERROR(ROUND(IF($D11="","",INDEX('M04-S02'!DR$18:DR$199,2*(ROWS(EI$4:EI11)-1)+1)),6),"")</f>
        <v/>
      </c>
      <c r="EJ11" s="150" t="str" cm="1">
        <f t="array" ref="EJ11">IFERROR(ROUND(IF($D11="","",INDEX('M04-S02'!DS$18:DS$199,2*(ROWS(EJ$4:EJ11)-1)+1)),6),"")</f>
        <v/>
      </c>
      <c r="EK11" s="150" t="str" cm="1">
        <f t="array" ref="EK11">IFERROR(ROUND(IF($D11="","",INDEX('M04-S02'!DT$18:DT$199,2*(ROWS(EK$4:EK11)-1)+1)),6),"")</f>
        <v/>
      </c>
      <c r="EL11" s="150" t="str" cm="1">
        <f t="array" ref="EL11">IFERROR(ROUND(IF($D11="","",INDEX('M04-S02'!DU$18:DU$199,2*(ROWS(EL$4:EL11)-1)+1)),6),"")</f>
        <v/>
      </c>
      <c r="EM11" s="150" t="str" cm="1">
        <f t="array" ref="EM11">IFERROR(ROUND(IF($D11="","",INDEX('M04-S02'!DV$18:DV$199,2*(ROWS(EM$4:EM11)-1)+1)),6),"")</f>
        <v/>
      </c>
      <c r="EN11" s="150" t="str" cm="1">
        <f t="array" ref="EN11">IFERROR(ROUND(IF($D11="","",INDEX('M04-S02'!DW$18:DW$199,2*(ROWS(EN$4:EN11)-1)+1)),6),"")</f>
        <v/>
      </c>
      <c r="EO11" s="150" t="str" cm="1">
        <f t="array" ref="EO11">IFERROR(ROUND(IF($D11="","",INDEX('M04-S02'!DX$18:DX$199,2*(ROWS(EO$4:EO11)-1)+1)),6),"")</f>
        <v/>
      </c>
      <c r="EP11" s="150" t="str" cm="1">
        <f t="array" ref="EP11">IFERROR(ROUND(IF($D11="","",INDEX('M04-S02'!DY$18:DY$199,2*(ROWS(EP$4:EP11)-1)+1)),6),"")</f>
        <v/>
      </c>
      <c r="EQ11" s="150" t="str" cm="1">
        <f t="array" ref="EQ11">IFERROR(ROUND(IF($D11="","",INDEX('M04-S02'!DZ$18:DZ$199,2*(ROWS(EQ$4:EQ11)-1)+1)),6),"")</f>
        <v/>
      </c>
      <c r="ER11" s="150" t="str">
        <f t="shared" si="21"/>
        <v/>
      </c>
      <c r="ES11" s="150" t="str">
        <f t="shared" si="6"/>
        <v/>
      </c>
      <c r="ET11" s="150" t="str">
        <f t="shared" si="6"/>
        <v/>
      </c>
      <c r="EU11" s="150" t="str">
        <f t="shared" si="6"/>
        <v/>
      </c>
      <c r="EV11" s="150" t="str">
        <f t="shared" si="6"/>
        <v/>
      </c>
      <c r="EW11" s="150" t="str">
        <f t="shared" si="6"/>
        <v/>
      </c>
      <c r="EX11" s="150" t="str">
        <f t="shared" si="6"/>
        <v/>
      </c>
      <c r="EY11" s="150" t="str">
        <f t="shared" si="22"/>
        <v/>
      </c>
      <c r="EZ11" s="150" t="str" cm="1">
        <f t="array" ref="EZ11">IFERROR(ROUND(IF($D11="","",INDEX('M04-S02'!EA$18:EA$199,2*(ROWS(EZ$4:EZ11)-1)+1)),6),"")</f>
        <v/>
      </c>
      <c r="FA11" s="150" t="str" cm="1">
        <f t="array" ref="FA11">IFERROR(ROUND(IF($D11="","",INDEX('M04-S02'!EB$18:EB$199,2*(ROWS(FA$4:FA11)-1)+1)),6),"")</f>
        <v/>
      </c>
      <c r="FB11" s="150" t="str" cm="1">
        <f t="array" ref="FB11">IFERROR(ROUND(IF($D11="","",INDEX('M04-S02'!EC$18:EC$199,2*(ROWS(FB$4:FB11)-1)+1)),6),"")</f>
        <v/>
      </c>
      <c r="FC11" s="150" t="str" cm="1">
        <f t="array" ref="FC11">IFERROR(ROUND(IF($D11="","",INDEX('M04-S02'!ED$18:ED$199,2*(ROWS(FC$4:FC11)-1)+1)),6),"")</f>
        <v/>
      </c>
      <c r="FD11" s="150" t="str" cm="1">
        <f t="array" ref="FD11">IFERROR(ROUND(IF($D11="","",INDEX('M04-S02'!EE$18:EE$199,2*(ROWS(FD$4:FD11)-1)+1)),6),"")</f>
        <v/>
      </c>
      <c r="FE11" s="150" t="str" cm="1">
        <f t="array" ref="FE11">IFERROR(ROUND(IF($D11="","",INDEX('M04-S02'!EF$18:EF$199,2*(ROWS(FE$4:FE11)-1)+1)),6),"")</f>
        <v/>
      </c>
      <c r="FF11" s="150" t="str" cm="1">
        <f t="array" ref="FF11">IFERROR(ROUND(IF($D11="","",INDEX('M04-S02'!EG$18:EG$199,2*(ROWS(FF$4:FF11)-1)+1)),6),"")</f>
        <v/>
      </c>
      <c r="FG11" s="150" t="str" cm="1">
        <f t="array" ref="FG11">IFERROR(ROUND(IF($D11="","",INDEX('M04-S02'!EH$18:EH$199,2*(ROWS(FG$4:FG11)-1)+1)),6),"")</f>
        <v/>
      </c>
      <c r="FH11" s="150" t="str" cm="1">
        <f t="array" ref="FH11">IFERROR(ROUND(IF($D11="","",INDEX('M04-S02'!EI$18:EI$199,2*(ROWS(FH$4:FH11)-1)+1)),6),"")</f>
        <v/>
      </c>
      <c r="FI11" s="150" t="str" cm="1">
        <f t="array" ref="FI11">IFERROR(ROUND(IF($D11="","",INDEX('M04-S02'!EJ$18:EJ$199,2*(ROWS(FI$4:FI11)-1)+1)),6),"")</f>
        <v/>
      </c>
      <c r="FJ11" s="150" t="str" cm="1">
        <f t="array" ref="FJ11">IFERROR(ROUND(IF($D11="","",INDEX('M04-S02'!EK$18:EK$199,2*(ROWS(FJ$4:FJ11)-1)+1)),6),"")</f>
        <v/>
      </c>
      <c r="FK11" s="150" t="str" cm="1">
        <f t="array" ref="FK11">IFERROR(ROUND(IF($D11="","",INDEX('M04-S02'!EL$18:EL$199,2*(ROWS(FK$4:FK11)-1)+1)),6),"")</f>
        <v/>
      </c>
      <c r="FL11" s="150" t="str" cm="1">
        <f t="array" ref="FL11">IFERROR(ROUND(IF($D11="","",INDEX('M04-S02'!EM$18:EM$199,2*(ROWS(FL$4:FL11)-1)+1)),6),"")</f>
        <v/>
      </c>
      <c r="FM11" s="150" t="str" cm="1">
        <f t="array" ref="FM11">IFERROR(ROUND(IF($D11="","",INDEX('M04-S02'!EN$18:EN$199,2*(ROWS(FM$4:FM11)-1)+1)),6),"")</f>
        <v/>
      </c>
    </row>
    <row r="12" spans="1:380">
      <c r="A12" t="str">
        <f t="shared" si="7"/>
        <v/>
      </c>
      <c r="B12" t="str">
        <f t="shared" si="8"/>
        <v/>
      </c>
      <c r="C12" t="str" cm="1">
        <f t="array" ref="C12">IFERROR(IF(D12="","",INDEX('M04-S02'!$B$18:$B$199,2*(ROWS(C$4:C12)-1)+1)),"")</f>
        <v/>
      </c>
      <c r="D12" t="str">
        <f t="shared" si="9"/>
        <v/>
      </c>
      <c r="E12" t="str" cm="1">
        <f t="array" ref="E12">IFERROR(IF(INDEX('M04-S02'!$CC$18:$CC$199,2*(ROWS(E$4:E12)-1)+1)="","",INDEX('M04-S02'!$CC$18:$CC$199,2*(ROWS(E$4:E12)-1)+1)),"")</f>
        <v/>
      </c>
      <c r="G12" t="str">
        <f t="shared" si="10"/>
        <v/>
      </c>
      <c r="H12" t="str">
        <f t="shared" si="11"/>
        <v/>
      </c>
      <c r="L12" t="str">
        <f t="shared" si="12"/>
        <v/>
      </c>
      <c r="O12" t="str">
        <f t="shared" si="13"/>
        <v/>
      </c>
      <c r="V12" t="str" cm="1">
        <f t="array" ref="V12">IFERROR(IF(D12="","",INDEX('M04-S02'!$AY$18:$AY$199,2*(ROWS(V$4:V12)-1)+1)),"")</f>
        <v/>
      </c>
      <c r="W12" t="str" cm="1">
        <f t="array" ref="W12">IFERROR(IF(D12="","",INDEX('M04-S02'!$AV$18:$AV$199,2*(ROWS(W$4:W12)-1)+1)),"")</f>
        <v/>
      </c>
      <c r="X12" t="str" cm="1">
        <f t="array" ref="X12">IFERROR(IF(D12="","",INDEX('M04-S02'!$AV$18:$AV$199,2*(ROWS(X$4:X12)-0)+0)),"")</f>
        <v/>
      </c>
      <c r="AG12" s="98" t="str" cm="1">
        <f t="array" ref="AG12">IFERROR(IF(D12="","",IF(INDEX('M04-S02'!$CB$18:$CB$199,2*(ROWS(AG$4:AG12)-1)+1)="","",INDEX('M04-S02'!$CB$18:$CB$199,2*(ROWS(AG$4:AG12)-1)+1))),"")</f>
        <v/>
      </c>
      <c r="AH12" s="98" t="str" cm="1">
        <f t="array" ref="AH12">IFERROR(IF(D12="","",IF(INDEX('M04-S02'!$CU$18:$CU$199,2*(ROWS(AH$4:AH12)-1)+1)="","",INDEX('M04-S02'!$CU$18:$CU$199,2*(ROWS(AH$4:AH12)-1)+1))),"")</f>
        <v/>
      </c>
      <c r="AI12" s="20" t="str" cm="1">
        <f t="array" ref="AI12">IFERROR(IF(D12="","",IF(INDEX('M04-S02'!$CM$18:$CM$199,2*(ROWS(AI$4:AI12)-1)+1)="",0,INDEX('M04-S02'!$CM$18:$CM$199,2*(ROWS(AI$4:AI12)-1)+1))),"")</f>
        <v/>
      </c>
      <c r="AJ12" s="20" t="str">
        <f t="shared" si="1"/>
        <v/>
      </c>
      <c r="AK12" s="487" t="str" cm="1">
        <f t="array" ref="AK12">IFERROR(IF(D12="","",IF(INDEX('M04-S02'!$CN$18:$CN$199,2*(ROWS(AK$4:AK12)-1)+1)="",0,INDEX('M04-S02'!$CN$18:$CN$199,2*(ROWS(AK$4:AK12)-1)+1))),"")</f>
        <v/>
      </c>
      <c r="AL12" s="20" t="str">
        <f t="shared" si="14"/>
        <v/>
      </c>
      <c r="AM12" s="20" t="str">
        <f t="shared" si="2"/>
        <v/>
      </c>
      <c r="AN12" s="20" t="str" cm="1">
        <f t="array" ref="AN12">IFERROR(IF(D12="","",IF(INDEX('M04-S02'!$CO$18:$CO$199,2*(ROWS(AN$4:AN12)-1)+1)="",0,INDEX('M04-S02'!$CO$18:$CO$199,2*(ROWS(AN$4:AN12)-1)+1))),"")</f>
        <v/>
      </c>
      <c r="AO12" s="20" t="str" cm="1">
        <f t="array" ref="AO12">IFERROR(IF(D12="","",INDEX('M04-S02'!$R$18:$R$199,2*(ROWS(AO$4:AO12)-1)+1)),"")</f>
        <v/>
      </c>
      <c r="AP12" s="20" t="str" cm="1">
        <f t="array" ref="AP12">IFERROR(IF(D12="","",INDEX('M04-S02'!$AJ$18:$AJ$199,2*(ROWS(AP$4:AP12)-1)+1)),"")</f>
        <v/>
      </c>
      <c r="AQ12" s="487" t="str" cm="1">
        <f t="array" ref="AQ12">IFERROR(IF(D12="","",INDEX('M04-S02'!$U$18:$U$199,2*(ROWS(AQ$4:AQ12)-1)+1)),"")</f>
        <v/>
      </c>
      <c r="AR12" s="487" t="str" cm="1">
        <f t="array" ref="AR12">IFERROR(IF(D12="","",INDEX('M04-S02'!$AM$18:$AM$199,2*(ROWS(AR$4:AR12)-1)+1)),"")</f>
        <v/>
      </c>
      <c r="AS12" s="20" t="str" cm="1">
        <f t="array" ref="AS12">IFERROR(IF(D12="","",INDEX('M04-S02'!$X$18:$X$199,2*(ROWS(AS$4:AS12)-1)+1)),"")</f>
        <v/>
      </c>
      <c r="AT12" s="20" t="str" cm="1">
        <f t="array" ref="AT12">IFERROR(IF(D12="","",INDEX('M04-S02'!$AP$18:$AP$199,2*(ROWS(AT$4:AT12)-1)+1)),"")</f>
        <v/>
      </c>
      <c r="BP12" t="str" cm="1">
        <f t="array" ref="BP12">IFERROR(IF(D12="","",INDEX('M04-S02'!$CS$18:$CS$199,2*(ROWS(BP$4:BP12)-1)+1)),"")</f>
        <v/>
      </c>
      <c r="BR12" t="str" cm="1">
        <f t="array" ref="BR12">IFERROR(IF(D12="","",LEFT(INDEX('M04-S02'!$C$18:$C$199,2*(ROWS(BR$4:BR12)-1)+1),150)),"")</f>
        <v/>
      </c>
      <c r="BS12" t="str" cm="1">
        <f t="array" ref="BS12">IFERROR(IF(D12="","",INDEX('M04-S02'!$CT$18:$CT$199,2*(ROWS(BS$4:BS12)-1)+1)),"")</f>
        <v/>
      </c>
      <c r="BT12" s="6" t="str" cm="1">
        <f t="array" ref="BT12">IFERROR(ROUND(IF(D12="","",INDEX('M04-S02'!$BB$18:$BB$199,2*(ROWS(BT$4:BT12)-1)+1)),2),"")</f>
        <v/>
      </c>
      <c r="BU12" s="6" t="str" cm="1">
        <f t="array" ref="BU12">IFERROR(IF(D12="","",INDEX('M04-S02'!$CX$18:$CX$199,2*(ROWS(BU$4:BU12)-1)+1)),"")</f>
        <v/>
      </c>
      <c r="BV12" s="6" t="str" cm="1">
        <f t="array" ref="BV12">IFERROR(IF(D12="","",INDEX('M04-S02'!$CY$18:$CY$199,2*(ROWS(BV$4:BV12)-1)+1)),"")</f>
        <v/>
      </c>
      <c r="BW12" t="str">
        <f t="shared" si="15"/>
        <v/>
      </c>
      <c r="BX12" t="str">
        <f t="shared" si="16"/>
        <v/>
      </c>
      <c r="BY12" s="6" t="str" cm="1">
        <f t="array" ref="BY12">IFERROR(IF(D12="","",INDEX('M04-S02'!$CI$18:$CI$199,2*(ROWS(BY$4:BY12)-1)+1)),"")</f>
        <v/>
      </c>
      <c r="BZ12" s="6" t="str">
        <f t="shared" si="17"/>
        <v/>
      </c>
      <c r="CA12" s="6" t="str">
        <f t="shared" si="18"/>
        <v/>
      </c>
      <c r="CB12" s="6" t="str">
        <f t="shared" si="3"/>
        <v/>
      </c>
      <c r="CC12" s="6" t="str">
        <f t="shared" si="19"/>
        <v/>
      </c>
      <c r="CD12" s="6" t="str">
        <f t="shared" si="20"/>
        <v/>
      </c>
      <c r="CS12" t="str" cm="1">
        <f t="array" ref="CS12">IFERROR(IF(D12="","",INDEX('M04-S02'!$F$18:$F$199,2*(ROWS(CS$4:CS12)-1)+1)),"")</f>
        <v/>
      </c>
      <c r="CT12" t="str" cm="1">
        <f t="array" ref="CT12">IFERROR(IF(D12="","",INDEX('M04-S02'!$L$18:$L$199,2*(ROWS(CT$4:CT12)-1)+1)),"")</f>
        <v/>
      </c>
      <c r="CU12" t="str" cm="1">
        <f t="array" ref="CU12">IFERROR(IF(D12="","",INDEX('M04-S02'!$AD$18:$AD$199,2*(ROWS(CU$4:CU12)-1)+1)),"")</f>
        <v/>
      </c>
      <c r="DE12" s="150"/>
      <c r="DF12" s="150" t="str">
        <f>IFERROR(ROUND(IF(OR(D12="",DE12=""),"",TEMPLATE!$V$10),2),"")</f>
        <v/>
      </c>
      <c r="DG12" s="150"/>
      <c r="DH12" s="150" t="str">
        <f>IFERROR(ROUND(IF(OR(D12="",DG12=""),"",TEMPLATE!$V$10),2),"")</f>
        <v/>
      </c>
      <c r="DI12" s="150"/>
      <c r="DJ12" s="150" t="str">
        <f>IFERROR(ROUND(IF(OR(D12="",DI12=""),"",TEMPLATE!$V$10),2),"")</f>
        <v/>
      </c>
      <c r="DK12" s="150"/>
      <c r="DL12" s="150" t="str">
        <f>IFERROR(ROUND(IF(OR(D12="",DK12=""),"",TEMPLATE!$V$10),2),"")</f>
        <v/>
      </c>
      <c r="DM12" s="150"/>
      <c r="DN12" s="150" t="str">
        <f>IFERROR(ROUND(IF(OR(D12="",DM12=""),"",TEMPLATE!$V$10),2),"")</f>
        <v/>
      </c>
      <c r="DO12" s="150"/>
      <c r="DP12" s="150" t="str">
        <f>IFERROR(ROUND(IF(OR(D12="",DO12=""),"",TEMPLATE!$V$10),2),"")</f>
        <v/>
      </c>
      <c r="DQ12" s="150"/>
      <c r="DR12" s="150" t="str">
        <f>IFERROR(ROUND(IF(OR(D12="",DQ12=""),"",TEMPLATE!$V$10),2),"")</f>
        <v/>
      </c>
      <c r="DS12" s="150"/>
      <c r="DT12" s="150" t="str">
        <f>IFERROR(ROUND(IF(OR(D12="",DS12=""),"",TEMPLATE!$V$10),2),"")</f>
        <v/>
      </c>
      <c r="DU12" s="150" t="str" cm="1">
        <f t="array" ref="DU12">IFERROR(ROUND(IF($D12="","",INDEX('M04-S02'!DD$18:DD$199,2*(ROWS(DU$4:DU12)-1)+1)),4),"")</f>
        <v/>
      </c>
      <c r="DV12" s="150" t="str" cm="1">
        <f t="array" ref="DV12">IFERROR(ROUND(IF($D12="","",INDEX('M04-S02'!DE$18:DE$199,2*(ROWS(DV$4:DV12)-1)+1)),4),"")</f>
        <v/>
      </c>
      <c r="DW12" s="150" t="str" cm="1">
        <f t="array" ref="DW12">IFERROR(ROUND(IF($D12="","",INDEX('M04-S02'!DF$18:DF$199,2*(ROWS(DW$4:DW12)-1)+1)),4),"")</f>
        <v/>
      </c>
      <c r="DX12" s="150" t="str" cm="1">
        <f t="array" ref="DX12">IFERROR(ROUND(IF($D12="","",INDEX('M04-S02'!DG$18:DG$199,2*(ROWS(DX$4:DX12)-1)+1)),4),"")</f>
        <v/>
      </c>
      <c r="DY12" s="150" t="str" cm="1">
        <f t="array" ref="DY12">IFERROR(ROUND(IF($D12="","",INDEX('M04-S02'!DH$18:DH$199,2*(ROWS(DY$4:DY12)-1)+1)),4),"")</f>
        <v/>
      </c>
      <c r="DZ12" s="150" t="str" cm="1">
        <f t="array" ref="DZ12">IFERROR(ROUND(IF($D12="","",INDEX('M04-S02'!DI$18:DI$199,2*(ROWS(DZ$4:DZ12)-1)+1)),4),"")</f>
        <v/>
      </c>
      <c r="EA12" s="150" t="str" cm="1">
        <f t="array" ref="EA12">IFERROR(ROUND(IF($D12="","",INDEX('M04-S02'!DJ$18:DJ$199,2*(ROWS(EA$4:EA12)-1)+1)),4),"")</f>
        <v/>
      </c>
      <c r="EB12" s="150" t="str" cm="1">
        <f t="array" ref="EB12">IFERROR(ROUND(IF($D12="","",INDEX('M04-S02'!DK$18:DK$199,2*(ROWS(EB$4:EB12)-1)+1)),6),"")</f>
        <v/>
      </c>
      <c r="EC12" s="150" t="str" cm="1">
        <f t="array" ref="EC12">IFERROR(ROUND(IF($D12="","",INDEX('M04-S02'!DL$18:DL$199,2*(ROWS(EC$4:EC12)-1)+1)),6),"")</f>
        <v/>
      </c>
      <c r="ED12" s="150" t="str" cm="1">
        <f t="array" ref="ED12">IFERROR(ROUND(IF($D12="","",INDEX('M04-S02'!DM$18:DM$199,2*(ROWS(ED$4:ED12)-1)+1)),6),"")</f>
        <v/>
      </c>
      <c r="EE12" s="150" t="str" cm="1">
        <f t="array" ref="EE12">IFERROR(ROUND(IF($D12="","",INDEX('M04-S02'!DN$18:DN$199,2*(ROWS(EE$4:EE12)-1)+1)),6),"")</f>
        <v/>
      </c>
      <c r="EF12" s="150" t="str" cm="1">
        <f t="array" ref="EF12">IFERROR(ROUND(IF($D12="","",INDEX('M04-S02'!DO$18:DO$199,2*(ROWS(EF$4:EF12)-1)+1)),6),"")</f>
        <v/>
      </c>
      <c r="EG12" s="150" t="str" cm="1">
        <f t="array" ref="EG12">IFERROR(ROUND(IF($D12="","",INDEX('M04-S02'!DP$18:DP$199,2*(ROWS(EG$4:EG12)-1)+1)),6),"")</f>
        <v/>
      </c>
      <c r="EH12" s="150" t="str" cm="1">
        <f t="array" ref="EH12">IFERROR(ROUND(IF($D12="","",INDEX('M04-S02'!DQ$18:DQ$199,2*(ROWS(EH$4:EH12)-1)+1)),6),"")</f>
        <v/>
      </c>
      <c r="EI12" s="150" t="str" cm="1">
        <f t="array" ref="EI12">IFERROR(ROUND(IF($D12="","",INDEX('M04-S02'!DR$18:DR$199,2*(ROWS(EI$4:EI12)-1)+1)),6),"")</f>
        <v/>
      </c>
      <c r="EJ12" s="150" t="str" cm="1">
        <f t="array" ref="EJ12">IFERROR(ROUND(IF($D12="","",INDEX('M04-S02'!DS$18:DS$199,2*(ROWS(EJ$4:EJ12)-1)+1)),6),"")</f>
        <v/>
      </c>
      <c r="EK12" s="150" t="str" cm="1">
        <f t="array" ref="EK12">IFERROR(ROUND(IF($D12="","",INDEX('M04-S02'!DT$18:DT$199,2*(ROWS(EK$4:EK12)-1)+1)),6),"")</f>
        <v/>
      </c>
      <c r="EL12" s="150" t="str" cm="1">
        <f t="array" ref="EL12">IFERROR(ROUND(IF($D12="","",INDEX('M04-S02'!DU$18:DU$199,2*(ROWS(EL$4:EL12)-1)+1)),6),"")</f>
        <v/>
      </c>
      <c r="EM12" s="150" t="str" cm="1">
        <f t="array" ref="EM12">IFERROR(ROUND(IF($D12="","",INDEX('M04-S02'!DV$18:DV$199,2*(ROWS(EM$4:EM12)-1)+1)),6),"")</f>
        <v/>
      </c>
      <c r="EN12" s="150" t="str" cm="1">
        <f t="array" ref="EN12">IFERROR(ROUND(IF($D12="","",INDEX('M04-S02'!DW$18:DW$199,2*(ROWS(EN$4:EN12)-1)+1)),6),"")</f>
        <v/>
      </c>
      <c r="EO12" s="150" t="str" cm="1">
        <f t="array" ref="EO12">IFERROR(ROUND(IF($D12="","",INDEX('M04-S02'!DX$18:DX$199,2*(ROWS(EO$4:EO12)-1)+1)),6),"")</f>
        <v/>
      </c>
      <c r="EP12" s="150" t="str" cm="1">
        <f t="array" ref="EP12">IFERROR(ROUND(IF($D12="","",INDEX('M04-S02'!DY$18:DY$199,2*(ROWS(EP$4:EP12)-1)+1)),6),"")</f>
        <v/>
      </c>
      <c r="EQ12" s="150" t="str" cm="1">
        <f t="array" ref="EQ12">IFERROR(ROUND(IF($D12="","",INDEX('M04-S02'!DZ$18:DZ$199,2*(ROWS(EQ$4:EQ12)-1)+1)),6),"")</f>
        <v/>
      </c>
      <c r="ER12" s="150" t="str">
        <f t="shared" si="21"/>
        <v/>
      </c>
      <c r="ES12" s="150" t="str">
        <f t="shared" si="6"/>
        <v/>
      </c>
      <c r="ET12" s="150" t="str">
        <f t="shared" si="6"/>
        <v/>
      </c>
      <c r="EU12" s="150" t="str">
        <f t="shared" si="6"/>
        <v/>
      </c>
      <c r="EV12" s="150" t="str">
        <f t="shared" si="6"/>
        <v/>
      </c>
      <c r="EW12" s="150" t="str">
        <f t="shared" si="6"/>
        <v/>
      </c>
      <c r="EX12" s="150" t="str">
        <f t="shared" si="6"/>
        <v/>
      </c>
      <c r="EY12" s="150" t="str">
        <f t="shared" si="22"/>
        <v/>
      </c>
      <c r="EZ12" s="150" t="str" cm="1">
        <f t="array" ref="EZ12">IFERROR(ROUND(IF($D12="","",INDEX('M04-S02'!EA$18:EA$199,2*(ROWS(EZ$4:EZ12)-1)+1)),6),"")</f>
        <v/>
      </c>
      <c r="FA12" s="150" t="str" cm="1">
        <f t="array" ref="FA12">IFERROR(ROUND(IF($D12="","",INDEX('M04-S02'!EB$18:EB$199,2*(ROWS(FA$4:FA12)-1)+1)),6),"")</f>
        <v/>
      </c>
      <c r="FB12" s="150" t="str" cm="1">
        <f t="array" ref="FB12">IFERROR(ROUND(IF($D12="","",INDEX('M04-S02'!EC$18:EC$199,2*(ROWS(FB$4:FB12)-1)+1)),6),"")</f>
        <v/>
      </c>
      <c r="FC12" s="150" t="str" cm="1">
        <f t="array" ref="FC12">IFERROR(ROUND(IF($D12="","",INDEX('M04-S02'!ED$18:ED$199,2*(ROWS(FC$4:FC12)-1)+1)),6),"")</f>
        <v/>
      </c>
      <c r="FD12" s="150" t="str" cm="1">
        <f t="array" ref="FD12">IFERROR(ROUND(IF($D12="","",INDEX('M04-S02'!EE$18:EE$199,2*(ROWS(FD$4:FD12)-1)+1)),6),"")</f>
        <v/>
      </c>
      <c r="FE12" s="150" t="str" cm="1">
        <f t="array" ref="FE12">IFERROR(ROUND(IF($D12="","",INDEX('M04-S02'!EF$18:EF$199,2*(ROWS(FE$4:FE12)-1)+1)),6),"")</f>
        <v/>
      </c>
      <c r="FF12" s="150" t="str" cm="1">
        <f t="array" ref="FF12">IFERROR(ROUND(IF($D12="","",INDEX('M04-S02'!EG$18:EG$199,2*(ROWS(FF$4:FF12)-1)+1)),6),"")</f>
        <v/>
      </c>
      <c r="FG12" s="150" t="str" cm="1">
        <f t="array" ref="FG12">IFERROR(ROUND(IF($D12="","",INDEX('M04-S02'!EH$18:EH$199,2*(ROWS(FG$4:FG12)-1)+1)),6),"")</f>
        <v/>
      </c>
      <c r="FH12" s="150" t="str" cm="1">
        <f t="array" ref="FH12">IFERROR(ROUND(IF($D12="","",INDEX('M04-S02'!EI$18:EI$199,2*(ROWS(FH$4:FH12)-1)+1)),6),"")</f>
        <v/>
      </c>
      <c r="FI12" s="150" t="str" cm="1">
        <f t="array" ref="FI12">IFERROR(ROUND(IF($D12="","",INDEX('M04-S02'!EJ$18:EJ$199,2*(ROWS(FI$4:FI12)-1)+1)),6),"")</f>
        <v/>
      </c>
      <c r="FJ12" s="150" t="str" cm="1">
        <f t="array" ref="FJ12">IFERROR(ROUND(IF($D12="","",INDEX('M04-S02'!EK$18:EK$199,2*(ROWS(FJ$4:FJ12)-1)+1)),6),"")</f>
        <v/>
      </c>
      <c r="FK12" s="150" t="str" cm="1">
        <f t="array" ref="FK12">IFERROR(ROUND(IF($D12="","",INDEX('M04-S02'!EL$18:EL$199,2*(ROWS(FK$4:FK12)-1)+1)),6),"")</f>
        <v/>
      </c>
      <c r="FL12" s="150" t="str" cm="1">
        <f t="array" ref="FL12">IFERROR(ROUND(IF($D12="","",INDEX('M04-S02'!EM$18:EM$199,2*(ROWS(FL$4:FL12)-1)+1)),6),"")</f>
        <v/>
      </c>
      <c r="FM12" s="150" t="str" cm="1">
        <f t="array" ref="FM12">IFERROR(ROUND(IF($D12="","",INDEX('M04-S02'!EN$18:EN$199,2*(ROWS(FM$4:FM12)-1)+1)),6),"")</f>
        <v/>
      </c>
    </row>
    <row r="13" spans="1:380">
      <c r="A13" t="str">
        <f t="shared" si="7"/>
        <v/>
      </c>
      <c r="B13" t="str">
        <f t="shared" si="8"/>
        <v/>
      </c>
      <c r="C13" t="str" cm="1">
        <f t="array" ref="C13">IFERROR(IF(D13="","",INDEX('M04-S02'!$B$18:$B$199,2*(ROWS(C$4:C13)-1)+1)),"")</f>
        <v/>
      </c>
      <c r="D13" t="str">
        <f t="shared" si="9"/>
        <v/>
      </c>
      <c r="E13" t="str" cm="1">
        <f t="array" ref="E13">IFERROR(IF(INDEX('M04-S02'!$CC$18:$CC$199,2*(ROWS(E$4:E13)-1)+1)="","",INDEX('M04-S02'!$CC$18:$CC$199,2*(ROWS(E$4:E13)-1)+1)),"")</f>
        <v/>
      </c>
      <c r="G13" t="str">
        <f t="shared" si="10"/>
        <v/>
      </c>
      <c r="H13" t="str">
        <f t="shared" si="11"/>
        <v/>
      </c>
      <c r="L13" t="str">
        <f t="shared" si="12"/>
        <v/>
      </c>
      <c r="O13" t="str">
        <f t="shared" si="13"/>
        <v/>
      </c>
      <c r="V13" t="str" cm="1">
        <f t="array" ref="V13">IFERROR(IF(D13="","",INDEX('M04-S02'!$AY$18:$AY$199,2*(ROWS(V$4:V13)-1)+1)),"")</f>
        <v/>
      </c>
      <c r="W13" t="str" cm="1">
        <f t="array" ref="W13">IFERROR(IF(D13="","",INDEX('M04-S02'!$AV$18:$AV$199,2*(ROWS(W$4:W13)-1)+1)),"")</f>
        <v/>
      </c>
      <c r="X13" t="str" cm="1">
        <f t="array" ref="X13">IFERROR(IF(D13="","",INDEX('M04-S02'!$AV$18:$AV$199,2*(ROWS(X$4:X13)-0)+0)),"")</f>
        <v/>
      </c>
      <c r="AG13" s="98" t="str" cm="1">
        <f t="array" ref="AG13">IFERROR(IF(D13="","",IF(INDEX('M04-S02'!$CB$18:$CB$199,2*(ROWS(AG$4:AG13)-1)+1)="","",INDEX('M04-S02'!$CB$18:$CB$199,2*(ROWS(AG$4:AG13)-1)+1))),"")</f>
        <v/>
      </c>
      <c r="AH13" s="98" t="str" cm="1">
        <f t="array" ref="AH13">IFERROR(IF(D13="","",IF(INDEX('M04-S02'!$CU$18:$CU$199,2*(ROWS(AH$4:AH13)-1)+1)="","",INDEX('M04-S02'!$CU$18:$CU$199,2*(ROWS(AH$4:AH13)-1)+1))),"")</f>
        <v/>
      </c>
      <c r="AI13" s="20" t="str" cm="1">
        <f t="array" ref="AI13">IFERROR(IF(D13="","",IF(INDEX('M04-S02'!$CM$18:$CM$199,2*(ROWS(AI$4:AI13)-1)+1)="",0,INDEX('M04-S02'!$CM$18:$CM$199,2*(ROWS(AI$4:AI13)-1)+1))),"")</f>
        <v/>
      </c>
      <c r="AJ13" s="20" t="str">
        <f t="shared" si="1"/>
        <v/>
      </c>
      <c r="AK13" s="487" t="str" cm="1">
        <f t="array" ref="AK13">IFERROR(IF(D13="","",IF(INDEX('M04-S02'!$CN$18:$CN$199,2*(ROWS(AK$4:AK13)-1)+1)="",0,INDEX('M04-S02'!$CN$18:$CN$199,2*(ROWS(AK$4:AK13)-1)+1))),"")</f>
        <v/>
      </c>
      <c r="AL13" s="20" t="str">
        <f t="shared" si="14"/>
        <v/>
      </c>
      <c r="AM13" s="20" t="str">
        <f t="shared" si="2"/>
        <v/>
      </c>
      <c r="AN13" s="20" t="str" cm="1">
        <f t="array" ref="AN13">IFERROR(IF(D13="","",IF(INDEX('M04-S02'!$CO$18:$CO$199,2*(ROWS(AN$4:AN13)-1)+1)="",0,INDEX('M04-S02'!$CO$18:$CO$199,2*(ROWS(AN$4:AN13)-1)+1))),"")</f>
        <v/>
      </c>
      <c r="AO13" s="20" t="str" cm="1">
        <f t="array" ref="AO13">IFERROR(IF(D13="","",INDEX('M04-S02'!$R$18:$R$199,2*(ROWS(AO$4:AO13)-1)+1)),"")</f>
        <v/>
      </c>
      <c r="AP13" s="20" t="str" cm="1">
        <f t="array" ref="AP13">IFERROR(IF(D13="","",INDEX('M04-S02'!$AJ$18:$AJ$199,2*(ROWS(AP$4:AP13)-1)+1)),"")</f>
        <v/>
      </c>
      <c r="AQ13" s="487" t="str" cm="1">
        <f t="array" ref="AQ13">IFERROR(IF(D13="","",INDEX('M04-S02'!$U$18:$U$199,2*(ROWS(AQ$4:AQ13)-1)+1)),"")</f>
        <v/>
      </c>
      <c r="AR13" s="487" t="str" cm="1">
        <f t="array" ref="AR13">IFERROR(IF(D13="","",INDEX('M04-S02'!$AM$18:$AM$199,2*(ROWS(AR$4:AR13)-1)+1)),"")</f>
        <v/>
      </c>
      <c r="AS13" s="20" t="str" cm="1">
        <f t="array" ref="AS13">IFERROR(IF(D13="","",INDEX('M04-S02'!$X$18:$X$199,2*(ROWS(AS$4:AS13)-1)+1)),"")</f>
        <v/>
      </c>
      <c r="AT13" s="20" t="str" cm="1">
        <f t="array" ref="AT13">IFERROR(IF(D13="","",INDEX('M04-S02'!$AP$18:$AP$199,2*(ROWS(AT$4:AT13)-1)+1)),"")</f>
        <v/>
      </c>
      <c r="BP13" t="str" cm="1">
        <f t="array" ref="BP13">IFERROR(IF(D13="","",INDEX('M04-S02'!$CS$18:$CS$199,2*(ROWS(BP$4:BP13)-1)+1)),"")</f>
        <v/>
      </c>
      <c r="BR13" t="str" cm="1">
        <f t="array" ref="BR13">IFERROR(IF(D13="","",LEFT(INDEX('M04-S02'!$C$18:$C$199,2*(ROWS(BR$4:BR13)-1)+1),150)),"")</f>
        <v/>
      </c>
      <c r="BS13" t="str" cm="1">
        <f t="array" ref="BS13">IFERROR(IF(D13="","",INDEX('M04-S02'!$CT$18:$CT$199,2*(ROWS(BS$4:BS13)-1)+1)),"")</f>
        <v/>
      </c>
      <c r="BT13" s="6" t="str" cm="1">
        <f t="array" ref="BT13">IFERROR(ROUND(IF(D13="","",INDEX('M04-S02'!$BB$18:$BB$199,2*(ROWS(BT$4:BT13)-1)+1)),2),"")</f>
        <v/>
      </c>
      <c r="BU13" s="6" t="str" cm="1">
        <f t="array" ref="BU13">IFERROR(IF(D13="","",INDEX('M04-S02'!$CX$18:$CX$199,2*(ROWS(BU$4:BU13)-1)+1)),"")</f>
        <v/>
      </c>
      <c r="BV13" s="6" t="str" cm="1">
        <f t="array" ref="BV13">IFERROR(IF(D13="","",INDEX('M04-S02'!$CY$18:$CY$199,2*(ROWS(BV$4:BV13)-1)+1)),"")</f>
        <v/>
      </c>
      <c r="BW13" t="str">
        <f t="shared" si="15"/>
        <v/>
      </c>
      <c r="BX13" t="str">
        <f t="shared" si="16"/>
        <v/>
      </c>
      <c r="BY13" s="6" t="str" cm="1">
        <f t="array" ref="BY13">IFERROR(IF(D13="","",INDEX('M04-S02'!$CI$18:$CI$199,2*(ROWS(BY$4:BY13)-1)+1)),"")</f>
        <v/>
      </c>
      <c r="BZ13" s="6" t="str">
        <f t="shared" si="17"/>
        <v/>
      </c>
      <c r="CA13" s="6" t="str">
        <f t="shared" si="18"/>
        <v/>
      </c>
      <c r="CB13" s="6" t="str">
        <f t="shared" si="3"/>
        <v/>
      </c>
      <c r="CC13" s="6" t="str">
        <f t="shared" si="19"/>
        <v/>
      </c>
      <c r="CD13" s="6" t="str">
        <f t="shared" si="20"/>
        <v/>
      </c>
      <c r="CS13" t="str" cm="1">
        <f t="array" ref="CS13">IFERROR(IF(D13="","",INDEX('M04-S02'!$F$18:$F$199,2*(ROWS(CS$4:CS13)-1)+1)),"")</f>
        <v/>
      </c>
      <c r="CT13" t="str" cm="1">
        <f t="array" ref="CT13">IFERROR(IF(D13="","",INDEX('M04-S02'!$L$18:$L$199,2*(ROWS(CT$4:CT13)-1)+1)),"")</f>
        <v/>
      </c>
      <c r="CU13" t="str" cm="1">
        <f t="array" ref="CU13">IFERROR(IF(D13="","",INDEX('M04-S02'!$AD$18:$AD$199,2*(ROWS(CU$4:CU13)-1)+1)),"")</f>
        <v/>
      </c>
      <c r="DE13" s="150"/>
      <c r="DF13" s="150" t="str">
        <f>IFERROR(ROUND(IF(OR(D13="",DE13=""),"",TEMPLATE!$V$10),2),"")</f>
        <v/>
      </c>
      <c r="DG13" s="150"/>
      <c r="DH13" s="150" t="str">
        <f>IFERROR(ROUND(IF(OR(D13="",DG13=""),"",TEMPLATE!$V$10),2),"")</f>
        <v/>
      </c>
      <c r="DI13" s="150"/>
      <c r="DJ13" s="150" t="str">
        <f>IFERROR(ROUND(IF(OR(D13="",DI13=""),"",TEMPLATE!$V$10),2),"")</f>
        <v/>
      </c>
      <c r="DK13" s="150"/>
      <c r="DL13" s="150" t="str">
        <f>IFERROR(ROUND(IF(OR(D13="",DK13=""),"",TEMPLATE!$V$10),2),"")</f>
        <v/>
      </c>
      <c r="DM13" s="150"/>
      <c r="DN13" s="150" t="str">
        <f>IFERROR(ROUND(IF(OR(D13="",DM13=""),"",TEMPLATE!$V$10),2),"")</f>
        <v/>
      </c>
      <c r="DO13" s="150"/>
      <c r="DP13" s="150" t="str">
        <f>IFERROR(ROUND(IF(OR(D13="",DO13=""),"",TEMPLATE!$V$10),2),"")</f>
        <v/>
      </c>
      <c r="DQ13" s="150"/>
      <c r="DR13" s="150" t="str">
        <f>IFERROR(ROUND(IF(OR(D13="",DQ13=""),"",TEMPLATE!$V$10),2),"")</f>
        <v/>
      </c>
      <c r="DS13" s="150"/>
      <c r="DT13" s="150" t="str">
        <f>IFERROR(ROUND(IF(OR(D13="",DS13=""),"",TEMPLATE!$V$10),2),"")</f>
        <v/>
      </c>
      <c r="DU13" s="150" t="str" cm="1">
        <f t="array" ref="DU13">IFERROR(ROUND(IF($D13="","",INDEX('M04-S02'!DD$18:DD$199,2*(ROWS(DU$4:DU13)-1)+1)),4),"")</f>
        <v/>
      </c>
      <c r="DV13" s="150" t="str" cm="1">
        <f t="array" ref="DV13">IFERROR(ROUND(IF($D13="","",INDEX('M04-S02'!DE$18:DE$199,2*(ROWS(DV$4:DV13)-1)+1)),4),"")</f>
        <v/>
      </c>
      <c r="DW13" s="150" t="str" cm="1">
        <f t="array" ref="DW13">IFERROR(ROUND(IF($D13="","",INDEX('M04-S02'!DF$18:DF$199,2*(ROWS(DW$4:DW13)-1)+1)),4),"")</f>
        <v/>
      </c>
      <c r="DX13" s="150" t="str" cm="1">
        <f t="array" ref="DX13">IFERROR(ROUND(IF($D13="","",INDEX('M04-S02'!DG$18:DG$199,2*(ROWS(DX$4:DX13)-1)+1)),4),"")</f>
        <v/>
      </c>
      <c r="DY13" s="150" t="str" cm="1">
        <f t="array" ref="DY13">IFERROR(ROUND(IF($D13="","",INDEX('M04-S02'!DH$18:DH$199,2*(ROWS(DY$4:DY13)-1)+1)),4),"")</f>
        <v/>
      </c>
      <c r="DZ13" s="150" t="str" cm="1">
        <f t="array" ref="DZ13">IFERROR(ROUND(IF($D13="","",INDEX('M04-S02'!DI$18:DI$199,2*(ROWS(DZ$4:DZ13)-1)+1)),4),"")</f>
        <v/>
      </c>
      <c r="EA13" s="150" t="str" cm="1">
        <f t="array" ref="EA13">IFERROR(ROUND(IF($D13="","",INDEX('M04-S02'!DJ$18:DJ$199,2*(ROWS(EA$4:EA13)-1)+1)),4),"")</f>
        <v/>
      </c>
      <c r="EB13" s="150" t="str" cm="1">
        <f t="array" ref="EB13">IFERROR(ROUND(IF($D13="","",INDEX('M04-S02'!DK$18:DK$199,2*(ROWS(EB$4:EB13)-1)+1)),6),"")</f>
        <v/>
      </c>
      <c r="EC13" s="150" t="str" cm="1">
        <f t="array" ref="EC13">IFERROR(ROUND(IF($D13="","",INDEX('M04-S02'!DL$18:DL$199,2*(ROWS(EC$4:EC13)-1)+1)),6),"")</f>
        <v/>
      </c>
      <c r="ED13" s="150" t="str" cm="1">
        <f t="array" ref="ED13">IFERROR(ROUND(IF($D13="","",INDEX('M04-S02'!DM$18:DM$199,2*(ROWS(ED$4:ED13)-1)+1)),6),"")</f>
        <v/>
      </c>
      <c r="EE13" s="150" t="str" cm="1">
        <f t="array" ref="EE13">IFERROR(ROUND(IF($D13="","",INDEX('M04-S02'!DN$18:DN$199,2*(ROWS(EE$4:EE13)-1)+1)),6),"")</f>
        <v/>
      </c>
      <c r="EF13" s="150" t="str" cm="1">
        <f t="array" ref="EF13">IFERROR(ROUND(IF($D13="","",INDEX('M04-S02'!DO$18:DO$199,2*(ROWS(EF$4:EF13)-1)+1)),6),"")</f>
        <v/>
      </c>
      <c r="EG13" s="150" t="str" cm="1">
        <f t="array" ref="EG13">IFERROR(ROUND(IF($D13="","",INDEX('M04-S02'!DP$18:DP$199,2*(ROWS(EG$4:EG13)-1)+1)),6),"")</f>
        <v/>
      </c>
      <c r="EH13" s="150" t="str" cm="1">
        <f t="array" ref="EH13">IFERROR(ROUND(IF($D13="","",INDEX('M04-S02'!DQ$18:DQ$199,2*(ROWS(EH$4:EH13)-1)+1)),6),"")</f>
        <v/>
      </c>
      <c r="EI13" s="150" t="str" cm="1">
        <f t="array" ref="EI13">IFERROR(ROUND(IF($D13="","",INDEX('M04-S02'!DR$18:DR$199,2*(ROWS(EI$4:EI13)-1)+1)),6),"")</f>
        <v/>
      </c>
      <c r="EJ13" s="150" t="str" cm="1">
        <f t="array" ref="EJ13">IFERROR(ROUND(IF($D13="","",INDEX('M04-S02'!DS$18:DS$199,2*(ROWS(EJ$4:EJ13)-1)+1)),6),"")</f>
        <v/>
      </c>
      <c r="EK13" s="150" t="str" cm="1">
        <f t="array" ref="EK13">IFERROR(ROUND(IF($D13="","",INDEX('M04-S02'!DT$18:DT$199,2*(ROWS(EK$4:EK13)-1)+1)),6),"")</f>
        <v/>
      </c>
      <c r="EL13" s="150" t="str" cm="1">
        <f t="array" ref="EL13">IFERROR(ROUND(IF($D13="","",INDEX('M04-S02'!DU$18:DU$199,2*(ROWS(EL$4:EL13)-1)+1)),6),"")</f>
        <v/>
      </c>
      <c r="EM13" s="150" t="str" cm="1">
        <f t="array" ref="EM13">IFERROR(ROUND(IF($D13="","",INDEX('M04-S02'!DV$18:DV$199,2*(ROWS(EM$4:EM13)-1)+1)),6),"")</f>
        <v/>
      </c>
      <c r="EN13" s="150" t="str" cm="1">
        <f t="array" ref="EN13">IFERROR(ROUND(IF($D13="","",INDEX('M04-S02'!DW$18:DW$199,2*(ROWS(EN$4:EN13)-1)+1)),6),"")</f>
        <v/>
      </c>
      <c r="EO13" s="150" t="str" cm="1">
        <f t="array" ref="EO13">IFERROR(ROUND(IF($D13="","",INDEX('M04-S02'!DX$18:DX$199,2*(ROWS(EO$4:EO13)-1)+1)),6),"")</f>
        <v/>
      </c>
      <c r="EP13" s="150" t="str" cm="1">
        <f t="array" ref="EP13">IFERROR(ROUND(IF($D13="","",INDEX('M04-S02'!DY$18:DY$199,2*(ROWS(EP$4:EP13)-1)+1)),6),"")</f>
        <v/>
      </c>
      <c r="EQ13" s="150" t="str" cm="1">
        <f t="array" ref="EQ13">IFERROR(ROUND(IF($D13="","",INDEX('M04-S02'!DZ$18:DZ$199,2*(ROWS(EQ$4:EQ13)-1)+1)),6),"")</f>
        <v/>
      </c>
      <c r="ER13" s="150" t="str">
        <f t="shared" si="21"/>
        <v/>
      </c>
      <c r="ES13" s="150" t="str">
        <f t="shared" si="6"/>
        <v/>
      </c>
      <c r="ET13" s="150" t="str">
        <f t="shared" si="6"/>
        <v/>
      </c>
      <c r="EU13" s="150" t="str">
        <f t="shared" si="6"/>
        <v/>
      </c>
      <c r="EV13" s="150" t="str">
        <f t="shared" si="6"/>
        <v/>
      </c>
      <c r="EW13" s="150" t="str">
        <f t="shared" si="6"/>
        <v/>
      </c>
      <c r="EX13" s="150" t="str">
        <f t="shared" si="6"/>
        <v/>
      </c>
      <c r="EY13" s="150" t="str">
        <f t="shared" si="22"/>
        <v/>
      </c>
      <c r="EZ13" s="150" t="str" cm="1">
        <f t="array" ref="EZ13">IFERROR(ROUND(IF($D13="","",INDEX('M04-S02'!EA$18:EA$199,2*(ROWS(EZ$4:EZ13)-1)+1)),6),"")</f>
        <v/>
      </c>
      <c r="FA13" s="150" t="str" cm="1">
        <f t="array" ref="FA13">IFERROR(ROUND(IF($D13="","",INDEX('M04-S02'!EB$18:EB$199,2*(ROWS(FA$4:FA13)-1)+1)),6),"")</f>
        <v/>
      </c>
      <c r="FB13" s="150" t="str" cm="1">
        <f t="array" ref="FB13">IFERROR(ROUND(IF($D13="","",INDEX('M04-S02'!EC$18:EC$199,2*(ROWS(FB$4:FB13)-1)+1)),6),"")</f>
        <v/>
      </c>
      <c r="FC13" s="150" t="str" cm="1">
        <f t="array" ref="FC13">IFERROR(ROUND(IF($D13="","",INDEX('M04-S02'!ED$18:ED$199,2*(ROWS(FC$4:FC13)-1)+1)),6),"")</f>
        <v/>
      </c>
      <c r="FD13" s="150" t="str" cm="1">
        <f t="array" ref="FD13">IFERROR(ROUND(IF($D13="","",INDEX('M04-S02'!EE$18:EE$199,2*(ROWS(FD$4:FD13)-1)+1)),6),"")</f>
        <v/>
      </c>
      <c r="FE13" s="150" t="str" cm="1">
        <f t="array" ref="FE13">IFERROR(ROUND(IF($D13="","",INDEX('M04-S02'!EF$18:EF$199,2*(ROWS(FE$4:FE13)-1)+1)),6),"")</f>
        <v/>
      </c>
      <c r="FF13" s="150" t="str" cm="1">
        <f t="array" ref="FF13">IFERROR(ROUND(IF($D13="","",INDEX('M04-S02'!EG$18:EG$199,2*(ROWS(FF$4:FF13)-1)+1)),6),"")</f>
        <v/>
      </c>
      <c r="FG13" s="150" t="str" cm="1">
        <f t="array" ref="FG13">IFERROR(ROUND(IF($D13="","",INDEX('M04-S02'!EH$18:EH$199,2*(ROWS(FG$4:FG13)-1)+1)),6),"")</f>
        <v/>
      </c>
      <c r="FH13" s="150" t="str" cm="1">
        <f t="array" ref="FH13">IFERROR(ROUND(IF($D13="","",INDEX('M04-S02'!EI$18:EI$199,2*(ROWS(FH$4:FH13)-1)+1)),6),"")</f>
        <v/>
      </c>
      <c r="FI13" s="150" t="str" cm="1">
        <f t="array" ref="FI13">IFERROR(ROUND(IF($D13="","",INDEX('M04-S02'!EJ$18:EJ$199,2*(ROWS(FI$4:FI13)-1)+1)),6),"")</f>
        <v/>
      </c>
      <c r="FJ13" s="150" t="str" cm="1">
        <f t="array" ref="FJ13">IFERROR(ROUND(IF($D13="","",INDEX('M04-S02'!EK$18:EK$199,2*(ROWS(FJ$4:FJ13)-1)+1)),6),"")</f>
        <v/>
      </c>
      <c r="FK13" s="150" t="str" cm="1">
        <f t="array" ref="FK13">IFERROR(ROUND(IF($D13="","",INDEX('M04-S02'!EL$18:EL$199,2*(ROWS(FK$4:FK13)-1)+1)),6),"")</f>
        <v/>
      </c>
      <c r="FL13" s="150" t="str" cm="1">
        <f t="array" ref="FL13">IFERROR(ROUND(IF($D13="","",INDEX('M04-S02'!EM$18:EM$199,2*(ROWS(FL$4:FL13)-1)+1)),6),"")</f>
        <v/>
      </c>
      <c r="FM13" s="150" t="str" cm="1">
        <f t="array" ref="FM13">IFERROR(ROUND(IF($D13="","",INDEX('M04-S02'!EN$18:EN$199,2*(ROWS(FM$4:FM13)-1)+1)),6),"")</f>
        <v/>
      </c>
    </row>
    <row r="14" spans="1:380">
      <c r="A14" s="218" t="str">
        <f>"Custom "&amp;M4S3</f>
        <v>Custom HVAC</v>
      </c>
      <c r="B14" s="218"/>
      <c r="C14" s="218"/>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row>
    <row r="15" spans="1:380">
      <c r="A15" t="str">
        <f>IFERROR(IF(D15="","",PROJID),"")</f>
        <v/>
      </c>
      <c r="B15" t="str">
        <f>IFERROR(IF(D15="","",CONCATENATE(ROW(),"-",D15)),"")</f>
        <v/>
      </c>
      <c r="C15" t="str" cm="1">
        <f t="array" ref="C15">IFERROR(IF(D15="","",INDEX('M04-S03'!$B$18:$B$199,2*(ROWS(C$15:C15)-1)+1)),"")</f>
        <v/>
      </c>
      <c r="D15" t="str">
        <f>IFERROR(IF(E15="","",E15),"")</f>
        <v/>
      </c>
      <c r="E15" t="str" cm="1">
        <f t="array" ref="E15">IFERROR(IF(INDEX('M04-S03'!$CC$18:$CC$199,2*(ROWS(E$15:E15)-1)+1)="","",INDEX('M04-S03'!$CC$18:$CC$199,2*(ROWS(E$15:E15)-1)+1)),"")</f>
        <v/>
      </c>
      <c r="G15" t="str">
        <f>IFERROR(IF(C15&lt;&gt;"","Custom",""),"")</f>
        <v/>
      </c>
      <c r="H15" t="str">
        <f t="shared" ref="H15" si="23">IFERROR(IF(C15&lt;&gt;"","Downstream",""),"")</f>
        <v/>
      </c>
      <c r="L15" t="str">
        <f>IF($C15="","",IF(AND(AI15&gt;0,AN15&gt;0),"Electric &amp; Gas",IF(AI15&gt;0,"Electric",IF(AN15&gt;0,"Gas",""))))</f>
        <v/>
      </c>
      <c r="O15" t="str">
        <f>IF($C15="","",TRUE)</f>
        <v/>
      </c>
      <c r="V15" t="str" cm="1">
        <f t="array" ref="V15">IFERROR(IF(D15="","",INDEX('M04-S03'!$AY$18:$AY$199,2*(ROWS(V$15:V15)-1)+1)),"")</f>
        <v/>
      </c>
      <c r="W15" t="str" cm="1">
        <f t="array" ref="W15">IFERROR(IF(D15="","",INDEX('M04-S03'!$AV$18:$AV$199,2*(ROWS(W$15:W15)-1)+1)),"")</f>
        <v/>
      </c>
      <c r="X15" t="str" cm="1">
        <f t="array" ref="X15">IFERROR(IF(D15="","",INDEX('M04-S03'!$AV$18:$AV$199,2*(ROWS(X$15:X15)-0)+0)),"")</f>
        <v/>
      </c>
      <c r="AG15" s="98" t="str" cm="1">
        <f t="array" ref="AG15">IFERROR(IF(D15="","",IF(INDEX('M04-S03'!$CB$18:$CB$199,2*(ROWS(AG$15:AG15)-1)+1)="","",INDEX('M04-S03'!$CB$18:$CB$199,2*(ROWS(AG$15:AG15)-1)+1))),"")</f>
        <v/>
      </c>
      <c r="AH15" s="98" t="str" cm="1">
        <f t="array" ref="AH15">IFERROR(IF(D15="","",IF(INDEX('M04-S03'!$CU$18:$CU$199,2*(ROWS(AI$15:AI15)-1)+1)="","",INDEX('M04-S03'!$CU$18:$CU$199,2*(ROWS(AI$15:AI15)-1)+1))),"")</f>
        <v/>
      </c>
      <c r="AI15" s="20" t="str" cm="1">
        <f t="array" ref="AI15">IFERROR(IF(D15="","",IF(INDEX('M04-S03'!$CM$18:$CM$199,2*(ROWS(AI$15:AI15)-1)+1)="",0,INDEX('M04-S03'!$CM$18:$CM$199,2*(ROWS(AI$15:AI15)-1)+1))),"")</f>
        <v/>
      </c>
      <c r="AJ15" s="20" t="str">
        <f t="shared" si="1"/>
        <v/>
      </c>
      <c r="AK15" s="487" t="str" cm="1">
        <f t="array" ref="AK15">IFERROR(IF(D15="","",IF(INDEX('M04-S03'!$CN$18:$CN$199,2*(ROWS(AK$15:AK15)-1)+1)="",0,INDEX('M04-S03'!$CN$18:$CN$199,2*(ROWS(AK$15:AK15)-1)+1))),"")</f>
        <v/>
      </c>
      <c r="AL15" s="20" t="str">
        <f>IF(AN15&gt;=0,AN15,0)</f>
        <v/>
      </c>
      <c r="AM15" s="20" t="str">
        <f t="shared" ref="AM15:AM24" si="24">IFERROR(ROUND(IF(D15="","",AL15/10),6),"")</f>
        <v/>
      </c>
      <c r="AN15" s="20" t="str" cm="1">
        <f t="array" ref="AN15">IFERROR(IF(D15="","",IF(INDEX('M04-S03'!$CO$18:$CO$199,2*(ROWS(AN$15:AN15)-1)+1)="",0,INDEX('M04-S03'!$CO$18:$CO$199,2*(ROWS(AN$15:AN15)-1)+1))),"")</f>
        <v/>
      </c>
      <c r="AO15" s="20" t="str" cm="1">
        <f t="array" ref="AO15">IFERROR(IF(D15="","",INDEX('M04-S03'!$R$18:$R$199,2*(ROWS(AO$15:AO15)-1)+1)),"")</f>
        <v/>
      </c>
      <c r="AP15" s="20" t="str" cm="1">
        <f t="array" ref="AP15">IFERROR(IF(D15="","",INDEX('M04-S03'!$AJ$18:$AJ$199,2*(ROWS(AP$15:AP15)-1)+1)),"")</f>
        <v/>
      </c>
      <c r="AQ15" s="487" t="str" cm="1">
        <f t="array" ref="AQ15">IFERROR(IF(D15="","",INDEX('M04-S03'!$U$18:$U$199,2*(ROWS(AQ$15:AQ15)-1)+1)),"")</f>
        <v/>
      </c>
      <c r="AR15" s="487" t="str" cm="1">
        <f t="array" ref="AR15">IFERROR(IF(D15="","",INDEX('M04-S03'!$AM$18:$AM$199,2*(ROWS(AR$15:AR15)-1)+1)),"")</f>
        <v/>
      </c>
      <c r="AS15" s="20" t="str" cm="1">
        <f t="array" ref="AS15">IFERROR(IF(D15="","",INDEX('M04-S03'!$X$18:$X$199,2*(ROWS(AS$15:AS15)-1)+1)),"")</f>
        <v/>
      </c>
      <c r="AT15" s="20" t="str" cm="1">
        <f t="array" ref="AT15">IFERROR(IF(D15="","",INDEX('M04-S03'!$AP$18:$AP$199,2*(ROWS(AT$15:AT15)-1)+1)),"")</f>
        <v/>
      </c>
      <c r="BP15" t="str" cm="1">
        <f t="array" ref="BP15">IFERROR(IF(D15="","",INDEX('M04-S03'!$CS$18:$CS$199,2*(ROWS(BP$15:BP15)-1)+1)),"")</f>
        <v/>
      </c>
      <c r="BR15" t="str" cm="1">
        <f t="array" ref="BR15">IFERROR(IF(D15="","",LEFT(INDEX('M04-S03'!$C$18:$C$199,2*(ROWS(BR$15:BR15)-1)+1),150)),"")</f>
        <v/>
      </c>
      <c r="BS15" t="str" cm="1">
        <f t="array" ref="BS15">IFERROR(IF(D15="","",INDEX('M04-S03'!$CT$18:$CT$199,2*(ROWS(BS$15:BS15)-1)+1)),"")</f>
        <v/>
      </c>
      <c r="BT15" s="6" t="str" cm="1">
        <f t="array" ref="BT15">IFERROR(ROUND(IF(D15="","",INDEX('M04-S03'!$BB$18:$BB$199,2*(ROWS(BT$15:BT15)-1)+1)),2),"")</f>
        <v/>
      </c>
      <c r="BU15" s="6" t="str" cm="1">
        <f t="array" ref="BU15">IFERROR(IF(D15="","",INDEX('M04-S03'!$CX$18:$CX$199,2*(ROWS(BU$15:BU15)-1)+1)),"")</f>
        <v/>
      </c>
      <c r="BV15" s="6" t="str" cm="1">
        <f t="array" ref="BV15">IFERROR(IF(D15="","",INDEX('M04-S03'!$CY$18:$CY$199,2*(ROWS(BV$15:BV15)-1)+1)),"")</f>
        <v/>
      </c>
      <c r="BW15" t="str">
        <f>IF(D15="","","Measure")</f>
        <v/>
      </c>
      <c r="BX15" t="str">
        <f>IF(D15="","",1)</f>
        <v/>
      </c>
      <c r="BY15" s="6" t="str" cm="1">
        <f t="array" ref="BY15">IFERROR(IF(D15="","",INDEX('M04-S03'!$CI$18:$CI$199,2*(ROWS(BY$15:BY15)-1)+1)),"")</f>
        <v/>
      </c>
      <c r="BZ15" s="6" t="str">
        <f t="shared" si="17"/>
        <v/>
      </c>
      <c r="CA15" s="6" t="str">
        <f t="shared" si="18"/>
        <v/>
      </c>
      <c r="CB15" s="6" t="str">
        <f t="shared" si="3"/>
        <v/>
      </c>
      <c r="CC15" s="6" t="str">
        <f t="shared" ref="CC15:CC24" si="25">IFERROR(IF(D15="","",AJ15/(AJ15+AM15)*CB15),"")</f>
        <v/>
      </c>
      <c r="CD15" s="6" t="str">
        <f t="shared" ref="CD15:CD24" si="26">IFERROR(IF(D15="","",AM15/(AJ15+AM15)*CB15),"")</f>
        <v/>
      </c>
      <c r="CS15" t="str" cm="1">
        <f t="array" ref="CS15">IFERROR(IF(D15="","",INDEX('M04-S03'!$F$18:$F$199,2*(ROWS(CS$15:CS15)-1)+1)),"")</f>
        <v/>
      </c>
      <c r="CT15" t="str" cm="1">
        <f t="array" ref="CT15">IFERROR(IF(D15="","",INDEX('M04-S03'!$L$18:$L$199,2*(ROWS(CT$15:CT15)-1)+1)),"")</f>
        <v/>
      </c>
      <c r="CU15" t="str" cm="1">
        <f t="array" ref="CU15">IFERROR(IF(D15="","",INDEX('M04-S03'!$AD$18:$AD$199,2*(ROWS(CU$15:CU15)-1)+1)),"")</f>
        <v/>
      </c>
      <c r="DE15" s="150"/>
      <c r="DF15" s="150" t="str">
        <f>IFERROR(ROUND(IF(OR(D15="",DE15=""),"",TEMPLATE!$V$11),2),"")</f>
        <v/>
      </c>
      <c r="DG15" s="150"/>
      <c r="DH15" s="150" t="str">
        <f>IFERROR(ROUND(IF(OR(D15="",DG15=""),"",TEMPLATE!$V$11),2),"")</f>
        <v/>
      </c>
      <c r="DI15" s="150"/>
      <c r="DJ15" s="150" t="str">
        <f>IFERROR(ROUND(IF(OR(D15="",DI15=""),"",TEMPLATE!$V$11),2),"")</f>
        <v/>
      </c>
      <c r="DK15" s="150"/>
      <c r="DL15" s="150" t="str">
        <f>IFERROR(ROUND(IF(OR(D15="",DK15=""),"",TEMPLATE!$V$11),2),"")</f>
        <v/>
      </c>
      <c r="DM15" s="150"/>
      <c r="DN15" s="150" t="str">
        <f>IFERROR(ROUND(IF(OR(D15="",DM15=""),"",TEMPLATE!$V$11),2),"")</f>
        <v/>
      </c>
      <c r="DO15" s="150"/>
      <c r="DP15" s="150" t="str">
        <f>IFERROR(ROUND(IF(OR(D15="",DO15=""),"",TEMPLATE!$V$11),2),"")</f>
        <v/>
      </c>
      <c r="DQ15" s="150"/>
      <c r="DR15" s="150" t="str">
        <f>IFERROR(ROUND(IF(OR(D15="",DQ15=""),"",TEMPLATE!$V$11),2),"")</f>
        <v/>
      </c>
      <c r="DS15" s="150"/>
      <c r="DT15" s="150" t="str">
        <f>IFERROR(ROUND(IF(OR(D15="",DS15=""),"",TEMPLATE!$V$11),2),"")</f>
        <v/>
      </c>
      <c r="DU15" s="150" t="str" cm="1">
        <f t="array" ref="DU15">IFERROR(ROUND(IF($D15="","",INDEX('M04-S03'!DD$18:DD$199,2*(ROWS(DU$15:DU15)-1)+1)),4),"")</f>
        <v/>
      </c>
      <c r="DV15" s="150" t="str" cm="1">
        <f t="array" ref="DV15">IFERROR(ROUND(IF($D15="","",INDEX('M04-S03'!DE$18:DE$199,2*(ROWS(DV$15:DV15)-1)+1)),4),"")</f>
        <v/>
      </c>
      <c r="DW15" s="150" t="str" cm="1">
        <f t="array" ref="DW15">IFERROR(ROUND(IF($D15="","",INDEX('M04-S03'!DF$18:DF$199,2*(ROWS(DW$15:DW15)-1)+1)),4),"")</f>
        <v/>
      </c>
      <c r="DX15" s="150" t="str" cm="1">
        <f t="array" ref="DX15">IFERROR(ROUND(IF($D15="","",INDEX('M04-S03'!DG$18:DG$199,2*(ROWS(DX$15:DX15)-1)+1)),4),"")</f>
        <v/>
      </c>
      <c r="DY15" s="150" t="str" cm="1">
        <f t="array" ref="DY15">IFERROR(ROUND(IF($D15="","",INDEX('M04-S03'!DH$18:DH$199,2*(ROWS(DY$15:DY15)-1)+1)),4),"")</f>
        <v/>
      </c>
      <c r="DZ15" s="150" t="str" cm="1">
        <f t="array" ref="DZ15">IFERROR(ROUND(IF($D15="","",INDEX('M04-S03'!DI$18:DI$199,2*(ROWS(DZ$15:DZ15)-1)+1)),4),"")</f>
        <v/>
      </c>
      <c r="EA15" s="150" t="str" cm="1">
        <f t="array" ref="EA15">IFERROR(ROUND(IF($D15="","",INDEX('M04-S03'!DJ$18:DJ$199,2*(ROWS(EA$15:EA15)-1)+1)),4),"")</f>
        <v/>
      </c>
      <c r="EB15" s="150" t="str" cm="1">
        <f t="array" ref="EB15">IFERROR(ROUND(IF($D15="","",INDEX('M04-S03'!DK$18:DK$199,2*(ROWS(EB$15:EB15)-1)+1)),6),"")</f>
        <v/>
      </c>
      <c r="EC15" s="150" t="str" cm="1">
        <f t="array" ref="EC15">IFERROR(ROUND(IF($D15="","",INDEX('M04-S03'!DL$18:DL$199,2*(ROWS(EC$15:EC15)-1)+1)),6),"")</f>
        <v/>
      </c>
      <c r="ED15" s="150" t="str" cm="1">
        <f t="array" ref="ED15">IFERROR(ROUND(IF($D15="","",INDEX('M04-S03'!DM$18:DM$199,2*(ROWS(ED$15:ED15)-1)+1)),6),"")</f>
        <v/>
      </c>
      <c r="EE15" s="150" t="str" cm="1">
        <f t="array" ref="EE15">IFERROR(ROUND(IF($D15="","",INDEX('M04-S03'!DN$18:DN$199,2*(ROWS(EE$15:EE15)-1)+1)),6),"")</f>
        <v/>
      </c>
      <c r="EF15" s="150" t="str" cm="1">
        <f t="array" ref="EF15">IFERROR(ROUND(IF($D15="","",INDEX('M04-S03'!DO$18:DO$199,2*(ROWS(EF$15:EF15)-1)+1)),6),"")</f>
        <v/>
      </c>
      <c r="EG15" s="150" t="str" cm="1">
        <f t="array" ref="EG15">IFERROR(ROUND(IF($D15="","",INDEX('M04-S03'!DP$18:DP$199,2*(ROWS(EG$15:EG15)-1)+1)),6),"")</f>
        <v/>
      </c>
      <c r="EH15" s="150" t="str" cm="1">
        <f t="array" ref="EH15">IFERROR(ROUND(IF($D15="","",INDEX('M04-S03'!DQ$18:DQ$199,2*(ROWS(EH$15:EH15)-1)+1)),6),"")</f>
        <v/>
      </c>
      <c r="EI15" s="150" t="str" cm="1">
        <f t="array" ref="EI15">IFERROR(ROUND(IF($D15="","",INDEX('M04-S03'!DR$18:DR$199,2*(ROWS(EI$15:EI15)-1)+1)),6),"")</f>
        <v/>
      </c>
      <c r="EJ15" s="150" t="str" cm="1">
        <f t="array" ref="EJ15">IFERROR(ROUND(IF($D15="","",INDEX('M04-S03'!DS$18:DS$199,2*(ROWS(EJ$15:EJ15)-1)+1)),6),"")</f>
        <v/>
      </c>
      <c r="EK15" s="150" t="str" cm="1">
        <f t="array" ref="EK15">IFERROR(ROUND(IF($D15="","",INDEX('M04-S03'!DT$18:DT$199,2*(ROWS(EK$15:EK15)-1)+1)),6),"")</f>
        <v/>
      </c>
      <c r="EL15" s="150" t="str" cm="1">
        <f t="array" ref="EL15">IFERROR(ROUND(IF($D15="","",INDEX('M04-S03'!DU$18:DU$199,2*(ROWS(EL$15:EL15)-1)+1)),6),"")</f>
        <v/>
      </c>
      <c r="EM15" s="150" t="str" cm="1">
        <f t="array" ref="EM15">IFERROR(ROUND(IF($D15="","",INDEX('M04-S03'!DV$18:DV$199,2*(ROWS(EM$15:EM15)-1)+1)),6),"")</f>
        <v/>
      </c>
      <c r="EN15" s="150" t="str" cm="1">
        <f t="array" ref="EN15">IFERROR(ROUND(IF($D15="","",INDEX('M04-S03'!DW$18:DW$199,2*(ROWS(EN$15:EN15)-1)+1)),6),"")</f>
        <v/>
      </c>
      <c r="EO15" s="150" t="str" cm="1">
        <f t="array" ref="EO15">IFERROR(ROUND(IF($D15="","",INDEX('M04-S03'!DX$18:DX$199,2*(ROWS(EO$15:EO15)-1)+1)),6),"")</f>
        <v/>
      </c>
      <c r="EP15" s="150" t="str" cm="1">
        <f t="array" ref="EP15">IFERROR(ROUND(IF($D15="","",INDEX('M04-S03'!DY$18:DY$199,2*(ROWS(EP$15:EP15)-1)+1)),6),"")</f>
        <v/>
      </c>
      <c r="EQ15" s="150" t="str" cm="1">
        <f t="array" ref="EQ15">IFERROR(ROUND(IF($D15="","",INDEX('M04-S03'!DZ$18:DZ$199,2*(ROWS(EQ$15:EQ15)-1)+1)),6),"")</f>
        <v/>
      </c>
      <c r="ER15" s="150" t="str">
        <f t="shared" si="21"/>
        <v/>
      </c>
      <c r="ES15" s="150" t="str">
        <f t="shared" si="6"/>
        <v/>
      </c>
      <c r="ET15" s="150" t="str">
        <f t="shared" si="6"/>
        <v/>
      </c>
      <c r="EU15" s="150" t="str">
        <f t="shared" si="6"/>
        <v/>
      </c>
      <c r="EV15" s="150" t="str">
        <f t="shared" si="6"/>
        <v/>
      </c>
      <c r="EW15" s="150" t="str">
        <f t="shared" si="6"/>
        <v/>
      </c>
      <c r="EX15" s="150" t="str">
        <f t="shared" si="6"/>
        <v/>
      </c>
      <c r="EY15" s="150" t="str">
        <f t="shared" si="22"/>
        <v/>
      </c>
      <c r="EZ15" s="150" t="str" cm="1">
        <f t="array" ref="EZ15">IFERROR(ROUND(IF($D15="","",INDEX('M04-S03'!EA$18:EA$199,2*(ROWS(EZ$15:EZ15)-1)+1)),6),"")</f>
        <v/>
      </c>
      <c r="FA15" s="150" t="str" cm="1">
        <f t="array" ref="FA15">IFERROR(ROUND(IF($D15="","",INDEX('M04-S03'!EB$18:EB$199,2*(ROWS(FA$15:FA15)-1)+1)),6),"")</f>
        <v/>
      </c>
      <c r="FB15" s="150" t="str" cm="1">
        <f t="array" ref="FB15">IFERROR(ROUND(IF($D15="","",INDEX('M04-S03'!EC$18:EC$199,2*(ROWS(FB$15:FB15)-1)+1)),6),"")</f>
        <v/>
      </c>
      <c r="FC15" s="150" t="str" cm="1">
        <f t="array" ref="FC15">IFERROR(ROUND(IF($D15="","",INDEX('M04-S03'!ED$18:ED$199,2*(ROWS(FC$15:FC15)-1)+1)),6),"")</f>
        <v/>
      </c>
      <c r="FD15" s="150" t="str" cm="1">
        <f t="array" ref="FD15">IFERROR(ROUND(IF($D15="","",INDEX('M04-S03'!EE$18:EE$199,2*(ROWS(FD$15:FD15)-1)+1)),6),"")</f>
        <v/>
      </c>
      <c r="FE15" s="150" t="str" cm="1">
        <f t="array" ref="FE15">IFERROR(ROUND(IF($D15="","",INDEX('M04-S03'!EF$18:EF$199,2*(ROWS(FE$15:FE15)-1)+1)),6),"")</f>
        <v/>
      </c>
      <c r="FF15" s="150" t="str" cm="1">
        <f t="array" ref="FF15">IFERROR(ROUND(IF($D15="","",INDEX('M04-S03'!EG$18:EG$199,2*(ROWS(FF$15:FF15)-1)+1)),6),"")</f>
        <v/>
      </c>
      <c r="FG15" s="150" t="str" cm="1">
        <f t="array" ref="FG15">IFERROR(ROUND(IF($D15="","",INDEX('M04-S03'!EH$18:EH$199,2*(ROWS(FG$15:FG15)-1)+1)),6),"")</f>
        <v/>
      </c>
      <c r="FH15" s="150" t="str" cm="1">
        <f t="array" ref="FH15">IFERROR(ROUND(IF($D15="","",INDEX('M04-S03'!EI$18:EI$199,2*(ROWS(FH$15:FH15)-1)+1)),6),"")</f>
        <v/>
      </c>
      <c r="FI15" s="150" t="str" cm="1">
        <f t="array" ref="FI15">IFERROR(ROUND(IF($D15="","",INDEX('M04-S03'!EJ$18:EJ$199,2*(ROWS(FI$15:FI15)-1)+1)),6),"")</f>
        <v/>
      </c>
      <c r="FJ15" s="150" t="str" cm="1">
        <f t="array" ref="FJ15">IFERROR(ROUND(IF($D15="","",INDEX('M04-S03'!EK$18:EK$199,2*(ROWS(FJ$15:FJ15)-1)+1)),6),"")</f>
        <v/>
      </c>
      <c r="FK15" s="150" t="str" cm="1">
        <f t="array" ref="FK15">IFERROR(ROUND(IF($D15="","",INDEX('M04-S03'!EL$18:EL$199,2*(ROWS(FK$15:FK15)-1)+1)),6),"")</f>
        <v/>
      </c>
      <c r="FL15" s="150" t="str" cm="1">
        <f t="array" ref="FL15">IFERROR(ROUND(IF($D15="","",INDEX('M04-S03'!EM$18:EM$199,2*(ROWS(FL$15:FL15)-1)+1)),6),"")</f>
        <v/>
      </c>
      <c r="FM15" s="150" t="str" cm="1">
        <f t="array" ref="FM15">IFERROR(ROUND(IF($D15="","",INDEX('M04-S03'!EN$18:EN$199,2*(ROWS(FM$15:FM15)-1)+1)),6),"")</f>
        <v/>
      </c>
    </row>
    <row r="16" spans="1:380">
      <c r="A16" t="str">
        <f t="shared" ref="A16:A24" si="27">IFERROR(IF(D16="","",PROJID),"")</f>
        <v/>
      </c>
      <c r="B16" t="str">
        <f t="shared" ref="B16:B24" si="28">IFERROR(IF(D16="","",CONCATENATE(ROW(),"-",D16)),"")</f>
        <v/>
      </c>
      <c r="C16" t="str" cm="1">
        <f t="array" ref="C16">IFERROR(IF(D16="","",INDEX('M04-S03'!$B$18:$B$199,2*(ROWS(C$15:C16)-1)+1)),"")</f>
        <v/>
      </c>
      <c r="D16" t="str">
        <f t="shared" ref="D16:D24" si="29">IFERROR(IF(E16="","",E16),"")</f>
        <v/>
      </c>
      <c r="E16" t="str" cm="1">
        <f t="array" ref="E16">IFERROR(IF(INDEX('M04-S03'!$CC$18:$CC$199,2*(ROWS(E$15:E16)-1)+1)="","",INDEX('M04-S03'!$CC$18:$CC$199,2*(ROWS(E$15:E16)-1)+1)),"")</f>
        <v/>
      </c>
      <c r="G16" t="str">
        <f t="shared" ref="G16:G24" si="30">IFERROR(IF(C16&lt;&gt;"","Custom",""),"")</f>
        <v/>
      </c>
      <c r="H16" t="str">
        <f t="shared" ref="H16:H24" si="31">IFERROR(IF(C16&lt;&gt;"","Downstream",""),"")</f>
        <v/>
      </c>
      <c r="L16" t="str">
        <f t="shared" ref="L16:L24" si="32">IF($C16="","",IF(AND(AI16&gt;0,AN16&gt;0),"Electric &amp; Gas",IF(AI16&gt;0,"Electric",IF(AN16&gt;0,"Gas",""))))</f>
        <v/>
      </c>
      <c r="O16" t="str">
        <f t="shared" ref="O16:O24" si="33">IF($C16="","",TRUE)</f>
        <v/>
      </c>
      <c r="V16" t="str" cm="1">
        <f t="array" ref="V16">IFERROR(IF(D16="","",INDEX('M04-S03'!$AY$18:$AY$199,2*(ROWS(V$15:V16)-1)+1)),"")</f>
        <v/>
      </c>
      <c r="W16" t="str" cm="1">
        <f t="array" ref="W16">IFERROR(IF(D16="","",INDEX('M04-S03'!$AV$18:$AV$199,2*(ROWS(W$15:W16)-1)+1)),"")</f>
        <v/>
      </c>
      <c r="X16" t="str" cm="1">
        <f t="array" ref="X16">IFERROR(IF(D16="","",INDEX('M04-S03'!$AV$18:$AV$199,2*(ROWS(X$15:X16)-0)+0)),"")</f>
        <v/>
      </c>
      <c r="AG16" s="98" t="str" cm="1">
        <f t="array" ref="AG16">IFERROR(IF(D16="","",IF(INDEX('M04-S03'!$CB$18:$CB$199,2*(ROWS(AG$15:AG16)-1)+1)="","",INDEX('M04-S03'!$CB$18:$CB$199,2*(ROWS(AG$15:AG16)-1)+1))),"")</f>
        <v/>
      </c>
      <c r="AH16" s="98" t="str" cm="1">
        <f t="array" ref="AH16">IFERROR(IF(D16="","",IF(INDEX('M04-S03'!$CU$18:$CU$199,2*(ROWS(AI$15:AI16)-1)+1)="","",INDEX('M04-S03'!$CU$18:$CU$199,2*(ROWS(AI$15:AI16)-1)+1))),"")</f>
        <v/>
      </c>
      <c r="AI16" s="20" t="str" cm="1">
        <f t="array" ref="AI16">IFERROR(IF(D16="","",IF(INDEX('M04-S03'!$CM$18:$CM$199,2*(ROWS(AI$15:AI16)-1)+1)="",0,INDEX('M04-S03'!$CM$18:$CM$199,2*(ROWS(AI$15:AI16)-1)+1))),"")</f>
        <v/>
      </c>
      <c r="AJ16" s="20" t="str">
        <f t="shared" si="1"/>
        <v/>
      </c>
      <c r="AK16" s="487" t="str" cm="1">
        <f t="array" ref="AK16">IFERROR(IF(D16="","",IF(INDEX('M04-S03'!$CN$18:$CN$199,2*(ROWS(AK$15:AK16)-1)+1)="",0,INDEX('M04-S03'!$CN$18:$CN$199,2*(ROWS(AK$15:AK16)-1)+1))),"")</f>
        <v/>
      </c>
      <c r="AL16" s="20" t="str">
        <f t="shared" ref="AL16:AL24" si="34">IF(AN16&gt;=0,AN16,0)</f>
        <v/>
      </c>
      <c r="AM16" s="20" t="str">
        <f t="shared" si="24"/>
        <v/>
      </c>
      <c r="AN16" s="20" t="str" cm="1">
        <f t="array" ref="AN16">IFERROR(IF(D16="","",IF(INDEX('M04-S03'!$CO$18:$CO$199,2*(ROWS(AN$15:AN16)-1)+1)="",0,INDEX('M04-S03'!$CO$18:$CO$199,2*(ROWS(AN$15:AN16)-1)+1))),"")</f>
        <v/>
      </c>
      <c r="AO16" s="20" t="str" cm="1">
        <f t="array" ref="AO16">IFERROR(IF(D16="","",INDEX('M04-S03'!$R$18:$R$199,2*(ROWS(AO$15:AO16)-1)+1)),"")</f>
        <v/>
      </c>
      <c r="AP16" s="20" t="str" cm="1">
        <f t="array" ref="AP16">IFERROR(IF(D16="","",INDEX('M04-S03'!$AJ$18:$AJ$199,2*(ROWS(AP$15:AP16)-1)+1)),"")</f>
        <v/>
      </c>
      <c r="AQ16" s="487" t="str" cm="1">
        <f t="array" ref="AQ16">IFERROR(IF(D16="","",INDEX('M04-S03'!$U$18:$U$199,2*(ROWS(AQ$15:AQ16)-1)+1)),"")</f>
        <v/>
      </c>
      <c r="AR16" s="487" t="str" cm="1">
        <f t="array" ref="AR16">IFERROR(IF(D16="","",INDEX('M04-S03'!$AM$18:$AM$199,2*(ROWS(AR$15:AR16)-1)+1)),"")</f>
        <v/>
      </c>
      <c r="AS16" s="20" t="str" cm="1">
        <f t="array" ref="AS16">IFERROR(IF(D16="","",INDEX('M04-S03'!$X$18:$X$199,2*(ROWS(AS$15:AS16)-1)+1)),"")</f>
        <v/>
      </c>
      <c r="AT16" s="20" t="str" cm="1">
        <f t="array" ref="AT16">IFERROR(IF(D16="","",INDEX('M04-S03'!$AP$18:$AP$199,2*(ROWS(AT$15:AT16)-1)+1)),"")</f>
        <v/>
      </c>
      <c r="BP16" t="str" cm="1">
        <f t="array" ref="BP16">IFERROR(IF(D16="","",INDEX('M04-S03'!$CS$18:$CS$199,2*(ROWS(BP$15:BP16)-1)+1)),"")</f>
        <v/>
      </c>
      <c r="BR16" t="str" cm="1">
        <f t="array" ref="BR16">IFERROR(IF(D16="","",LEFT(INDEX('M04-S03'!$C$18:$C$199,2*(ROWS(BR$15:BR16)-1)+1),150)),"")</f>
        <v/>
      </c>
      <c r="BS16" t="str" cm="1">
        <f t="array" ref="BS16">IFERROR(IF(D16="","",INDEX('M04-S03'!$CT$18:$CT$199,2*(ROWS(BS$15:BS16)-1)+1)),"")</f>
        <v/>
      </c>
      <c r="BT16" s="6" t="str" cm="1">
        <f t="array" ref="BT16">IFERROR(ROUND(IF(D16="","",INDEX('M04-S03'!$BB$18:$BB$199,2*(ROWS(BT$15:BT16)-1)+1)),2),"")</f>
        <v/>
      </c>
      <c r="BU16" s="6" t="str" cm="1">
        <f t="array" ref="BU16">IFERROR(IF(D16="","",INDEX('M04-S03'!$CX$18:$CX$199,2*(ROWS(BU$15:BU16)-1)+1)),"")</f>
        <v/>
      </c>
      <c r="BV16" s="6" t="str" cm="1">
        <f t="array" ref="BV16">IFERROR(IF(D16="","",INDEX('M04-S03'!$CY$18:$CY$199,2*(ROWS(BV$15:BV16)-1)+1)),"")</f>
        <v/>
      </c>
      <c r="BW16" t="str">
        <f t="shared" ref="BW16:BW24" si="35">IF(D16="","","Measure")</f>
        <v/>
      </c>
      <c r="BX16" t="str">
        <f t="shared" ref="BX16:BX24" si="36">IF(D16="","",1)</f>
        <v/>
      </c>
      <c r="BY16" s="6" t="str" cm="1">
        <f t="array" ref="BY16">IFERROR(IF(D16="","",INDEX('M04-S03'!$CI$18:$CI$199,2*(ROWS(BY$15:BY16)-1)+1)),"")</f>
        <v/>
      </c>
      <c r="BZ16" s="6" t="str">
        <f t="shared" si="17"/>
        <v/>
      </c>
      <c r="CA16" s="6" t="str">
        <f t="shared" si="18"/>
        <v/>
      </c>
      <c r="CB16" s="6" t="str">
        <f t="shared" si="3"/>
        <v/>
      </c>
      <c r="CC16" s="6" t="str">
        <f t="shared" si="25"/>
        <v/>
      </c>
      <c r="CD16" s="6" t="str">
        <f t="shared" si="26"/>
        <v/>
      </c>
      <c r="CS16" t="str" cm="1">
        <f t="array" ref="CS16">IFERROR(IF(D16="","",INDEX('M04-S03'!$F$18:$F$199,2*(ROWS(CS$15:CS16)-1)+1)),"")</f>
        <v/>
      </c>
      <c r="CT16" t="str" cm="1">
        <f t="array" ref="CT16">IFERROR(IF(D16="","",INDEX('M04-S03'!$L$18:$L$199,2*(ROWS(CT$15:CT16)-1)+1)),"")</f>
        <v/>
      </c>
      <c r="CU16" t="str" cm="1">
        <f t="array" ref="CU16">IFERROR(IF(D16="","",INDEX('M04-S03'!$AD$18:$AD$199,2*(ROWS(CU$15:CU16)-1)+1)),"")</f>
        <v/>
      </c>
      <c r="DE16" s="150"/>
      <c r="DF16" s="150" t="str">
        <f>IFERROR(ROUND(IF(OR(D16="",DE16=""),"",TEMPLATE!$V$11),2),"")</f>
        <v/>
      </c>
      <c r="DG16" s="150"/>
      <c r="DH16" s="150" t="str">
        <f>IFERROR(ROUND(IF(OR(D16="",DG16=""),"",TEMPLATE!$V$11),2),"")</f>
        <v/>
      </c>
      <c r="DI16" s="150"/>
      <c r="DJ16" s="150" t="str">
        <f>IFERROR(ROUND(IF(OR(D16="",DI16=""),"",TEMPLATE!$V$11),2),"")</f>
        <v/>
      </c>
      <c r="DK16" s="150"/>
      <c r="DL16" s="150" t="str">
        <f>IFERROR(ROUND(IF(OR(D16="",DK16=""),"",TEMPLATE!$V$11),2),"")</f>
        <v/>
      </c>
      <c r="DM16" s="150"/>
      <c r="DN16" s="150" t="str">
        <f>IFERROR(ROUND(IF(OR(D16="",DM16=""),"",TEMPLATE!$V$11),2),"")</f>
        <v/>
      </c>
      <c r="DO16" s="150"/>
      <c r="DP16" s="150" t="str">
        <f>IFERROR(ROUND(IF(OR(D16="",DO16=""),"",TEMPLATE!$V$11),2),"")</f>
        <v/>
      </c>
      <c r="DQ16" s="150"/>
      <c r="DR16" s="150" t="str">
        <f>IFERROR(ROUND(IF(OR(D16="",DQ16=""),"",TEMPLATE!$V$11),2),"")</f>
        <v/>
      </c>
      <c r="DS16" s="150"/>
      <c r="DT16" s="150" t="str">
        <f>IFERROR(ROUND(IF(OR(D16="",DS16=""),"",TEMPLATE!$V$11),2),"")</f>
        <v/>
      </c>
      <c r="DU16" s="150" t="str" cm="1">
        <f t="array" ref="DU16">IFERROR(ROUND(IF($D16="","",INDEX('M04-S03'!DD$18:DD$199,2*(ROWS(DU$15:DU16)-1)+1)),4),"")</f>
        <v/>
      </c>
      <c r="DV16" s="150" t="str" cm="1">
        <f t="array" ref="DV16">IFERROR(ROUND(IF($D16="","",INDEX('M04-S03'!DE$18:DE$199,2*(ROWS(DV$15:DV16)-1)+1)),4),"")</f>
        <v/>
      </c>
      <c r="DW16" s="150" t="str" cm="1">
        <f t="array" ref="DW16">IFERROR(ROUND(IF($D16="","",INDEX('M04-S03'!DF$18:DF$199,2*(ROWS(DW$15:DW16)-1)+1)),4),"")</f>
        <v/>
      </c>
      <c r="DX16" s="150" t="str" cm="1">
        <f t="array" ref="DX16">IFERROR(ROUND(IF($D16="","",INDEX('M04-S03'!DG$18:DG$199,2*(ROWS(DX$15:DX16)-1)+1)),4),"")</f>
        <v/>
      </c>
      <c r="DY16" s="150" t="str" cm="1">
        <f t="array" ref="DY16">IFERROR(ROUND(IF($D16="","",INDEX('M04-S03'!DH$18:DH$199,2*(ROWS(DY$15:DY16)-1)+1)),4),"")</f>
        <v/>
      </c>
      <c r="DZ16" s="150" t="str" cm="1">
        <f t="array" ref="DZ16">IFERROR(ROUND(IF($D16="","",INDEX('M04-S03'!DI$18:DI$199,2*(ROWS(DZ$15:DZ16)-1)+1)),4),"")</f>
        <v/>
      </c>
      <c r="EA16" s="150" t="str" cm="1">
        <f t="array" ref="EA16">IFERROR(ROUND(IF($D16="","",INDEX('M04-S03'!DJ$18:DJ$199,2*(ROWS(EA$15:EA16)-1)+1)),4),"")</f>
        <v/>
      </c>
      <c r="EB16" s="150" t="str" cm="1">
        <f t="array" ref="EB16">IFERROR(ROUND(IF($D16="","",INDEX('M04-S03'!DK$18:DK$199,2*(ROWS(EB$15:EB16)-1)+1)),6),"")</f>
        <v/>
      </c>
      <c r="EC16" s="150" t="str" cm="1">
        <f t="array" ref="EC16">IFERROR(ROUND(IF($D16="","",INDEX('M04-S03'!DL$18:DL$199,2*(ROWS(EC$15:EC16)-1)+1)),6),"")</f>
        <v/>
      </c>
      <c r="ED16" s="150" t="str" cm="1">
        <f t="array" ref="ED16">IFERROR(ROUND(IF($D16="","",INDEX('M04-S03'!DM$18:DM$199,2*(ROWS(ED$15:ED16)-1)+1)),6),"")</f>
        <v/>
      </c>
      <c r="EE16" s="150" t="str" cm="1">
        <f t="array" ref="EE16">IFERROR(ROUND(IF($D16="","",INDEX('M04-S03'!DN$18:DN$199,2*(ROWS(EE$15:EE16)-1)+1)),6),"")</f>
        <v/>
      </c>
      <c r="EF16" s="150" t="str" cm="1">
        <f t="array" ref="EF16">IFERROR(ROUND(IF($D16="","",INDEX('M04-S03'!DO$18:DO$199,2*(ROWS(EF$15:EF16)-1)+1)),6),"")</f>
        <v/>
      </c>
      <c r="EG16" s="150" t="str" cm="1">
        <f t="array" ref="EG16">IFERROR(ROUND(IF($D16="","",INDEX('M04-S03'!DP$18:DP$199,2*(ROWS(EG$15:EG16)-1)+1)),6),"")</f>
        <v/>
      </c>
      <c r="EH16" s="150" t="str" cm="1">
        <f t="array" ref="EH16">IFERROR(ROUND(IF($D16="","",INDEX('M04-S03'!DQ$18:DQ$199,2*(ROWS(EH$15:EH16)-1)+1)),6),"")</f>
        <v/>
      </c>
      <c r="EI16" s="150" t="str" cm="1">
        <f t="array" ref="EI16">IFERROR(ROUND(IF($D16="","",INDEX('M04-S03'!DR$18:DR$199,2*(ROWS(EI$15:EI16)-1)+1)),6),"")</f>
        <v/>
      </c>
      <c r="EJ16" s="150" t="str" cm="1">
        <f t="array" ref="EJ16">IFERROR(ROUND(IF($D16="","",INDEX('M04-S03'!DS$18:DS$199,2*(ROWS(EJ$15:EJ16)-1)+1)),6),"")</f>
        <v/>
      </c>
      <c r="EK16" s="150" t="str" cm="1">
        <f t="array" ref="EK16">IFERROR(ROUND(IF($D16="","",INDEX('M04-S03'!DT$18:DT$199,2*(ROWS(EK$15:EK16)-1)+1)),6),"")</f>
        <v/>
      </c>
      <c r="EL16" s="150" t="str" cm="1">
        <f t="array" ref="EL16">IFERROR(ROUND(IF($D16="","",INDEX('M04-S03'!DU$18:DU$199,2*(ROWS(EL$15:EL16)-1)+1)),6),"")</f>
        <v/>
      </c>
      <c r="EM16" s="150" t="str" cm="1">
        <f t="array" ref="EM16">IFERROR(ROUND(IF($D16="","",INDEX('M04-S03'!DV$18:DV$199,2*(ROWS(EM$15:EM16)-1)+1)),6),"")</f>
        <v/>
      </c>
      <c r="EN16" s="150" t="str" cm="1">
        <f t="array" ref="EN16">IFERROR(ROUND(IF($D16="","",INDEX('M04-S03'!DW$18:DW$199,2*(ROWS(EN$15:EN16)-1)+1)),6),"")</f>
        <v/>
      </c>
      <c r="EO16" s="150" t="str" cm="1">
        <f t="array" ref="EO16">IFERROR(ROUND(IF($D16="","",INDEX('M04-S03'!DX$18:DX$199,2*(ROWS(EO$15:EO16)-1)+1)),6),"")</f>
        <v/>
      </c>
      <c r="EP16" s="150" t="str" cm="1">
        <f t="array" ref="EP16">IFERROR(ROUND(IF($D16="","",INDEX('M04-S03'!DY$18:DY$199,2*(ROWS(EP$15:EP16)-1)+1)),6),"")</f>
        <v/>
      </c>
      <c r="EQ16" s="150" t="str" cm="1">
        <f t="array" ref="EQ16">IFERROR(ROUND(IF($D16="","",INDEX('M04-S03'!DZ$18:DZ$199,2*(ROWS(EQ$15:EQ16)-1)+1)),6),"")</f>
        <v/>
      </c>
      <c r="ER16" s="150" t="str">
        <f t="shared" si="21"/>
        <v/>
      </c>
      <c r="ES16" s="150" t="str">
        <f t="shared" si="6"/>
        <v/>
      </c>
      <c r="ET16" s="150" t="str">
        <f t="shared" si="6"/>
        <v/>
      </c>
      <c r="EU16" s="150" t="str">
        <f t="shared" si="6"/>
        <v/>
      </c>
      <c r="EV16" s="150" t="str">
        <f t="shared" si="6"/>
        <v/>
      </c>
      <c r="EW16" s="150" t="str">
        <f t="shared" si="6"/>
        <v/>
      </c>
      <c r="EX16" s="150" t="str">
        <f t="shared" si="6"/>
        <v/>
      </c>
      <c r="EY16" s="150" t="str">
        <f t="shared" si="22"/>
        <v/>
      </c>
      <c r="EZ16" s="150" t="str" cm="1">
        <f t="array" ref="EZ16">IFERROR(ROUND(IF($D16="","",INDEX('M04-S03'!EA$18:EA$199,2*(ROWS(EZ$15:EZ16)-1)+1)),6),"")</f>
        <v/>
      </c>
      <c r="FA16" s="150" t="str" cm="1">
        <f t="array" ref="FA16">IFERROR(ROUND(IF($D16="","",INDEX('M04-S03'!EB$18:EB$199,2*(ROWS(FA$15:FA16)-1)+1)),6),"")</f>
        <v/>
      </c>
      <c r="FB16" s="150" t="str" cm="1">
        <f t="array" ref="FB16">IFERROR(ROUND(IF($D16="","",INDEX('M04-S03'!EC$18:EC$199,2*(ROWS(FB$15:FB16)-1)+1)),6),"")</f>
        <v/>
      </c>
      <c r="FC16" s="150" t="str" cm="1">
        <f t="array" ref="FC16">IFERROR(ROUND(IF($D16="","",INDEX('M04-S03'!ED$18:ED$199,2*(ROWS(FC$15:FC16)-1)+1)),6),"")</f>
        <v/>
      </c>
      <c r="FD16" s="150" t="str" cm="1">
        <f t="array" ref="FD16">IFERROR(ROUND(IF($D16="","",INDEX('M04-S03'!EE$18:EE$199,2*(ROWS(FD$15:FD16)-1)+1)),6),"")</f>
        <v/>
      </c>
      <c r="FE16" s="150" t="str" cm="1">
        <f t="array" ref="FE16">IFERROR(ROUND(IF($D16="","",INDEX('M04-S03'!EF$18:EF$199,2*(ROWS(FE$15:FE16)-1)+1)),6),"")</f>
        <v/>
      </c>
      <c r="FF16" s="150" t="str" cm="1">
        <f t="array" ref="FF16">IFERROR(ROUND(IF($D16="","",INDEX('M04-S03'!EG$18:EG$199,2*(ROWS(FF$15:FF16)-1)+1)),6),"")</f>
        <v/>
      </c>
      <c r="FG16" s="150" t="str" cm="1">
        <f t="array" ref="FG16">IFERROR(ROUND(IF($D16="","",INDEX('M04-S03'!EH$18:EH$199,2*(ROWS(FG$15:FG16)-1)+1)),6),"")</f>
        <v/>
      </c>
      <c r="FH16" s="150" t="str" cm="1">
        <f t="array" ref="FH16">IFERROR(ROUND(IF($D16="","",INDEX('M04-S03'!EI$18:EI$199,2*(ROWS(FH$15:FH16)-1)+1)),6),"")</f>
        <v/>
      </c>
      <c r="FI16" s="150" t="str" cm="1">
        <f t="array" ref="FI16">IFERROR(ROUND(IF($D16="","",INDEX('M04-S03'!EJ$18:EJ$199,2*(ROWS(FI$15:FI16)-1)+1)),6),"")</f>
        <v/>
      </c>
      <c r="FJ16" s="150" t="str" cm="1">
        <f t="array" ref="FJ16">IFERROR(ROUND(IF($D16="","",INDEX('M04-S03'!EK$18:EK$199,2*(ROWS(FJ$15:FJ16)-1)+1)),6),"")</f>
        <v/>
      </c>
      <c r="FK16" s="150" t="str" cm="1">
        <f t="array" ref="FK16">IFERROR(ROUND(IF($D16="","",INDEX('M04-S03'!EL$18:EL$199,2*(ROWS(FK$15:FK16)-1)+1)),6),"")</f>
        <v/>
      </c>
      <c r="FL16" s="150" t="str" cm="1">
        <f t="array" ref="FL16">IFERROR(ROUND(IF($D16="","",INDEX('M04-S03'!EM$18:EM$199,2*(ROWS(FL$15:FL16)-1)+1)),6),"")</f>
        <v/>
      </c>
      <c r="FM16" s="150" t="str" cm="1">
        <f t="array" ref="FM16">IFERROR(ROUND(IF($D16="","",INDEX('M04-S03'!EN$18:EN$199,2*(ROWS(FM$15:FM16)-1)+1)),6),"")</f>
        <v/>
      </c>
    </row>
    <row r="17" spans="1:169">
      <c r="A17" t="str">
        <f t="shared" si="27"/>
        <v/>
      </c>
      <c r="B17" t="str">
        <f t="shared" si="28"/>
        <v/>
      </c>
      <c r="C17" t="str" cm="1">
        <f t="array" ref="C17">IFERROR(IF(D17="","",INDEX('M04-S03'!$B$18:$B$199,2*(ROWS(C$15:C17)-1)+1)),"")</f>
        <v/>
      </c>
      <c r="D17" t="str">
        <f t="shared" si="29"/>
        <v/>
      </c>
      <c r="E17" t="str" cm="1">
        <f t="array" ref="E17">IFERROR(IF(INDEX('M04-S03'!$CC$18:$CC$199,2*(ROWS(E$15:E17)-1)+1)="","",INDEX('M04-S03'!$CC$18:$CC$199,2*(ROWS(E$15:E17)-1)+1)),"")</f>
        <v/>
      </c>
      <c r="G17" t="str">
        <f t="shared" si="30"/>
        <v/>
      </c>
      <c r="H17" t="str">
        <f t="shared" si="31"/>
        <v/>
      </c>
      <c r="L17" t="str">
        <f t="shared" si="32"/>
        <v/>
      </c>
      <c r="O17" t="str">
        <f t="shared" si="33"/>
        <v/>
      </c>
      <c r="V17" t="str" cm="1">
        <f t="array" ref="V17">IFERROR(IF(D17="","",INDEX('M04-S03'!$AY$18:$AY$199,2*(ROWS(V$15:V17)-1)+1)),"")</f>
        <v/>
      </c>
      <c r="W17" t="str" cm="1">
        <f t="array" ref="W17">IFERROR(IF(D17="","",INDEX('M04-S03'!$AV$18:$AV$199,2*(ROWS(W$15:W17)-1)+1)),"")</f>
        <v/>
      </c>
      <c r="X17" t="str" cm="1">
        <f t="array" ref="X17">IFERROR(IF(D17="","",INDEX('M04-S03'!$AV$18:$AV$199,2*(ROWS(X$15:X17)-0)+0)),"")</f>
        <v/>
      </c>
      <c r="AG17" s="98" t="str" cm="1">
        <f t="array" ref="AG17">IFERROR(IF(D17="","",IF(INDEX('M04-S03'!$CB$18:$CB$199,2*(ROWS(AG$15:AG17)-1)+1)="","",INDEX('M04-S03'!$CB$18:$CB$199,2*(ROWS(AG$15:AG17)-1)+1))),"")</f>
        <v/>
      </c>
      <c r="AH17" s="98" t="str" cm="1">
        <f t="array" ref="AH17">IFERROR(IF(D17="","",IF(INDEX('M04-S03'!$CU$18:$CU$199,2*(ROWS(AI$15:AI17)-1)+1)="","",INDEX('M04-S03'!$CU$18:$CU$199,2*(ROWS(AI$15:AI17)-1)+1))),"")</f>
        <v/>
      </c>
      <c r="AI17" s="20" t="str" cm="1">
        <f t="array" ref="AI17">IFERROR(IF(D17="","",IF(INDEX('M04-S03'!$CM$18:$CM$199,2*(ROWS(AI$15:AI17)-1)+1)="",0,INDEX('M04-S03'!$CM$18:$CM$199,2*(ROWS(AI$15:AI17)-1)+1))),"")</f>
        <v/>
      </c>
      <c r="AJ17" s="20" t="str">
        <f t="shared" si="1"/>
        <v/>
      </c>
      <c r="AK17" s="487" t="str" cm="1">
        <f t="array" ref="AK17">IFERROR(IF(D17="","",IF(INDEX('M04-S03'!$CN$18:$CN$199,2*(ROWS(AK$15:AK17)-1)+1)="",0,INDEX('M04-S03'!$CN$18:$CN$199,2*(ROWS(AK$15:AK17)-1)+1))),"")</f>
        <v/>
      </c>
      <c r="AL17" s="20" t="str">
        <f t="shared" si="34"/>
        <v/>
      </c>
      <c r="AM17" s="20" t="str">
        <f t="shared" si="24"/>
        <v/>
      </c>
      <c r="AN17" s="20" t="str" cm="1">
        <f t="array" ref="AN17">IFERROR(IF(D17="","",IF(INDEX('M04-S03'!$CO$18:$CO$199,2*(ROWS(AN$15:AN17)-1)+1)="",0,INDEX('M04-S03'!$CO$18:$CO$199,2*(ROWS(AN$15:AN17)-1)+1))),"")</f>
        <v/>
      </c>
      <c r="AO17" s="20" t="str" cm="1">
        <f t="array" ref="AO17">IFERROR(IF(D17="","",INDEX('M04-S03'!$R$18:$R$199,2*(ROWS(AO$15:AO17)-1)+1)),"")</f>
        <v/>
      </c>
      <c r="AP17" s="20" t="str" cm="1">
        <f t="array" ref="AP17">IFERROR(IF(D17="","",INDEX('M04-S03'!$AJ$18:$AJ$199,2*(ROWS(AP$15:AP17)-1)+1)),"")</f>
        <v/>
      </c>
      <c r="AQ17" s="487" t="str" cm="1">
        <f t="array" ref="AQ17">IFERROR(IF(D17="","",INDEX('M04-S03'!$U$18:$U$199,2*(ROWS(AQ$15:AQ17)-1)+1)),"")</f>
        <v/>
      </c>
      <c r="AR17" s="487" t="str" cm="1">
        <f t="array" ref="AR17">IFERROR(IF(D17="","",INDEX('M04-S03'!$AM$18:$AM$199,2*(ROWS(AR$15:AR17)-1)+1)),"")</f>
        <v/>
      </c>
      <c r="AS17" s="20" t="str" cm="1">
        <f t="array" ref="AS17">IFERROR(IF(D17="","",INDEX('M04-S03'!$X$18:$X$199,2*(ROWS(AS$15:AS17)-1)+1)),"")</f>
        <v/>
      </c>
      <c r="AT17" s="20" t="str" cm="1">
        <f t="array" ref="AT17">IFERROR(IF(D17="","",INDEX('M04-S03'!$AP$18:$AP$199,2*(ROWS(AT$15:AT17)-1)+1)),"")</f>
        <v/>
      </c>
      <c r="BP17" t="str" cm="1">
        <f t="array" ref="BP17">IFERROR(IF(D17="","",INDEX('M04-S03'!$CS$18:$CS$199,2*(ROWS(BP$15:BP17)-1)+1)),"")</f>
        <v/>
      </c>
      <c r="BR17" t="str" cm="1">
        <f t="array" ref="BR17">IFERROR(IF(D17="","",LEFT(INDEX('M04-S03'!$C$18:$C$199,2*(ROWS(BR$15:BR17)-1)+1),150)),"")</f>
        <v/>
      </c>
      <c r="BS17" t="str" cm="1">
        <f t="array" ref="BS17">IFERROR(IF(D17="","",INDEX('M04-S03'!$CT$18:$CT$199,2*(ROWS(BS$15:BS17)-1)+1)),"")</f>
        <v/>
      </c>
      <c r="BT17" s="6" t="str" cm="1">
        <f t="array" ref="BT17">IFERROR(ROUND(IF(D17="","",INDEX('M04-S03'!$BB$18:$BB$199,2*(ROWS(BT$15:BT17)-1)+1)),2),"")</f>
        <v/>
      </c>
      <c r="BU17" s="6" t="str" cm="1">
        <f t="array" ref="BU17">IFERROR(IF(D17="","",INDEX('M04-S03'!$CX$18:$CX$199,2*(ROWS(BU$15:BU17)-1)+1)),"")</f>
        <v/>
      </c>
      <c r="BV17" s="6" t="str" cm="1">
        <f t="array" ref="BV17">IFERROR(IF(D17="","",INDEX('M04-S03'!$CY$18:$CY$199,2*(ROWS(BV$15:BV17)-1)+1)),"")</f>
        <v/>
      </c>
      <c r="BW17" t="str">
        <f t="shared" si="35"/>
        <v/>
      </c>
      <c r="BX17" t="str">
        <f t="shared" si="36"/>
        <v/>
      </c>
      <c r="BY17" s="6" t="str" cm="1">
        <f t="array" ref="BY17">IFERROR(IF(D17="","",INDEX('M04-S03'!$CI$18:$CI$199,2*(ROWS(BY$15:BY17)-1)+1)),"")</f>
        <v/>
      </c>
      <c r="BZ17" s="6" t="str">
        <f t="shared" si="17"/>
        <v/>
      </c>
      <c r="CA17" s="6" t="str">
        <f t="shared" si="18"/>
        <v/>
      </c>
      <c r="CB17" s="6" t="str">
        <f t="shared" si="3"/>
        <v/>
      </c>
      <c r="CC17" s="6" t="str">
        <f t="shared" si="25"/>
        <v/>
      </c>
      <c r="CD17" s="6" t="str">
        <f t="shared" si="26"/>
        <v/>
      </c>
      <c r="CS17" t="str" cm="1">
        <f t="array" ref="CS17">IFERROR(IF(D17="","",INDEX('M04-S03'!$F$18:$F$199,2*(ROWS(CS$15:CS17)-1)+1)),"")</f>
        <v/>
      </c>
      <c r="CT17" t="str" cm="1">
        <f t="array" ref="CT17">IFERROR(IF(D17="","",INDEX('M04-S03'!$L$18:$L$199,2*(ROWS(CT$15:CT17)-1)+1)),"")</f>
        <v/>
      </c>
      <c r="CU17" t="str" cm="1">
        <f t="array" ref="CU17">IFERROR(IF(D17="","",INDEX('M04-S03'!$AD$18:$AD$199,2*(ROWS(CU$15:CU17)-1)+1)),"")</f>
        <v/>
      </c>
      <c r="DE17" s="150"/>
      <c r="DF17" s="150" t="str">
        <f>IFERROR(ROUND(IF(OR(D17="",DE17=""),"",TEMPLATE!$V$11),2),"")</f>
        <v/>
      </c>
      <c r="DG17" s="150"/>
      <c r="DH17" s="150" t="str">
        <f>IFERROR(ROUND(IF(OR(D17="",DG17=""),"",TEMPLATE!$V$11),2),"")</f>
        <v/>
      </c>
      <c r="DI17" s="150"/>
      <c r="DJ17" s="150" t="str">
        <f>IFERROR(ROUND(IF(OR(D17="",DI17=""),"",TEMPLATE!$V$11),2),"")</f>
        <v/>
      </c>
      <c r="DK17" s="150"/>
      <c r="DL17" s="150" t="str">
        <f>IFERROR(ROUND(IF(OR(D17="",DK17=""),"",TEMPLATE!$V$11),2),"")</f>
        <v/>
      </c>
      <c r="DM17" s="150"/>
      <c r="DN17" s="150" t="str">
        <f>IFERROR(ROUND(IF(OR(D17="",DM17=""),"",TEMPLATE!$V$11),2),"")</f>
        <v/>
      </c>
      <c r="DO17" s="150"/>
      <c r="DP17" s="150" t="str">
        <f>IFERROR(ROUND(IF(OR(D17="",DO17=""),"",TEMPLATE!$V$11),2),"")</f>
        <v/>
      </c>
      <c r="DQ17" s="150"/>
      <c r="DR17" s="150" t="str">
        <f>IFERROR(ROUND(IF(OR(D17="",DQ17=""),"",TEMPLATE!$V$11),2),"")</f>
        <v/>
      </c>
      <c r="DS17" s="150"/>
      <c r="DT17" s="150" t="str">
        <f>IFERROR(ROUND(IF(OR(D17="",DS17=""),"",TEMPLATE!$V$11),2),"")</f>
        <v/>
      </c>
      <c r="DU17" s="150" t="str" cm="1">
        <f t="array" ref="DU17">IFERROR(ROUND(IF($D17="","",INDEX('M04-S03'!DD$18:DD$199,2*(ROWS(DU$15:DU17)-1)+1)),4),"")</f>
        <v/>
      </c>
      <c r="DV17" s="150" t="str" cm="1">
        <f t="array" ref="DV17">IFERROR(ROUND(IF($D17="","",INDEX('M04-S03'!DE$18:DE$199,2*(ROWS(DV$15:DV17)-1)+1)),4),"")</f>
        <v/>
      </c>
      <c r="DW17" s="150" t="str" cm="1">
        <f t="array" ref="DW17">IFERROR(ROUND(IF($D17="","",INDEX('M04-S03'!DF$18:DF$199,2*(ROWS(DW$15:DW17)-1)+1)),4),"")</f>
        <v/>
      </c>
      <c r="DX17" s="150" t="str" cm="1">
        <f t="array" ref="DX17">IFERROR(ROUND(IF($D17="","",INDEX('M04-S03'!DG$18:DG$199,2*(ROWS(DX$15:DX17)-1)+1)),4),"")</f>
        <v/>
      </c>
      <c r="DY17" s="150" t="str" cm="1">
        <f t="array" ref="DY17">IFERROR(ROUND(IF($D17="","",INDEX('M04-S03'!DH$18:DH$199,2*(ROWS(DY$15:DY17)-1)+1)),4),"")</f>
        <v/>
      </c>
      <c r="DZ17" s="150" t="str" cm="1">
        <f t="array" ref="DZ17">IFERROR(ROUND(IF($D17="","",INDEX('M04-S03'!DI$18:DI$199,2*(ROWS(DZ$15:DZ17)-1)+1)),4),"")</f>
        <v/>
      </c>
      <c r="EA17" s="150" t="str" cm="1">
        <f t="array" ref="EA17">IFERROR(ROUND(IF($D17="","",INDEX('M04-S03'!DJ$18:DJ$199,2*(ROWS(EA$15:EA17)-1)+1)),4),"")</f>
        <v/>
      </c>
      <c r="EB17" s="150" t="str" cm="1">
        <f t="array" ref="EB17">IFERROR(ROUND(IF($D17="","",INDEX('M04-S03'!DK$18:DK$199,2*(ROWS(EB$15:EB17)-1)+1)),6),"")</f>
        <v/>
      </c>
      <c r="EC17" s="150" t="str" cm="1">
        <f t="array" ref="EC17">IFERROR(ROUND(IF($D17="","",INDEX('M04-S03'!DL$18:DL$199,2*(ROWS(EC$15:EC17)-1)+1)),6),"")</f>
        <v/>
      </c>
      <c r="ED17" s="150" t="str" cm="1">
        <f t="array" ref="ED17">IFERROR(ROUND(IF($D17="","",INDEX('M04-S03'!DM$18:DM$199,2*(ROWS(ED$15:ED17)-1)+1)),6),"")</f>
        <v/>
      </c>
      <c r="EE17" s="150" t="str" cm="1">
        <f t="array" ref="EE17">IFERROR(ROUND(IF($D17="","",INDEX('M04-S03'!DN$18:DN$199,2*(ROWS(EE$15:EE17)-1)+1)),6),"")</f>
        <v/>
      </c>
      <c r="EF17" s="150" t="str" cm="1">
        <f t="array" ref="EF17">IFERROR(ROUND(IF($D17="","",INDEX('M04-S03'!DO$18:DO$199,2*(ROWS(EF$15:EF17)-1)+1)),6),"")</f>
        <v/>
      </c>
      <c r="EG17" s="150" t="str" cm="1">
        <f t="array" ref="EG17">IFERROR(ROUND(IF($D17="","",INDEX('M04-S03'!DP$18:DP$199,2*(ROWS(EG$15:EG17)-1)+1)),6),"")</f>
        <v/>
      </c>
      <c r="EH17" s="150" t="str" cm="1">
        <f t="array" ref="EH17">IFERROR(ROUND(IF($D17="","",INDEX('M04-S03'!DQ$18:DQ$199,2*(ROWS(EH$15:EH17)-1)+1)),6),"")</f>
        <v/>
      </c>
      <c r="EI17" s="150" t="str" cm="1">
        <f t="array" ref="EI17">IFERROR(ROUND(IF($D17="","",INDEX('M04-S03'!DR$18:DR$199,2*(ROWS(EI$15:EI17)-1)+1)),6),"")</f>
        <v/>
      </c>
      <c r="EJ17" s="150" t="str" cm="1">
        <f t="array" ref="EJ17">IFERROR(ROUND(IF($D17="","",INDEX('M04-S03'!DS$18:DS$199,2*(ROWS(EJ$15:EJ17)-1)+1)),6),"")</f>
        <v/>
      </c>
      <c r="EK17" s="150" t="str" cm="1">
        <f t="array" ref="EK17">IFERROR(ROUND(IF($D17="","",INDEX('M04-S03'!DT$18:DT$199,2*(ROWS(EK$15:EK17)-1)+1)),6),"")</f>
        <v/>
      </c>
      <c r="EL17" s="150" t="str" cm="1">
        <f t="array" ref="EL17">IFERROR(ROUND(IF($D17="","",INDEX('M04-S03'!DU$18:DU$199,2*(ROWS(EL$15:EL17)-1)+1)),6),"")</f>
        <v/>
      </c>
      <c r="EM17" s="150" t="str" cm="1">
        <f t="array" ref="EM17">IFERROR(ROUND(IF($D17="","",INDEX('M04-S03'!DV$18:DV$199,2*(ROWS(EM$15:EM17)-1)+1)),6),"")</f>
        <v/>
      </c>
      <c r="EN17" s="150" t="str" cm="1">
        <f t="array" ref="EN17">IFERROR(ROUND(IF($D17="","",INDEX('M04-S03'!DW$18:DW$199,2*(ROWS(EN$15:EN17)-1)+1)),6),"")</f>
        <v/>
      </c>
      <c r="EO17" s="150" t="str" cm="1">
        <f t="array" ref="EO17">IFERROR(ROUND(IF($D17="","",INDEX('M04-S03'!DX$18:DX$199,2*(ROWS(EO$15:EO17)-1)+1)),6),"")</f>
        <v/>
      </c>
      <c r="EP17" s="150" t="str" cm="1">
        <f t="array" ref="EP17">IFERROR(ROUND(IF($D17="","",INDEX('M04-S03'!DY$18:DY$199,2*(ROWS(EP$15:EP17)-1)+1)),6),"")</f>
        <v/>
      </c>
      <c r="EQ17" s="150" t="str" cm="1">
        <f t="array" ref="EQ17">IFERROR(ROUND(IF($D17="","",INDEX('M04-S03'!DZ$18:DZ$199,2*(ROWS(EQ$15:EQ17)-1)+1)),6),"")</f>
        <v/>
      </c>
      <c r="ER17" s="150" t="str">
        <f t="shared" si="21"/>
        <v/>
      </c>
      <c r="ES17" s="150" t="str">
        <f t="shared" si="6"/>
        <v/>
      </c>
      <c r="ET17" s="150" t="str">
        <f t="shared" si="6"/>
        <v/>
      </c>
      <c r="EU17" s="150" t="str">
        <f t="shared" si="6"/>
        <v/>
      </c>
      <c r="EV17" s="150" t="str">
        <f t="shared" si="6"/>
        <v/>
      </c>
      <c r="EW17" s="150" t="str">
        <f t="shared" si="6"/>
        <v/>
      </c>
      <c r="EX17" s="150" t="str">
        <f t="shared" si="6"/>
        <v/>
      </c>
      <c r="EY17" s="150" t="str">
        <f t="shared" si="22"/>
        <v/>
      </c>
      <c r="EZ17" s="150" t="str" cm="1">
        <f t="array" ref="EZ17">IFERROR(ROUND(IF($D17="","",INDEX('M04-S03'!EA$18:EA$199,2*(ROWS(EZ$15:EZ17)-1)+1)),6),"")</f>
        <v/>
      </c>
      <c r="FA17" s="150" t="str" cm="1">
        <f t="array" ref="FA17">IFERROR(ROUND(IF($D17="","",INDEX('M04-S03'!EB$18:EB$199,2*(ROWS(FA$15:FA17)-1)+1)),6),"")</f>
        <v/>
      </c>
      <c r="FB17" s="150" t="str" cm="1">
        <f t="array" ref="FB17">IFERROR(ROUND(IF($D17="","",INDEX('M04-S03'!EC$18:EC$199,2*(ROWS(FB$15:FB17)-1)+1)),6),"")</f>
        <v/>
      </c>
      <c r="FC17" s="150" t="str" cm="1">
        <f t="array" ref="FC17">IFERROR(ROUND(IF($D17="","",INDEX('M04-S03'!ED$18:ED$199,2*(ROWS(FC$15:FC17)-1)+1)),6),"")</f>
        <v/>
      </c>
      <c r="FD17" s="150" t="str" cm="1">
        <f t="array" ref="FD17">IFERROR(ROUND(IF($D17="","",INDEX('M04-S03'!EE$18:EE$199,2*(ROWS(FD$15:FD17)-1)+1)),6),"")</f>
        <v/>
      </c>
      <c r="FE17" s="150" t="str" cm="1">
        <f t="array" ref="FE17">IFERROR(ROUND(IF($D17="","",INDEX('M04-S03'!EF$18:EF$199,2*(ROWS(FE$15:FE17)-1)+1)),6),"")</f>
        <v/>
      </c>
      <c r="FF17" s="150" t="str" cm="1">
        <f t="array" ref="FF17">IFERROR(ROUND(IF($D17="","",INDEX('M04-S03'!EG$18:EG$199,2*(ROWS(FF$15:FF17)-1)+1)),6),"")</f>
        <v/>
      </c>
      <c r="FG17" s="150" t="str" cm="1">
        <f t="array" ref="FG17">IFERROR(ROUND(IF($D17="","",INDEX('M04-S03'!EH$18:EH$199,2*(ROWS(FG$15:FG17)-1)+1)),6),"")</f>
        <v/>
      </c>
      <c r="FH17" s="150" t="str" cm="1">
        <f t="array" ref="FH17">IFERROR(ROUND(IF($D17="","",INDEX('M04-S03'!EI$18:EI$199,2*(ROWS(FH$15:FH17)-1)+1)),6),"")</f>
        <v/>
      </c>
      <c r="FI17" s="150" t="str" cm="1">
        <f t="array" ref="FI17">IFERROR(ROUND(IF($D17="","",INDEX('M04-S03'!EJ$18:EJ$199,2*(ROWS(FI$15:FI17)-1)+1)),6),"")</f>
        <v/>
      </c>
      <c r="FJ17" s="150" t="str" cm="1">
        <f t="array" ref="FJ17">IFERROR(ROUND(IF($D17="","",INDEX('M04-S03'!EK$18:EK$199,2*(ROWS(FJ$15:FJ17)-1)+1)),6),"")</f>
        <v/>
      </c>
      <c r="FK17" s="150" t="str" cm="1">
        <f t="array" ref="FK17">IFERROR(ROUND(IF($D17="","",INDEX('M04-S03'!EL$18:EL$199,2*(ROWS(FK$15:FK17)-1)+1)),6),"")</f>
        <v/>
      </c>
      <c r="FL17" s="150" t="str" cm="1">
        <f t="array" ref="FL17">IFERROR(ROUND(IF($D17="","",INDEX('M04-S03'!EM$18:EM$199,2*(ROWS(FL$15:FL17)-1)+1)),6),"")</f>
        <v/>
      </c>
      <c r="FM17" s="150" t="str" cm="1">
        <f t="array" ref="FM17">IFERROR(ROUND(IF($D17="","",INDEX('M04-S03'!EN$18:EN$199,2*(ROWS(FM$15:FM17)-1)+1)),6),"")</f>
        <v/>
      </c>
    </row>
    <row r="18" spans="1:169">
      <c r="A18" t="str">
        <f t="shared" si="27"/>
        <v/>
      </c>
      <c r="B18" t="str">
        <f t="shared" si="28"/>
        <v/>
      </c>
      <c r="C18" t="str" cm="1">
        <f t="array" ref="C18">IFERROR(IF(D18="","",INDEX('M04-S03'!$B$18:$B$199,2*(ROWS(C$15:C18)-1)+1)),"")</f>
        <v/>
      </c>
      <c r="D18" t="str">
        <f t="shared" si="29"/>
        <v/>
      </c>
      <c r="E18" t="str" cm="1">
        <f t="array" ref="E18">IFERROR(IF(INDEX('M04-S03'!$CC$18:$CC$199,2*(ROWS(E$15:E18)-1)+1)="","",INDEX('M04-S03'!$CC$18:$CC$199,2*(ROWS(E$15:E18)-1)+1)),"")</f>
        <v/>
      </c>
      <c r="G18" t="str">
        <f t="shared" si="30"/>
        <v/>
      </c>
      <c r="H18" t="str">
        <f t="shared" si="31"/>
        <v/>
      </c>
      <c r="L18" t="str">
        <f t="shared" si="32"/>
        <v/>
      </c>
      <c r="O18" t="str">
        <f t="shared" si="33"/>
        <v/>
      </c>
      <c r="V18" t="str" cm="1">
        <f t="array" ref="V18">IFERROR(IF(D18="","",INDEX('M04-S03'!$AY$18:$AY$199,2*(ROWS(V$15:V18)-1)+1)),"")</f>
        <v/>
      </c>
      <c r="W18" t="str" cm="1">
        <f t="array" ref="W18">IFERROR(IF(D18="","",INDEX('M04-S03'!$AV$18:$AV$199,2*(ROWS(W$15:W18)-1)+1)),"")</f>
        <v/>
      </c>
      <c r="X18" t="str" cm="1">
        <f t="array" ref="X18">IFERROR(IF(D18="","",INDEX('M04-S03'!$AV$18:$AV$199,2*(ROWS(X$15:X18)-0)+0)),"")</f>
        <v/>
      </c>
      <c r="AG18" s="98" t="str" cm="1">
        <f t="array" ref="AG18">IFERROR(IF(D18="","",IF(INDEX('M04-S03'!$CB$18:$CB$199,2*(ROWS(AG$15:AG18)-1)+1)="","",INDEX('M04-S03'!$CB$18:$CB$199,2*(ROWS(AG$15:AG18)-1)+1))),"")</f>
        <v/>
      </c>
      <c r="AH18" s="98" t="str" cm="1">
        <f t="array" ref="AH18">IFERROR(IF(D18="","",IF(INDEX('M04-S03'!$CU$18:$CU$199,2*(ROWS(AI$15:AI18)-1)+1)="","",INDEX('M04-S03'!$CU$18:$CU$199,2*(ROWS(AI$15:AI18)-1)+1))),"")</f>
        <v/>
      </c>
      <c r="AI18" s="20" t="str" cm="1">
        <f t="array" ref="AI18">IFERROR(IF(D18="","",IF(INDEX('M04-S03'!$CM$18:$CM$199,2*(ROWS(AI$15:AI18)-1)+1)="",0,INDEX('M04-S03'!$CM$18:$CM$199,2*(ROWS(AI$15:AI18)-1)+1))),"")</f>
        <v/>
      </c>
      <c r="AJ18" s="20" t="str">
        <f t="shared" si="1"/>
        <v/>
      </c>
      <c r="AK18" s="487" t="str" cm="1">
        <f t="array" ref="AK18">IFERROR(IF(D18="","",IF(INDEX('M04-S03'!$CN$18:$CN$199,2*(ROWS(AK$15:AK18)-1)+1)="",0,INDEX('M04-S03'!$CN$18:$CN$199,2*(ROWS(AK$15:AK18)-1)+1))),"")</f>
        <v/>
      </c>
      <c r="AL18" s="20" t="str">
        <f t="shared" si="34"/>
        <v/>
      </c>
      <c r="AM18" s="20" t="str">
        <f t="shared" si="24"/>
        <v/>
      </c>
      <c r="AN18" s="20" t="str" cm="1">
        <f t="array" ref="AN18">IFERROR(IF(D18="","",IF(INDEX('M04-S03'!$CO$18:$CO$199,2*(ROWS(AN$15:AN18)-1)+1)="",0,INDEX('M04-S03'!$CO$18:$CO$199,2*(ROWS(AN$15:AN18)-1)+1))),"")</f>
        <v/>
      </c>
      <c r="AO18" s="20" t="str" cm="1">
        <f t="array" ref="AO18">IFERROR(IF(D18="","",INDEX('M04-S03'!$R$18:$R$199,2*(ROWS(AO$15:AO18)-1)+1)),"")</f>
        <v/>
      </c>
      <c r="AP18" s="20" t="str" cm="1">
        <f t="array" ref="AP18">IFERROR(IF(D18="","",INDEX('M04-S03'!$AJ$18:$AJ$199,2*(ROWS(AP$15:AP18)-1)+1)),"")</f>
        <v/>
      </c>
      <c r="AQ18" s="487" t="str" cm="1">
        <f t="array" ref="AQ18">IFERROR(IF(D18="","",INDEX('M04-S03'!$U$18:$U$199,2*(ROWS(AQ$15:AQ18)-1)+1)),"")</f>
        <v/>
      </c>
      <c r="AR18" s="487" t="str" cm="1">
        <f t="array" ref="AR18">IFERROR(IF(D18="","",INDEX('M04-S03'!$AM$18:$AM$199,2*(ROWS(AR$15:AR18)-1)+1)),"")</f>
        <v/>
      </c>
      <c r="AS18" s="20" t="str" cm="1">
        <f t="array" ref="AS18">IFERROR(IF(D18="","",INDEX('M04-S03'!$X$18:$X$199,2*(ROWS(AS$15:AS18)-1)+1)),"")</f>
        <v/>
      </c>
      <c r="AT18" s="20" t="str" cm="1">
        <f t="array" ref="AT18">IFERROR(IF(D18="","",INDEX('M04-S03'!$AP$18:$AP$199,2*(ROWS(AT$15:AT18)-1)+1)),"")</f>
        <v/>
      </c>
      <c r="BP18" t="str" cm="1">
        <f t="array" ref="BP18">IFERROR(IF(D18="","",INDEX('M04-S03'!$CS$18:$CS$199,2*(ROWS(BP$15:BP18)-1)+1)),"")</f>
        <v/>
      </c>
      <c r="BR18" t="str" cm="1">
        <f t="array" ref="BR18">IFERROR(IF(D18="","",LEFT(INDEX('M04-S03'!$C$18:$C$199,2*(ROWS(BR$15:BR18)-1)+1),150)),"")</f>
        <v/>
      </c>
      <c r="BS18" t="str" cm="1">
        <f t="array" ref="BS18">IFERROR(IF(D18="","",INDEX('M04-S03'!$CT$18:$CT$199,2*(ROWS(BS$15:BS18)-1)+1)),"")</f>
        <v/>
      </c>
      <c r="BT18" s="6" t="str" cm="1">
        <f t="array" ref="BT18">IFERROR(ROUND(IF(D18="","",INDEX('M04-S03'!$BB$18:$BB$199,2*(ROWS(BT$15:BT18)-1)+1)),2),"")</f>
        <v/>
      </c>
      <c r="BU18" s="6" t="str" cm="1">
        <f t="array" ref="BU18">IFERROR(IF(D18="","",INDEX('M04-S03'!$CX$18:$CX$199,2*(ROWS(BU$15:BU18)-1)+1)),"")</f>
        <v/>
      </c>
      <c r="BV18" s="6" t="str" cm="1">
        <f t="array" ref="BV18">IFERROR(IF(D18="","",INDEX('M04-S03'!$CY$18:$CY$199,2*(ROWS(BV$15:BV18)-1)+1)),"")</f>
        <v/>
      </c>
      <c r="BW18" t="str">
        <f t="shared" si="35"/>
        <v/>
      </c>
      <c r="BX18" t="str">
        <f t="shared" si="36"/>
        <v/>
      </c>
      <c r="BY18" s="6" t="str" cm="1">
        <f t="array" ref="BY18">IFERROR(IF(D18="","",INDEX('M04-S03'!$CI$18:$CI$199,2*(ROWS(BY$15:BY18)-1)+1)),"")</f>
        <v/>
      </c>
      <c r="BZ18" s="6" t="str">
        <f t="shared" si="17"/>
        <v/>
      </c>
      <c r="CA18" s="6" t="str">
        <f t="shared" si="18"/>
        <v/>
      </c>
      <c r="CB18" s="6" t="str">
        <f t="shared" si="3"/>
        <v/>
      </c>
      <c r="CC18" s="6" t="str">
        <f t="shared" si="25"/>
        <v/>
      </c>
      <c r="CD18" s="6" t="str">
        <f t="shared" si="26"/>
        <v/>
      </c>
      <c r="CS18" t="str" cm="1">
        <f t="array" ref="CS18">IFERROR(IF(D18="","",INDEX('M04-S03'!$F$18:$F$199,2*(ROWS(CS$15:CS18)-1)+1)),"")</f>
        <v/>
      </c>
      <c r="CT18" t="str" cm="1">
        <f t="array" ref="CT18">IFERROR(IF(D18="","",INDEX('M04-S03'!$L$18:$L$199,2*(ROWS(CT$15:CT18)-1)+1)),"")</f>
        <v/>
      </c>
      <c r="CU18" t="str" cm="1">
        <f t="array" ref="CU18">IFERROR(IF(D18="","",INDEX('M04-S03'!$AD$18:$AD$199,2*(ROWS(CU$15:CU18)-1)+1)),"")</f>
        <v/>
      </c>
      <c r="DE18" s="150"/>
      <c r="DF18" s="150" t="str">
        <f>IFERROR(ROUND(IF(OR(D18="",DE18=""),"",TEMPLATE!$V$11),2),"")</f>
        <v/>
      </c>
      <c r="DG18" s="150"/>
      <c r="DH18" s="150" t="str">
        <f>IFERROR(ROUND(IF(OR(D18="",DG18=""),"",TEMPLATE!$V$11),2),"")</f>
        <v/>
      </c>
      <c r="DI18" s="150"/>
      <c r="DJ18" s="150" t="str">
        <f>IFERROR(ROUND(IF(OR(D18="",DI18=""),"",TEMPLATE!$V$11),2),"")</f>
        <v/>
      </c>
      <c r="DK18" s="150"/>
      <c r="DL18" s="150" t="str">
        <f>IFERROR(ROUND(IF(OR(D18="",DK18=""),"",TEMPLATE!$V$11),2),"")</f>
        <v/>
      </c>
      <c r="DM18" s="150"/>
      <c r="DN18" s="150" t="str">
        <f>IFERROR(ROUND(IF(OR(D18="",DM18=""),"",TEMPLATE!$V$11),2),"")</f>
        <v/>
      </c>
      <c r="DO18" s="150"/>
      <c r="DP18" s="150" t="str">
        <f>IFERROR(ROUND(IF(OR(D18="",DO18=""),"",TEMPLATE!$V$11),2),"")</f>
        <v/>
      </c>
      <c r="DQ18" s="150"/>
      <c r="DR18" s="150" t="str">
        <f>IFERROR(ROUND(IF(OR(D18="",DQ18=""),"",TEMPLATE!$V$11),2),"")</f>
        <v/>
      </c>
      <c r="DS18" s="150"/>
      <c r="DT18" s="150" t="str">
        <f>IFERROR(ROUND(IF(OR(D18="",DS18=""),"",TEMPLATE!$V$11),2),"")</f>
        <v/>
      </c>
      <c r="DU18" s="150" t="str" cm="1">
        <f t="array" ref="DU18">IFERROR(ROUND(IF($D18="","",INDEX('M04-S03'!DD$18:DD$199,2*(ROWS(DU$15:DU18)-1)+1)),4),"")</f>
        <v/>
      </c>
      <c r="DV18" s="150" t="str" cm="1">
        <f t="array" ref="DV18">IFERROR(ROUND(IF($D18="","",INDEX('M04-S03'!DE$18:DE$199,2*(ROWS(DV$15:DV18)-1)+1)),4),"")</f>
        <v/>
      </c>
      <c r="DW18" s="150" t="str" cm="1">
        <f t="array" ref="DW18">IFERROR(ROUND(IF($D18="","",INDEX('M04-S03'!DF$18:DF$199,2*(ROWS(DW$15:DW18)-1)+1)),4),"")</f>
        <v/>
      </c>
      <c r="DX18" s="150" t="str" cm="1">
        <f t="array" ref="DX18">IFERROR(ROUND(IF($D18="","",INDEX('M04-S03'!DG$18:DG$199,2*(ROWS(DX$15:DX18)-1)+1)),4),"")</f>
        <v/>
      </c>
      <c r="DY18" s="150" t="str" cm="1">
        <f t="array" ref="DY18">IFERROR(ROUND(IF($D18="","",INDEX('M04-S03'!DH$18:DH$199,2*(ROWS(DY$15:DY18)-1)+1)),4),"")</f>
        <v/>
      </c>
      <c r="DZ18" s="150" t="str" cm="1">
        <f t="array" ref="DZ18">IFERROR(ROUND(IF($D18="","",INDEX('M04-S03'!DI$18:DI$199,2*(ROWS(DZ$15:DZ18)-1)+1)),4),"")</f>
        <v/>
      </c>
      <c r="EA18" s="150" t="str" cm="1">
        <f t="array" ref="EA18">IFERROR(ROUND(IF($D18="","",INDEX('M04-S03'!DJ$18:DJ$199,2*(ROWS(EA$15:EA18)-1)+1)),4),"")</f>
        <v/>
      </c>
      <c r="EB18" s="150" t="str" cm="1">
        <f t="array" ref="EB18">IFERROR(ROUND(IF($D18="","",INDEX('M04-S03'!DK$18:DK$199,2*(ROWS(EB$15:EB18)-1)+1)),6),"")</f>
        <v/>
      </c>
      <c r="EC18" s="150" t="str" cm="1">
        <f t="array" ref="EC18">IFERROR(ROUND(IF($D18="","",INDEX('M04-S03'!DL$18:DL$199,2*(ROWS(EC$15:EC18)-1)+1)),6),"")</f>
        <v/>
      </c>
      <c r="ED18" s="150" t="str" cm="1">
        <f t="array" ref="ED18">IFERROR(ROUND(IF($D18="","",INDEX('M04-S03'!DM$18:DM$199,2*(ROWS(ED$15:ED18)-1)+1)),6),"")</f>
        <v/>
      </c>
      <c r="EE18" s="150" t="str" cm="1">
        <f t="array" ref="EE18">IFERROR(ROUND(IF($D18="","",INDEX('M04-S03'!DN$18:DN$199,2*(ROWS(EE$15:EE18)-1)+1)),6),"")</f>
        <v/>
      </c>
      <c r="EF18" s="150" t="str" cm="1">
        <f t="array" ref="EF18">IFERROR(ROUND(IF($D18="","",INDEX('M04-S03'!DO$18:DO$199,2*(ROWS(EF$15:EF18)-1)+1)),6),"")</f>
        <v/>
      </c>
      <c r="EG18" s="150" t="str" cm="1">
        <f t="array" ref="EG18">IFERROR(ROUND(IF($D18="","",INDEX('M04-S03'!DP$18:DP$199,2*(ROWS(EG$15:EG18)-1)+1)),6),"")</f>
        <v/>
      </c>
      <c r="EH18" s="150" t="str" cm="1">
        <f t="array" ref="EH18">IFERROR(ROUND(IF($D18="","",INDEX('M04-S03'!DQ$18:DQ$199,2*(ROWS(EH$15:EH18)-1)+1)),6),"")</f>
        <v/>
      </c>
      <c r="EI18" s="150" t="str" cm="1">
        <f t="array" ref="EI18">IFERROR(ROUND(IF($D18="","",INDEX('M04-S03'!DR$18:DR$199,2*(ROWS(EI$15:EI18)-1)+1)),6),"")</f>
        <v/>
      </c>
      <c r="EJ18" s="150" t="str" cm="1">
        <f t="array" ref="EJ18">IFERROR(ROUND(IF($D18="","",INDEX('M04-S03'!DS$18:DS$199,2*(ROWS(EJ$15:EJ18)-1)+1)),6),"")</f>
        <v/>
      </c>
      <c r="EK18" s="150" t="str" cm="1">
        <f t="array" ref="EK18">IFERROR(ROUND(IF($D18="","",INDEX('M04-S03'!DT$18:DT$199,2*(ROWS(EK$15:EK18)-1)+1)),6),"")</f>
        <v/>
      </c>
      <c r="EL18" s="150" t="str" cm="1">
        <f t="array" ref="EL18">IFERROR(ROUND(IF($D18="","",INDEX('M04-S03'!DU$18:DU$199,2*(ROWS(EL$15:EL18)-1)+1)),6),"")</f>
        <v/>
      </c>
      <c r="EM18" s="150" t="str" cm="1">
        <f t="array" ref="EM18">IFERROR(ROUND(IF($D18="","",INDEX('M04-S03'!DV$18:DV$199,2*(ROWS(EM$15:EM18)-1)+1)),6),"")</f>
        <v/>
      </c>
      <c r="EN18" s="150" t="str" cm="1">
        <f t="array" ref="EN18">IFERROR(ROUND(IF($D18="","",INDEX('M04-S03'!DW$18:DW$199,2*(ROWS(EN$15:EN18)-1)+1)),6),"")</f>
        <v/>
      </c>
      <c r="EO18" s="150" t="str" cm="1">
        <f t="array" ref="EO18">IFERROR(ROUND(IF($D18="","",INDEX('M04-S03'!DX$18:DX$199,2*(ROWS(EO$15:EO18)-1)+1)),6),"")</f>
        <v/>
      </c>
      <c r="EP18" s="150" t="str" cm="1">
        <f t="array" ref="EP18">IFERROR(ROUND(IF($D18="","",INDEX('M04-S03'!DY$18:DY$199,2*(ROWS(EP$15:EP18)-1)+1)),6),"")</f>
        <v/>
      </c>
      <c r="EQ18" s="150" t="str" cm="1">
        <f t="array" ref="EQ18">IFERROR(ROUND(IF($D18="","",INDEX('M04-S03'!DZ$18:DZ$199,2*(ROWS(EQ$15:EQ18)-1)+1)),6),"")</f>
        <v/>
      </c>
      <c r="ER18" s="150" t="str">
        <f t="shared" si="21"/>
        <v/>
      </c>
      <c r="ES18" s="150" t="str">
        <f t="shared" si="6"/>
        <v/>
      </c>
      <c r="ET18" s="150" t="str">
        <f t="shared" si="6"/>
        <v/>
      </c>
      <c r="EU18" s="150" t="str">
        <f t="shared" si="6"/>
        <v/>
      </c>
      <c r="EV18" s="150" t="str">
        <f t="shared" si="6"/>
        <v/>
      </c>
      <c r="EW18" s="150" t="str">
        <f t="shared" si="6"/>
        <v/>
      </c>
      <c r="EX18" s="150" t="str">
        <f t="shared" si="6"/>
        <v/>
      </c>
      <c r="EY18" s="150" t="str">
        <f t="shared" si="22"/>
        <v/>
      </c>
      <c r="EZ18" s="150" t="str" cm="1">
        <f t="array" ref="EZ18">IFERROR(ROUND(IF($D18="","",INDEX('M04-S03'!EA$18:EA$199,2*(ROWS(EZ$15:EZ18)-1)+1)),6),"")</f>
        <v/>
      </c>
      <c r="FA18" s="150" t="str" cm="1">
        <f t="array" ref="FA18">IFERROR(ROUND(IF($D18="","",INDEX('M04-S03'!EB$18:EB$199,2*(ROWS(FA$15:FA18)-1)+1)),6),"")</f>
        <v/>
      </c>
      <c r="FB18" s="150" t="str" cm="1">
        <f t="array" ref="FB18">IFERROR(ROUND(IF($D18="","",INDEX('M04-S03'!EC$18:EC$199,2*(ROWS(FB$15:FB18)-1)+1)),6),"")</f>
        <v/>
      </c>
      <c r="FC18" s="150" t="str" cm="1">
        <f t="array" ref="FC18">IFERROR(ROUND(IF($D18="","",INDEX('M04-S03'!ED$18:ED$199,2*(ROWS(FC$15:FC18)-1)+1)),6),"")</f>
        <v/>
      </c>
      <c r="FD18" s="150" t="str" cm="1">
        <f t="array" ref="FD18">IFERROR(ROUND(IF($D18="","",INDEX('M04-S03'!EE$18:EE$199,2*(ROWS(FD$15:FD18)-1)+1)),6),"")</f>
        <v/>
      </c>
      <c r="FE18" s="150" t="str" cm="1">
        <f t="array" ref="FE18">IFERROR(ROUND(IF($D18="","",INDEX('M04-S03'!EF$18:EF$199,2*(ROWS(FE$15:FE18)-1)+1)),6),"")</f>
        <v/>
      </c>
      <c r="FF18" s="150" t="str" cm="1">
        <f t="array" ref="FF18">IFERROR(ROUND(IF($D18="","",INDEX('M04-S03'!EG$18:EG$199,2*(ROWS(FF$15:FF18)-1)+1)),6),"")</f>
        <v/>
      </c>
      <c r="FG18" s="150" t="str" cm="1">
        <f t="array" ref="FG18">IFERROR(ROUND(IF($D18="","",INDEX('M04-S03'!EH$18:EH$199,2*(ROWS(FG$15:FG18)-1)+1)),6),"")</f>
        <v/>
      </c>
      <c r="FH18" s="150" t="str" cm="1">
        <f t="array" ref="FH18">IFERROR(ROUND(IF($D18="","",INDEX('M04-S03'!EI$18:EI$199,2*(ROWS(FH$15:FH18)-1)+1)),6),"")</f>
        <v/>
      </c>
      <c r="FI18" s="150" t="str" cm="1">
        <f t="array" ref="FI18">IFERROR(ROUND(IF($D18="","",INDEX('M04-S03'!EJ$18:EJ$199,2*(ROWS(FI$15:FI18)-1)+1)),6),"")</f>
        <v/>
      </c>
      <c r="FJ18" s="150" t="str" cm="1">
        <f t="array" ref="FJ18">IFERROR(ROUND(IF($D18="","",INDEX('M04-S03'!EK$18:EK$199,2*(ROWS(FJ$15:FJ18)-1)+1)),6),"")</f>
        <v/>
      </c>
      <c r="FK18" s="150" t="str" cm="1">
        <f t="array" ref="FK18">IFERROR(ROUND(IF($D18="","",INDEX('M04-S03'!EL$18:EL$199,2*(ROWS(FK$15:FK18)-1)+1)),6),"")</f>
        <v/>
      </c>
      <c r="FL18" s="150" t="str" cm="1">
        <f t="array" ref="FL18">IFERROR(ROUND(IF($D18="","",INDEX('M04-S03'!EM$18:EM$199,2*(ROWS(FL$15:FL18)-1)+1)),6),"")</f>
        <v/>
      </c>
      <c r="FM18" s="150" t="str" cm="1">
        <f t="array" ref="FM18">IFERROR(ROUND(IF($D18="","",INDEX('M04-S03'!EN$18:EN$199,2*(ROWS(FM$15:FM18)-1)+1)),6),"")</f>
        <v/>
      </c>
    </row>
    <row r="19" spans="1:169">
      <c r="A19" t="str">
        <f t="shared" si="27"/>
        <v/>
      </c>
      <c r="B19" t="str">
        <f t="shared" si="28"/>
        <v/>
      </c>
      <c r="C19" t="str" cm="1">
        <f t="array" ref="C19">IFERROR(IF(D19="","",INDEX('M04-S03'!$B$18:$B$199,2*(ROWS(C$15:C19)-1)+1)),"")</f>
        <v/>
      </c>
      <c r="D19" t="str">
        <f t="shared" si="29"/>
        <v/>
      </c>
      <c r="E19" t="str" cm="1">
        <f t="array" ref="E19">IFERROR(IF(INDEX('M04-S03'!$CC$18:$CC$199,2*(ROWS(E$15:E19)-1)+1)="","",INDEX('M04-S03'!$CC$18:$CC$199,2*(ROWS(E$15:E19)-1)+1)),"")</f>
        <v/>
      </c>
      <c r="G19" t="str">
        <f t="shared" si="30"/>
        <v/>
      </c>
      <c r="H19" t="str">
        <f t="shared" si="31"/>
        <v/>
      </c>
      <c r="L19" t="str">
        <f t="shared" si="32"/>
        <v/>
      </c>
      <c r="O19" t="str">
        <f t="shared" si="33"/>
        <v/>
      </c>
      <c r="V19" t="str" cm="1">
        <f t="array" ref="V19">IFERROR(IF(D19="","",INDEX('M04-S03'!$AY$18:$AY$199,2*(ROWS(V$15:V19)-1)+1)),"")</f>
        <v/>
      </c>
      <c r="W19" t="str" cm="1">
        <f t="array" ref="W19">IFERROR(IF(D19="","",INDEX('M04-S03'!$AV$18:$AV$199,2*(ROWS(W$15:W19)-1)+1)),"")</f>
        <v/>
      </c>
      <c r="X19" t="str" cm="1">
        <f t="array" ref="X19">IFERROR(IF(D19="","",INDEX('M04-S03'!$AV$18:$AV$199,2*(ROWS(X$15:X19)-0)+0)),"")</f>
        <v/>
      </c>
      <c r="AG19" s="98" t="str" cm="1">
        <f t="array" ref="AG19">IFERROR(IF(D19="","",IF(INDEX('M04-S03'!$CB$18:$CB$199,2*(ROWS(AG$15:AG19)-1)+1)="","",INDEX('M04-S03'!$CB$18:$CB$199,2*(ROWS(AG$15:AG19)-1)+1))),"")</f>
        <v/>
      </c>
      <c r="AH19" s="98" t="str" cm="1">
        <f t="array" ref="AH19">IFERROR(IF(D19="","",IF(INDEX('M04-S03'!$CU$18:$CU$199,2*(ROWS(AI$15:AI19)-1)+1)="","",INDEX('M04-S03'!$CU$18:$CU$199,2*(ROWS(AI$15:AI19)-1)+1))),"")</f>
        <v/>
      </c>
      <c r="AI19" s="20" t="str" cm="1">
        <f t="array" ref="AI19">IFERROR(IF(D19="","",IF(INDEX('M04-S03'!$CM$18:$CM$199,2*(ROWS(AI$15:AI19)-1)+1)="",0,INDEX('M04-S03'!$CM$18:$CM$199,2*(ROWS(AI$15:AI19)-1)+1))),"")</f>
        <v/>
      </c>
      <c r="AJ19" s="20" t="str">
        <f t="shared" si="1"/>
        <v/>
      </c>
      <c r="AK19" s="487" t="str" cm="1">
        <f t="array" ref="AK19">IFERROR(IF(D19="","",IF(INDEX('M04-S03'!$CN$18:$CN$199,2*(ROWS(AK$15:AK19)-1)+1)="",0,INDEX('M04-S03'!$CN$18:$CN$199,2*(ROWS(AK$15:AK19)-1)+1))),"")</f>
        <v/>
      </c>
      <c r="AL19" s="20" t="str">
        <f t="shared" si="34"/>
        <v/>
      </c>
      <c r="AM19" s="20" t="str">
        <f t="shared" si="24"/>
        <v/>
      </c>
      <c r="AN19" s="20" t="str" cm="1">
        <f t="array" ref="AN19">IFERROR(IF(D19="","",IF(INDEX('M04-S03'!$CO$18:$CO$199,2*(ROWS(AN$15:AN19)-1)+1)="",0,INDEX('M04-S03'!$CO$18:$CO$199,2*(ROWS(AN$15:AN19)-1)+1))),"")</f>
        <v/>
      </c>
      <c r="AO19" s="20" t="str" cm="1">
        <f t="array" ref="AO19">IFERROR(IF(D19="","",INDEX('M04-S03'!$R$18:$R$199,2*(ROWS(AO$15:AO19)-1)+1)),"")</f>
        <v/>
      </c>
      <c r="AP19" s="20" t="str" cm="1">
        <f t="array" ref="AP19">IFERROR(IF(D19="","",INDEX('M04-S03'!$AJ$18:$AJ$199,2*(ROWS(AP$15:AP19)-1)+1)),"")</f>
        <v/>
      </c>
      <c r="AQ19" s="487" t="str" cm="1">
        <f t="array" ref="AQ19">IFERROR(IF(D19="","",INDEX('M04-S03'!$U$18:$U$199,2*(ROWS(AQ$15:AQ19)-1)+1)),"")</f>
        <v/>
      </c>
      <c r="AR19" s="487" t="str" cm="1">
        <f t="array" ref="AR19">IFERROR(IF(D19="","",INDEX('M04-S03'!$AM$18:$AM$199,2*(ROWS(AR$15:AR19)-1)+1)),"")</f>
        <v/>
      </c>
      <c r="AS19" s="20" t="str" cm="1">
        <f t="array" ref="AS19">IFERROR(IF(D19="","",INDEX('M04-S03'!$X$18:$X$199,2*(ROWS(AS$15:AS19)-1)+1)),"")</f>
        <v/>
      </c>
      <c r="AT19" s="20" t="str" cm="1">
        <f t="array" ref="AT19">IFERROR(IF(D19="","",INDEX('M04-S03'!$AP$18:$AP$199,2*(ROWS(AT$15:AT19)-1)+1)),"")</f>
        <v/>
      </c>
      <c r="BP19" t="str" cm="1">
        <f t="array" ref="BP19">IFERROR(IF(D19="","",INDEX('M04-S03'!$CS$18:$CS$199,2*(ROWS(BP$15:BP19)-1)+1)),"")</f>
        <v/>
      </c>
      <c r="BR19" t="str" cm="1">
        <f t="array" ref="BR19">IFERROR(IF(D19="","",LEFT(INDEX('M04-S03'!$C$18:$C$199,2*(ROWS(BR$15:BR19)-1)+1),150)),"")</f>
        <v/>
      </c>
      <c r="BS19" t="str" cm="1">
        <f t="array" ref="BS19">IFERROR(IF(D19="","",INDEX('M04-S03'!$CT$18:$CT$199,2*(ROWS(BS$15:BS19)-1)+1)),"")</f>
        <v/>
      </c>
      <c r="BT19" s="6" t="str" cm="1">
        <f t="array" ref="BT19">IFERROR(ROUND(IF(D19="","",INDEX('M04-S03'!$BB$18:$BB$199,2*(ROWS(BT$15:BT19)-1)+1)),2),"")</f>
        <v/>
      </c>
      <c r="BU19" s="6" t="str" cm="1">
        <f t="array" ref="BU19">IFERROR(IF(D19="","",INDEX('M04-S03'!$CX$18:$CX$199,2*(ROWS(BU$15:BU19)-1)+1)),"")</f>
        <v/>
      </c>
      <c r="BV19" s="6" t="str" cm="1">
        <f t="array" ref="BV19">IFERROR(IF(D19="","",INDEX('M04-S03'!$CY$18:$CY$199,2*(ROWS(BV$15:BV19)-1)+1)),"")</f>
        <v/>
      </c>
      <c r="BW19" t="str">
        <f t="shared" si="35"/>
        <v/>
      </c>
      <c r="BX19" t="str">
        <f t="shared" si="36"/>
        <v/>
      </c>
      <c r="BY19" s="6" t="str" cm="1">
        <f t="array" ref="BY19">IFERROR(IF(D19="","",INDEX('M04-S03'!$CI$18:$CI$199,2*(ROWS(BY$15:BY19)-1)+1)),"")</f>
        <v/>
      </c>
      <c r="BZ19" s="6" t="str">
        <f t="shared" si="17"/>
        <v/>
      </c>
      <c r="CA19" s="6" t="str">
        <f t="shared" si="18"/>
        <v/>
      </c>
      <c r="CB19" s="6" t="str">
        <f t="shared" si="3"/>
        <v/>
      </c>
      <c r="CC19" s="6" t="str">
        <f t="shared" si="25"/>
        <v/>
      </c>
      <c r="CD19" s="6" t="str">
        <f t="shared" si="26"/>
        <v/>
      </c>
      <c r="CS19" t="str" cm="1">
        <f t="array" ref="CS19">IFERROR(IF(D19="","",INDEX('M04-S03'!$F$18:$F$199,2*(ROWS(CS$15:CS19)-1)+1)),"")</f>
        <v/>
      </c>
      <c r="CT19" t="str" cm="1">
        <f t="array" ref="CT19">IFERROR(IF(D19="","",INDEX('M04-S03'!$L$18:$L$199,2*(ROWS(CT$15:CT19)-1)+1)),"")</f>
        <v/>
      </c>
      <c r="CU19" t="str" cm="1">
        <f t="array" ref="CU19">IFERROR(IF(D19="","",INDEX('M04-S03'!$AD$18:$AD$199,2*(ROWS(CU$15:CU19)-1)+1)),"")</f>
        <v/>
      </c>
      <c r="DE19" s="150"/>
      <c r="DF19" s="150" t="str">
        <f>IFERROR(ROUND(IF(OR(D19="",DE19=""),"",TEMPLATE!$V$11),2),"")</f>
        <v/>
      </c>
      <c r="DG19" s="150"/>
      <c r="DH19" s="150" t="str">
        <f>IFERROR(ROUND(IF(OR(D19="",DG19=""),"",TEMPLATE!$V$11),2),"")</f>
        <v/>
      </c>
      <c r="DI19" s="150"/>
      <c r="DJ19" s="150" t="str">
        <f>IFERROR(ROUND(IF(OR(D19="",DI19=""),"",TEMPLATE!$V$11),2),"")</f>
        <v/>
      </c>
      <c r="DK19" s="150"/>
      <c r="DL19" s="150" t="str">
        <f>IFERROR(ROUND(IF(OR(D19="",DK19=""),"",TEMPLATE!$V$11),2),"")</f>
        <v/>
      </c>
      <c r="DM19" s="150"/>
      <c r="DN19" s="150" t="str">
        <f>IFERROR(ROUND(IF(OR(D19="",DM19=""),"",TEMPLATE!$V$11),2),"")</f>
        <v/>
      </c>
      <c r="DO19" s="150"/>
      <c r="DP19" s="150" t="str">
        <f>IFERROR(ROUND(IF(OR(D19="",DO19=""),"",TEMPLATE!$V$11),2),"")</f>
        <v/>
      </c>
      <c r="DQ19" s="150"/>
      <c r="DR19" s="150" t="str">
        <f>IFERROR(ROUND(IF(OR(D19="",DQ19=""),"",TEMPLATE!$V$11),2),"")</f>
        <v/>
      </c>
      <c r="DS19" s="150"/>
      <c r="DT19" s="150" t="str">
        <f>IFERROR(ROUND(IF(OR(D19="",DS19=""),"",TEMPLATE!$V$11),2),"")</f>
        <v/>
      </c>
      <c r="DU19" s="150" t="str" cm="1">
        <f t="array" ref="DU19">IFERROR(ROUND(IF($D19="","",INDEX('M04-S03'!DD$18:DD$199,2*(ROWS(DU$15:DU19)-1)+1)),4),"")</f>
        <v/>
      </c>
      <c r="DV19" s="150" t="str" cm="1">
        <f t="array" ref="DV19">IFERROR(ROUND(IF($D19="","",INDEX('M04-S03'!DE$18:DE$199,2*(ROWS(DV$15:DV19)-1)+1)),4),"")</f>
        <v/>
      </c>
      <c r="DW19" s="150" t="str" cm="1">
        <f t="array" ref="DW19">IFERROR(ROUND(IF($D19="","",INDEX('M04-S03'!DF$18:DF$199,2*(ROWS(DW$15:DW19)-1)+1)),4),"")</f>
        <v/>
      </c>
      <c r="DX19" s="150" t="str" cm="1">
        <f t="array" ref="DX19">IFERROR(ROUND(IF($D19="","",INDEX('M04-S03'!DG$18:DG$199,2*(ROWS(DX$15:DX19)-1)+1)),4),"")</f>
        <v/>
      </c>
      <c r="DY19" s="150" t="str" cm="1">
        <f t="array" ref="DY19">IFERROR(ROUND(IF($D19="","",INDEX('M04-S03'!DH$18:DH$199,2*(ROWS(DY$15:DY19)-1)+1)),4),"")</f>
        <v/>
      </c>
      <c r="DZ19" s="150" t="str" cm="1">
        <f t="array" ref="DZ19">IFERROR(ROUND(IF($D19="","",INDEX('M04-S03'!DI$18:DI$199,2*(ROWS(DZ$15:DZ19)-1)+1)),4),"")</f>
        <v/>
      </c>
      <c r="EA19" s="150" t="str" cm="1">
        <f t="array" ref="EA19">IFERROR(ROUND(IF($D19="","",INDEX('M04-S03'!DJ$18:DJ$199,2*(ROWS(EA$15:EA19)-1)+1)),4),"")</f>
        <v/>
      </c>
      <c r="EB19" s="150" t="str" cm="1">
        <f t="array" ref="EB19">IFERROR(ROUND(IF($D19="","",INDEX('M04-S03'!DK$18:DK$199,2*(ROWS(EB$15:EB19)-1)+1)),6),"")</f>
        <v/>
      </c>
      <c r="EC19" s="150" t="str" cm="1">
        <f t="array" ref="EC19">IFERROR(ROUND(IF($D19="","",INDEX('M04-S03'!DL$18:DL$199,2*(ROWS(EC$15:EC19)-1)+1)),6),"")</f>
        <v/>
      </c>
      <c r="ED19" s="150" t="str" cm="1">
        <f t="array" ref="ED19">IFERROR(ROUND(IF($D19="","",INDEX('M04-S03'!DM$18:DM$199,2*(ROWS(ED$15:ED19)-1)+1)),6),"")</f>
        <v/>
      </c>
      <c r="EE19" s="150" t="str" cm="1">
        <f t="array" ref="EE19">IFERROR(ROUND(IF($D19="","",INDEX('M04-S03'!DN$18:DN$199,2*(ROWS(EE$15:EE19)-1)+1)),6),"")</f>
        <v/>
      </c>
      <c r="EF19" s="150" t="str" cm="1">
        <f t="array" ref="EF19">IFERROR(ROUND(IF($D19="","",INDEX('M04-S03'!DO$18:DO$199,2*(ROWS(EF$15:EF19)-1)+1)),6),"")</f>
        <v/>
      </c>
      <c r="EG19" s="150" t="str" cm="1">
        <f t="array" ref="EG19">IFERROR(ROUND(IF($D19="","",INDEX('M04-S03'!DP$18:DP$199,2*(ROWS(EG$15:EG19)-1)+1)),6),"")</f>
        <v/>
      </c>
      <c r="EH19" s="150" t="str" cm="1">
        <f t="array" ref="EH19">IFERROR(ROUND(IF($D19="","",INDEX('M04-S03'!DQ$18:DQ$199,2*(ROWS(EH$15:EH19)-1)+1)),6),"")</f>
        <v/>
      </c>
      <c r="EI19" s="150" t="str" cm="1">
        <f t="array" ref="EI19">IFERROR(ROUND(IF($D19="","",INDEX('M04-S03'!DR$18:DR$199,2*(ROWS(EI$15:EI19)-1)+1)),6),"")</f>
        <v/>
      </c>
      <c r="EJ19" s="150" t="str" cm="1">
        <f t="array" ref="EJ19">IFERROR(ROUND(IF($D19="","",INDEX('M04-S03'!DS$18:DS$199,2*(ROWS(EJ$15:EJ19)-1)+1)),6),"")</f>
        <v/>
      </c>
      <c r="EK19" s="150" t="str" cm="1">
        <f t="array" ref="EK19">IFERROR(ROUND(IF($D19="","",INDEX('M04-S03'!DT$18:DT$199,2*(ROWS(EK$15:EK19)-1)+1)),6),"")</f>
        <v/>
      </c>
      <c r="EL19" s="150" t="str" cm="1">
        <f t="array" ref="EL19">IFERROR(ROUND(IF($D19="","",INDEX('M04-S03'!DU$18:DU$199,2*(ROWS(EL$15:EL19)-1)+1)),6),"")</f>
        <v/>
      </c>
      <c r="EM19" s="150" t="str" cm="1">
        <f t="array" ref="EM19">IFERROR(ROUND(IF($D19="","",INDEX('M04-S03'!DV$18:DV$199,2*(ROWS(EM$15:EM19)-1)+1)),6),"")</f>
        <v/>
      </c>
      <c r="EN19" s="150" t="str" cm="1">
        <f t="array" ref="EN19">IFERROR(ROUND(IF($D19="","",INDEX('M04-S03'!DW$18:DW$199,2*(ROWS(EN$15:EN19)-1)+1)),6),"")</f>
        <v/>
      </c>
      <c r="EO19" s="150" t="str" cm="1">
        <f t="array" ref="EO19">IFERROR(ROUND(IF($D19="","",INDEX('M04-S03'!DX$18:DX$199,2*(ROWS(EO$15:EO19)-1)+1)),6),"")</f>
        <v/>
      </c>
      <c r="EP19" s="150" t="str" cm="1">
        <f t="array" ref="EP19">IFERROR(ROUND(IF($D19="","",INDEX('M04-S03'!DY$18:DY$199,2*(ROWS(EP$15:EP19)-1)+1)),6),"")</f>
        <v/>
      </c>
      <c r="EQ19" s="150" t="str" cm="1">
        <f t="array" ref="EQ19">IFERROR(ROUND(IF($D19="","",INDEX('M04-S03'!DZ$18:DZ$199,2*(ROWS(EQ$15:EQ19)-1)+1)),6),"")</f>
        <v/>
      </c>
      <c r="ER19" s="150" t="str">
        <f t="shared" si="21"/>
        <v/>
      </c>
      <c r="ES19" s="150" t="str">
        <f t="shared" si="6"/>
        <v/>
      </c>
      <c r="ET19" s="150" t="str">
        <f t="shared" si="6"/>
        <v/>
      </c>
      <c r="EU19" s="150" t="str">
        <f t="shared" si="6"/>
        <v/>
      </c>
      <c r="EV19" s="150" t="str">
        <f t="shared" si="6"/>
        <v/>
      </c>
      <c r="EW19" s="150" t="str">
        <f t="shared" si="6"/>
        <v/>
      </c>
      <c r="EX19" s="150" t="str">
        <f t="shared" si="6"/>
        <v/>
      </c>
      <c r="EY19" s="150" t="str">
        <f t="shared" si="22"/>
        <v/>
      </c>
      <c r="EZ19" s="150" t="str" cm="1">
        <f t="array" ref="EZ19">IFERROR(ROUND(IF($D19="","",INDEX('M04-S03'!EA$18:EA$199,2*(ROWS(EZ$15:EZ19)-1)+1)),6),"")</f>
        <v/>
      </c>
      <c r="FA19" s="150" t="str" cm="1">
        <f t="array" ref="FA19">IFERROR(ROUND(IF($D19="","",INDEX('M04-S03'!EB$18:EB$199,2*(ROWS(FA$15:FA19)-1)+1)),6),"")</f>
        <v/>
      </c>
      <c r="FB19" s="150" t="str" cm="1">
        <f t="array" ref="FB19">IFERROR(ROUND(IF($D19="","",INDEX('M04-S03'!EC$18:EC$199,2*(ROWS(FB$15:FB19)-1)+1)),6),"")</f>
        <v/>
      </c>
      <c r="FC19" s="150" t="str" cm="1">
        <f t="array" ref="FC19">IFERROR(ROUND(IF($D19="","",INDEX('M04-S03'!ED$18:ED$199,2*(ROWS(FC$15:FC19)-1)+1)),6),"")</f>
        <v/>
      </c>
      <c r="FD19" s="150" t="str" cm="1">
        <f t="array" ref="FD19">IFERROR(ROUND(IF($D19="","",INDEX('M04-S03'!EE$18:EE$199,2*(ROWS(FD$15:FD19)-1)+1)),6),"")</f>
        <v/>
      </c>
      <c r="FE19" s="150" t="str" cm="1">
        <f t="array" ref="FE19">IFERROR(ROUND(IF($D19="","",INDEX('M04-S03'!EF$18:EF$199,2*(ROWS(FE$15:FE19)-1)+1)),6),"")</f>
        <v/>
      </c>
      <c r="FF19" s="150" t="str" cm="1">
        <f t="array" ref="FF19">IFERROR(ROUND(IF($D19="","",INDEX('M04-S03'!EG$18:EG$199,2*(ROWS(FF$15:FF19)-1)+1)),6),"")</f>
        <v/>
      </c>
      <c r="FG19" s="150" t="str" cm="1">
        <f t="array" ref="FG19">IFERROR(ROUND(IF($D19="","",INDEX('M04-S03'!EH$18:EH$199,2*(ROWS(FG$15:FG19)-1)+1)),6),"")</f>
        <v/>
      </c>
      <c r="FH19" s="150" t="str" cm="1">
        <f t="array" ref="FH19">IFERROR(ROUND(IF($D19="","",INDEX('M04-S03'!EI$18:EI$199,2*(ROWS(FH$15:FH19)-1)+1)),6),"")</f>
        <v/>
      </c>
      <c r="FI19" s="150" t="str" cm="1">
        <f t="array" ref="FI19">IFERROR(ROUND(IF($D19="","",INDEX('M04-S03'!EJ$18:EJ$199,2*(ROWS(FI$15:FI19)-1)+1)),6),"")</f>
        <v/>
      </c>
      <c r="FJ19" s="150" t="str" cm="1">
        <f t="array" ref="FJ19">IFERROR(ROUND(IF($D19="","",INDEX('M04-S03'!EK$18:EK$199,2*(ROWS(FJ$15:FJ19)-1)+1)),6),"")</f>
        <v/>
      </c>
      <c r="FK19" s="150" t="str" cm="1">
        <f t="array" ref="FK19">IFERROR(ROUND(IF($D19="","",INDEX('M04-S03'!EL$18:EL$199,2*(ROWS(FK$15:FK19)-1)+1)),6),"")</f>
        <v/>
      </c>
      <c r="FL19" s="150" t="str" cm="1">
        <f t="array" ref="FL19">IFERROR(ROUND(IF($D19="","",INDEX('M04-S03'!EM$18:EM$199,2*(ROWS(FL$15:FL19)-1)+1)),6),"")</f>
        <v/>
      </c>
      <c r="FM19" s="150" t="str" cm="1">
        <f t="array" ref="FM19">IFERROR(ROUND(IF($D19="","",INDEX('M04-S03'!EN$18:EN$199,2*(ROWS(FM$15:FM19)-1)+1)),6),"")</f>
        <v/>
      </c>
    </row>
    <row r="20" spans="1:169">
      <c r="A20" t="str">
        <f t="shared" si="27"/>
        <v/>
      </c>
      <c r="B20" t="str">
        <f t="shared" si="28"/>
        <v/>
      </c>
      <c r="C20" t="str" cm="1">
        <f t="array" ref="C20">IFERROR(IF(D20="","",INDEX('M04-S03'!$B$18:$B$199,2*(ROWS(C$15:C20)-1)+1)),"")</f>
        <v/>
      </c>
      <c r="D20" t="str">
        <f t="shared" si="29"/>
        <v/>
      </c>
      <c r="E20" t="str" cm="1">
        <f t="array" ref="E20">IFERROR(IF(INDEX('M04-S03'!$CC$18:$CC$199,2*(ROWS(E$15:E20)-1)+1)="","",INDEX('M04-S03'!$CC$18:$CC$199,2*(ROWS(E$15:E20)-1)+1)),"")</f>
        <v/>
      </c>
      <c r="G20" t="str">
        <f t="shared" si="30"/>
        <v/>
      </c>
      <c r="H20" t="str">
        <f t="shared" si="31"/>
        <v/>
      </c>
      <c r="L20" t="str">
        <f t="shared" si="32"/>
        <v/>
      </c>
      <c r="O20" t="str">
        <f t="shared" si="33"/>
        <v/>
      </c>
      <c r="V20" t="str" cm="1">
        <f t="array" ref="V20">IFERROR(IF(D20="","",INDEX('M04-S03'!$AY$18:$AY$199,2*(ROWS(V$15:V20)-1)+1)),"")</f>
        <v/>
      </c>
      <c r="W20" t="str" cm="1">
        <f t="array" ref="W20">IFERROR(IF(D20="","",INDEX('M04-S03'!$AV$18:$AV$199,2*(ROWS(W$15:W20)-1)+1)),"")</f>
        <v/>
      </c>
      <c r="X20" t="str" cm="1">
        <f t="array" ref="X20">IFERROR(IF(D20="","",INDEX('M04-S03'!$AV$18:$AV$199,2*(ROWS(X$15:X20)-0)+0)),"")</f>
        <v/>
      </c>
      <c r="AG20" s="98" t="str" cm="1">
        <f t="array" ref="AG20">IFERROR(IF(D20="","",IF(INDEX('M04-S03'!$CB$18:$CB$199,2*(ROWS(AG$15:AG20)-1)+1)="","",INDEX('M04-S03'!$CB$18:$CB$199,2*(ROWS(AG$15:AG20)-1)+1))),"")</f>
        <v/>
      </c>
      <c r="AH20" s="98" t="str" cm="1">
        <f t="array" ref="AH20">IFERROR(IF(D20="","",IF(INDEX('M04-S03'!$CU$18:$CU$199,2*(ROWS(AI$15:AI20)-1)+1)="","",INDEX('M04-S03'!$CU$18:$CU$199,2*(ROWS(AI$15:AI20)-1)+1))),"")</f>
        <v/>
      </c>
      <c r="AI20" s="20" t="str" cm="1">
        <f t="array" ref="AI20">IFERROR(IF(D20="","",IF(INDEX('M04-S03'!$CM$18:$CM$199,2*(ROWS(AI$15:AI20)-1)+1)="",0,INDEX('M04-S03'!$CM$18:$CM$199,2*(ROWS(AI$15:AI20)-1)+1))),"")</f>
        <v/>
      </c>
      <c r="AJ20" s="20" t="str">
        <f t="shared" si="1"/>
        <v/>
      </c>
      <c r="AK20" s="487" t="str" cm="1">
        <f t="array" ref="AK20">IFERROR(IF(D20="","",IF(INDEX('M04-S03'!$CN$18:$CN$199,2*(ROWS(AK$15:AK20)-1)+1)="",0,INDEX('M04-S03'!$CN$18:$CN$199,2*(ROWS(AK$15:AK20)-1)+1))),"")</f>
        <v/>
      </c>
      <c r="AL20" s="20" t="str">
        <f t="shared" si="34"/>
        <v/>
      </c>
      <c r="AM20" s="20" t="str">
        <f t="shared" si="24"/>
        <v/>
      </c>
      <c r="AN20" s="20" t="str" cm="1">
        <f t="array" ref="AN20">IFERROR(IF(D20="","",IF(INDEX('M04-S03'!$CO$18:$CO$199,2*(ROWS(AN$15:AN20)-1)+1)="",0,INDEX('M04-S03'!$CO$18:$CO$199,2*(ROWS(AN$15:AN20)-1)+1))),"")</f>
        <v/>
      </c>
      <c r="AO20" s="20" t="str" cm="1">
        <f t="array" ref="AO20">IFERROR(IF(D20="","",INDEX('M04-S03'!$R$18:$R$199,2*(ROWS(AO$15:AO20)-1)+1)),"")</f>
        <v/>
      </c>
      <c r="AP20" s="20" t="str" cm="1">
        <f t="array" ref="AP20">IFERROR(IF(D20="","",INDEX('M04-S03'!$AJ$18:$AJ$199,2*(ROWS(AP$15:AP20)-1)+1)),"")</f>
        <v/>
      </c>
      <c r="AQ20" s="487" t="str" cm="1">
        <f t="array" ref="AQ20">IFERROR(IF(D20="","",INDEX('M04-S03'!$U$18:$U$199,2*(ROWS(AQ$15:AQ20)-1)+1)),"")</f>
        <v/>
      </c>
      <c r="AR20" s="487" t="str" cm="1">
        <f t="array" ref="AR20">IFERROR(IF(D20="","",INDEX('M04-S03'!$AM$18:$AM$199,2*(ROWS(AR$15:AR20)-1)+1)),"")</f>
        <v/>
      </c>
      <c r="AS20" s="20" t="str" cm="1">
        <f t="array" ref="AS20">IFERROR(IF(D20="","",INDEX('M04-S03'!$X$18:$X$199,2*(ROWS(AS$15:AS20)-1)+1)),"")</f>
        <v/>
      </c>
      <c r="AT20" s="20" t="str" cm="1">
        <f t="array" ref="AT20">IFERROR(IF(D20="","",INDEX('M04-S03'!$AP$18:$AP$199,2*(ROWS(AT$15:AT20)-1)+1)),"")</f>
        <v/>
      </c>
      <c r="BP20" t="str" cm="1">
        <f t="array" ref="BP20">IFERROR(IF(D20="","",INDEX('M04-S03'!$CS$18:$CS$199,2*(ROWS(BP$15:BP20)-1)+1)),"")</f>
        <v/>
      </c>
      <c r="BR20" t="str" cm="1">
        <f t="array" ref="BR20">IFERROR(IF(D20="","",LEFT(INDEX('M04-S03'!$C$18:$C$199,2*(ROWS(BR$15:BR20)-1)+1),150)),"")</f>
        <v/>
      </c>
      <c r="BS20" t="str" cm="1">
        <f t="array" ref="BS20">IFERROR(IF(D20="","",INDEX('M04-S03'!$CT$18:$CT$199,2*(ROWS(BS$15:BS20)-1)+1)),"")</f>
        <v/>
      </c>
      <c r="BT20" s="6" t="str" cm="1">
        <f t="array" ref="BT20">IFERROR(ROUND(IF(D20="","",INDEX('M04-S03'!$BB$18:$BB$199,2*(ROWS(BT$15:BT20)-1)+1)),2),"")</f>
        <v/>
      </c>
      <c r="BU20" s="6" t="str" cm="1">
        <f t="array" ref="BU20">IFERROR(IF(D20="","",INDEX('M04-S03'!$CX$18:$CX$199,2*(ROWS(BU$15:BU20)-1)+1)),"")</f>
        <v/>
      </c>
      <c r="BV20" s="6" t="str" cm="1">
        <f t="array" ref="BV20">IFERROR(IF(D20="","",INDEX('M04-S03'!$CY$18:$CY$199,2*(ROWS(BV$15:BV20)-1)+1)),"")</f>
        <v/>
      </c>
      <c r="BW20" t="str">
        <f t="shared" si="35"/>
        <v/>
      </c>
      <c r="BX20" t="str">
        <f t="shared" si="36"/>
        <v/>
      </c>
      <c r="BY20" s="6" t="str" cm="1">
        <f t="array" ref="BY20">IFERROR(IF(D20="","",INDEX('M04-S03'!$CI$18:$CI$199,2*(ROWS(BY$15:BY20)-1)+1)),"")</f>
        <v/>
      </c>
      <c r="BZ20" s="6" t="str">
        <f t="shared" si="17"/>
        <v/>
      </c>
      <c r="CA20" s="6" t="str">
        <f t="shared" si="18"/>
        <v/>
      </c>
      <c r="CB20" s="6" t="str">
        <f t="shared" si="3"/>
        <v/>
      </c>
      <c r="CC20" s="6" t="str">
        <f t="shared" si="25"/>
        <v/>
      </c>
      <c r="CD20" s="6" t="str">
        <f t="shared" si="26"/>
        <v/>
      </c>
      <c r="CS20" t="str" cm="1">
        <f t="array" ref="CS20">IFERROR(IF(D20="","",INDEX('M04-S03'!$F$18:$F$199,2*(ROWS(CS$15:CS20)-1)+1)),"")</f>
        <v/>
      </c>
      <c r="CT20" t="str" cm="1">
        <f t="array" ref="CT20">IFERROR(IF(D20="","",INDEX('M04-S03'!$L$18:$L$199,2*(ROWS(CT$15:CT20)-1)+1)),"")</f>
        <v/>
      </c>
      <c r="CU20" t="str" cm="1">
        <f t="array" ref="CU20">IFERROR(IF(D20="","",INDEX('M04-S03'!$AD$18:$AD$199,2*(ROWS(CU$15:CU20)-1)+1)),"")</f>
        <v/>
      </c>
      <c r="DE20" s="150"/>
      <c r="DF20" s="150" t="str">
        <f>IFERROR(ROUND(IF(OR(D20="",DE20=""),"",TEMPLATE!$V$11),2),"")</f>
        <v/>
      </c>
      <c r="DG20" s="150"/>
      <c r="DH20" s="150" t="str">
        <f>IFERROR(ROUND(IF(OR(D20="",DG20=""),"",TEMPLATE!$V$11),2),"")</f>
        <v/>
      </c>
      <c r="DI20" s="150"/>
      <c r="DJ20" s="150" t="str">
        <f>IFERROR(ROUND(IF(OR(D20="",DI20=""),"",TEMPLATE!$V$11),2),"")</f>
        <v/>
      </c>
      <c r="DK20" s="150"/>
      <c r="DL20" s="150" t="str">
        <f>IFERROR(ROUND(IF(OR(D20="",DK20=""),"",TEMPLATE!$V$11),2),"")</f>
        <v/>
      </c>
      <c r="DM20" s="150"/>
      <c r="DN20" s="150" t="str">
        <f>IFERROR(ROUND(IF(OR(D20="",DM20=""),"",TEMPLATE!$V$11),2),"")</f>
        <v/>
      </c>
      <c r="DO20" s="150"/>
      <c r="DP20" s="150" t="str">
        <f>IFERROR(ROUND(IF(OR(D20="",DO20=""),"",TEMPLATE!$V$11),2),"")</f>
        <v/>
      </c>
      <c r="DQ20" s="150"/>
      <c r="DR20" s="150" t="str">
        <f>IFERROR(ROUND(IF(OR(D20="",DQ20=""),"",TEMPLATE!$V$11),2),"")</f>
        <v/>
      </c>
      <c r="DS20" s="150"/>
      <c r="DT20" s="150" t="str">
        <f>IFERROR(ROUND(IF(OR(D20="",DS20=""),"",TEMPLATE!$V$11),2),"")</f>
        <v/>
      </c>
      <c r="DU20" s="150" t="str" cm="1">
        <f t="array" ref="DU20">IFERROR(ROUND(IF($D20="","",INDEX('M04-S03'!DD$18:DD$199,2*(ROWS(DU$15:DU20)-1)+1)),4),"")</f>
        <v/>
      </c>
      <c r="DV20" s="150" t="str" cm="1">
        <f t="array" ref="DV20">IFERROR(ROUND(IF($D20="","",INDEX('M04-S03'!DE$18:DE$199,2*(ROWS(DV$15:DV20)-1)+1)),4),"")</f>
        <v/>
      </c>
      <c r="DW20" s="150" t="str" cm="1">
        <f t="array" ref="DW20">IFERROR(ROUND(IF($D20="","",INDEX('M04-S03'!DF$18:DF$199,2*(ROWS(DW$15:DW20)-1)+1)),4),"")</f>
        <v/>
      </c>
      <c r="DX20" s="150" t="str" cm="1">
        <f t="array" ref="DX20">IFERROR(ROUND(IF($D20="","",INDEX('M04-S03'!DG$18:DG$199,2*(ROWS(DX$15:DX20)-1)+1)),4),"")</f>
        <v/>
      </c>
      <c r="DY20" s="150" t="str" cm="1">
        <f t="array" ref="DY20">IFERROR(ROUND(IF($D20="","",INDEX('M04-S03'!DH$18:DH$199,2*(ROWS(DY$15:DY20)-1)+1)),4),"")</f>
        <v/>
      </c>
      <c r="DZ20" s="150" t="str" cm="1">
        <f t="array" ref="DZ20">IFERROR(ROUND(IF($D20="","",INDEX('M04-S03'!DI$18:DI$199,2*(ROWS(DZ$15:DZ20)-1)+1)),4),"")</f>
        <v/>
      </c>
      <c r="EA20" s="150" t="str" cm="1">
        <f t="array" ref="EA20">IFERROR(ROUND(IF($D20="","",INDEX('M04-S03'!DJ$18:DJ$199,2*(ROWS(EA$15:EA20)-1)+1)),4),"")</f>
        <v/>
      </c>
      <c r="EB20" s="150" t="str" cm="1">
        <f t="array" ref="EB20">IFERROR(ROUND(IF($D20="","",INDEX('M04-S03'!DK$18:DK$199,2*(ROWS(EB$15:EB20)-1)+1)),6),"")</f>
        <v/>
      </c>
      <c r="EC20" s="150" t="str" cm="1">
        <f t="array" ref="EC20">IFERROR(ROUND(IF($D20="","",INDEX('M04-S03'!DL$18:DL$199,2*(ROWS(EC$15:EC20)-1)+1)),6),"")</f>
        <v/>
      </c>
      <c r="ED20" s="150" t="str" cm="1">
        <f t="array" ref="ED20">IFERROR(ROUND(IF($D20="","",INDEX('M04-S03'!DM$18:DM$199,2*(ROWS(ED$15:ED20)-1)+1)),6),"")</f>
        <v/>
      </c>
      <c r="EE20" s="150" t="str" cm="1">
        <f t="array" ref="EE20">IFERROR(ROUND(IF($D20="","",INDEX('M04-S03'!DN$18:DN$199,2*(ROWS(EE$15:EE20)-1)+1)),6),"")</f>
        <v/>
      </c>
      <c r="EF20" s="150" t="str" cm="1">
        <f t="array" ref="EF20">IFERROR(ROUND(IF($D20="","",INDEX('M04-S03'!DO$18:DO$199,2*(ROWS(EF$15:EF20)-1)+1)),6),"")</f>
        <v/>
      </c>
      <c r="EG20" s="150" t="str" cm="1">
        <f t="array" ref="EG20">IFERROR(ROUND(IF($D20="","",INDEX('M04-S03'!DP$18:DP$199,2*(ROWS(EG$15:EG20)-1)+1)),6),"")</f>
        <v/>
      </c>
      <c r="EH20" s="150" t="str" cm="1">
        <f t="array" ref="EH20">IFERROR(ROUND(IF($D20="","",INDEX('M04-S03'!DQ$18:DQ$199,2*(ROWS(EH$15:EH20)-1)+1)),6),"")</f>
        <v/>
      </c>
      <c r="EI20" s="150" t="str" cm="1">
        <f t="array" ref="EI20">IFERROR(ROUND(IF($D20="","",INDEX('M04-S03'!DR$18:DR$199,2*(ROWS(EI$15:EI20)-1)+1)),6),"")</f>
        <v/>
      </c>
      <c r="EJ20" s="150" t="str" cm="1">
        <f t="array" ref="EJ20">IFERROR(ROUND(IF($D20="","",INDEX('M04-S03'!DS$18:DS$199,2*(ROWS(EJ$15:EJ20)-1)+1)),6),"")</f>
        <v/>
      </c>
      <c r="EK20" s="150" t="str" cm="1">
        <f t="array" ref="EK20">IFERROR(ROUND(IF($D20="","",INDEX('M04-S03'!DT$18:DT$199,2*(ROWS(EK$15:EK20)-1)+1)),6),"")</f>
        <v/>
      </c>
      <c r="EL20" s="150" t="str" cm="1">
        <f t="array" ref="EL20">IFERROR(ROUND(IF($D20="","",INDEX('M04-S03'!DU$18:DU$199,2*(ROWS(EL$15:EL20)-1)+1)),6),"")</f>
        <v/>
      </c>
      <c r="EM20" s="150" t="str" cm="1">
        <f t="array" ref="EM20">IFERROR(ROUND(IF($D20="","",INDEX('M04-S03'!DV$18:DV$199,2*(ROWS(EM$15:EM20)-1)+1)),6),"")</f>
        <v/>
      </c>
      <c r="EN20" s="150" t="str" cm="1">
        <f t="array" ref="EN20">IFERROR(ROUND(IF($D20="","",INDEX('M04-S03'!DW$18:DW$199,2*(ROWS(EN$15:EN20)-1)+1)),6),"")</f>
        <v/>
      </c>
      <c r="EO20" s="150" t="str" cm="1">
        <f t="array" ref="EO20">IFERROR(ROUND(IF($D20="","",INDEX('M04-S03'!DX$18:DX$199,2*(ROWS(EO$15:EO20)-1)+1)),6),"")</f>
        <v/>
      </c>
      <c r="EP20" s="150" t="str" cm="1">
        <f t="array" ref="EP20">IFERROR(ROUND(IF($D20="","",INDEX('M04-S03'!DY$18:DY$199,2*(ROWS(EP$15:EP20)-1)+1)),6),"")</f>
        <v/>
      </c>
      <c r="EQ20" s="150" t="str" cm="1">
        <f t="array" ref="EQ20">IFERROR(ROUND(IF($D20="","",INDEX('M04-S03'!DZ$18:DZ$199,2*(ROWS(EQ$15:EQ20)-1)+1)),6),"")</f>
        <v/>
      </c>
      <c r="ER20" s="150" t="str">
        <f t="shared" si="21"/>
        <v/>
      </c>
      <c r="ES20" s="150" t="str">
        <f t="shared" ref="ES20:ES83" si="37">IFERROR(ROUND(IF($D20="","",EC20),6),"")</f>
        <v/>
      </c>
      <c r="ET20" s="150" t="str">
        <f t="shared" ref="ET20:ET83" si="38">IFERROR(ROUND(IF($D20="","",ED20),6),"")</f>
        <v/>
      </c>
      <c r="EU20" s="150" t="str">
        <f t="shared" ref="EU20:EU83" si="39">IFERROR(ROUND(IF($D20="","",EE20),6),"")</f>
        <v/>
      </c>
      <c r="EV20" s="150" t="str">
        <f t="shared" ref="EV20:EV83" si="40">IFERROR(ROUND(IF($D20="","",EF20),6),"")</f>
        <v/>
      </c>
      <c r="EW20" s="150" t="str">
        <f t="shared" ref="EW20:EW83" si="41">IFERROR(ROUND(IF($D20="","",EG20),6),"")</f>
        <v/>
      </c>
      <c r="EX20" s="150" t="str">
        <f t="shared" ref="EX20:EX83" si="42">IFERROR(ROUND(IF($D20="","",EH20),6),"")</f>
        <v/>
      </c>
      <c r="EY20" s="150" t="str">
        <f t="shared" si="22"/>
        <v/>
      </c>
      <c r="EZ20" s="150" t="str" cm="1">
        <f t="array" ref="EZ20">IFERROR(ROUND(IF($D20="","",INDEX('M04-S03'!EA$18:EA$199,2*(ROWS(EZ$15:EZ20)-1)+1)),6),"")</f>
        <v/>
      </c>
      <c r="FA20" s="150" t="str" cm="1">
        <f t="array" ref="FA20">IFERROR(ROUND(IF($D20="","",INDEX('M04-S03'!EB$18:EB$199,2*(ROWS(FA$15:FA20)-1)+1)),6),"")</f>
        <v/>
      </c>
      <c r="FB20" s="150" t="str" cm="1">
        <f t="array" ref="FB20">IFERROR(ROUND(IF($D20="","",INDEX('M04-S03'!EC$18:EC$199,2*(ROWS(FB$15:FB20)-1)+1)),6),"")</f>
        <v/>
      </c>
      <c r="FC20" s="150" t="str" cm="1">
        <f t="array" ref="FC20">IFERROR(ROUND(IF($D20="","",INDEX('M04-S03'!ED$18:ED$199,2*(ROWS(FC$15:FC20)-1)+1)),6),"")</f>
        <v/>
      </c>
      <c r="FD20" s="150" t="str" cm="1">
        <f t="array" ref="FD20">IFERROR(ROUND(IF($D20="","",INDEX('M04-S03'!EE$18:EE$199,2*(ROWS(FD$15:FD20)-1)+1)),6),"")</f>
        <v/>
      </c>
      <c r="FE20" s="150" t="str" cm="1">
        <f t="array" ref="FE20">IFERROR(ROUND(IF($D20="","",INDEX('M04-S03'!EF$18:EF$199,2*(ROWS(FE$15:FE20)-1)+1)),6),"")</f>
        <v/>
      </c>
      <c r="FF20" s="150" t="str" cm="1">
        <f t="array" ref="FF20">IFERROR(ROUND(IF($D20="","",INDEX('M04-S03'!EG$18:EG$199,2*(ROWS(FF$15:FF20)-1)+1)),6),"")</f>
        <v/>
      </c>
      <c r="FG20" s="150" t="str" cm="1">
        <f t="array" ref="FG20">IFERROR(ROUND(IF($D20="","",INDEX('M04-S03'!EH$18:EH$199,2*(ROWS(FG$15:FG20)-1)+1)),6),"")</f>
        <v/>
      </c>
      <c r="FH20" s="150" t="str" cm="1">
        <f t="array" ref="FH20">IFERROR(ROUND(IF($D20="","",INDEX('M04-S03'!EI$18:EI$199,2*(ROWS(FH$15:FH20)-1)+1)),6),"")</f>
        <v/>
      </c>
      <c r="FI20" s="150" t="str" cm="1">
        <f t="array" ref="FI20">IFERROR(ROUND(IF($D20="","",INDEX('M04-S03'!EJ$18:EJ$199,2*(ROWS(FI$15:FI20)-1)+1)),6),"")</f>
        <v/>
      </c>
      <c r="FJ20" s="150" t="str" cm="1">
        <f t="array" ref="FJ20">IFERROR(ROUND(IF($D20="","",INDEX('M04-S03'!EK$18:EK$199,2*(ROWS(FJ$15:FJ20)-1)+1)),6),"")</f>
        <v/>
      </c>
      <c r="FK20" s="150" t="str" cm="1">
        <f t="array" ref="FK20">IFERROR(ROUND(IF($D20="","",INDEX('M04-S03'!EL$18:EL$199,2*(ROWS(FK$15:FK20)-1)+1)),6),"")</f>
        <v/>
      </c>
      <c r="FL20" s="150" t="str" cm="1">
        <f t="array" ref="FL20">IFERROR(ROUND(IF($D20="","",INDEX('M04-S03'!EM$18:EM$199,2*(ROWS(FL$15:FL20)-1)+1)),6),"")</f>
        <v/>
      </c>
      <c r="FM20" s="150" t="str" cm="1">
        <f t="array" ref="FM20">IFERROR(ROUND(IF($D20="","",INDEX('M04-S03'!EN$18:EN$199,2*(ROWS(FM$15:FM20)-1)+1)),6),"")</f>
        <v/>
      </c>
    </row>
    <row r="21" spans="1:169">
      <c r="A21" t="str">
        <f t="shared" si="27"/>
        <v/>
      </c>
      <c r="B21" t="str">
        <f t="shared" si="28"/>
        <v/>
      </c>
      <c r="C21" t="str" cm="1">
        <f t="array" ref="C21">IFERROR(IF(D21="","",INDEX('M04-S03'!$B$18:$B$199,2*(ROWS(C$15:C21)-1)+1)),"")</f>
        <v/>
      </c>
      <c r="D21" t="str">
        <f t="shared" si="29"/>
        <v/>
      </c>
      <c r="E21" t="str" cm="1">
        <f t="array" ref="E21">IFERROR(IF(INDEX('M04-S03'!$CC$18:$CC$199,2*(ROWS(E$15:E21)-1)+1)="","",INDEX('M04-S03'!$CC$18:$CC$199,2*(ROWS(E$15:E21)-1)+1)),"")</f>
        <v/>
      </c>
      <c r="G21" t="str">
        <f t="shared" si="30"/>
        <v/>
      </c>
      <c r="H21" t="str">
        <f t="shared" si="31"/>
        <v/>
      </c>
      <c r="L21" t="str">
        <f t="shared" si="32"/>
        <v/>
      </c>
      <c r="O21" t="str">
        <f t="shared" si="33"/>
        <v/>
      </c>
      <c r="V21" t="str" cm="1">
        <f t="array" ref="V21">IFERROR(IF(D21="","",INDEX('M04-S03'!$AY$18:$AY$199,2*(ROWS(V$15:V21)-1)+1)),"")</f>
        <v/>
      </c>
      <c r="W21" t="str" cm="1">
        <f t="array" ref="W21">IFERROR(IF(D21="","",INDEX('M04-S03'!$AV$18:$AV$199,2*(ROWS(W$15:W21)-1)+1)),"")</f>
        <v/>
      </c>
      <c r="X21" t="str" cm="1">
        <f t="array" ref="X21">IFERROR(IF(D21="","",INDEX('M04-S03'!$AV$18:$AV$199,2*(ROWS(X$15:X21)-0)+0)),"")</f>
        <v/>
      </c>
      <c r="AG21" s="98" t="str" cm="1">
        <f t="array" ref="AG21">IFERROR(IF(D21="","",IF(INDEX('M04-S03'!$CB$18:$CB$199,2*(ROWS(AG$15:AG21)-1)+1)="","",INDEX('M04-S03'!$CB$18:$CB$199,2*(ROWS(AG$15:AG21)-1)+1))),"")</f>
        <v/>
      </c>
      <c r="AH21" s="98" t="str" cm="1">
        <f t="array" ref="AH21">IFERROR(IF(D21="","",IF(INDEX('M04-S03'!$CU$18:$CU$199,2*(ROWS(AI$15:AI21)-1)+1)="","",INDEX('M04-S03'!$CU$18:$CU$199,2*(ROWS(AI$15:AI21)-1)+1))),"")</f>
        <v/>
      </c>
      <c r="AI21" s="20" t="str" cm="1">
        <f t="array" ref="AI21">IFERROR(IF(D21="","",IF(INDEX('M04-S03'!$CM$18:$CM$199,2*(ROWS(AI$15:AI21)-1)+1)="",0,INDEX('M04-S03'!$CM$18:$CM$199,2*(ROWS(AI$15:AI21)-1)+1))),"")</f>
        <v/>
      </c>
      <c r="AJ21" s="20" t="str">
        <f t="shared" si="1"/>
        <v/>
      </c>
      <c r="AK21" s="487" t="str" cm="1">
        <f t="array" ref="AK21">IFERROR(IF(D21="","",IF(INDEX('M04-S03'!$CN$18:$CN$199,2*(ROWS(AK$15:AK21)-1)+1)="",0,INDEX('M04-S03'!$CN$18:$CN$199,2*(ROWS(AK$15:AK21)-1)+1))),"")</f>
        <v/>
      </c>
      <c r="AL21" s="20" t="str">
        <f t="shared" si="34"/>
        <v/>
      </c>
      <c r="AM21" s="20" t="str">
        <f t="shared" si="24"/>
        <v/>
      </c>
      <c r="AN21" s="20" t="str" cm="1">
        <f t="array" ref="AN21">IFERROR(IF(D21="","",IF(INDEX('M04-S03'!$CO$18:$CO$199,2*(ROWS(AN$15:AN21)-1)+1)="",0,INDEX('M04-S03'!$CO$18:$CO$199,2*(ROWS(AN$15:AN21)-1)+1))),"")</f>
        <v/>
      </c>
      <c r="AO21" s="20" t="str" cm="1">
        <f t="array" ref="AO21">IFERROR(IF(D21="","",INDEX('M04-S03'!$R$18:$R$199,2*(ROWS(AO$15:AO21)-1)+1)),"")</f>
        <v/>
      </c>
      <c r="AP21" s="20" t="str" cm="1">
        <f t="array" ref="AP21">IFERROR(IF(D21="","",INDEX('M04-S03'!$AJ$18:$AJ$199,2*(ROWS(AP$15:AP21)-1)+1)),"")</f>
        <v/>
      </c>
      <c r="AQ21" s="487" t="str" cm="1">
        <f t="array" ref="AQ21">IFERROR(IF(D21="","",INDEX('M04-S03'!$U$18:$U$199,2*(ROWS(AQ$15:AQ21)-1)+1)),"")</f>
        <v/>
      </c>
      <c r="AR21" s="487" t="str" cm="1">
        <f t="array" ref="AR21">IFERROR(IF(D21="","",INDEX('M04-S03'!$AM$18:$AM$199,2*(ROWS(AR$15:AR21)-1)+1)),"")</f>
        <v/>
      </c>
      <c r="AS21" s="20" t="str" cm="1">
        <f t="array" ref="AS21">IFERROR(IF(D21="","",INDEX('M04-S03'!$X$18:$X$199,2*(ROWS(AS$15:AS21)-1)+1)),"")</f>
        <v/>
      </c>
      <c r="AT21" s="20" t="str" cm="1">
        <f t="array" ref="AT21">IFERROR(IF(D21="","",INDEX('M04-S03'!$AP$18:$AP$199,2*(ROWS(AT$15:AT21)-1)+1)),"")</f>
        <v/>
      </c>
      <c r="BP21" t="str" cm="1">
        <f t="array" ref="BP21">IFERROR(IF(D21="","",INDEX('M04-S03'!$CS$18:$CS$199,2*(ROWS(BP$15:BP21)-1)+1)),"")</f>
        <v/>
      </c>
      <c r="BR21" t="str" cm="1">
        <f t="array" ref="BR21">IFERROR(IF(D21="","",LEFT(INDEX('M04-S03'!$C$18:$C$199,2*(ROWS(BR$15:BR21)-1)+1),150)),"")</f>
        <v/>
      </c>
      <c r="BS21" t="str" cm="1">
        <f t="array" ref="BS21">IFERROR(IF(D21="","",INDEX('M04-S03'!$CT$18:$CT$199,2*(ROWS(BS$15:BS21)-1)+1)),"")</f>
        <v/>
      </c>
      <c r="BT21" s="6" t="str" cm="1">
        <f t="array" ref="BT21">IFERROR(ROUND(IF(D21="","",INDEX('M04-S03'!$BB$18:$BB$199,2*(ROWS(BT$15:BT21)-1)+1)),2),"")</f>
        <v/>
      </c>
      <c r="BU21" s="6" t="str" cm="1">
        <f t="array" ref="BU21">IFERROR(IF(D21="","",INDEX('M04-S03'!$CX$18:$CX$199,2*(ROWS(BU$15:BU21)-1)+1)),"")</f>
        <v/>
      </c>
      <c r="BV21" s="6" t="str" cm="1">
        <f t="array" ref="BV21">IFERROR(IF(D21="","",INDEX('M04-S03'!$CY$18:$CY$199,2*(ROWS(BV$15:BV21)-1)+1)),"")</f>
        <v/>
      </c>
      <c r="BW21" t="str">
        <f t="shared" si="35"/>
        <v/>
      </c>
      <c r="BX21" t="str">
        <f t="shared" si="36"/>
        <v/>
      </c>
      <c r="BY21" s="6" t="str" cm="1">
        <f t="array" ref="BY21">IFERROR(IF(D21="","",INDEX('M04-S03'!$CI$18:$CI$199,2*(ROWS(BY$15:BY21)-1)+1)),"")</f>
        <v/>
      </c>
      <c r="BZ21" s="6" t="str">
        <f t="shared" si="17"/>
        <v/>
      </c>
      <c r="CA21" s="6" t="str">
        <f t="shared" si="18"/>
        <v/>
      </c>
      <c r="CB21" s="6" t="str">
        <f t="shared" si="3"/>
        <v/>
      </c>
      <c r="CC21" s="6" t="str">
        <f t="shared" si="25"/>
        <v/>
      </c>
      <c r="CD21" s="6" t="str">
        <f t="shared" si="26"/>
        <v/>
      </c>
      <c r="CS21" t="str" cm="1">
        <f t="array" ref="CS21">IFERROR(IF(D21="","",INDEX('M04-S03'!$F$18:$F$199,2*(ROWS(CS$15:CS21)-1)+1)),"")</f>
        <v/>
      </c>
      <c r="CT21" t="str" cm="1">
        <f t="array" ref="CT21">IFERROR(IF(D21="","",INDEX('M04-S03'!$L$18:$L$199,2*(ROWS(CT$15:CT21)-1)+1)),"")</f>
        <v/>
      </c>
      <c r="CU21" t="str" cm="1">
        <f t="array" ref="CU21">IFERROR(IF(D21="","",INDEX('M04-S03'!$AD$18:$AD$199,2*(ROWS(CU$15:CU21)-1)+1)),"")</f>
        <v/>
      </c>
      <c r="DE21" s="150"/>
      <c r="DF21" s="150" t="str">
        <f>IFERROR(ROUND(IF(OR(D21="",DE21=""),"",TEMPLATE!$V$11),2),"")</f>
        <v/>
      </c>
      <c r="DG21" s="150"/>
      <c r="DH21" s="150" t="str">
        <f>IFERROR(ROUND(IF(OR(D21="",DG21=""),"",TEMPLATE!$V$11),2),"")</f>
        <v/>
      </c>
      <c r="DI21" s="150"/>
      <c r="DJ21" s="150" t="str">
        <f>IFERROR(ROUND(IF(OR(D21="",DI21=""),"",TEMPLATE!$V$11),2),"")</f>
        <v/>
      </c>
      <c r="DK21" s="150"/>
      <c r="DL21" s="150" t="str">
        <f>IFERROR(ROUND(IF(OR(D21="",DK21=""),"",TEMPLATE!$V$11),2),"")</f>
        <v/>
      </c>
      <c r="DM21" s="150"/>
      <c r="DN21" s="150" t="str">
        <f>IFERROR(ROUND(IF(OR(D21="",DM21=""),"",TEMPLATE!$V$11),2),"")</f>
        <v/>
      </c>
      <c r="DO21" s="150"/>
      <c r="DP21" s="150" t="str">
        <f>IFERROR(ROUND(IF(OR(D21="",DO21=""),"",TEMPLATE!$V$11),2),"")</f>
        <v/>
      </c>
      <c r="DQ21" s="150"/>
      <c r="DR21" s="150" t="str">
        <f>IFERROR(ROUND(IF(OR(D21="",DQ21=""),"",TEMPLATE!$V$11),2),"")</f>
        <v/>
      </c>
      <c r="DS21" s="150"/>
      <c r="DT21" s="150" t="str">
        <f>IFERROR(ROUND(IF(OR(D21="",DS21=""),"",TEMPLATE!$V$11),2),"")</f>
        <v/>
      </c>
      <c r="DU21" s="150" t="str" cm="1">
        <f t="array" ref="DU21">IFERROR(ROUND(IF($D21="","",INDEX('M04-S03'!DD$18:DD$199,2*(ROWS(DU$15:DU21)-1)+1)),4),"")</f>
        <v/>
      </c>
      <c r="DV21" s="150" t="str" cm="1">
        <f t="array" ref="DV21">IFERROR(ROUND(IF($D21="","",INDEX('M04-S03'!DE$18:DE$199,2*(ROWS(DV$15:DV21)-1)+1)),4),"")</f>
        <v/>
      </c>
      <c r="DW21" s="150" t="str" cm="1">
        <f t="array" ref="DW21">IFERROR(ROUND(IF($D21="","",INDEX('M04-S03'!DF$18:DF$199,2*(ROWS(DW$15:DW21)-1)+1)),4),"")</f>
        <v/>
      </c>
      <c r="DX21" s="150" t="str" cm="1">
        <f t="array" ref="DX21">IFERROR(ROUND(IF($D21="","",INDEX('M04-S03'!DG$18:DG$199,2*(ROWS(DX$15:DX21)-1)+1)),4),"")</f>
        <v/>
      </c>
      <c r="DY21" s="150" t="str" cm="1">
        <f t="array" ref="DY21">IFERROR(ROUND(IF($D21="","",INDEX('M04-S03'!DH$18:DH$199,2*(ROWS(DY$15:DY21)-1)+1)),4),"")</f>
        <v/>
      </c>
      <c r="DZ21" s="150" t="str" cm="1">
        <f t="array" ref="DZ21">IFERROR(ROUND(IF($D21="","",INDEX('M04-S03'!DI$18:DI$199,2*(ROWS(DZ$15:DZ21)-1)+1)),4),"")</f>
        <v/>
      </c>
      <c r="EA21" s="150" t="str" cm="1">
        <f t="array" ref="EA21">IFERROR(ROUND(IF($D21="","",INDEX('M04-S03'!DJ$18:DJ$199,2*(ROWS(EA$15:EA21)-1)+1)),4),"")</f>
        <v/>
      </c>
      <c r="EB21" s="150" t="str" cm="1">
        <f t="array" ref="EB21">IFERROR(ROUND(IF($D21="","",INDEX('M04-S03'!DK$18:DK$199,2*(ROWS(EB$15:EB21)-1)+1)),6),"")</f>
        <v/>
      </c>
      <c r="EC21" s="150" t="str" cm="1">
        <f t="array" ref="EC21">IFERROR(ROUND(IF($D21="","",INDEX('M04-S03'!DL$18:DL$199,2*(ROWS(EC$15:EC21)-1)+1)),6),"")</f>
        <v/>
      </c>
      <c r="ED21" s="150" t="str" cm="1">
        <f t="array" ref="ED21">IFERROR(ROUND(IF($D21="","",INDEX('M04-S03'!DM$18:DM$199,2*(ROWS(ED$15:ED21)-1)+1)),6),"")</f>
        <v/>
      </c>
      <c r="EE21" s="150" t="str" cm="1">
        <f t="array" ref="EE21">IFERROR(ROUND(IF($D21="","",INDEX('M04-S03'!DN$18:DN$199,2*(ROWS(EE$15:EE21)-1)+1)),6),"")</f>
        <v/>
      </c>
      <c r="EF21" s="150" t="str" cm="1">
        <f t="array" ref="EF21">IFERROR(ROUND(IF($D21="","",INDEX('M04-S03'!DO$18:DO$199,2*(ROWS(EF$15:EF21)-1)+1)),6),"")</f>
        <v/>
      </c>
      <c r="EG21" s="150" t="str" cm="1">
        <f t="array" ref="EG21">IFERROR(ROUND(IF($D21="","",INDEX('M04-S03'!DP$18:DP$199,2*(ROWS(EG$15:EG21)-1)+1)),6),"")</f>
        <v/>
      </c>
      <c r="EH21" s="150" t="str" cm="1">
        <f t="array" ref="EH21">IFERROR(ROUND(IF($D21="","",INDEX('M04-S03'!DQ$18:DQ$199,2*(ROWS(EH$15:EH21)-1)+1)),6),"")</f>
        <v/>
      </c>
      <c r="EI21" s="150" t="str" cm="1">
        <f t="array" ref="EI21">IFERROR(ROUND(IF($D21="","",INDEX('M04-S03'!DR$18:DR$199,2*(ROWS(EI$15:EI21)-1)+1)),6),"")</f>
        <v/>
      </c>
      <c r="EJ21" s="150" t="str" cm="1">
        <f t="array" ref="EJ21">IFERROR(ROUND(IF($D21="","",INDEX('M04-S03'!DS$18:DS$199,2*(ROWS(EJ$15:EJ21)-1)+1)),6),"")</f>
        <v/>
      </c>
      <c r="EK21" s="150" t="str" cm="1">
        <f t="array" ref="EK21">IFERROR(ROUND(IF($D21="","",INDEX('M04-S03'!DT$18:DT$199,2*(ROWS(EK$15:EK21)-1)+1)),6),"")</f>
        <v/>
      </c>
      <c r="EL21" s="150" t="str" cm="1">
        <f t="array" ref="EL21">IFERROR(ROUND(IF($D21="","",INDEX('M04-S03'!DU$18:DU$199,2*(ROWS(EL$15:EL21)-1)+1)),6),"")</f>
        <v/>
      </c>
      <c r="EM21" s="150" t="str" cm="1">
        <f t="array" ref="EM21">IFERROR(ROUND(IF($D21="","",INDEX('M04-S03'!DV$18:DV$199,2*(ROWS(EM$15:EM21)-1)+1)),6),"")</f>
        <v/>
      </c>
      <c r="EN21" s="150" t="str" cm="1">
        <f t="array" ref="EN21">IFERROR(ROUND(IF($D21="","",INDEX('M04-S03'!DW$18:DW$199,2*(ROWS(EN$15:EN21)-1)+1)),6),"")</f>
        <v/>
      </c>
      <c r="EO21" s="150" t="str" cm="1">
        <f t="array" ref="EO21">IFERROR(ROUND(IF($D21="","",INDEX('M04-S03'!DX$18:DX$199,2*(ROWS(EO$15:EO21)-1)+1)),6),"")</f>
        <v/>
      </c>
      <c r="EP21" s="150" t="str" cm="1">
        <f t="array" ref="EP21">IFERROR(ROUND(IF($D21="","",INDEX('M04-S03'!DY$18:DY$199,2*(ROWS(EP$15:EP21)-1)+1)),6),"")</f>
        <v/>
      </c>
      <c r="EQ21" s="150" t="str" cm="1">
        <f t="array" ref="EQ21">IFERROR(ROUND(IF($D21="","",INDEX('M04-S03'!DZ$18:DZ$199,2*(ROWS(EQ$15:EQ21)-1)+1)),6),"")</f>
        <v/>
      </c>
      <c r="ER21" s="150" t="str">
        <f t="shared" si="21"/>
        <v/>
      </c>
      <c r="ES21" s="150" t="str">
        <f t="shared" si="37"/>
        <v/>
      </c>
      <c r="ET21" s="150" t="str">
        <f t="shared" si="38"/>
        <v/>
      </c>
      <c r="EU21" s="150" t="str">
        <f t="shared" si="39"/>
        <v/>
      </c>
      <c r="EV21" s="150" t="str">
        <f t="shared" si="40"/>
        <v/>
      </c>
      <c r="EW21" s="150" t="str">
        <f t="shared" si="41"/>
        <v/>
      </c>
      <c r="EX21" s="150" t="str">
        <f t="shared" si="42"/>
        <v/>
      </c>
      <c r="EY21" s="150" t="str">
        <f t="shared" si="22"/>
        <v/>
      </c>
      <c r="EZ21" s="150" t="str" cm="1">
        <f t="array" ref="EZ21">IFERROR(ROUND(IF($D21="","",INDEX('M04-S03'!EA$18:EA$199,2*(ROWS(EZ$15:EZ21)-1)+1)),6),"")</f>
        <v/>
      </c>
      <c r="FA21" s="150" t="str" cm="1">
        <f t="array" ref="FA21">IFERROR(ROUND(IF($D21="","",INDEX('M04-S03'!EB$18:EB$199,2*(ROWS(FA$15:FA21)-1)+1)),6),"")</f>
        <v/>
      </c>
      <c r="FB21" s="150" t="str" cm="1">
        <f t="array" ref="FB21">IFERROR(ROUND(IF($D21="","",INDEX('M04-S03'!EC$18:EC$199,2*(ROWS(FB$15:FB21)-1)+1)),6),"")</f>
        <v/>
      </c>
      <c r="FC21" s="150" t="str" cm="1">
        <f t="array" ref="FC21">IFERROR(ROUND(IF($D21="","",INDEX('M04-S03'!ED$18:ED$199,2*(ROWS(FC$15:FC21)-1)+1)),6),"")</f>
        <v/>
      </c>
      <c r="FD21" s="150" t="str" cm="1">
        <f t="array" ref="FD21">IFERROR(ROUND(IF($D21="","",INDEX('M04-S03'!EE$18:EE$199,2*(ROWS(FD$15:FD21)-1)+1)),6),"")</f>
        <v/>
      </c>
      <c r="FE21" s="150" t="str" cm="1">
        <f t="array" ref="FE21">IFERROR(ROUND(IF($D21="","",INDEX('M04-S03'!EF$18:EF$199,2*(ROWS(FE$15:FE21)-1)+1)),6),"")</f>
        <v/>
      </c>
      <c r="FF21" s="150" t="str" cm="1">
        <f t="array" ref="FF21">IFERROR(ROUND(IF($D21="","",INDEX('M04-S03'!EG$18:EG$199,2*(ROWS(FF$15:FF21)-1)+1)),6),"")</f>
        <v/>
      </c>
      <c r="FG21" s="150" t="str" cm="1">
        <f t="array" ref="FG21">IFERROR(ROUND(IF($D21="","",INDEX('M04-S03'!EH$18:EH$199,2*(ROWS(FG$15:FG21)-1)+1)),6),"")</f>
        <v/>
      </c>
      <c r="FH21" s="150" t="str" cm="1">
        <f t="array" ref="FH21">IFERROR(ROUND(IF($D21="","",INDEX('M04-S03'!EI$18:EI$199,2*(ROWS(FH$15:FH21)-1)+1)),6),"")</f>
        <v/>
      </c>
      <c r="FI21" s="150" t="str" cm="1">
        <f t="array" ref="FI21">IFERROR(ROUND(IF($D21="","",INDEX('M04-S03'!EJ$18:EJ$199,2*(ROWS(FI$15:FI21)-1)+1)),6),"")</f>
        <v/>
      </c>
      <c r="FJ21" s="150" t="str" cm="1">
        <f t="array" ref="FJ21">IFERROR(ROUND(IF($D21="","",INDEX('M04-S03'!EK$18:EK$199,2*(ROWS(FJ$15:FJ21)-1)+1)),6),"")</f>
        <v/>
      </c>
      <c r="FK21" s="150" t="str" cm="1">
        <f t="array" ref="FK21">IFERROR(ROUND(IF($D21="","",INDEX('M04-S03'!EL$18:EL$199,2*(ROWS(FK$15:FK21)-1)+1)),6),"")</f>
        <v/>
      </c>
      <c r="FL21" s="150" t="str" cm="1">
        <f t="array" ref="FL21">IFERROR(ROUND(IF($D21="","",INDEX('M04-S03'!EM$18:EM$199,2*(ROWS(FL$15:FL21)-1)+1)),6),"")</f>
        <v/>
      </c>
      <c r="FM21" s="150" t="str" cm="1">
        <f t="array" ref="FM21">IFERROR(ROUND(IF($D21="","",INDEX('M04-S03'!EN$18:EN$199,2*(ROWS(FM$15:FM21)-1)+1)),6),"")</f>
        <v/>
      </c>
    </row>
    <row r="22" spans="1:169">
      <c r="A22" t="str">
        <f t="shared" si="27"/>
        <v/>
      </c>
      <c r="B22" t="str">
        <f t="shared" si="28"/>
        <v/>
      </c>
      <c r="C22" t="str" cm="1">
        <f t="array" ref="C22">IFERROR(IF(D22="","",INDEX('M04-S03'!$B$18:$B$199,2*(ROWS(C$15:C22)-1)+1)),"")</f>
        <v/>
      </c>
      <c r="D22" t="str">
        <f t="shared" si="29"/>
        <v/>
      </c>
      <c r="E22" t="str" cm="1">
        <f t="array" ref="E22">IFERROR(IF(INDEX('M04-S03'!$CC$18:$CC$199,2*(ROWS(E$15:E22)-1)+1)="","",INDEX('M04-S03'!$CC$18:$CC$199,2*(ROWS(E$15:E22)-1)+1)),"")</f>
        <v/>
      </c>
      <c r="G22" t="str">
        <f t="shared" si="30"/>
        <v/>
      </c>
      <c r="H22" t="str">
        <f t="shared" si="31"/>
        <v/>
      </c>
      <c r="L22" t="str">
        <f t="shared" si="32"/>
        <v/>
      </c>
      <c r="O22" t="str">
        <f t="shared" si="33"/>
        <v/>
      </c>
      <c r="V22" t="str" cm="1">
        <f t="array" ref="V22">IFERROR(IF(D22="","",INDEX('M04-S03'!$AY$18:$AY$199,2*(ROWS(V$15:V22)-1)+1)),"")</f>
        <v/>
      </c>
      <c r="W22" t="str" cm="1">
        <f t="array" ref="W22">IFERROR(IF(D22="","",INDEX('M04-S03'!$AV$18:$AV$199,2*(ROWS(W$15:W22)-1)+1)),"")</f>
        <v/>
      </c>
      <c r="X22" t="str" cm="1">
        <f t="array" ref="X22">IFERROR(IF(D22="","",INDEX('M04-S03'!$AV$18:$AV$199,2*(ROWS(X$15:X22)-0)+0)),"")</f>
        <v/>
      </c>
      <c r="AG22" s="98" t="str" cm="1">
        <f t="array" ref="AG22">IFERROR(IF(D22="","",IF(INDEX('M04-S03'!$CB$18:$CB$199,2*(ROWS(AG$15:AG22)-1)+1)="","",INDEX('M04-S03'!$CB$18:$CB$199,2*(ROWS(AG$15:AG22)-1)+1))),"")</f>
        <v/>
      </c>
      <c r="AH22" s="98" t="str" cm="1">
        <f t="array" ref="AH22">IFERROR(IF(D22="","",IF(INDEX('M04-S03'!$CU$18:$CU$199,2*(ROWS(AI$15:AI22)-1)+1)="","",INDEX('M04-S03'!$CU$18:$CU$199,2*(ROWS(AI$15:AI22)-1)+1))),"")</f>
        <v/>
      </c>
      <c r="AI22" s="20" t="str" cm="1">
        <f t="array" ref="AI22">IFERROR(IF(D22="","",IF(INDEX('M04-S03'!$CM$18:$CM$199,2*(ROWS(AI$15:AI22)-1)+1)="",0,INDEX('M04-S03'!$CM$18:$CM$199,2*(ROWS(AI$15:AI22)-1)+1))),"")</f>
        <v/>
      </c>
      <c r="AJ22" s="20" t="str">
        <f t="shared" si="1"/>
        <v/>
      </c>
      <c r="AK22" s="487" t="str" cm="1">
        <f t="array" ref="AK22">IFERROR(IF(D22="","",IF(INDEX('M04-S03'!$CN$18:$CN$199,2*(ROWS(AK$15:AK22)-1)+1)="",0,INDEX('M04-S03'!$CN$18:$CN$199,2*(ROWS(AK$15:AK22)-1)+1))),"")</f>
        <v/>
      </c>
      <c r="AL22" s="20" t="str">
        <f t="shared" si="34"/>
        <v/>
      </c>
      <c r="AM22" s="20" t="str">
        <f t="shared" si="24"/>
        <v/>
      </c>
      <c r="AN22" s="20" t="str" cm="1">
        <f t="array" ref="AN22">IFERROR(IF(D22="","",IF(INDEX('M04-S03'!$CO$18:$CO$199,2*(ROWS(AN$15:AN22)-1)+1)="",0,INDEX('M04-S03'!$CO$18:$CO$199,2*(ROWS(AN$15:AN22)-1)+1))),"")</f>
        <v/>
      </c>
      <c r="AO22" s="20" t="str" cm="1">
        <f t="array" ref="AO22">IFERROR(IF(D22="","",INDEX('M04-S03'!$R$18:$R$199,2*(ROWS(AO$15:AO22)-1)+1)),"")</f>
        <v/>
      </c>
      <c r="AP22" s="20" t="str" cm="1">
        <f t="array" ref="AP22">IFERROR(IF(D22="","",INDEX('M04-S03'!$AJ$18:$AJ$199,2*(ROWS(AP$15:AP22)-1)+1)),"")</f>
        <v/>
      </c>
      <c r="AQ22" s="487" t="str" cm="1">
        <f t="array" ref="AQ22">IFERROR(IF(D22="","",INDEX('M04-S03'!$U$18:$U$199,2*(ROWS(AQ$15:AQ22)-1)+1)),"")</f>
        <v/>
      </c>
      <c r="AR22" s="487" t="str" cm="1">
        <f t="array" ref="AR22">IFERROR(IF(D22="","",INDEX('M04-S03'!$AM$18:$AM$199,2*(ROWS(AR$15:AR22)-1)+1)),"")</f>
        <v/>
      </c>
      <c r="AS22" s="20" t="str" cm="1">
        <f t="array" ref="AS22">IFERROR(IF(D22="","",INDEX('M04-S03'!$X$18:$X$199,2*(ROWS(AS$15:AS22)-1)+1)),"")</f>
        <v/>
      </c>
      <c r="AT22" s="20" t="str" cm="1">
        <f t="array" ref="AT22">IFERROR(IF(D22="","",INDEX('M04-S03'!$AP$18:$AP$199,2*(ROWS(AT$15:AT22)-1)+1)),"")</f>
        <v/>
      </c>
      <c r="BP22" t="str" cm="1">
        <f t="array" ref="BP22">IFERROR(IF(D22="","",INDEX('M04-S03'!$CS$18:$CS$199,2*(ROWS(BP$15:BP22)-1)+1)),"")</f>
        <v/>
      </c>
      <c r="BR22" t="str" cm="1">
        <f t="array" ref="BR22">IFERROR(IF(D22="","",LEFT(INDEX('M04-S03'!$C$18:$C$199,2*(ROWS(BR$15:BR22)-1)+1),150)),"")</f>
        <v/>
      </c>
      <c r="BS22" t="str" cm="1">
        <f t="array" ref="BS22">IFERROR(IF(D22="","",INDEX('M04-S03'!$CT$18:$CT$199,2*(ROWS(BS$15:BS22)-1)+1)),"")</f>
        <v/>
      </c>
      <c r="BT22" s="6" t="str" cm="1">
        <f t="array" ref="BT22">IFERROR(ROUND(IF(D22="","",INDEX('M04-S03'!$BB$18:$BB$199,2*(ROWS(BT$15:BT22)-1)+1)),2),"")</f>
        <v/>
      </c>
      <c r="BU22" s="6" t="str" cm="1">
        <f t="array" ref="BU22">IFERROR(IF(D22="","",INDEX('M04-S03'!$CX$18:$CX$199,2*(ROWS(BU$15:BU22)-1)+1)),"")</f>
        <v/>
      </c>
      <c r="BV22" s="6" t="str" cm="1">
        <f t="array" ref="BV22">IFERROR(IF(D22="","",INDEX('M04-S03'!$CY$18:$CY$199,2*(ROWS(BV$15:BV22)-1)+1)),"")</f>
        <v/>
      </c>
      <c r="BW22" t="str">
        <f t="shared" si="35"/>
        <v/>
      </c>
      <c r="BX22" t="str">
        <f t="shared" si="36"/>
        <v/>
      </c>
      <c r="BY22" s="6" t="str" cm="1">
        <f t="array" ref="BY22">IFERROR(IF(D22="","",INDEX('M04-S03'!$CI$18:$CI$199,2*(ROWS(BY$15:BY22)-1)+1)),"")</f>
        <v/>
      </c>
      <c r="BZ22" s="6" t="str">
        <f t="shared" si="17"/>
        <v/>
      </c>
      <c r="CA22" s="6" t="str">
        <f t="shared" si="18"/>
        <v/>
      </c>
      <c r="CB22" s="6" t="str">
        <f t="shared" si="3"/>
        <v/>
      </c>
      <c r="CC22" s="6" t="str">
        <f t="shared" si="25"/>
        <v/>
      </c>
      <c r="CD22" s="6" t="str">
        <f t="shared" si="26"/>
        <v/>
      </c>
      <c r="CS22" t="str" cm="1">
        <f t="array" ref="CS22">IFERROR(IF(D22="","",INDEX('M04-S03'!$F$18:$F$199,2*(ROWS(CS$15:CS22)-1)+1)),"")</f>
        <v/>
      </c>
      <c r="CT22" t="str" cm="1">
        <f t="array" ref="CT22">IFERROR(IF(D22="","",INDEX('M04-S03'!$L$18:$L$199,2*(ROWS(CT$15:CT22)-1)+1)),"")</f>
        <v/>
      </c>
      <c r="CU22" t="str" cm="1">
        <f t="array" ref="CU22">IFERROR(IF(D22="","",INDEX('M04-S03'!$AD$18:$AD$199,2*(ROWS(CU$15:CU22)-1)+1)),"")</f>
        <v/>
      </c>
      <c r="DE22" s="150"/>
      <c r="DF22" s="150" t="str">
        <f>IFERROR(ROUND(IF(OR(D22="",DE22=""),"",TEMPLATE!$V$11),2),"")</f>
        <v/>
      </c>
      <c r="DG22" s="150"/>
      <c r="DH22" s="150" t="str">
        <f>IFERROR(ROUND(IF(OR(D22="",DG22=""),"",TEMPLATE!$V$11),2),"")</f>
        <v/>
      </c>
      <c r="DI22" s="150"/>
      <c r="DJ22" s="150" t="str">
        <f>IFERROR(ROUND(IF(OR(D22="",DI22=""),"",TEMPLATE!$V$11),2),"")</f>
        <v/>
      </c>
      <c r="DK22" s="150"/>
      <c r="DL22" s="150" t="str">
        <f>IFERROR(ROUND(IF(OR(D22="",DK22=""),"",TEMPLATE!$V$11),2),"")</f>
        <v/>
      </c>
      <c r="DM22" s="150"/>
      <c r="DN22" s="150" t="str">
        <f>IFERROR(ROUND(IF(OR(D22="",DM22=""),"",TEMPLATE!$V$11),2),"")</f>
        <v/>
      </c>
      <c r="DO22" s="150"/>
      <c r="DP22" s="150" t="str">
        <f>IFERROR(ROUND(IF(OR(D22="",DO22=""),"",TEMPLATE!$V$11),2),"")</f>
        <v/>
      </c>
      <c r="DQ22" s="150"/>
      <c r="DR22" s="150" t="str">
        <f>IFERROR(ROUND(IF(OR(D22="",DQ22=""),"",TEMPLATE!$V$11),2),"")</f>
        <v/>
      </c>
      <c r="DS22" s="150"/>
      <c r="DT22" s="150" t="str">
        <f>IFERROR(ROUND(IF(OR(D22="",DS22=""),"",TEMPLATE!$V$11),2),"")</f>
        <v/>
      </c>
      <c r="DU22" s="150" t="str" cm="1">
        <f t="array" ref="DU22">IFERROR(ROUND(IF($D22="","",INDEX('M04-S03'!DD$18:DD$199,2*(ROWS(DU$15:DU22)-1)+1)),4),"")</f>
        <v/>
      </c>
      <c r="DV22" s="150" t="str" cm="1">
        <f t="array" ref="DV22">IFERROR(ROUND(IF($D22="","",INDEX('M04-S03'!DE$18:DE$199,2*(ROWS(DV$15:DV22)-1)+1)),4),"")</f>
        <v/>
      </c>
      <c r="DW22" s="150" t="str" cm="1">
        <f t="array" ref="DW22">IFERROR(ROUND(IF($D22="","",INDEX('M04-S03'!DF$18:DF$199,2*(ROWS(DW$15:DW22)-1)+1)),4),"")</f>
        <v/>
      </c>
      <c r="DX22" s="150" t="str" cm="1">
        <f t="array" ref="DX22">IFERROR(ROUND(IF($D22="","",INDEX('M04-S03'!DG$18:DG$199,2*(ROWS(DX$15:DX22)-1)+1)),4),"")</f>
        <v/>
      </c>
      <c r="DY22" s="150" t="str" cm="1">
        <f t="array" ref="DY22">IFERROR(ROUND(IF($D22="","",INDEX('M04-S03'!DH$18:DH$199,2*(ROWS(DY$15:DY22)-1)+1)),4),"")</f>
        <v/>
      </c>
      <c r="DZ22" s="150" t="str" cm="1">
        <f t="array" ref="DZ22">IFERROR(ROUND(IF($D22="","",INDEX('M04-S03'!DI$18:DI$199,2*(ROWS(DZ$15:DZ22)-1)+1)),4),"")</f>
        <v/>
      </c>
      <c r="EA22" s="150" t="str" cm="1">
        <f t="array" ref="EA22">IFERROR(ROUND(IF($D22="","",INDEX('M04-S03'!DJ$18:DJ$199,2*(ROWS(EA$15:EA22)-1)+1)),4),"")</f>
        <v/>
      </c>
      <c r="EB22" s="150" t="str" cm="1">
        <f t="array" ref="EB22">IFERROR(ROUND(IF($D22="","",INDEX('M04-S03'!DK$18:DK$199,2*(ROWS(EB$15:EB22)-1)+1)),6),"")</f>
        <v/>
      </c>
      <c r="EC22" s="150" t="str" cm="1">
        <f t="array" ref="EC22">IFERROR(ROUND(IF($D22="","",INDEX('M04-S03'!DL$18:DL$199,2*(ROWS(EC$15:EC22)-1)+1)),6),"")</f>
        <v/>
      </c>
      <c r="ED22" s="150" t="str" cm="1">
        <f t="array" ref="ED22">IFERROR(ROUND(IF($D22="","",INDEX('M04-S03'!DM$18:DM$199,2*(ROWS(ED$15:ED22)-1)+1)),6),"")</f>
        <v/>
      </c>
      <c r="EE22" s="150" t="str" cm="1">
        <f t="array" ref="EE22">IFERROR(ROUND(IF($D22="","",INDEX('M04-S03'!DN$18:DN$199,2*(ROWS(EE$15:EE22)-1)+1)),6),"")</f>
        <v/>
      </c>
      <c r="EF22" s="150" t="str" cm="1">
        <f t="array" ref="EF22">IFERROR(ROUND(IF($D22="","",INDEX('M04-S03'!DO$18:DO$199,2*(ROWS(EF$15:EF22)-1)+1)),6),"")</f>
        <v/>
      </c>
      <c r="EG22" s="150" t="str" cm="1">
        <f t="array" ref="EG22">IFERROR(ROUND(IF($D22="","",INDEX('M04-S03'!DP$18:DP$199,2*(ROWS(EG$15:EG22)-1)+1)),6),"")</f>
        <v/>
      </c>
      <c r="EH22" s="150" t="str" cm="1">
        <f t="array" ref="EH22">IFERROR(ROUND(IF($D22="","",INDEX('M04-S03'!DQ$18:DQ$199,2*(ROWS(EH$15:EH22)-1)+1)),6),"")</f>
        <v/>
      </c>
      <c r="EI22" s="150" t="str" cm="1">
        <f t="array" ref="EI22">IFERROR(ROUND(IF($D22="","",INDEX('M04-S03'!DR$18:DR$199,2*(ROWS(EI$15:EI22)-1)+1)),6),"")</f>
        <v/>
      </c>
      <c r="EJ22" s="150" t="str" cm="1">
        <f t="array" ref="EJ22">IFERROR(ROUND(IF($D22="","",INDEX('M04-S03'!DS$18:DS$199,2*(ROWS(EJ$15:EJ22)-1)+1)),6),"")</f>
        <v/>
      </c>
      <c r="EK22" s="150" t="str" cm="1">
        <f t="array" ref="EK22">IFERROR(ROUND(IF($D22="","",INDEX('M04-S03'!DT$18:DT$199,2*(ROWS(EK$15:EK22)-1)+1)),6),"")</f>
        <v/>
      </c>
      <c r="EL22" s="150" t="str" cm="1">
        <f t="array" ref="EL22">IFERROR(ROUND(IF($D22="","",INDEX('M04-S03'!DU$18:DU$199,2*(ROWS(EL$15:EL22)-1)+1)),6),"")</f>
        <v/>
      </c>
      <c r="EM22" s="150" t="str" cm="1">
        <f t="array" ref="EM22">IFERROR(ROUND(IF($D22="","",INDEX('M04-S03'!DV$18:DV$199,2*(ROWS(EM$15:EM22)-1)+1)),6),"")</f>
        <v/>
      </c>
      <c r="EN22" s="150" t="str" cm="1">
        <f t="array" ref="EN22">IFERROR(ROUND(IF($D22="","",INDEX('M04-S03'!DW$18:DW$199,2*(ROWS(EN$15:EN22)-1)+1)),6),"")</f>
        <v/>
      </c>
      <c r="EO22" s="150" t="str" cm="1">
        <f t="array" ref="EO22">IFERROR(ROUND(IF($D22="","",INDEX('M04-S03'!DX$18:DX$199,2*(ROWS(EO$15:EO22)-1)+1)),6),"")</f>
        <v/>
      </c>
      <c r="EP22" s="150" t="str" cm="1">
        <f t="array" ref="EP22">IFERROR(ROUND(IF($D22="","",INDEX('M04-S03'!DY$18:DY$199,2*(ROWS(EP$15:EP22)-1)+1)),6),"")</f>
        <v/>
      </c>
      <c r="EQ22" s="150" t="str" cm="1">
        <f t="array" ref="EQ22">IFERROR(ROUND(IF($D22="","",INDEX('M04-S03'!DZ$18:DZ$199,2*(ROWS(EQ$15:EQ22)-1)+1)),6),"")</f>
        <v/>
      </c>
      <c r="ER22" s="150" t="str">
        <f t="shared" si="21"/>
        <v/>
      </c>
      <c r="ES22" s="150" t="str">
        <f t="shared" si="37"/>
        <v/>
      </c>
      <c r="ET22" s="150" t="str">
        <f t="shared" si="38"/>
        <v/>
      </c>
      <c r="EU22" s="150" t="str">
        <f t="shared" si="39"/>
        <v/>
      </c>
      <c r="EV22" s="150" t="str">
        <f t="shared" si="40"/>
        <v/>
      </c>
      <c r="EW22" s="150" t="str">
        <f t="shared" si="41"/>
        <v/>
      </c>
      <c r="EX22" s="150" t="str">
        <f t="shared" si="42"/>
        <v/>
      </c>
      <c r="EY22" s="150" t="str">
        <f t="shared" si="22"/>
        <v/>
      </c>
      <c r="EZ22" s="150" t="str" cm="1">
        <f t="array" ref="EZ22">IFERROR(ROUND(IF($D22="","",INDEX('M04-S03'!EA$18:EA$199,2*(ROWS(EZ$15:EZ22)-1)+1)),6),"")</f>
        <v/>
      </c>
      <c r="FA22" s="150" t="str" cm="1">
        <f t="array" ref="FA22">IFERROR(ROUND(IF($D22="","",INDEX('M04-S03'!EB$18:EB$199,2*(ROWS(FA$15:FA22)-1)+1)),6),"")</f>
        <v/>
      </c>
      <c r="FB22" s="150" t="str" cm="1">
        <f t="array" ref="FB22">IFERROR(ROUND(IF($D22="","",INDEX('M04-S03'!EC$18:EC$199,2*(ROWS(FB$15:FB22)-1)+1)),6),"")</f>
        <v/>
      </c>
      <c r="FC22" s="150" t="str" cm="1">
        <f t="array" ref="FC22">IFERROR(ROUND(IF($D22="","",INDEX('M04-S03'!ED$18:ED$199,2*(ROWS(FC$15:FC22)-1)+1)),6),"")</f>
        <v/>
      </c>
      <c r="FD22" s="150" t="str" cm="1">
        <f t="array" ref="FD22">IFERROR(ROUND(IF($D22="","",INDEX('M04-S03'!EE$18:EE$199,2*(ROWS(FD$15:FD22)-1)+1)),6),"")</f>
        <v/>
      </c>
      <c r="FE22" s="150" t="str" cm="1">
        <f t="array" ref="FE22">IFERROR(ROUND(IF($D22="","",INDEX('M04-S03'!EF$18:EF$199,2*(ROWS(FE$15:FE22)-1)+1)),6),"")</f>
        <v/>
      </c>
      <c r="FF22" s="150" t="str" cm="1">
        <f t="array" ref="FF22">IFERROR(ROUND(IF($D22="","",INDEX('M04-S03'!EG$18:EG$199,2*(ROWS(FF$15:FF22)-1)+1)),6),"")</f>
        <v/>
      </c>
      <c r="FG22" s="150" t="str" cm="1">
        <f t="array" ref="FG22">IFERROR(ROUND(IF($D22="","",INDEX('M04-S03'!EH$18:EH$199,2*(ROWS(FG$15:FG22)-1)+1)),6),"")</f>
        <v/>
      </c>
      <c r="FH22" s="150" t="str" cm="1">
        <f t="array" ref="FH22">IFERROR(ROUND(IF($D22="","",INDEX('M04-S03'!EI$18:EI$199,2*(ROWS(FH$15:FH22)-1)+1)),6),"")</f>
        <v/>
      </c>
      <c r="FI22" s="150" t="str" cm="1">
        <f t="array" ref="FI22">IFERROR(ROUND(IF($D22="","",INDEX('M04-S03'!EJ$18:EJ$199,2*(ROWS(FI$15:FI22)-1)+1)),6),"")</f>
        <v/>
      </c>
      <c r="FJ22" s="150" t="str" cm="1">
        <f t="array" ref="FJ22">IFERROR(ROUND(IF($D22="","",INDEX('M04-S03'!EK$18:EK$199,2*(ROWS(FJ$15:FJ22)-1)+1)),6),"")</f>
        <v/>
      </c>
      <c r="FK22" s="150" t="str" cm="1">
        <f t="array" ref="FK22">IFERROR(ROUND(IF($D22="","",INDEX('M04-S03'!EL$18:EL$199,2*(ROWS(FK$15:FK22)-1)+1)),6),"")</f>
        <v/>
      </c>
      <c r="FL22" s="150" t="str" cm="1">
        <f t="array" ref="FL22">IFERROR(ROUND(IF($D22="","",INDEX('M04-S03'!EM$18:EM$199,2*(ROWS(FL$15:FL22)-1)+1)),6),"")</f>
        <v/>
      </c>
      <c r="FM22" s="150" t="str" cm="1">
        <f t="array" ref="FM22">IFERROR(ROUND(IF($D22="","",INDEX('M04-S03'!EN$18:EN$199,2*(ROWS(FM$15:FM22)-1)+1)),6),"")</f>
        <v/>
      </c>
    </row>
    <row r="23" spans="1:169">
      <c r="A23" t="str">
        <f t="shared" si="27"/>
        <v/>
      </c>
      <c r="B23" t="str">
        <f t="shared" si="28"/>
        <v/>
      </c>
      <c r="C23" t="str" cm="1">
        <f t="array" ref="C23">IFERROR(IF(D23="","",INDEX('M04-S03'!$B$18:$B$199,2*(ROWS(C$15:C23)-1)+1)),"")</f>
        <v/>
      </c>
      <c r="D23" t="str">
        <f t="shared" si="29"/>
        <v/>
      </c>
      <c r="E23" t="str" cm="1">
        <f t="array" ref="E23">IFERROR(IF(INDEX('M04-S03'!$CC$18:$CC$199,2*(ROWS(E$15:E23)-1)+1)="","",INDEX('M04-S03'!$CC$18:$CC$199,2*(ROWS(E$15:E23)-1)+1)),"")</f>
        <v/>
      </c>
      <c r="G23" t="str">
        <f t="shared" si="30"/>
        <v/>
      </c>
      <c r="H23" t="str">
        <f t="shared" si="31"/>
        <v/>
      </c>
      <c r="L23" t="str">
        <f t="shared" si="32"/>
        <v/>
      </c>
      <c r="O23" t="str">
        <f t="shared" si="33"/>
        <v/>
      </c>
      <c r="V23" t="str" cm="1">
        <f t="array" ref="V23">IFERROR(IF(D23="","",INDEX('M04-S03'!$AY$18:$AY$199,2*(ROWS(V$15:V23)-1)+1)),"")</f>
        <v/>
      </c>
      <c r="W23" t="str" cm="1">
        <f t="array" ref="W23">IFERROR(IF(D23="","",INDEX('M04-S03'!$AV$18:$AV$199,2*(ROWS(W$15:W23)-1)+1)),"")</f>
        <v/>
      </c>
      <c r="X23" t="str" cm="1">
        <f t="array" ref="X23">IFERROR(IF(D23="","",INDEX('M04-S03'!$AV$18:$AV$199,2*(ROWS(X$15:X23)-0)+0)),"")</f>
        <v/>
      </c>
      <c r="AG23" s="98" t="str" cm="1">
        <f t="array" ref="AG23">IFERROR(IF(D23="","",IF(INDEX('M04-S03'!$CB$18:$CB$199,2*(ROWS(AG$15:AG23)-1)+1)="","",INDEX('M04-S03'!$CB$18:$CB$199,2*(ROWS(AG$15:AG23)-1)+1))),"")</f>
        <v/>
      </c>
      <c r="AH23" s="98" t="str" cm="1">
        <f t="array" ref="AH23">IFERROR(IF(D23="","",IF(INDEX('M04-S03'!$CU$18:$CU$199,2*(ROWS(AI$15:AI23)-1)+1)="","",INDEX('M04-S03'!$CU$18:$CU$199,2*(ROWS(AI$15:AI23)-1)+1))),"")</f>
        <v/>
      </c>
      <c r="AI23" s="20" t="str" cm="1">
        <f t="array" ref="AI23">IFERROR(IF(D23="","",IF(INDEX('M04-S03'!$CM$18:$CM$199,2*(ROWS(AI$15:AI23)-1)+1)="",0,INDEX('M04-S03'!$CM$18:$CM$199,2*(ROWS(AI$15:AI23)-1)+1))),"")</f>
        <v/>
      </c>
      <c r="AJ23" s="20" t="str">
        <f t="shared" si="1"/>
        <v/>
      </c>
      <c r="AK23" s="487" t="str" cm="1">
        <f t="array" ref="AK23">IFERROR(IF(D23="","",IF(INDEX('M04-S03'!$CN$18:$CN$199,2*(ROWS(AK$15:AK23)-1)+1)="",0,INDEX('M04-S03'!$CN$18:$CN$199,2*(ROWS(AK$15:AK23)-1)+1))),"")</f>
        <v/>
      </c>
      <c r="AL23" s="20" t="str">
        <f t="shared" si="34"/>
        <v/>
      </c>
      <c r="AM23" s="20" t="str">
        <f t="shared" si="24"/>
        <v/>
      </c>
      <c r="AN23" s="20" t="str" cm="1">
        <f t="array" ref="AN23">IFERROR(IF(D23="","",IF(INDEX('M04-S03'!$CO$18:$CO$199,2*(ROWS(AN$15:AN23)-1)+1)="",0,INDEX('M04-S03'!$CO$18:$CO$199,2*(ROWS(AN$15:AN23)-1)+1))),"")</f>
        <v/>
      </c>
      <c r="AO23" s="20" t="str" cm="1">
        <f t="array" ref="AO23">IFERROR(IF(D23="","",INDEX('M04-S03'!$R$18:$R$199,2*(ROWS(AO$15:AO23)-1)+1)),"")</f>
        <v/>
      </c>
      <c r="AP23" s="20" t="str" cm="1">
        <f t="array" ref="AP23">IFERROR(IF(D23="","",INDEX('M04-S03'!$AJ$18:$AJ$199,2*(ROWS(AP$15:AP23)-1)+1)),"")</f>
        <v/>
      </c>
      <c r="AQ23" s="487" t="str" cm="1">
        <f t="array" ref="AQ23">IFERROR(IF(D23="","",INDEX('M04-S03'!$U$18:$U$199,2*(ROWS(AQ$15:AQ23)-1)+1)),"")</f>
        <v/>
      </c>
      <c r="AR23" s="487" t="str" cm="1">
        <f t="array" ref="AR23">IFERROR(IF(D23="","",INDEX('M04-S03'!$AM$18:$AM$199,2*(ROWS(AR$15:AR23)-1)+1)),"")</f>
        <v/>
      </c>
      <c r="AS23" s="20" t="str" cm="1">
        <f t="array" ref="AS23">IFERROR(IF(D23="","",INDEX('M04-S03'!$X$18:$X$199,2*(ROWS(AS$15:AS23)-1)+1)),"")</f>
        <v/>
      </c>
      <c r="AT23" s="20" t="str" cm="1">
        <f t="array" ref="AT23">IFERROR(IF(D23="","",INDEX('M04-S03'!$AP$18:$AP$199,2*(ROWS(AT$15:AT23)-1)+1)),"")</f>
        <v/>
      </c>
      <c r="BP23" t="str" cm="1">
        <f t="array" ref="BP23">IFERROR(IF(D23="","",INDEX('M04-S03'!$CS$18:$CS$199,2*(ROWS(BP$15:BP23)-1)+1)),"")</f>
        <v/>
      </c>
      <c r="BR23" t="str" cm="1">
        <f t="array" ref="BR23">IFERROR(IF(D23="","",LEFT(INDEX('M04-S03'!$C$18:$C$199,2*(ROWS(BR$15:BR23)-1)+1),150)),"")</f>
        <v/>
      </c>
      <c r="BS23" t="str" cm="1">
        <f t="array" ref="BS23">IFERROR(IF(D23="","",INDEX('M04-S03'!$CT$18:$CT$199,2*(ROWS(BS$15:BS23)-1)+1)),"")</f>
        <v/>
      </c>
      <c r="BT23" s="6" t="str" cm="1">
        <f t="array" ref="BT23">IFERROR(ROUND(IF(D23="","",INDEX('M04-S03'!$BB$18:$BB$199,2*(ROWS(BT$15:BT23)-1)+1)),2),"")</f>
        <v/>
      </c>
      <c r="BU23" s="6" t="str" cm="1">
        <f t="array" ref="BU23">IFERROR(IF(D23="","",INDEX('M04-S03'!$CX$18:$CX$199,2*(ROWS(BU$15:BU23)-1)+1)),"")</f>
        <v/>
      </c>
      <c r="BV23" s="6" t="str" cm="1">
        <f t="array" ref="BV23">IFERROR(IF(D23="","",INDEX('M04-S03'!$CY$18:$CY$199,2*(ROWS(BV$15:BV23)-1)+1)),"")</f>
        <v/>
      </c>
      <c r="BW23" t="str">
        <f t="shared" si="35"/>
        <v/>
      </c>
      <c r="BX23" t="str">
        <f t="shared" si="36"/>
        <v/>
      </c>
      <c r="BY23" s="6" t="str" cm="1">
        <f t="array" ref="BY23">IFERROR(IF(D23="","",INDEX('M04-S03'!$CI$18:$CI$199,2*(ROWS(BY$15:BY23)-1)+1)),"")</f>
        <v/>
      </c>
      <c r="BZ23" s="6" t="str">
        <f t="shared" si="17"/>
        <v/>
      </c>
      <c r="CA23" s="6" t="str">
        <f t="shared" si="18"/>
        <v/>
      </c>
      <c r="CB23" s="6" t="str">
        <f t="shared" si="3"/>
        <v/>
      </c>
      <c r="CC23" s="6" t="str">
        <f t="shared" si="25"/>
        <v/>
      </c>
      <c r="CD23" s="6" t="str">
        <f t="shared" si="26"/>
        <v/>
      </c>
      <c r="CS23" t="str" cm="1">
        <f t="array" ref="CS23">IFERROR(IF(D23="","",INDEX('M04-S03'!$F$18:$F$199,2*(ROWS(CS$15:CS23)-1)+1)),"")</f>
        <v/>
      </c>
      <c r="CT23" t="str" cm="1">
        <f t="array" ref="CT23">IFERROR(IF(D23="","",INDEX('M04-S03'!$L$18:$L$199,2*(ROWS(CT$15:CT23)-1)+1)),"")</f>
        <v/>
      </c>
      <c r="CU23" t="str" cm="1">
        <f t="array" ref="CU23">IFERROR(IF(D23="","",INDEX('M04-S03'!$AD$18:$AD$199,2*(ROWS(CU$15:CU23)-1)+1)),"")</f>
        <v/>
      </c>
      <c r="DE23" s="150"/>
      <c r="DF23" s="150" t="str">
        <f>IFERROR(ROUND(IF(OR(D23="",DE23=""),"",TEMPLATE!$V$11),2),"")</f>
        <v/>
      </c>
      <c r="DG23" s="150"/>
      <c r="DH23" s="150" t="str">
        <f>IFERROR(ROUND(IF(OR(D23="",DG23=""),"",TEMPLATE!$V$11),2),"")</f>
        <v/>
      </c>
      <c r="DI23" s="150"/>
      <c r="DJ23" s="150" t="str">
        <f>IFERROR(ROUND(IF(OR(D23="",DI23=""),"",TEMPLATE!$V$11),2),"")</f>
        <v/>
      </c>
      <c r="DK23" s="150"/>
      <c r="DL23" s="150" t="str">
        <f>IFERROR(ROUND(IF(OR(D23="",DK23=""),"",TEMPLATE!$V$11),2),"")</f>
        <v/>
      </c>
      <c r="DM23" s="150"/>
      <c r="DN23" s="150" t="str">
        <f>IFERROR(ROUND(IF(OR(D23="",DM23=""),"",TEMPLATE!$V$11),2),"")</f>
        <v/>
      </c>
      <c r="DO23" s="150"/>
      <c r="DP23" s="150" t="str">
        <f>IFERROR(ROUND(IF(OR(D23="",DO23=""),"",TEMPLATE!$V$11),2),"")</f>
        <v/>
      </c>
      <c r="DQ23" s="150"/>
      <c r="DR23" s="150" t="str">
        <f>IFERROR(ROUND(IF(OR(D23="",DQ23=""),"",TEMPLATE!$V$11),2),"")</f>
        <v/>
      </c>
      <c r="DS23" s="150"/>
      <c r="DT23" s="150" t="str">
        <f>IFERROR(ROUND(IF(OR(D23="",DS23=""),"",TEMPLATE!$V$11),2),"")</f>
        <v/>
      </c>
      <c r="DU23" s="150" t="str" cm="1">
        <f t="array" ref="DU23">IFERROR(ROUND(IF($D23="","",INDEX('M04-S03'!DD$18:DD$199,2*(ROWS(DU$15:DU23)-1)+1)),4),"")</f>
        <v/>
      </c>
      <c r="DV23" s="150" t="str" cm="1">
        <f t="array" ref="DV23">IFERROR(ROUND(IF($D23="","",INDEX('M04-S03'!DE$18:DE$199,2*(ROWS(DV$15:DV23)-1)+1)),4),"")</f>
        <v/>
      </c>
      <c r="DW23" s="150" t="str" cm="1">
        <f t="array" ref="DW23">IFERROR(ROUND(IF($D23="","",INDEX('M04-S03'!DF$18:DF$199,2*(ROWS(DW$15:DW23)-1)+1)),4),"")</f>
        <v/>
      </c>
      <c r="DX23" s="150" t="str" cm="1">
        <f t="array" ref="DX23">IFERROR(ROUND(IF($D23="","",INDEX('M04-S03'!DG$18:DG$199,2*(ROWS(DX$15:DX23)-1)+1)),4),"")</f>
        <v/>
      </c>
      <c r="DY23" s="150" t="str" cm="1">
        <f t="array" ref="DY23">IFERROR(ROUND(IF($D23="","",INDEX('M04-S03'!DH$18:DH$199,2*(ROWS(DY$15:DY23)-1)+1)),4),"")</f>
        <v/>
      </c>
      <c r="DZ23" s="150" t="str" cm="1">
        <f t="array" ref="DZ23">IFERROR(ROUND(IF($D23="","",INDEX('M04-S03'!DI$18:DI$199,2*(ROWS(DZ$15:DZ23)-1)+1)),4),"")</f>
        <v/>
      </c>
      <c r="EA23" s="150" t="str" cm="1">
        <f t="array" ref="EA23">IFERROR(ROUND(IF($D23="","",INDEX('M04-S03'!DJ$18:DJ$199,2*(ROWS(EA$15:EA23)-1)+1)),4),"")</f>
        <v/>
      </c>
      <c r="EB23" s="150" t="str" cm="1">
        <f t="array" ref="EB23">IFERROR(ROUND(IF($D23="","",INDEX('M04-S03'!DK$18:DK$199,2*(ROWS(EB$15:EB23)-1)+1)),6),"")</f>
        <v/>
      </c>
      <c r="EC23" s="150" t="str" cm="1">
        <f t="array" ref="EC23">IFERROR(ROUND(IF($D23="","",INDEX('M04-S03'!DL$18:DL$199,2*(ROWS(EC$15:EC23)-1)+1)),6),"")</f>
        <v/>
      </c>
      <c r="ED23" s="150" t="str" cm="1">
        <f t="array" ref="ED23">IFERROR(ROUND(IF($D23="","",INDEX('M04-S03'!DM$18:DM$199,2*(ROWS(ED$15:ED23)-1)+1)),6),"")</f>
        <v/>
      </c>
      <c r="EE23" s="150" t="str" cm="1">
        <f t="array" ref="EE23">IFERROR(ROUND(IF($D23="","",INDEX('M04-S03'!DN$18:DN$199,2*(ROWS(EE$15:EE23)-1)+1)),6),"")</f>
        <v/>
      </c>
      <c r="EF23" s="150" t="str" cm="1">
        <f t="array" ref="EF23">IFERROR(ROUND(IF($D23="","",INDEX('M04-S03'!DO$18:DO$199,2*(ROWS(EF$15:EF23)-1)+1)),6),"")</f>
        <v/>
      </c>
      <c r="EG23" s="150" t="str" cm="1">
        <f t="array" ref="EG23">IFERROR(ROUND(IF($D23="","",INDEX('M04-S03'!DP$18:DP$199,2*(ROWS(EG$15:EG23)-1)+1)),6),"")</f>
        <v/>
      </c>
      <c r="EH23" s="150" t="str" cm="1">
        <f t="array" ref="EH23">IFERROR(ROUND(IF($D23="","",INDEX('M04-S03'!DQ$18:DQ$199,2*(ROWS(EH$15:EH23)-1)+1)),6),"")</f>
        <v/>
      </c>
      <c r="EI23" s="150" t="str" cm="1">
        <f t="array" ref="EI23">IFERROR(ROUND(IF($D23="","",INDEX('M04-S03'!DR$18:DR$199,2*(ROWS(EI$15:EI23)-1)+1)),6),"")</f>
        <v/>
      </c>
      <c r="EJ23" s="150" t="str" cm="1">
        <f t="array" ref="EJ23">IFERROR(ROUND(IF($D23="","",INDEX('M04-S03'!DS$18:DS$199,2*(ROWS(EJ$15:EJ23)-1)+1)),6),"")</f>
        <v/>
      </c>
      <c r="EK23" s="150" t="str" cm="1">
        <f t="array" ref="EK23">IFERROR(ROUND(IF($D23="","",INDEX('M04-S03'!DT$18:DT$199,2*(ROWS(EK$15:EK23)-1)+1)),6),"")</f>
        <v/>
      </c>
      <c r="EL23" s="150" t="str" cm="1">
        <f t="array" ref="EL23">IFERROR(ROUND(IF($D23="","",INDEX('M04-S03'!DU$18:DU$199,2*(ROWS(EL$15:EL23)-1)+1)),6),"")</f>
        <v/>
      </c>
      <c r="EM23" s="150" t="str" cm="1">
        <f t="array" ref="EM23">IFERROR(ROUND(IF($D23="","",INDEX('M04-S03'!DV$18:DV$199,2*(ROWS(EM$15:EM23)-1)+1)),6),"")</f>
        <v/>
      </c>
      <c r="EN23" s="150" t="str" cm="1">
        <f t="array" ref="EN23">IFERROR(ROUND(IF($D23="","",INDEX('M04-S03'!DW$18:DW$199,2*(ROWS(EN$15:EN23)-1)+1)),6),"")</f>
        <v/>
      </c>
      <c r="EO23" s="150" t="str" cm="1">
        <f t="array" ref="EO23">IFERROR(ROUND(IF($D23="","",INDEX('M04-S03'!DX$18:DX$199,2*(ROWS(EO$15:EO23)-1)+1)),6),"")</f>
        <v/>
      </c>
      <c r="EP23" s="150" t="str" cm="1">
        <f t="array" ref="EP23">IFERROR(ROUND(IF($D23="","",INDEX('M04-S03'!DY$18:DY$199,2*(ROWS(EP$15:EP23)-1)+1)),6),"")</f>
        <v/>
      </c>
      <c r="EQ23" s="150" t="str" cm="1">
        <f t="array" ref="EQ23">IFERROR(ROUND(IF($D23="","",INDEX('M04-S03'!DZ$18:DZ$199,2*(ROWS(EQ$15:EQ23)-1)+1)),6),"")</f>
        <v/>
      </c>
      <c r="ER23" s="150" t="str">
        <f t="shared" si="21"/>
        <v/>
      </c>
      <c r="ES23" s="150" t="str">
        <f t="shared" si="37"/>
        <v/>
      </c>
      <c r="ET23" s="150" t="str">
        <f t="shared" si="38"/>
        <v/>
      </c>
      <c r="EU23" s="150" t="str">
        <f t="shared" si="39"/>
        <v/>
      </c>
      <c r="EV23" s="150" t="str">
        <f t="shared" si="40"/>
        <v/>
      </c>
      <c r="EW23" s="150" t="str">
        <f t="shared" si="41"/>
        <v/>
      </c>
      <c r="EX23" s="150" t="str">
        <f t="shared" si="42"/>
        <v/>
      </c>
      <c r="EY23" s="150" t="str">
        <f t="shared" si="22"/>
        <v/>
      </c>
      <c r="EZ23" s="150" t="str" cm="1">
        <f t="array" ref="EZ23">IFERROR(ROUND(IF($D23="","",INDEX('M04-S03'!EA$18:EA$199,2*(ROWS(EZ$15:EZ23)-1)+1)),6),"")</f>
        <v/>
      </c>
      <c r="FA23" s="150" t="str" cm="1">
        <f t="array" ref="FA23">IFERROR(ROUND(IF($D23="","",INDEX('M04-S03'!EB$18:EB$199,2*(ROWS(FA$15:FA23)-1)+1)),6),"")</f>
        <v/>
      </c>
      <c r="FB23" s="150" t="str" cm="1">
        <f t="array" ref="FB23">IFERROR(ROUND(IF($D23="","",INDEX('M04-S03'!EC$18:EC$199,2*(ROWS(FB$15:FB23)-1)+1)),6),"")</f>
        <v/>
      </c>
      <c r="FC23" s="150" t="str" cm="1">
        <f t="array" ref="FC23">IFERROR(ROUND(IF($D23="","",INDEX('M04-S03'!ED$18:ED$199,2*(ROWS(FC$15:FC23)-1)+1)),6),"")</f>
        <v/>
      </c>
      <c r="FD23" s="150" t="str" cm="1">
        <f t="array" ref="FD23">IFERROR(ROUND(IF($D23="","",INDEX('M04-S03'!EE$18:EE$199,2*(ROWS(FD$15:FD23)-1)+1)),6),"")</f>
        <v/>
      </c>
      <c r="FE23" s="150" t="str" cm="1">
        <f t="array" ref="FE23">IFERROR(ROUND(IF($D23="","",INDEX('M04-S03'!EF$18:EF$199,2*(ROWS(FE$15:FE23)-1)+1)),6),"")</f>
        <v/>
      </c>
      <c r="FF23" s="150" t="str" cm="1">
        <f t="array" ref="FF23">IFERROR(ROUND(IF($D23="","",INDEX('M04-S03'!EG$18:EG$199,2*(ROWS(FF$15:FF23)-1)+1)),6),"")</f>
        <v/>
      </c>
      <c r="FG23" s="150" t="str" cm="1">
        <f t="array" ref="FG23">IFERROR(ROUND(IF($D23="","",INDEX('M04-S03'!EH$18:EH$199,2*(ROWS(FG$15:FG23)-1)+1)),6),"")</f>
        <v/>
      </c>
      <c r="FH23" s="150" t="str" cm="1">
        <f t="array" ref="FH23">IFERROR(ROUND(IF($D23="","",INDEX('M04-S03'!EI$18:EI$199,2*(ROWS(FH$15:FH23)-1)+1)),6),"")</f>
        <v/>
      </c>
      <c r="FI23" s="150" t="str" cm="1">
        <f t="array" ref="FI23">IFERROR(ROUND(IF($D23="","",INDEX('M04-S03'!EJ$18:EJ$199,2*(ROWS(FI$15:FI23)-1)+1)),6),"")</f>
        <v/>
      </c>
      <c r="FJ23" s="150" t="str" cm="1">
        <f t="array" ref="FJ23">IFERROR(ROUND(IF($D23="","",INDEX('M04-S03'!EK$18:EK$199,2*(ROWS(FJ$15:FJ23)-1)+1)),6),"")</f>
        <v/>
      </c>
      <c r="FK23" s="150" t="str" cm="1">
        <f t="array" ref="FK23">IFERROR(ROUND(IF($D23="","",INDEX('M04-S03'!EL$18:EL$199,2*(ROWS(FK$15:FK23)-1)+1)),6),"")</f>
        <v/>
      </c>
      <c r="FL23" s="150" t="str" cm="1">
        <f t="array" ref="FL23">IFERROR(ROUND(IF($D23="","",INDEX('M04-S03'!EM$18:EM$199,2*(ROWS(FL$15:FL23)-1)+1)),6),"")</f>
        <v/>
      </c>
      <c r="FM23" s="150" t="str" cm="1">
        <f t="array" ref="FM23">IFERROR(ROUND(IF($D23="","",INDEX('M04-S03'!EN$18:EN$199,2*(ROWS(FM$15:FM23)-1)+1)),6),"")</f>
        <v/>
      </c>
    </row>
    <row r="24" spans="1:169">
      <c r="A24" t="str">
        <f t="shared" si="27"/>
        <v/>
      </c>
      <c r="B24" t="str">
        <f t="shared" si="28"/>
        <v/>
      </c>
      <c r="C24" t="str" cm="1">
        <f t="array" ref="C24">IFERROR(IF(D24="","",INDEX('M04-S03'!$B$18:$B$199,2*(ROWS(C$15:C24)-1)+1)),"")</f>
        <v/>
      </c>
      <c r="D24" t="str">
        <f t="shared" si="29"/>
        <v/>
      </c>
      <c r="E24" t="str" cm="1">
        <f t="array" ref="E24">IFERROR(IF(INDEX('M04-S03'!$CC$18:$CC$199,2*(ROWS(E$15:E24)-1)+1)="","",INDEX('M04-S03'!$CC$18:$CC$199,2*(ROWS(E$15:E24)-1)+1)),"")</f>
        <v/>
      </c>
      <c r="G24" t="str">
        <f t="shared" si="30"/>
        <v/>
      </c>
      <c r="H24" t="str">
        <f t="shared" si="31"/>
        <v/>
      </c>
      <c r="L24" t="str">
        <f t="shared" si="32"/>
        <v/>
      </c>
      <c r="O24" t="str">
        <f t="shared" si="33"/>
        <v/>
      </c>
      <c r="V24" t="str" cm="1">
        <f t="array" ref="V24">IFERROR(IF(D24="","",INDEX('M04-S03'!$AY$18:$AY$199,2*(ROWS(V$15:V24)-1)+1)),"")</f>
        <v/>
      </c>
      <c r="W24" t="str" cm="1">
        <f t="array" ref="W24">IFERROR(IF(D24="","",INDEX('M04-S03'!$AV$18:$AV$199,2*(ROWS(W$15:W24)-1)+1)),"")</f>
        <v/>
      </c>
      <c r="X24" t="str" cm="1">
        <f t="array" ref="X24">IFERROR(IF(D24="","",INDEX('M04-S03'!$AV$18:$AV$199,2*(ROWS(X$15:X24)-0)+0)),"")</f>
        <v/>
      </c>
      <c r="AG24" s="98" t="str" cm="1">
        <f t="array" ref="AG24">IFERROR(IF(D24="","",IF(INDEX('M04-S03'!$CB$18:$CB$199,2*(ROWS(AG$15:AG24)-1)+1)="","",INDEX('M04-S03'!$CB$18:$CB$199,2*(ROWS(AG$15:AG24)-1)+1))),"")</f>
        <v/>
      </c>
      <c r="AH24" s="98" t="str" cm="1">
        <f t="array" ref="AH24">IFERROR(IF(D24="","",IF(INDEX('M04-S03'!$CU$18:$CU$199,2*(ROWS(AI$15:AI24)-1)+1)="","",INDEX('M04-S03'!$CU$18:$CU$199,2*(ROWS(AI$15:AI24)-1)+1))),"")</f>
        <v/>
      </c>
      <c r="AI24" s="20" t="str" cm="1">
        <f t="array" ref="AI24">IFERROR(IF(D24="","",IF(INDEX('M04-S03'!$CM$18:$CM$199,2*(ROWS(AI$15:AI24)-1)+1)="",0,INDEX('M04-S03'!$CM$18:$CM$199,2*(ROWS(AI$15:AI24)-1)+1))),"")</f>
        <v/>
      </c>
      <c r="AJ24" s="20" t="str">
        <f t="shared" si="1"/>
        <v/>
      </c>
      <c r="AK24" s="487" t="str" cm="1">
        <f t="array" ref="AK24">IFERROR(IF(D24="","",IF(INDEX('M04-S03'!$CN$18:$CN$199,2*(ROWS(AK$15:AK24)-1)+1)="",0,INDEX('M04-S03'!$CN$18:$CN$199,2*(ROWS(AK$15:AK24)-1)+1))),"")</f>
        <v/>
      </c>
      <c r="AL24" s="20" t="str">
        <f t="shared" si="34"/>
        <v/>
      </c>
      <c r="AM24" s="20" t="str">
        <f t="shared" si="24"/>
        <v/>
      </c>
      <c r="AN24" s="20" t="str" cm="1">
        <f t="array" ref="AN24">IFERROR(IF(D24="","",IF(INDEX('M04-S03'!$CO$18:$CO$199,2*(ROWS(AN$15:AN24)-1)+1)="",0,INDEX('M04-S03'!$CO$18:$CO$199,2*(ROWS(AN$15:AN24)-1)+1))),"")</f>
        <v/>
      </c>
      <c r="AO24" s="20" t="str" cm="1">
        <f t="array" ref="AO24">IFERROR(IF(D24="","",INDEX('M04-S03'!$R$18:$R$199,2*(ROWS(AO$15:AO24)-1)+1)),"")</f>
        <v/>
      </c>
      <c r="AP24" s="20" t="str" cm="1">
        <f t="array" ref="AP24">IFERROR(IF(D24="","",INDEX('M04-S03'!$AJ$18:$AJ$199,2*(ROWS(AP$15:AP24)-1)+1)),"")</f>
        <v/>
      </c>
      <c r="AQ24" s="487" t="str" cm="1">
        <f t="array" ref="AQ24">IFERROR(IF(D24="","",INDEX('M04-S03'!$U$18:$U$199,2*(ROWS(AQ$15:AQ24)-1)+1)),"")</f>
        <v/>
      </c>
      <c r="AR24" s="487" t="str" cm="1">
        <f t="array" ref="AR24">IFERROR(IF(D24="","",INDEX('M04-S03'!$AM$18:$AM$199,2*(ROWS(AR$15:AR24)-1)+1)),"")</f>
        <v/>
      </c>
      <c r="AS24" s="20" t="str" cm="1">
        <f t="array" ref="AS24">IFERROR(IF(D24="","",INDEX('M04-S03'!$X$18:$X$199,2*(ROWS(AS$15:AS24)-1)+1)),"")</f>
        <v/>
      </c>
      <c r="AT24" s="20" t="str" cm="1">
        <f t="array" ref="AT24">IFERROR(IF(D24="","",INDEX('M04-S03'!$AP$18:$AP$199,2*(ROWS(AT$15:AT24)-1)+1)),"")</f>
        <v/>
      </c>
      <c r="BP24" t="str" cm="1">
        <f t="array" ref="BP24">IFERROR(IF(D24="","",INDEX('M04-S03'!$CS$18:$CS$199,2*(ROWS(BP$15:BP24)-1)+1)),"")</f>
        <v/>
      </c>
      <c r="BR24" t="str" cm="1">
        <f t="array" ref="BR24">IFERROR(IF(D24="","",LEFT(INDEX('M04-S03'!$C$18:$C$199,2*(ROWS(BR$15:BR24)-1)+1),150)),"")</f>
        <v/>
      </c>
      <c r="BS24" t="str" cm="1">
        <f t="array" ref="BS24">IFERROR(IF(D24="","",INDEX('M04-S03'!$CT$18:$CT$199,2*(ROWS(BS$15:BS24)-1)+1)),"")</f>
        <v/>
      </c>
      <c r="BT24" s="6" t="str" cm="1">
        <f t="array" ref="BT24">IFERROR(ROUND(IF(D24="","",INDEX('M04-S03'!$BB$18:$BB$199,2*(ROWS(BT$15:BT24)-1)+1)),2),"")</f>
        <v/>
      </c>
      <c r="BU24" s="6" t="str" cm="1">
        <f t="array" ref="BU24">IFERROR(IF(D24="","",INDEX('M04-S03'!$CX$18:$CX$199,2*(ROWS(BU$15:BU24)-1)+1)),"")</f>
        <v/>
      </c>
      <c r="BV24" s="6" t="str" cm="1">
        <f t="array" ref="BV24">IFERROR(IF(D24="","",INDEX('M04-S03'!$CY$18:$CY$199,2*(ROWS(BV$15:BV24)-1)+1)),"")</f>
        <v/>
      </c>
      <c r="BW24" t="str">
        <f t="shared" si="35"/>
        <v/>
      </c>
      <c r="BX24" t="str">
        <f t="shared" si="36"/>
        <v/>
      </c>
      <c r="BY24" s="6" t="str" cm="1">
        <f t="array" ref="BY24">IFERROR(IF(D24="","",INDEX('M04-S03'!$CI$18:$CI$199,2*(ROWS(BY$15:BY24)-1)+1)),"")</f>
        <v/>
      </c>
      <c r="BZ24" s="6" t="str">
        <f t="shared" si="17"/>
        <v/>
      </c>
      <c r="CA24" s="6" t="str">
        <f t="shared" si="18"/>
        <v/>
      </c>
      <c r="CB24" s="6" t="str">
        <f t="shared" si="3"/>
        <v/>
      </c>
      <c r="CC24" s="6" t="str">
        <f t="shared" si="25"/>
        <v/>
      </c>
      <c r="CD24" s="6" t="str">
        <f t="shared" si="26"/>
        <v/>
      </c>
      <c r="CS24" t="str" cm="1">
        <f t="array" ref="CS24">IFERROR(IF(D24="","",INDEX('M04-S03'!$F$18:$F$199,2*(ROWS(CS$15:CS24)-1)+1)),"")</f>
        <v/>
      </c>
      <c r="CT24" t="str" cm="1">
        <f t="array" ref="CT24">IFERROR(IF(D24="","",INDEX('M04-S03'!$L$18:$L$199,2*(ROWS(CT$15:CT24)-1)+1)),"")</f>
        <v/>
      </c>
      <c r="CU24" t="str" cm="1">
        <f t="array" ref="CU24">IFERROR(IF(D24="","",INDEX('M04-S03'!$AD$18:$AD$199,2*(ROWS(CU$15:CU24)-1)+1)),"")</f>
        <v/>
      </c>
      <c r="DE24" s="150"/>
      <c r="DF24" s="150" t="str">
        <f>IFERROR(ROUND(IF(OR(D24="",DE24=""),"",TEMPLATE!$V$11),2),"")</f>
        <v/>
      </c>
      <c r="DG24" s="150"/>
      <c r="DH24" s="150" t="str">
        <f>IFERROR(ROUND(IF(OR(D24="",DG24=""),"",TEMPLATE!$V$11),2),"")</f>
        <v/>
      </c>
      <c r="DI24" s="150"/>
      <c r="DJ24" s="150" t="str">
        <f>IFERROR(ROUND(IF(OR(D24="",DI24=""),"",TEMPLATE!$V$11),2),"")</f>
        <v/>
      </c>
      <c r="DK24" s="150"/>
      <c r="DL24" s="150" t="str">
        <f>IFERROR(ROUND(IF(OR(D24="",DK24=""),"",TEMPLATE!$V$11),2),"")</f>
        <v/>
      </c>
      <c r="DM24" s="150"/>
      <c r="DN24" s="150" t="str">
        <f>IFERROR(ROUND(IF(OR(D24="",DM24=""),"",TEMPLATE!$V$11),2),"")</f>
        <v/>
      </c>
      <c r="DO24" s="150"/>
      <c r="DP24" s="150" t="str">
        <f>IFERROR(ROUND(IF(OR(D24="",DO24=""),"",TEMPLATE!$V$11),2),"")</f>
        <v/>
      </c>
      <c r="DQ24" s="150"/>
      <c r="DR24" s="150" t="str">
        <f>IFERROR(ROUND(IF(OR(D24="",DQ24=""),"",TEMPLATE!$V$11),2),"")</f>
        <v/>
      </c>
      <c r="DS24" s="150"/>
      <c r="DT24" s="150" t="str">
        <f>IFERROR(ROUND(IF(OR(D24="",DS24=""),"",TEMPLATE!$V$11),2),"")</f>
        <v/>
      </c>
      <c r="DU24" s="150" t="str" cm="1">
        <f t="array" ref="DU24">IFERROR(ROUND(IF($D24="","",INDEX('M04-S03'!DD$18:DD$199,2*(ROWS(DU$15:DU24)-1)+1)),4),"")</f>
        <v/>
      </c>
      <c r="DV24" s="150" t="str" cm="1">
        <f t="array" ref="DV24">IFERROR(ROUND(IF($D24="","",INDEX('M04-S03'!DE$18:DE$199,2*(ROWS(DV$15:DV24)-1)+1)),4),"")</f>
        <v/>
      </c>
      <c r="DW24" s="150" t="str" cm="1">
        <f t="array" ref="DW24">IFERROR(ROUND(IF($D24="","",INDEX('M04-S03'!DF$18:DF$199,2*(ROWS(DW$15:DW24)-1)+1)),4),"")</f>
        <v/>
      </c>
      <c r="DX24" s="150" t="str" cm="1">
        <f t="array" ref="DX24">IFERROR(ROUND(IF($D24="","",INDEX('M04-S03'!DG$18:DG$199,2*(ROWS(DX$15:DX24)-1)+1)),4),"")</f>
        <v/>
      </c>
      <c r="DY24" s="150" t="str" cm="1">
        <f t="array" ref="DY24">IFERROR(ROUND(IF($D24="","",INDEX('M04-S03'!DH$18:DH$199,2*(ROWS(DY$15:DY24)-1)+1)),4),"")</f>
        <v/>
      </c>
      <c r="DZ24" s="150" t="str" cm="1">
        <f t="array" ref="DZ24">IFERROR(ROUND(IF($D24="","",INDEX('M04-S03'!DI$18:DI$199,2*(ROWS(DZ$15:DZ24)-1)+1)),4),"")</f>
        <v/>
      </c>
      <c r="EA24" s="150" t="str" cm="1">
        <f t="array" ref="EA24">IFERROR(ROUND(IF($D24="","",INDEX('M04-S03'!DJ$18:DJ$199,2*(ROWS(EA$15:EA24)-1)+1)),4),"")</f>
        <v/>
      </c>
      <c r="EB24" s="150" t="str" cm="1">
        <f t="array" ref="EB24">IFERROR(ROUND(IF($D24="","",INDEX('M04-S03'!DK$18:DK$199,2*(ROWS(EB$15:EB24)-1)+1)),6),"")</f>
        <v/>
      </c>
      <c r="EC24" s="150" t="str" cm="1">
        <f t="array" ref="EC24">IFERROR(ROUND(IF($D24="","",INDEX('M04-S03'!DL$18:DL$199,2*(ROWS(EC$15:EC24)-1)+1)),6),"")</f>
        <v/>
      </c>
      <c r="ED24" s="150" t="str" cm="1">
        <f t="array" ref="ED24">IFERROR(ROUND(IF($D24="","",INDEX('M04-S03'!DM$18:DM$199,2*(ROWS(ED$15:ED24)-1)+1)),6),"")</f>
        <v/>
      </c>
      <c r="EE24" s="150" t="str" cm="1">
        <f t="array" ref="EE24">IFERROR(ROUND(IF($D24="","",INDEX('M04-S03'!DN$18:DN$199,2*(ROWS(EE$15:EE24)-1)+1)),6),"")</f>
        <v/>
      </c>
      <c r="EF24" s="150" t="str" cm="1">
        <f t="array" ref="EF24">IFERROR(ROUND(IF($D24="","",INDEX('M04-S03'!DO$18:DO$199,2*(ROWS(EF$15:EF24)-1)+1)),6),"")</f>
        <v/>
      </c>
      <c r="EG24" s="150" t="str" cm="1">
        <f t="array" ref="EG24">IFERROR(ROUND(IF($D24="","",INDEX('M04-S03'!DP$18:DP$199,2*(ROWS(EG$15:EG24)-1)+1)),6),"")</f>
        <v/>
      </c>
      <c r="EH24" s="150" t="str" cm="1">
        <f t="array" ref="EH24">IFERROR(ROUND(IF($D24="","",INDEX('M04-S03'!DQ$18:DQ$199,2*(ROWS(EH$15:EH24)-1)+1)),6),"")</f>
        <v/>
      </c>
      <c r="EI24" s="150" t="str" cm="1">
        <f t="array" ref="EI24">IFERROR(ROUND(IF($D24="","",INDEX('M04-S03'!DR$18:DR$199,2*(ROWS(EI$15:EI24)-1)+1)),6),"")</f>
        <v/>
      </c>
      <c r="EJ24" s="150" t="str" cm="1">
        <f t="array" ref="EJ24">IFERROR(ROUND(IF($D24="","",INDEX('M04-S03'!DS$18:DS$199,2*(ROWS(EJ$15:EJ24)-1)+1)),6),"")</f>
        <v/>
      </c>
      <c r="EK24" s="150" t="str" cm="1">
        <f t="array" ref="EK24">IFERROR(ROUND(IF($D24="","",INDEX('M04-S03'!DT$18:DT$199,2*(ROWS(EK$15:EK24)-1)+1)),6),"")</f>
        <v/>
      </c>
      <c r="EL24" s="150" t="str" cm="1">
        <f t="array" ref="EL24">IFERROR(ROUND(IF($D24="","",INDEX('M04-S03'!DU$18:DU$199,2*(ROWS(EL$15:EL24)-1)+1)),6),"")</f>
        <v/>
      </c>
      <c r="EM24" s="150" t="str" cm="1">
        <f t="array" ref="EM24">IFERROR(ROUND(IF($D24="","",INDEX('M04-S03'!DV$18:DV$199,2*(ROWS(EM$15:EM24)-1)+1)),6),"")</f>
        <v/>
      </c>
      <c r="EN24" s="150" t="str" cm="1">
        <f t="array" ref="EN24">IFERROR(ROUND(IF($D24="","",INDEX('M04-S03'!DW$18:DW$199,2*(ROWS(EN$15:EN24)-1)+1)),6),"")</f>
        <v/>
      </c>
      <c r="EO24" s="150" t="str" cm="1">
        <f t="array" ref="EO24">IFERROR(ROUND(IF($D24="","",INDEX('M04-S03'!DX$18:DX$199,2*(ROWS(EO$15:EO24)-1)+1)),6),"")</f>
        <v/>
      </c>
      <c r="EP24" s="150" t="str" cm="1">
        <f t="array" ref="EP24">IFERROR(ROUND(IF($D24="","",INDEX('M04-S03'!DY$18:DY$199,2*(ROWS(EP$15:EP24)-1)+1)),6),"")</f>
        <v/>
      </c>
      <c r="EQ24" s="150" t="str" cm="1">
        <f t="array" ref="EQ24">IFERROR(ROUND(IF($D24="","",INDEX('M04-S03'!DZ$18:DZ$199,2*(ROWS(EQ$15:EQ24)-1)+1)),6),"")</f>
        <v/>
      </c>
      <c r="ER24" s="150" t="str">
        <f t="shared" si="21"/>
        <v/>
      </c>
      <c r="ES24" s="150" t="str">
        <f t="shared" si="37"/>
        <v/>
      </c>
      <c r="ET24" s="150" t="str">
        <f t="shared" si="38"/>
        <v/>
      </c>
      <c r="EU24" s="150" t="str">
        <f t="shared" si="39"/>
        <v/>
      </c>
      <c r="EV24" s="150" t="str">
        <f t="shared" si="40"/>
        <v/>
      </c>
      <c r="EW24" s="150" t="str">
        <f t="shared" si="41"/>
        <v/>
      </c>
      <c r="EX24" s="150" t="str">
        <f t="shared" si="42"/>
        <v/>
      </c>
      <c r="EY24" s="150" t="str">
        <f t="shared" si="22"/>
        <v/>
      </c>
      <c r="EZ24" s="150" t="str" cm="1">
        <f t="array" ref="EZ24">IFERROR(ROUND(IF($D24="","",INDEX('M04-S03'!EA$18:EA$199,2*(ROWS(EZ$15:EZ24)-1)+1)),6),"")</f>
        <v/>
      </c>
      <c r="FA24" s="150" t="str" cm="1">
        <f t="array" ref="FA24">IFERROR(ROUND(IF($D24="","",INDEX('M04-S03'!EB$18:EB$199,2*(ROWS(FA$15:FA24)-1)+1)),6),"")</f>
        <v/>
      </c>
      <c r="FB24" s="150" t="str" cm="1">
        <f t="array" ref="FB24">IFERROR(ROUND(IF($D24="","",INDEX('M04-S03'!EC$18:EC$199,2*(ROWS(FB$15:FB24)-1)+1)),6),"")</f>
        <v/>
      </c>
      <c r="FC24" s="150" t="str" cm="1">
        <f t="array" ref="FC24">IFERROR(ROUND(IF($D24="","",INDEX('M04-S03'!ED$18:ED$199,2*(ROWS(FC$15:FC24)-1)+1)),6),"")</f>
        <v/>
      </c>
      <c r="FD24" s="150" t="str" cm="1">
        <f t="array" ref="FD24">IFERROR(ROUND(IF($D24="","",INDEX('M04-S03'!EE$18:EE$199,2*(ROWS(FD$15:FD24)-1)+1)),6),"")</f>
        <v/>
      </c>
      <c r="FE24" s="150" t="str" cm="1">
        <f t="array" ref="FE24">IFERROR(ROUND(IF($D24="","",INDEX('M04-S03'!EF$18:EF$199,2*(ROWS(FE$15:FE24)-1)+1)),6),"")</f>
        <v/>
      </c>
      <c r="FF24" s="150" t="str" cm="1">
        <f t="array" ref="FF24">IFERROR(ROUND(IF($D24="","",INDEX('M04-S03'!EG$18:EG$199,2*(ROWS(FF$15:FF24)-1)+1)),6),"")</f>
        <v/>
      </c>
      <c r="FG24" s="150" t="str" cm="1">
        <f t="array" ref="FG24">IFERROR(ROUND(IF($D24="","",INDEX('M04-S03'!EH$18:EH$199,2*(ROWS(FG$15:FG24)-1)+1)),6),"")</f>
        <v/>
      </c>
      <c r="FH24" s="150" t="str" cm="1">
        <f t="array" ref="FH24">IFERROR(ROUND(IF($D24="","",INDEX('M04-S03'!EI$18:EI$199,2*(ROWS(FH$15:FH24)-1)+1)),6),"")</f>
        <v/>
      </c>
      <c r="FI24" s="150" t="str" cm="1">
        <f t="array" ref="FI24">IFERROR(ROUND(IF($D24="","",INDEX('M04-S03'!EJ$18:EJ$199,2*(ROWS(FI$15:FI24)-1)+1)),6),"")</f>
        <v/>
      </c>
      <c r="FJ24" s="150" t="str" cm="1">
        <f t="array" ref="FJ24">IFERROR(ROUND(IF($D24="","",INDEX('M04-S03'!EK$18:EK$199,2*(ROWS(FJ$15:FJ24)-1)+1)),6),"")</f>
        <v/>
      </c>
      <c r="FK24" s="150" t="str" cm="1">
        <f t="array" ref="FK24">IFERROR(ROUND(IF($D24="","",INDEX('M04-S03'!EL$18:EL$199,2*(ROWS(FK$15:FK24)-1)+1)),6),"")</f>
        <v/>
      </c>
      <c r="FL24" s="150" t="str" cm="1">
        <f t="array" ref="FL24">IFERROR(ROUND(IF($D24="","",INDEX('M04-S03'!EM$18:EM$199,2*(ROWS(FL$15:FL24)-1)+1)),6),"")</f>
        <v/>
      </c>
      <c r="FM24" s="150" t="str" cm="1">
        <f t="array" ref="FM24">IFERROR(ROUND(IF($D24="","",INDEX('M04-S03'!EN$18:EN$199,2*(ROWS(FM$15:FM24)-1)+1)),6),"")</f>
        <v/>
      </c>
    </row>
    <row r="25" spans="1:169">
      <c r="A25" s="218" t="str">
        <f>"Custom "&amp;M4S4</f>
        <v>Custom Heating</v>
      </c>
      <c r="B25" s="218"/>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c r="CJ25" s="218"/>
      <c r="CK25" s="218"/>
      <c r="CL25" s="218"/>
      <c r="CM25" s="218"/>
      <c r="CN25" s="218"/>
      <c r="CO25" s="218"/>
      <c r="CP25" s="218"/>
      <c r="CQ25" s="218"/>
      <c r="CR25" s="218"/>
      <c r="CS25" s="218"/>
      <c r="CT25" s="218"/>
      <c r="CU25" s="218"/>
      <c r="CV25" s="218"/>
      <c r="CW25" s="218"/>
      <c r="CX25" s="218"/>
      <c r="CY25" s="218"/>
      <c r="CZ25" s="218"/>
      <c r="DA25" s="218"/>
      <c r="DB25" s="218"/>
      <c r="DC25" s="218"/>
      <c r="DD25" s="218"/>
      <c r="DE25" s="218"/>
      <c r="DF25" s="218"/>
      <c r="DG25" s="218"/>
      <c r="DH25" s="218"/>
      <c r="DI25" s="218"/>
      <c r="DJ25" s="218"/>
      <c r="DK25" s="218"/>
      <c r="DL25" s="218"/>
      <c r="DM25" s="218"/>
      <c r="DN25" s="218"/>
      <c r="DO25" s="218"/>
      <c r="DP25" s="218"/>
      <c r="DQ25" s="218"/>
      <c r="DR25" s="218"/>
      <c r="DS25" s="218"/>
      <c r="DT25" s="218"/>
      <c r="DU25" s="218"/>
      <c r="DV25" s="218"/>
      <c r="DW25" s="218"/>
      <c r="DX25" s="218"/>
      <c r="DY25" s="218"/>
      <c r="DZ25" s="218"/>
      <c r="EA25" s="218"/>
      <c r="EB25" s="218"/>
      <c r="EC25" s="218"/>
      <c r="ED25" s="218"/>
      <c r="EE25" s="218"/>
      <c r="EF25" s="218"/>
      <c r="EG25" s="218"/>
      <c r="EH25" s="218"/>
      <c r="EI25" s="218"/>
      <c r="EJ25" s="218"/>
      <c r="EK25" s="218"/>
      <c r="EL25" s="218"/>
      <c r="EM25" s="218"/>
      <c r="EN25" s="218"/>
      <c r="EO25" s="218"/>
      <c r="EP25" s="218"/>
      <c r="EQ25" s="218"/>
      <c r="ER25" s="218"/>
      <c r="ES25" s="218"/>
      <c r="ET25" s="218"/>
      <c r="EU25" s="218"/>
      <c r="EV25" s="218"/>
      <c r="EW25" s="218"/>
      <c r="EX25" s="218"/>
      <c r="EY25" s="218"/>
      <c r="EZ25" s="218"/>
      <c r="FA25" s="218"/>
      <c r="FB25" s="218"/>
      <c r="FC25" s="218"/>
      <c r="FD25" s="218"/>
      <c r="FE25" s="218"/>
      <c r="FF25" s="218"/>
      <c r="FG25" s="218"/>
      <c r="FH25" s="218"/>
      <c r="FI25" s="218"/>
      <c r="FJ25" s="218"/>
      <c r="FK25" s="218"/>
      <c r="FL25" s="218"/>
      <c r="FM25" s="218"/>
    </row>
    <row r="26" spans="1:169">
      <c r="A26" t="str">
        <f>IFERROR(IF(D26="","",PROJID),"")</f>
        <v/>
      </c>
      <c r="B26" t="str">
        <f>IFERROR(IF(D26="","",CONCATENATE(ROW(),"-",D26)),"")</f>
        <v/>
      </c>
      <c r="C26" t="str" cm="1">
        <f t="array" ref="C26">IFERROR(IF(D26="","",INDEX('M04-S04'!$B$18:$B$199,2*(ROWS(C$26:C26)-1)+1)),"")</f>
        <v/>
      </c>
      <c r="D26" t="str">
        <f>IFERROR(IF(E26="","",E26),"")</f>
        <v/>
      </c>
      <c r="E26" t="str" cm="1">
        <f t="array" ref="E26">IFERROR(IF(INDEX('M04-S04'!$CC$18:$CC$199,2*(ROWS(E$26:E26)-1)+1)="","",INDEX('M04-S04'!$CC$18:$CC$199,2*(ROWS(E$26:E26)-1)+1)),"")</f>
        <v/>
      </c>
      <c r="G26" t="str">
        <f>IFERROR(IF(C26&lt;&gt;"","Custom",""),"")</f>
        <v/>
      </c>
      <c r="H26" t="str">
        <f t="shared" ref="H26" si="43">IFERROR(IF(C26&lt;&gt;"","Downstream",""),"")</f>
        <v/>
      </c>
      <c r="L26" t="str">
        <f>IF($C26="","",IF(AND(AI26&gt;0,AN26&gt;0),"Electric &amp; Gas",IF(AI26&gt;0,"Electric",IF(AN26&gt;0,"Gas",""))))</f>
        <v/>
      </c>
      <c r="O26" t="str">
        <f>IF($C26="","",TRUE)</f>
        <v/>
      </c>
      <c r="V26" t="str" cm="1">
        <f t="array" ref="V26">IFERROR(IF(D26="","",INDEX('M04-S04'!$AY$18:$AY$199,2*(ROWS(V$26:V26)-1)+1)),"")</f>
        <v/>
      </c>
      <c r="W26" t="str" cm="1">
        <f t="array" ref="W26">IFERROR(IF(D26="","",INDEX('M04-S04'!$AV$18:$AV$199,2*(ROWS(W$26:W26)-1)+1)),"")</f>
        <v/>
      </c>
      <c r="X26" t="str" cm="1">
        <f t="array" ref="X26">IFERROR(IF(D26="","",INDEX('M04-S04'!$AV$18:$AV$199,2*(ROWS(X$26:X26)-0)+0)),"")</f>
        <v/>
      </c>
      <c r="AG26" s="98" t="str" cm="1">
        <f t="array" ref="AG26">IFERROR(IF(D26="","",IF(INDEX('M04-S04'!$CB$18:$CB$199,2*(ROWS(AG$26:AG26)*1)+1)="","",INDEX('M04-S04'!$CB$18:$CB$199,2*(ROWS(AG$26:AG26)-1)+1))),"")</f>
        <v/>
      </c>
      <c r="AH26" s="98" t="str" cm="1">
        <f t="array" ref="AH26">IFERROR(IF(D26="","",IF(INDEX('M04-S04'!$CU$18:$CU$199,2*(ROWS(AH$26:AH26)-1)+1)="","",INDEX('M04-S04'!$CU$18:$CU$199,2*(ROWS(AH$26:AH26)-1)+1))),"")</f>
        <v/>
      </c>
      <c r="AI26" s="20" t="str" cm="1">
        <f t="array" ref="AI26">IFERROR(IF(D26="","",IF(INDEX('M04-S04'!$CM$18:$CM$199,2*(ROWS(AI$26:AI26)-1)+1)="",0,INDEX('M04-S04'!$CM$18:$CM$199,2*(ROWS(AI$26:AI26)-1)+1))),"")</f>
        <v/>
      </c>
      <c r="AJ26" s="20" t="str">
        <f t="shared" si="1"/>
        <v/>
      </c>
      <c r="AK26" s="487" t="str" cm="1">
        <f t="array" ref="AK26">IFERROR(IF(D26="","",IF(INDEX('M04-S04'!$CN$18:$CN$199,2*(ROWS(AK$26:AK26)-1)+1)="",0,INDEX('M04-S04'!$CN$18:$CN$199,2*(ROWS(AK$26:AK26)-1)+1))),"")</f>
        <v/>
      </c>
      <c r="AL26" s="20" t="str">
        <f>IF(AN26&gt;=0,AN26,0)</f>
        <v/>
      </c>
      <c r="AM26" s="20" t="str">
        <f t="shared" ref="AM26:AM35" si="44">IFERROR(ROUND(IF(D26="","",AL26/10),6),"")</f>
        <v/>
      </c>
      <c r="AN26" s="20" t="str" cm="1">
        <f t="array" ref="AN26">IFERROR(IF(D26="","",IF(INDEX('M04-S04'!$CO$18:$CO$199,2*(ROWS(AN$26:AN26)-1)+1)="",0,INDEX('M04-S04'!$CO$18:$CO$199,2*(ROWS(AN$26:AN26)-1)+1))),"")</f>
        <v/>
      </c>
      <c r="AO26" s="20" t="str" cm="1">
        <f t="array" ref="AO26">IFERROR(IF(D26="","",INDEX('M04-S04'!$R$18:$R$199,2*(ROWS(AO$26:AO26)-1)+1)),"")</f>
        <v/>
      </c>
      <c r="AP26" s="20" t="str" cm="1">
        <f t="array" ref="AP26">IFERROR(IF(D26="","",INDEX('M04-S04'!$AJ$18:$AJ$199,2*(ROWS(AP$26:AP26)-1)+1)),"")</f>
        <v/>
      </c>
      <c r="AQ26" s="487" t="str" cm="1">
        <f t="array" ref="AQ26">IFERROR(IF(D26="","",INDEX('M04-S04'!$U$18:$U$199,2*(ROWS(AQ$26:AQ26)-1)+1)),"")</f>
        <v/>
      </c>
      <c r="AR26" s="487" t="str" cm="1">
        <f t="array" ref="AR26">IFERROR(IF(D26="","",INDEX('M04-S04'!$AM$18:$AM$199,2*(ROWS(AR$26:AR26)-1)+1)),"")</f>
        <v/>
      </c>
      <c r="AS26" s="20" t="str" cm="1">
        <f t="array" ref="AS26">IFERROR(IF(D26="","",INDEX('M04-S04'!$X$18:$X$199,2*(ROWS(AS$26:AS26)-1)+1)),"")</f>
        <v/>
      </c>
      <c r="AT26" s="20" t="str" cm="1">
        <f t="array" ref="AT26">IFERROR(IF(D26="","",INDEX('M04-S04'!$AP$18:$AP$199,2*(ROWS(AT$26:AT26)-1)+1)),"")</f>
        <v/>
      </c>
      <c r="BP26" t="str" cm="1">
        <f t="array" ref="BP26">IFERROR(IF(D26="","",INDEX('M04-S04'!$CS$18:$CS$199,2*(ROWS(BP$26:BP26)-1)+1)),"")</f>
        <v/>
      </c>
      <c r="BR26" t="str" cm="1">
        <f t="array" ref="BR26">IFERROR(IF(D26="","",LEFT(INDEX('M04-S04'!$C$18:$C$199,2*(ROWS(BR$26:BR26)-1)+1),150)),"")</f>
        <v/>
      </c>
      <c r="BS26" t="str" cm="1">
        <f t="array" ref="BS26">IFERROR(IF(D26="","",INDEX('M04-S04'!$CT$18:$CT$199,2*(ROWS(BS$26:BS26)-1)+1)),"")</f>
        <v/>
      </c>
      <c r="BT26" s="6" t="str" cm="1">
        <f t="array" ref="BT26">IFERROR(ROUND(IF(D26="","",INDEX('M04-S04'!$BB$18:$BB$199,2*(ROWS(BT$26:BT26)-1)+1)),2),"")</f>
        <v/>
      </c>
      <c r="BU26" s="6" t="str" cm="1">
        <f t="array" ref="BU26">IFERROR(IF(D26="","",INDEX('M04-S04'!$CX$18:$CX$199,2*(ROWS(BU$26:BU26)-1)+1)),"")</f>
        <v/>
      </c>
      <c r="BV26" s="6" t="str" cm="1">
        <f t="array" ref="BV26">IFERROR(IF(D26="","",INDEX('M04-S04'!$CY$18:$CY$199,2*(ROWS(BV$26:BV26)-1)+1)),"")</f>
        <v/>
      </c>
      <c r="BW26" t="str">
        <f>IF(D26="","","Measure")</f>
        <v/>
      </c>
      <c r="BX26" t="str">
        <f>IF(D26="","",1)</f>
        <v/>
      </c>
      <c r="BY26" s="6" t="str" cm="1">
        <f t="array" ref="BY26">IFERROR(IF(D26="","",INDEX('M04-S04'!$CI$18:$CI$199,2*(ROWS(BY$26:BY26)-1)+1)),"")</f>
        <v/>
      </c>
      <c r="BZ26" s="6" t="str">
        <f t="shared" si="17"/>
        <v/>
      </c>
      <c r="CA26" s="6" t="str">
        <f t="shared" si="18"/>
        <v/>
      </c>
      <c r="CB26" s="6" t="str">
        <f t="shared" si="3"/>
        <v/>
      </c>
      <c r="CC26" s="6" t="str">
        <f t="shared" ref="CC26:CC35" si="45">IFERROR(IF(D26="","",AJ26/(AJ26+AM26)*CB26),"")</f>
        <v/>
      </c>
      <c r="CD26" s="6" t="str">
        <f t="shared" ref="CD26:CD35" si="46">IFERROR(IF(D26="","",AM26/(AJ26+AM26)*CB26),"")</f>
        <v/>
      </c>
      <c r="CS26" t="str" cm="1">
        <f t="array" ref="CS26">IFERROR(IF(D26="","",INDEX('M04-S04'!$F$18:$F$199,2*(ROWS(CS$26:CS26)-1)+1)),"")</f>
        <v/>
      </c>
      <c r="CT26" t="str" cm="1">
        <f t="array" ref="CT26">IFERROR(IF(D26="","",INDEX('M04-S04'!$L$18:$L$199,2*(ROWS(CT$26:CT26)-1)+1)),"")</f>
        <v/>
      </c>
      <c r="CU26" t="str" cm="1">
        <f t="array" ref="CU26">IFERROR(IF(D26="","",INDEX('M04-S04'!$AD$18:$AD$199,2*(ROWS(CU$26:CU26)-1)+1)),"")</f>
        <v/>
      </c>
      <c r="DE26" s="150"/>
      <c r="DF26" s="150" t="str">
        <f>IFERROR(ROUND(IF(OR(D26="",DE26=""),"",TEMPLATE!$V$12),2),"")</f>
        <v/>
      </c>
      <c r="DG26" s="150"/>
      <c r="DH26" s="150" t="str">
        <f>IFERROR(ROUND(IF(OR(D26="",DG26=""),"",TEMPLATE!$V$12),2),"")</f>
        <v/>
      </c>
      <c r="DI26" s="150"/>
      <c r="DJ26" s="150" t="str">
        <f>IFERROR(ROUND(IF(OR(D26="",DI26=""),"",TEMPLATE!$V$12),2),"")</f>
        <v/>
      </c>
      <c r="DK26" s="150"/>
      <c r="DL26" s="150" t="str">
        <f>IFERROR(ROUND(IF(OR(D26="",DK26=""),"",TEMPLATE!$V$12),2),"")</f>
        <v/>
      </c>
      <c r="DM26" s="150"/>
      <c r="DN26" s="150" t="str">
        <f>IFERROR(ROUND(IF(OR(D26="",DM26=""),"",TEMPLATE!$V$12),2),"")</f>
        <v/>
      </c>
      <c r="DO26" s="150"/>
      <c r="DP26" s="150" t="str">
        <f>IFERROR(ROUND(IF(OR(D26="",DO26=""),"",TEMPLATE!$V$12),2),"")</f>
        <v/>
      </c>
      <c r="DQ26" s="150"/>
      <c r="DR26" s="150" t="str">
        <f>IFERROR(ROUND(IF(OR(D26="",DQ26=""),"",TEMPLATE!$V$12),2),"")</f>
        <v/>
      </c>
      <c r="DS26" s="150"/>
      <c r="DT26" s="150" t="str">
        <f>IFERROR(ROUND(IF(OR(D26="",DS26=""),"",TEMPLATE!$V$12),2),"")</f>
        <v/>
      </c>
      <c r="DU26" s="150" t="str" cm="1">
        <f t="array" ref="DU26">IFERROR(ROUND(IF($D26="","",INDEX('M04-S04'!DD$18:DD$199,2*(ROWS(DU$26:DU26)-1)+1)),4),"")</f>
        <v/>
      </c>
      <c r="DV26" s="150" t="str" cm="1">
        <f t="array" ref="DV26">IFERROR(ROUND(IF($D26="","",INDEX('M04-S04'!DE$18:DE$199,2*(ROWS(DV$26:DV26)-1)+1)),4),"")</f>
        <v/>
      </c>
      <c r="DW26" s="150" t="str" cm="1">
        <f t="array" ref="DW26">IFERROR(ROUND(IF($D26="","",INDEX('M04-S04'!DF$18:DF$199,2*(ROWS(DW$26:DW26)-1)+1)),4),"")</f>
        <v/>
      </c>
      <c r="DX26" s="150" t="str" cm="1">
        <f t="array" ref="DX26">IFERROR(ROUND(IF($D26="","",INDEX('M04-S04'!DG$18:DG$199,2*(ROWS(DX$26:DX26)-1)+1)),4),"")</f>
        <v/>
      </c>
      <c r="DY26" s="150" t="str" cm="1">
        <f t="array" ref="DY26">IFERROR(ROUND(IF($D26="","",INDEX('M04-S04'!DH$18:DH$199,2*(ROWS(DY$26:DY26)-1)+1)),4),"")</f>
        <v/>
      </c>
      <c r="DZ26" s="150" t="str" cm="1">
        <f t="array" ref="DZ26">IFERROR(ROUND(IF($D26="","",INDEX('M04-S04'!DI$18:DI$199,2*(ROWS(DZ$26:DZ26)-1)+1)),4),"")</f>
        <v/>
      </c>
      <c r="EA26" s="150" t="str" cm="1">
        <f t="array" ref="EA26">IFERROR(ROUND(IF($D26="","",INDEX('M04-S04'!DJ$18:DJ$199,2*(ROWS(EA$26:EA26)-1)+1)),4),"")</f>
        <v/>
      </c>
      <c r="EB26" s="150" t="str" cm="1">
        <f t="array" ref="EB26">IFERROR(ROUND(IF($D26="","",INDEX('M04-S04'!DK$18:DK$199,2*(ROWS(EB$26:EB26)-1)+1)),6),"")</f>
        <v/>
      </c>
      <c r="EC26" s="150" t="str" cm="1">
        <f t="array" ref="EC26">IFERROR(ROUND(IF($D26="","",INDEX('M04-S04'!DL$18:DL$199,2*(ROWS(EC$26:EC26)-1)+1)),6),"")</f>
        <v/>
      </c>
      <c r="ED26" s="150" t="str" cm="1">
        <f t="array" ref="ED26">IFERROR(ROUND(IF($D26="","",INDEX('M04-S04'!DM$18:DM$199,2*(ROWS(ED$26:ED26)-1)+1)),6),"")</f>
        <v/>
      </c>
      <c r="EE26" s="150" t="str" cm="1">
        <f t="array" ref="EE26">IFERROR(ROUND(IF($D26="","",INDEX('M04-S04'!DN$18:DN$199,2*(ROWS(EE$26:EE26)-1)+1)),6),"")</f>
        <v/>
      </c>
      <c r="EF26" s="150" t="str" cm="1">
        <f t="array" ref="EF26">IFERROR(ROUND(IF($D26="","",INDEX('M04-S04'!DO$18:DO$199,2*(ROWS(EF$26:EF26)-1)+1)),6),"")</f>
        <v/>
      </c>
      <c r="EG26" s="150" t="str" cm="1">
        <f t="array" ref="EG26">IFERROR(ROUND(IF($D26="","",INDEX('M04-S04'!DP$18:DP$199,2*(ROWS(EG$26:EG26)-1)+1)),6),"")</f>
        <v/>
      </c>
      <c r="EH26" s="150" t="str" cm="1">
        <f t="array" ref="EH26">IFERROR(ROUND(IF($D26="","",INDEX('M04-S04'!DQ$18:DQ$199,2*(ROWS(EH$26:EH26)-1)+1)),6),"")</f>
        <v/>
      </c>
      <c r="EI26" s="150" t="str" cm="1">
        <f t="array" ref="EI26">IFERROR(ROUND(IF($D26="","",INDEX('M04-S04'!DR$18:DR$199,2*(ROWS(EI$26:EI26)-1)+1)),6),"")</f>
        <v/>
      </c>
      <c r="EJ26" s="150" t="str" cm="1">
        <f t="array" ref="EJ26">IFERROR(ROUND(IF($D26="","",INDEX('M04-S04'!DS$18:DS$199,2*(ROWS(EJ$26:EJ26)-1)+1)),6),"")</f>
        <v/>
      </c>
      <c r="EK26" s="150" t="str" cm="1">
        <f t="array" ref="EK26">IFERROR(ROUND(IF($D26="","",INDEX('M04-S04'!DT$18:DT$199,2*(ROWS(EK$26:EK26)-1)+1)),6),"")</f>
        <v/>
      </c>
      <c r="EL26" s="150" t="str" cm="1">
        <f t="array" ref="EL26">IFERROR(ROUND(IF($D26="","",INDEX('M04-S04'!DU$18:DU$199,2*(ROWS(EL$26:EL26)-1)+1)),6),"")</f>
        <v/>
      </c>
      <c r="EM26" s="150" t="str" cm="1">
        <f t="array" ref="EM26">IFERROR(ROUND(IF($D26="","",INDEX('M04-S04'!DV$18:DV$199,2*(ROWS(EM$26:EM26)-1)+1)),6),"")</f>
        <v/>
      </c>
      <c r="EN26" s="150" t="str" cm="1">
        <f t="array" ref="EN26">IFERROR(ROUND(IF($D26="","",INDEX('M04-S04'!DW$18:DW$199,2*(ROWS(EN$26:EN26)-1)+1)),6),"")</f>
        <v/>
      </c>
      <c r="EO26" s="150" t="str" cm="1">
        <f t="array" ref="EO26">IFERROR(ROUND(IF($D26="","",INDEX('M04-S04'!DX$18:DX$199,2*(ROWS(EO$26:EO26)-1)+1)),6),"")</f>
        <v/>
      </c>
      <c r="EP26" s="150" t="str" cm="1">
        <f t="array" ref="EP26">IFERROR(ROUND(IF($D26="","",INDEX('M04-S04'!DY$18:DY$199,2*(ROWS(EP$26:EP26)-1)+1)),6),"")</f>
        <v/>
      </c>
      <c r="EQ26" s="150" t="str" cm="1">
        <f t="array" ref="EQ26">IFERROR(ROUND(IF($D26="","",INDEX('M04-S04'!DZ$18:DZ$199,2*(ROWS(EQ$26:EQ26)-1)+1)),6),"")</f>
        <v/>
      </c>
      <c r="ER26" s="150" t="str">
        <f t="shared" si="21"/>
        <v/>
      </c>
      <c r="ES26" s="150" t="str">
        <f t="shared" si="37"/>
        <v/>
      </c>
      <c r="ET26" s="150" t="str">
        <f t="shared" si="38"/>
        <v/>
      </c>
      <c r="EU26" s="150" t="str">
        <f t="shared" si="39"/>
        <v/>
      </c>
      <c r="EV26" s="150" t="str">
        <f t="shared" si="40"/>
        <v/>
      </c>
      <c r="EW26" s="150" t="str">
        <f t="shared" si="41"/>
        <v/>
      </c>
      <c r="EX26" s="150" t="str">
        <f t="shared" si="42"/>
        <v/>
      </c>
      <c r="EY26" s="150" t="str">
        <f t="shared" si="22"/>
        <v/>
      </c>
      <c r="EZ26" s="150" t="str" cm="1">
        <f t="array" ref="EZ26">IFERROR(ROUND(IF($D26="","",INDEX('M04-S04'!EA$18:EA$199,2*(ROWS(EZ$26:EZ26)-1)+1)),6),"")</f>
        <v/>
      </c>
      <c r="FA26" s="150" t="str" cm="1">
        <f t="array" ref="FA26">IFERROR(ROUND(IF($D26="","",INDEX('M04-S04'!EB$18:EB$199,2*(ROWS(FA$26:FA26)-1)+1)),6),"")</f>
        <v/>
      </c>
      <c r="FB26" s="150" t="str" cm="1">
        <f t="array" ref="FB26">IFERROR(ROUND(IF($D26="","",INDEX('M04-S04'!EC$18:EC$199,2*(ROWS(FB$26:FB26)-1)+1)),6),"")</f>
        <v/>
      </c>
      <c r="FC26" s="150" t="str" cm="1">
        <f t="array" ref="FC26">IFERROR(ROUND(IF($D26="","",INDEX('M04-S04'!ED$18:ED$199,2*(ROWS(FC$26:FC26)-1)+1)),6),"")</f>
        <v/>
      </c>
      <c r="FD26" s="150" t="str" cm="1">
        <f t="array" ref="FD26">IFERROR(ROUND(IF($D26="","",INDEX('M04-S04'!EE$18:EE$199,2*(ROWS(FD$26:FD26)-1)+1)),6),"")</f>
        <v/>
      </c>
      <c r="FE26" s="150" t="str" cm="1">
        <f t="array" ref="FE26">IFERROR(ROUND(IF($D26="","",INDEX('M04-S04'!EF$18:EF$199,2*(ROWS(FE$26:FE26)-1)+1)),6),"")</f>
        <v/>
      </c>
      <c r="FF26" s="150" t="str" cm="1">
        <f t="array" ref="FF26">IFERROR(ROUND(IF($D26="","",INDEX('M04-S04'!EG$18:EG$199,2*(ROWS(FF$26:FF26)-1)+1)),6),"")</f>
        <v/>
      </c>
      <c r="FG26" s="150" t="str" cm="1">
        <f t="array" ref="FG26">IFERROR(ROUND(IF($D26="","",INDEX('M04-S04'!EH$18:EH$199,2*(ROWS(FG$26:FG26)-1)+1)),6),"")</f>
        <v/>
      </c>
      <c r="FH26" s="150" t="str" cm="1">
        <f t="array" ref="FH26">IFERROR(ROUND(IF($D26="","",INDEX('M04-S04'!EI$18:EI$199,2*(ROWS(FH$26:FH26)-1)+1)),6),"")</f>
        <v/>
      </c>
      <c r="FI26" s="150" t="str" cm="1">
        <f t="array" ref="FI26">IFERROR(ROUND(IF($D26="","",INDEX('M04-S04'!EJ$18:EJ$199,2*(ROWS(FI$26:FI26)-1)+1)),6),"")</f>
        <v/>
      </c>
      <c r="FJ26" s="150" t="str" cm="1">
        <f t="array" ref="FJ26">IFERROR(ROUND(IF($D26="","",INDEX('M04-S04'!EK$18:EK$199,2*(ROWS(FJ$26:FJ26)-1)+1)),6),"")</f>
        <v/>
      </c>
      <c r="FK26" s="150" t="str" cm="1">
        <f t="array" ref="FK26">IFERROR(ROUND(IF($D26="","",INDEX('M04-S04'!EL$18:EL$199,2*(ROWS(FK$26:FK26)-1)+1)),6),"")</f>
        <v/>
      </c>
      <c r="FL26" s="150" t="str" cm="1">
        <f t="array" ref="FL26">IFERROR(ROUND(IF($D26="","",INDEX('M04-S04'!EM$18:EM$199,2*(ROWS(FL$26:FL26)-1)+1)),6),"")</f>
        <v/>
      </c>
      <c r="FM26" s="150" t="str" cm="1">
        <f t="array" ref="FM26">IFERROR(ROUND(IF($D26="","",INDEX('M04-S04'!EN$18:EN$199,2*(ROWS(FM$26:FM26)-1)+1)),6),"")</f>
        <v/>
      </c>
    </row>
    <row r="27" spans="1:169">
      <c r="A27" t="str">
        <f t="shared" ref="A27:A35" si="47">IFERROR(IF(D27="","",PROJID),"")</f>
        <v/>
      </c>
      <c r="B27" t="str">
        <f t="shared" ref="B27:B35" si="48">IFERROR(IF(D27="","",CONCATENATE(ROW(),"-",D27)),"")</f>
        <v/>
      </c>
      <c r="C27" t="str" cm="1">
        <f t="array" ref="C27">IFERROR(IF(D27="","",INDEX('M04-S04'!$B$18:$B$199,2*(ROWS(C$26:C27)-1)+1)),"")</f>
        <v/>
      </c>
      <c r="D27" t="str">
        <f t="shared" ref="D27:D35" si="49">IFERROR(IF(E27="","",E27),"")</f>
        <v/>
      </c>
      <c r="E27" t="str" cm="1">
        <f t="array" ref="E27">IFERROR(IF(INDEX('M04-S04'!$CC$18:$CC$199,2*(ROWS(E$26:E27)-1)+1)="","",INDEX('M04-S04'!$CC$18:$CC$199,2*(ROWS(E$26:E27)-1)+1)),"")</f>
        <v/>
      </c>
      <c r="G27" t="str">
        <f t="shared" ref="G27:G35" si="50">IFERROR(IF(C27&lt;&gt;"","Custom",""),"")</f>
        <v/>
      </c>
      <c r="H27" t="str">
        <f t="shared" ref="H27:H35" si="51">IFERROR(IF(C27&lt;&gt;"","Downstream",""),"")</f>
        <v/>
      </c>
      <c r="L27" t="str">
        <f t="shared" ref="L27:L35" si="52">IF($C27="","",IF(AND(AI27&gt;0,AN27&gt;0),"Electric &amp; Gas",IF(AI27&gt;0,"Electric",IF(AN27&gt;0,"Gas",""))))</f>
        <v/>
      </c>
      <c r="O27" t="str">
        <f t="shared" ref="O27:O35" si="53">IF($C27="","",TRUE)</f>
        <v/>
      </c>
      <c r="V27" t="str" cm="1">
        <f t="array" ref="V27">IFERROR(IF(D27="","",INDEX('M04-S04'!$AY$18:$AY$199,2*(ROWS(V$26:V27)-1)+1)),"")</f>
        <v/>
      </c>
      <c r="W27" t="str" cm="1">
        <f t="array" ref="W27">IFERROR(IF(D27="","",INDEX('M04-S04'!$AV$18:$AV$199,2*(ROWS(W$26:W27)-1)+1)),"")</f>
        <v/>
      </c>
      <c r="X27" t="str" cm="1">
        <f t="array" ref="X27">IFERROR(IF(D27="","",INDEX('M04-S04'!$AV$18:$AV$199,2*(ROWS(X$26:X27)-0)+0)),"")</f>
        <v/>
      </c>
      <c r="AG27" s="98" t="str" cm="1">
        <f t="array" ref="AG27">IFERROR(IF(D27="","",IF(INDEX('M04-S04'!$CB$18:$CB$199,2*(ROWS(AG$26:AG27)*1)+1)="","",INDEX('M04-S04'!$CB$18:$CB$199,2*(ROWS(AG$26:AG27)-1)+1))),"")</f>
        <v/>
      </c>
      <c r="AH27" s="98" t="str" cm="1">
        <f t="array" ref="AH27">IFERROR(IF(D27="","",IF(INDEX('M04-S04'!$CU$18:$CU$199,2*(ROWS(AH$26:AH27)-1)+1)="","",INDEX('M04-S04'!$CU$18:$CU$199,2*(ROWS(AH$26:AH27)-1)+1))),"")</f>
        <v/>
      </c>
      <c r="AI27" s="20" t="str" cm="1">
        <f t="array" ref="AI27">IFERROR(IF(D27="","",IF(INDEX('M04-S04'!$CM$18:$CM$199,2*(ROWS(AI$26:AI27)-1)+1)="",0,INDEX('M04-S04'!$CM$18:$CM$199,2*(ROWS(AI$26:AI27)-1)+1))),"")</f>
        <v/>
      </c>
      <c r="AJ27" s="20" t="str">
        <f t="shared" si="1"/>
        <v/>
      </c>
      <c r="AK27" s="487" t="str" cm="1">
        <f t="array" ref="AK27">IFERROR(IF(D27="","",IF(INDEX('M04-S04'!$CN$18:$CN$199,2*(ROWS(AK$26:AK27)-1)+1)="",0,INDEX('M04-S04'!$CN$18:$CN$199,2*(ROWS(AK$26:AK27)-1)+1))),"")</f>
        <v/>
      </c>
      <c r="AL27" s="20" t="str">
        <f t="shared" ref="AL27:AL35" si="54">IF(AN27&gt;=0,AN27,0)</f>
        <v/>
      </c>
      <c r="AM27" s="20" t="str">
        <f t="shared" si="44"/>
        <v/>
      </c>
      <c r="AN27" s="20" t="str" cm="1">
        <f t="array" ref="AN27">IFERROR(IF(D27="","",IF(INDEX('M04-S04'!$CO$18:$CO$199,2*(ROWS(AN$26:AN27)-1)+1)="",0,INDEX('M04-S04'!$CO$18:$CO$199,2*(ROWS(AN$26:AN27)-1)+1))),"")</f>
        <v/>
      </c>
      <c r="AO27" s="20" t="str" cm="1">
        <f t="array" ref="AO27">IFERROR(IF(D27="","",INDEX('M04-S04'!$R$18:$R$199,2*(ROWS(AO$26:AO27)-1)+1)),"")</f>
        <v/>
      </c>
      <c r="AP27" s="20" t="str" cm="1">
        <f t="array" ref="AP27">IFERROR(IF(D27="","",INDEX('M04-S04'!$AJ$18:$AJ$199,2*(ROWS(AP$26:AP27)-1)+1)),"")</f>
        <v/>
      </c>
      <c r="AQ27" s="487" t="str" cm="1">
        <f t="array" ref="AQ27">IFERROR(IF(D27="","",INDEX('M04-S04'!$U$18:$U$199,2*(ROWS(AQ$26:AQ27)-1)+1)),"")</f>
        <v/>
      </c>
      <c r="AR27" s="487" t="str" cm="1">
        <f t="array" ref="AR27">IFERROR(IF(D27="","",INDEX('M04-S04'!$AM$18:$AM$199,2*(ROWS(AR$26:AR27)-1)+1)),"")</f>
        <v/>
      </c>
      <c r="AS27" s="20" t="str" cm="1">
        <f t="array" ref="AS27">IFERROR(IF(D27="","",INDEX('M04-S04'!$X$18:$X$199,2*(ROWS(AS$26:AS27)-1)+1)),"")</f>
        <v/>
      </c>
      <c r="AT27" s="20" t="str" cm="1">
        <f t="array" ref="AT27">IFERROR(IF(D27="","",INDEX('M04-S04'!$AP$18:$AP$199,2*(ROWS(AT$26:AT27)-1)+1)),"")</f>
        <v/>
      </c>
      <c r="BP27" t="str" cm="1">
        <f t="array" ref="BP27">IFERROR(IF(D27="","",INDEX('M04-S04'!$CS$18:$CS$199,2*(ROWS(BP$26:BP27)-1)+1)),"")</f>
        <v/>
      </c>
      <c r="BR27" t="str" cm="1">
        <f t="array" ref="BR27">IFERROR(IF(D27="","",LEFT(INDEX('M04-S04'!$C$18:$C$199,2*(ROWS(BR$26:BR27)-1)+1),150)),"")</f>
        <v/>
      </c>
      <c r="BS27" t="str" cm="1">
        <f t="array" ref="BS27">IFERROR(IF(D27="","",INDEX('M04-S04'!$CT$18:$CT$199,2*(ROWS(BS$26:BS27)-1)+1)),"")</f>
        <v/>
      </c>
      <c r="BT27" s="6" t="str" cm="1">
        <f t="array" ref="BT27">IFERROR(ROUND(IF(D27="","",INDEX('M04-S04'!$BB$18:$BB$199,2*(ROWS(BT$26:BT27)-1)+1)),2),"")</f>
        <v/>
      </c>
      <c r="BU27" s="6" t="str" cm="1">
        <f t="array" ref="BU27">IFERROR(IF(D27="","",INDEX('M04-S04'!$CX$18:$CX$199,2*(ROWS(BU$26:BU27)-1)+1)),"")</f>
        <v/>
      </c>
      <c r="BV27" s="6" t="str" cm="1">
        <f t="array" ref="BV27">IFERROR(IF(D27="","",INDEX('M04-S04'!$CY$18:$CY$199,2*(ROWS(BV$26:BV27)-1)+1)),"")</f>
        <v/>
      </c>
      <c r="BW27" t="str">
        <f t="shared" ref="BW27:BW35" si="55">IF(D27="","","Measure")</f>
        <v/>
      </c>
      <c r="BX27" t="str">
        <f t="shared" ref="BX27:BX35" si="56">IF(D27="","",1)</f>
        <v/>
      </c>
      <c r="BY27" s="6" t="str" cm="1">
        <f t="array" ref="BY27">IFERROR(IF(D27="","",INDEX('M04-S04'!$CI$18:$CI$199,2*(ROWS(BY$26:BY27)-1)+1)),"")</f>
        <v/>
      </c>
      <c r="BZ27" s="6" t="str">
        <f t="shared" si="17"/>
        <v/>
      </c>
      <c r="CA27" s="6" t="str">
        <f t="shared" si="18"/>
        <v/>
      </c>
      <c r="CB27" s="6" t="str">
        <f t="shared" si="3"/>
        <v/>
      </c>
      <c r="CC27" s="6" t="str">
        <f t="shared" si="45"/>
        <v/>
      </c>
      <c r="CD27" s="6" t="str">
        <f t="shared" si="46"/>
        <v/>
      </c>
      <c r="CS27" t="str" cm="1">
        <f t="array" ref="CS27">IFERROR(IF(D27="","",INDEX('M04-S04'!$F$18:$F$199,2*(ROWS(CS$26:CS27)-1)+1)),"")</f>
        <v/>
      </c>
      <c r="CT27" t="str" cm="1">
        <f t="array" ref="CT27">IFERROR(IF(D27="","",INDEX('M04-S04'!$L$18:$L$199,2*(ROWS(CT$26:CT27)-1)+1)),"")</f>
        <v/>
      </c>
      <c r="CU27" t="str" cm="1">
        <f t="array" ref="CU27">IFERROR(IF(D27="","",INDEX('M04-S04'!$AD$18:$AD$199,2*(ROWS(CU$26:CU27)-1)+1)),"")</f>
        <v/>
      </c>
      <c r="DE27" s="150"/>
      <c r="DF27" s="150" t="str">
        <f>IFERROR(ROUND(IF(OR(D27="",DE27=""),"",TEMPLATE!$V$12),2),"")</f>
        <v/>
      </c>
      <c r="DG27" s="150"/>
      <c r="DH27" s="150" t="str">
        <f>IFERROR(ROUND(IF(OR(D27="",DG27=""),"",TEMPLATE!$V$12),2),"")</f>
        <v/>
      </c>
      <c r="DI27" s="150"/>
      <c r="DJ27" s="150" t="str">
        <f>IFERROR(ROUND(IF(OR(D27="",DI27=""),"",TEMPLATE!$V$12),2),"")</f>
        <v/>
      </c>
      <c r="DK27" s="150"/>
      <c r="DL27" s="150" t="str">
        <f>IFERROR(ROUND(IF(OR(D27="",DK27=""),"",TEMPLATE!$V$12),2),"")</f>
        <v/>
      </c>
      <c r="DM27" s="150"/>
      <c r="DN27" s="150" t="str">
        <f>IFERROR(ROUND(IF(OR(D27="",DM27=""),"",TEMPLATE!$V$12),2),"")</f>
        <v/>
      </c>
      <c r="DO27" s="150"/>
      <c r="DP27" s="150" t="str">
        <f>IFERROR(ROUND(IF(OR(D27="",DO27=""),"",TEMPLATE!$V$12),2),"")</f>
        <v/>
      </c>
      <c r="DQ27" s="150"/>
      <c r="DR27" s="150" t="str">
        <f>IFERROR(ROUND(IF(OR(D27="",DQ27=""),"",TEMPLATE!$V$12),2),"")</f>
        <v/>
      </c>
      <c r="DS27" s="150"/>
      <c r="DT27" s="150" t="str">
        <f>IFERROR(ROUND(IF(OR(D27="",DS27=""),"",TEMPLATE!$V$12),2),"")</f>
        <v/>
      </c>
      <c r="DU27" s="150" t="str" cm="1">
        <f t="array" ref="DU27">IFERROR(ROUND(IF($D27="","",INDEX('M04-S04'!DD$18:DD$199,2*(ROWS(DU$26:DU27)-1)+1)),4),"")</f>
        <v/>
      </c>
      <c r="DV27" s="150" t="str" cm="1">
        <f t="array" ref="DV27">IFERROR(ROUND(IF($D27="","",INDEX('M04-S04'!DE$18:DE$199,2*(ROWS(DV$26:DV27)-1)+1)),4),"")</f>
        <v/>
      </c>
      <c r="DW27" s="150" t="str" cm="1">
        <f t="array" ref="DW27">IFERROR(ROUND(IF($D27="","",INDEX('M04-S04'!DF$18:DF$199,2*(ROWS(DW$26:DW27)-1)+1)),4),"")</f>
        <v/>
      </c>
      <c r="DX27" s="150" t="str" cm="1">
        <f t="array" ref="DX27">IFERROR(ROUND(IF($D27="","",INDEX('M04-S04'!DG$18:DG$199,2*(ROWS(DX$26:DX27)-1)+1)),4),"")</f>
        <v/>
      </c>
      <c r="DY27" s="150" t="str" cm="1">
        <f t="array" ref="DY27">IFERROR(ROUND(IF($D27="","",INDEX('M04-S04'!DH$18:DH$199,2*(ROWS(DY$26:DY27)-1)+1)),4),"")</f>
        <v/>
      </c>
      <c r="DZ27" s="150" t="str" cm="1">
        <f t="array" ref="DZ27">IFERROR(ROUND(IF($D27="","",INDEX('M04-S04'!DI$18:DI$199,2*(ROWS(DZ$26:DZ27)-1)+1)),4),"")</f>
        <v/>
      </c>
      <c r="EA27" s="150" t="str" cm="1">
        <f t="array" ref="EA27">IFERROR(ROUND(IF($D27="","",INDEX('M04-S04'!DJ$18:DJ$199,2*(ROWS(EA$26:EA27)-1)+1)),4),"")</f>
        <v/>
      </c>
      <c r="EB27" s="150" t="str" cm="1">
        <f t="array" ref="EB27">IFERROR(ROUND(IF($D27="","",INDEX('M04-S04'!DK$18:DK$199,2*(ROWS(EB$26:EB27)-1)+1)),6),"")</f>
        <v/>
      </c>
      <c r="EC27" s="150" t="str" cm="1">
        <f t="array" ref="EC27">IFERROR(ROUND(IF($D27="","",INDEX('M04-S04'!DL$18:DL$199,2*(ROWS(EC$26:EC27)-1)+1)),6),"")</f>
        <v/>
      </c>
      <c r="ED27" s="150" t="str" cm="1">
        <f t="array" ref="ED27">IFERROR(ROUND(IF($D27="","",INDEX('M04-S04'!DM$18:DM$199,2*(ROWS(ED$26:ED27)-1)+1)),6),"")</f>
        <v/>
      </c>
      <c r="EE27" s="150" t="str" cm="1">
        <f t="array" ref="EE27">IFERROR(ROUND(IF($D27="","",INDEX('M04-S04'!DN$18:DN$199,2*(ROWS(EE$26:EE27)-1)+1)),6),"")</f>
        <v/>
      </c>
      <c r="EF27" s="150" t="str" cm="1">
        <f t="array" ref="EF27">IFERROR(ROUND(IF($D27="","",INDEX('M04-S04'!DO$18:DO$199,2*(ROWS(EF$26:EF27)-1)+1)),6),"")</f>
        <v/>
      </c>
      <c r="EG27" s="150" t="str" cm="1">
        <f t="array" ref="EG27">IFERROR(ROUND(IF($D27="","",INDEX('M04-S04'!DP$18:DP$199,2*(ROWS(EG$26:EG27)-1)+1)),6),"")</f>
        <v/>
      </c>
      <c r="EH27" s="150" t="str" cm="1">
        <f t="array" ref="EH27">IFERROR(ROUND(IF($D27="","",INDEX('M04-S04'!DQ$18:DQ$199,2*(ROWS(EH$26:EH27)-1)+1)),6),"")</f>
        <v/>
      </c>
      <c r="EI27" s="150" t="str" cm="1">
        <f t="array" ref="EI27">IFERROR(ROUND(IF($D27="","",INDEX('M04-S04'!DR$18:DR$199,2*(ROWS(EI$26:EI27)-1)+1)),6),"")</f>
        <v/>
      </c>
      <c r="EJ27" s="150" t="str" cm="1">
        <f t="array" ref="EJ27">IFERROR(ROUND(IF($D27="","",INDEX('M04-S04'!DS$18:DS$199,2*(ROWS(EJ$26:EJ27)-1)+1)),6),"")</f>
        <v/>
      </c>
      <c r="EK27" s="150" t="str" cm="1">
        <f t="array" ref="EK27">IFERROR(ROUND(IF($D27="","",INDEX('M04-S04'!DT$18:DT$199,2*(ROWS(EK$26:EK27)-1)+1)),6),"")</f>
        <v/>
      </c>
      <c r="EL27" s="150" t="str" cm="1">
        <f t="array" ref="EL27">IFERROR(ROUND(IF($D27="","",INDEX('M04-S04'!DU$18:DU$199,2*(ROWS(EL$26:EL27)-1)+1)),6),"")</f>
        <v/>
      </c>
      <c r="EM27" s="150" t="str" cm="1">
        <f t="array" ref="EM27">IFERROR(ROUND(IF($D27="","",INDEX('M04-S04'!DV$18:DV$199,2*(ROWS(EM$26:EM27)-1)+1)),6),"")</f>
        <v/>
      </c>
      <c r="EN27" s="150" t="str" cm="1">
        <f t="array" ref="EN27">IFERROR(ROUND(IF($D27="","",INDEX('M04-S04'!DW$18:DW$199,2*(ROWS(EN$26:EN27)-1)+1)),6),"")</f>
        <v/>
      </c>
      <c r="EO27" s="150" t="str" cm="1">
        <f t="array" ref="EO27">IFERROR(ROUND(IF($D27="","",INDEX('M04-S04'!DX$18:DX$199,2*(ROWS(EO$26:EO27)-1)+1)),6),"")</f>
        <v/>
      </c>
      <c r="EP27" s="150" t="str" cm="1">
        <f t="array" ref="EP27">IFERROR(ROUND(IF($D27="","",INDEX('M04-S04'!DY$18:DY$199,2*(ROWS(EP$26:EP27)-1)+1)),6),"")</f>
        <v/>
      </c>
      <c r="EQ27" s="150" t="str" cm="1">
        <f t="array" ref="EQ27">IFERROR(ROUND(IF($D27="","",INDEX('M04-S04'!DZ$18:DZ$199,2*(ROWS(EQ$26:EQ27)-1)+1)),6),"")</f>
        <v/>
      </c>
      <c r="ER27" s="150" t="str">
        <f t="shared" si="21"/>
        <v/>
      </c>
      <c r="ES27" s="150" t="str">
        <f t="shared" si="37"/>
        <v/>
      </c>
      <c r="ET27" s="150" t="str">
        <f t="shared" si="38"/>
        <v/>
      </c>
      <c r="EU27" s="150" t="str">
        <f t="shared" si="39"/>
        <v/>
      </c>
      <c r="EV27" s="150" t="str">
        <f t="shared" si="40"/>
        <v/>
      </c>
      <c r="EW27" s="150" t="str">
        <f t="shared" si="41"/>
        <v/>
      </c>
      <c r="EX27" s="150" t="str">
        <f t="shared" si="42"/>
        <v/>
      </c>
      <c r="EY27" s="150" t="str">
        <f t="shared" si="22"/>
        <v/>
      </c>
      <c r="EZ27" s="150" t="str" cm="1">
        <f t="array" ref="EZ27">IFERROR(ROUND(IF($D27="","",INDEX('M04-S04'!EA$18:EA$199,2*(ROWS(EZ$26:EZ27)-1)+1)),6),"")</f>
        <v/>
      </c>
      <c r="FA27" s="150" t="str" cm="1">
        <f t="array" ref="FA27">IFERROR(ROUND(IF($D27="","",INDEX('M04-S04'!EB$18:EB$199,2*(ROWS(FA$26:FA27)-1)+1)),6),"")</f>
        <v/>
      </c>
      <c r="FB27" s="150" t="str" cm="1">
        <f t="array" ref="FB27">IFERROR(ROUND(IF($D27="","",INDEX('M04-S04'!EC$18:EC$199,2*(ROWS(FB$26:FB27)-1)+1)),6),"")</f>
        <v/>
      </c>
      <c r="FC27" s="150" t="str" cm="1">
        <f t="array" ref="FC27">IFERROR(ROUND(IF($D27="","",INDEX('M04-S04'!ED$18:ED$199,2*(ROWS(FC$26:FC27)-1)+1)),6),"")</f>
        <v/>
      </c>
      <c r="FD27" s="150" t="str" cm="1">
        <f t="array" ref="FD27">IFERROR(ROUND(IF($D27="","",INDEX('M04-S04'!EE$18:EE$199,2*(ROWS(FD$26:FD27)-1)+1)),6),"")</f>
        <v/>
      </c>
      <c r="FE27" s="150" t="str" cm="1">
        <f t="array" ref="FE27">IFERROR(ROUND(IF($D27="","",INDEX('M04-S04'!EF$18:EF$199,2*(ROWS(FE$26:FE27)-1)+1)),6),"")</f>
        <v/>
      </c>
      <c r="FF27" s="150" t="str" cm="1">
        <f t="array" ref="FF27">IFERROR(ROUND(IF($D27="","",INDEX('M04-S04'!EG$18:EG$199,2*(ROWS(FF$26:FF27)-1)+1)),6),"")</f>
        <v/>
      </c>
      <c r="FG27" s="150" t="str" cm="1">
        <f t="array" ref="FG27">IFERROR(ROUND(IF($D27="","",INDEX('M04-S04'!EH$18:EH$199,2*(ROWS(FG$26:FG27)-1)+1)),6),"")</f>
        <v/>
      </c>
      <c r="FH27" s="150" t="str" cm="1">
        <f t="array" ref="FH27">IFERROR(ROUND(IF($D27="","",INDEX('M04-S04'!EI$18:EI$199,2*(ROWS(FH$26:FH27)-1)+1)),6),"")</f>
        <v/>
      </c>
      <c r="FI27" s="150" t="str" cm="1">
        <f t="array" ref="FI27">IFERROR(ROUND(IF($D27="","",INDEX('M04-S04'!EJ$18:EJ$199,2*(ROWS(FI$26:FI27)-1)+1)),6),"")</f>
        <v/>
      </c>
      <c r="FJ27" s="150" t="str" cm="1">
        <f t="array" ref="FJ27">IFERROR(ROUND(IF($D27="","",INDEX('M04-S04'!EK$18:EK$199,2*(ROWS(FJ$26:FJ27)-1)+1)),6),"")</f>
        <v/>
      </c>
      <c r="FK27" s="150" t="str" cm="1">
        <f t="array" ref="FK27">IFERROR(ROUND(IF($D27="","",INDEX('M04-S04'!EL$18:EL$199,2*(ROWS(FK$26:FK27)-1)+1)),6),"")</f>
        <v/>
      </c>
      <c r="FL27" s="150" t="str" cm="1">
        <f t="array" ref="FL27">IFERROR(ROUND(IF($D27="","",INDEX('M04-S04'!EM$18:EM$199,2*(ROWS(FL$26:FL27)-1)+1)),6),"")</f>
        <v/>
      </c>
      <c r="FM27" s="150" t="str" cm="1">
        <f t="array" ref="FM27">IFERROR(ROUND(IF($D27="","",INDEX('M04-S04'!EN$18:EN$199,2*(ROWS(FM$26:FM27)-1)+1)),6),"")</f>
        <v/>
      </c>
    </row>
    <row r="28" spans="1:169">
      <c r="A28" t="str">
        <f t="shared" si="47"/>
        <v/>
      </c>
      <c r="B28" t="str">
        <f t="shared" si="48"/>
        <v/>
      </c>
      <c r="C28" t="str" cm="1">
        <f t="array" ref="C28">IFERROR(IF(D28="","",INDEX('M04-S04'!$B$18:$B$199,2*(ROWS(C$26:C28)-1)+1)),"")</f>
        <v/>
      </c>
      <c r="D28" t="str">
        <f t="shared" si="49"/>
        <v/>
      </c>
      <c r="E28" t="str" cm="1">
        <f t="array" ref="E28">IFERROR(IF(INDEX('M04-S04'!$CC$18:$CC$199,2*(ROWS(E$26:E28)-1)+1)="","",INDEX('M04-S04'!$CC$18:$CC$199,2*(ROWS(E$26:E28)-1)+1)),"")</f>
        <v/>
      </c>
      <c r="G28" t="str">
        <f t="shared" si="50"/>
        <v/>
      </c>
      <c r="H28" t="str">
        <f t="shared" si="51"/>
        <v/>
      </c>
      <c r="L28" t="str">
        <f t="shared" si="52"/>
        <v/>
      </c>
      <c r="O28" t="str">
        <f t="shared" si="53"/>
        <v/>
      </c>
      <c r="V28" t="str" cm="1">
        <f t="array" ref="V28">IFERROR(IF(D28="","",INDEX('M04-S04'!$AY$18:$AY$199,2*(ROWS(V$26:V28)-1)+1)),"")</f>
        <v/>
      </c>
      <c r="W28" t="str" cm="1">
        <f t="array" ref="W28">IFERROR(IF(D28="","",INDEX('M04-S04'!$AV$18:$AV$199,2*(ROWS(W$26:W28)-1)+1)),"")</f>
        <v/>
      </c>
      <c r="X28" t="str" cm="1">
        <f t="array" ref="X28">IFERROR(IF(D28="","",INDEX('M04-S04'!$AV$18:$AV$199,2*(ROWS(X$26:X28)-0)+0)),"")</f>
        <v/>
      </c>
      <c r="AG28" s="98" t="str" cm="1">
        <f t="array" ref="AG28">IFERROR(IF(D28="","",IF(INDEX('M04-S04'!$CB$18:$CB$199,2*(ROWS(AG$26:AG28)*1)+1)="","",INDEX('M04-S04'!$CB$18:$CB$199,2*(ROWS(AG$26:AG28)-1)+1))),"")</f>
        <v/>
      </c>
      <c r="AH28" s="98" t="str" cm="1">
        <f t="array" ref="AH28">IFERROR(IF(D28="","",IF(INDEX('M04-S04'!$CU$18:$CU$199,2*(ROWS(AH$26:AH28)-1)+1)="","",INDEX('M04-S04'!$CU$18:$CU$199,2*(ROWS(AH$26:AH28)-1)+1))),"")</f>
        <v/>
      </c>
      <c r="AI28" s="20" t="str" cm="1">
        <f t="array" ref="AI28">IFERROR(IF(D28="","",IF(INDEX('M04-S04'!$CM$18:$CM$199,2*(ROWS(AI$26:AI28)-1)+1)="",0,INDEX('M04-S04'!$CM$18:$CM$199,2*(ROWS(AI$26:AI28)-1)+1))),"")</f>
        <v/>
      </c>
      <c r="AJ28" s="20" t="str">
        <f t="shared" si="1"/>
        <v/>
      </c>
      <c r="AK28" s="487" t="str" cm="1">
        <f t="array" ref="AK28">IFERROR(IF(D28="","",IF(INDEX('M04-S04'!$CN$18:$CN$199,2*(ROWS(AK$26:AK28)-1)+1)="",0,INDEX('M04-S04'!$CN$18:$CN$199,2*(ROWS(AK$26:AK28)-1)+1))),"")</f>
        <v/>
      </c>
      <c r="AL28" s="20" t="str">
        <f t="shared" si="54"/>
        <v/>
      </c>
      <c r="AM28" s="20" t="str">
        <f t="shared" si="44"/>
        <v/>
      </c>
      <c r="AN28" s="20" t="str" cm="1">
        <f t="array" ref="AN28">IFERROR(IF(D28="","",IF(INDEX('M04-S04'!$CO$18:$CO$199,2*(ROWS(AN$26:AN28)-1)+1)="",0,INDEX('M04-S04'!$CO$18:$CO$199,2*(ROWS(AN$26:AN28)-1)+1))),"")</f>
        <v/>
      </c>
      <c r="AO28" s="20" t="str" cm="1">
        <f t="array" ref="AO28">IFERROR(IF(D28="","",INDEX('M04-S04'!$R$18:$R$199,2*(ROWS(AO$26:AO28)-1)+1)),"")</f>
        <v/>
      </c>
      <c r="AP28" s="20" t="str" cm="1">
        <f t="array" ref="AP28">IFERROR(IF(D28="","",INDEX('M04-S04'!$AJ$18:$AJ$199,2*(ROWS(AP$26:AP28)-1)+1)),"")</f>
        <v/>
      </c>
      <c r="AQ28" s="487" t="str" cm="1">
        <f t="array" ref="AQ28">IFERROR(IF(D28="","",INDEX('M04-S04'!$U$18:$U$199,2*(ROWS(AQ$26:AQ28)-1)+1)),"")</f>
        <v/>
      </c>
      <c r="AR28" s="487" t="str" cm="1">
        <f t="array" ref="AR28">IFERROR(IF(D28="","",INDEX('M04-S04'!$AM$18:$AM$199,2*(ROWS(AR$26:AR28)-1)+1)),"")</f>
        <v/>
      </c>
      <c r="AS28" s="20" t="str" cm="1">
        <f t="array" ref="AS28">IFERROR(IF(D28="","",INDEX('M04-S04'!$X$18:$X$199,2*(ROWS(AS$26:AS28)-1)+1)),"")</f>
        <v/>
      </c>
      <c r="AT28" s="20" t="str" cm="1">
        <f t="array" ref="AT28">IFERROR(IF(D28="","",INDEX('M04-S04'!$AP$18:$AP$199,2*(ROWS(AT$26:AT28)-1)+1)),"")</f>
        <v/>
      </c>
      <c r="BP28" t="str" cm="1">
        <f t="array" ref="BP28">IFERROR(IF(D28="","",INDEX('M04-S04'!$CS$18:$CS$199,2*(ROWS(BP$26:BP28)-1)+1)),"")</f>
        <v/>
      </c>
      <c r="BR28" t="str" cm="1">
        <f t="array" ref="BR28">IFERROR(IF(D28="","",LEFT(INDEX('M04-S04'!$C$18:$C$199,2*(ROWS(BR$26:BR28)-1)+1),150)),"")</f>
        <v/>
      </c>
      <c r="BS28" t="str" cm="1">
        <f t="array" ref="BS28">IFERROR(IF(D28="","",INDEX('M04-S04'!$CT$18:$CT$199,2*(ROWS(BS$26:BS28)-1)+1)),"")</f>
        <v/>
      </c>
      <c r="BT28" s="6" t="str" cm="1">
        <f t="array" ref="BT28">IFERROR(ROUND(IF(D28="","",INDEX('M04-S04'!$BB$18:$BB$199,2*(ROWS(BT$26:BT28)-1)+1)),2),"")</f>
        <v/>
      </c>
      <c r="BU28" s="6" t="str" cm="1">
        <f t="array" ref="BU28">IFERROR(IF(D28="","",INDEX('M04-S04'!$CX$18:$CX$199,2*(ROWS(BU$26:BU28)-1)+1)),"")</f>
        <v/>
      </c>
      <c r="BV28" s="6" t="str" cm="1">
        <f t="array" ref="BV28">IFERROR(IF(D28="","",INDEX('M04-S04'!$CY$18:$CY$199,2*(ROWS(BV$26:BV28)-1)+1)),"")</f>
        <v/>
      </c>
      <c r="BW28" t="str">
        <f t="shared" si="55"/>
        <v/>
      </c>
      <c r="BX28" t="str">
        <f t="shared" si="56"/>
        <v/>
      </c>
      <c r="BY28" s="6" t="str" cm="1">
        <f t="array" ref="BY28">IFERROR(IF(D28="","",INDEX('M04-S04'!$CI$18:$CI$199,2*(ROWS(BY$26:BY28)-1)+1)),"")</f>
        <v/>
      </c>
      <c r="BZ28" s="6" t="str">
        <f t="shared" si="17"/>
        <v/>
      </c>
      <c r="CA28" s="6" t="str">
        <f t="shared" si="18"/>
        <v/>
      </c>
      <c r="CB28" s="6" t="str">
        <f t="shared" si="3"/>
        <v/>
      </c>
      <c r="CC28" s="6" t="str">
        <f t="shared" si="45"/>
        <v/>
      </c>
      <c r="CD28" s="6" t="str">
        <f t="shared" si="46"/>
        <v/>
      </c>
      <c r="CS28" t="str" cm="1">
        <f t="array" ref="CS28">IFERROR(IF(D28="","",INDEX('M04-S04'!$F$18:$F$199,2*(ROWS(CS$26:CS28)-1)+1)),"")</f>
        <v/>
      </c>
      <c r="CT28" t="str" cm="1">
        <f t="array" ref="CT28">IFERROR(IF(D28="","",INDEX('M04-S04'!$L$18:$L$199,2*(ROWS(CT$26:CT28)-1)+1)),"")</f>
        <v/>
      </c>
      <c r="CU28" t="str" cm="1">
        <f t="array" ref="CU28">IFERROR(IF(D28="","",INDEX('M04-S04'!$AD$18:$AD$199,2*(ROWS(CU$26:CU28)-1)+1)),"")</f>
        <v/>
      </c>
      <c r="DE28" s="150"/>
      <c r="DF28" s="150" t="str">
        <f>IFERROR(ROUND(IF(OR(D28="",DE28=""),"",TEMPLATE!$V$12),2),"")</f>
        <v/>
      </c>
      <c r="DG28" s="150"/>
      <c r="DH28" s="150" t="str">
        <f>IFERROR(ROUND(IF(OR(D28="",DG28=""),"",TEMPLATE!$V$12),2),"")</f>
        <v/>
      </c>
      <c r="DI28" s="150"/>
      <c r="DJ28" s="150" t="str">
        <f>IFERROR(ROUND(IF(OR(D28="",DI28=""),"",TEMPLATE!$V$12),2),"")</f>
        <v/>
      </c>
      <c r="DK28" s="150"/>
      <c r="DL28" s="150" t="str">
        <f>IFERROR(ROUND(IF(OR(D28="",DK28=""),"",TEMPLATE!$V$12),2),"")</f>
        <v/>
      </c>
      <c r="DM28" s="150"/>
      <c r="DN28" s="150" t="str">
        <f>IFERROR(ROUND(IF(OR(D28="",DM28=""),"",TEMPLATE!$V$12),2),"")</f>
        <v/>
      </c>
      <c r="DO28" s="150"/>
      <c r="DP28" s="150" t="str">
        <f>IFERROR(ROUND(IF(OR(D28="",DO28=""),"",TEMPLATE!$V$12),2),"")</f>
        <v/>
      </c>
      <c r="DQ28" s="150"/>
      <c r="DR28" s="150" t="str">
        <f>IFERROR(ROUND(IF(OR(D28="",DQ28=""),"",TEMPLATE!$V$12),2),"")</f>
        <v/>
      </c>
      <c r="DS28" s="150"/>
      <c r="DT28" s="150" t="str">
        <f>IFERROR(ROUND(IF(OR(D28="",DS28=""),"",TEMPLATE!$V$12),2),"")</f>
        <v/>
      </c>
      <c r="DU28" s="150" t="str" cm="1">
        <f t="array" ref="DU28">IFERROR(ROUND(IF($D28="","",INDEX('M04-S04'!DD$18:DD$199,2*(ROWS(DU$26:DU28)-1)+1)),4),"")</f>
        <v/>
      </c>
      <c r="DV28" s="150" t="str" cm="1">
        <f t="array" ref="DV28">IFERROR(ROUND(IF($D28="","",INDEX('M04-S04'!DE$18:DE$199,2*(ROWS(DV$26:DV28)-1)+1)),4),"")</f>
        <v/>
      </c>
      <c r="DW28" s="150" t="str" cm="1">
        <f t="array" ref="DW28">IFERROR(ROUND(IF($D28="","",INDEX('M04-S04'!DF$18:DF$199,2*(ROWS(DW$26:DW28)-1)+1)),4),"")</f>
        <v/>
      </c>
      <c r="DX28" s="150" t="str" cm="1">
        <f t="array" ref="DX28">IFERROR(ROUND(IF($D28="","",INDEX('M04-S04'!DG$18:DG$199,2*(ROWS(DX$26:DX28)-1)+1)),4),"")</f>
        <v/>
      </c>
      <c r="DY28" s="150" t="str" cm="1">
        <f t="array" ref="DY28">IFERROR(ROUND(IF($D28="","",INDEX('M04-S04'!DH$18:DH$199,2*(ROWS(DY$26:DY28)-1)+1)),4),"")</f>
        <v/>
      </c>
      <c r="DZ28" s="150" t="str" cm="1">
        <f t="array" ref="DZ28">IFERROR(ROUND(IF($D28="","",INDEX('M04-S04'!DI$18:DI$199,2*(ROWS(DZ$26:DZ28)-1)+1)),4),"")</f>
        <v/>
      </c>
      <c r="EA28" s="150" t="str" cm="1">
        <f t="array" ref="EA28">IFERROR(ROUND(IF($D28="","",INDEX('M04-S04'!DJ$18:DJ$199,2*(ROWS(EA$26:EA28)-1)+1)),4),"")</f>
        <v/>
      </c>
      <c r="EB28" s="150" t="str" cm="1">
        <f t="array" ref="EB28">IFERROR(ROUND(IF($D28="","",INDEX('M04-S04'!DK$18:DK$199,2*(ROWS(EB$26:EB28)-1)+1)),6),"")</f>
        <v/>
      </c>
      <c r="EC28" s="150" t="str" cm="1">
        <f t="array" ref="EC28">IFERROR(ROUND(IF($D28="","",INDEX('M04-S04'!DL$18:DL$199,2*(ROWS(EC$26:EC28)-1)+1)),6),"")</f>
        <v/>
      </c>
      <c r="ED28" s="150" t="str" cm="1">
        <f t="array" ref="ED28">IFERROR(ROUND(IF($D28="","",INDEX('M04-S04'!DM$18:DM$199,2*(ROWS(ED$26:ED28)-1)+1)),6),"")</f>
        <v/>
      </c>
      <c r="EE28" s="150" t="str" cm="1">
        <f t="array" ref="EE28">IFERROR(ROUND(IF($D28="","",INDEX('M04-S04'!DN$18:DN$199,2*(ROWS(EE$26:EE28)-1)+1)),6),"")</f>
        <v/>
      </c>
      <c r="EF28" s="150" t="str" cm="1">
        <f t="array" ref="EF28">IFERROR(ROUND(IF($D28="","",INDEX('M04-S04'!DO$18:DO$199,2*(ROWS(EF$26:EF28)-1)+1)),6),"")</f>
        <v/>
      </c>
      <c r="EG28" s="150" t="str" cm="1">
        <f t="array" ref="EG28">IFERROR(ROUND(IF($D28="","",INDEX('M04-S04'!DP$18:DP$199,2*(ROWS(EG$26:EG28)-1)+1)),6),"")</f>
        <v/>
      </c>
      <c r="EH28" s="150" t="str" cm="1">
        <f t="array" ref="EH28">IFERROR(ROUND(IF($D28="","",INDEX('M04-S04'!DQ$18:DQ$199,2*(ROWS(EH$26:EH28)-1)+1)),6),"")</f>
        <v/>
      </c>
      <c r="EI28" s="150" t="str" cm="1">
        <f t="array" ref="EI28">IFERROR(ROUND(IF($D28="","",INDEX('M04-S04'!DR$18:DR$199,2*(ROWS(EI$26:EI28)-1)+1)),6),"")</f>
        <v/>
      </c>
      <c r="EJ28" s="150" t="str" cm="1">
        <f t="array" ref="EJ28">IFERROR(ROUND(IF($D28="","",INDEX('M04-S04'!DS$18:DS$199,2*(ROWS(EJ$26:EJ28)-1)+1)),6),"")</f>
        <v/>
      </c>
      <c r="EK28" s="150" t="str" cm="1">
        <f t="array" ref="EK28">IFERROR(ROUND(IF($D28="","",INDEX('M04-S04'!DT$18:DT$199,2*(ROWS(EK$26:EK28)-1)+1)),6),"")</f>
        <v/>
      </c>
      <c r="EL28" s="150" t="str" cm="1">
        <f t="array" ref="EL28">IFERROR(ROUND(IF($D28="","",INDEX('M04-S04'!DU$18:DU$199,2*(ROWS(EL$26:EL28)-1)+1)),6),"")</f>
        <v/>
      </c>
      <c r="EM28" s="150" t="str" cm="1">
        <f t="array" ref="EM28">IFERROR(ROUND(IF($D28="","",INDEX('M04-S04'!DV$18:DV$199,2*(ROWS(EM$26:EM28)-1)+1)),6),"")</f>
        <v/>
      </c>
      <c r="EN28" s="150" t="str" cm="1">
        <f t="array" ref="EN28">IFERROR(ROUND(IF($D28="","",INDEX('M04-S04'!DW$18:DW$199,2*(ROWS(EN$26:EN28)-1)+1)),6),"")</f>
        <v/>
      </c>
      <c r="EO28" s="150" t="str" cm="1">
        <f t="array" ref="EO28">IFERROR(ROUND(IF($D28="","",INDEX('M04-S04'!DX$18:DX$199,2*(ROWS(EO$26:EO28)-1)+1)),6),"")</f>
        <v/>
      </c>
      <c r="EP28" s="150" t="str" cm="1">
        <f t="array" ref="EP28">IFERROR(ROUND(IF($D28="","",INDEX('M04-S04'!DY$18:DY$199,2*(ROWS(EP$26:EP28)-1)+1)),6),"")</f>
        <v/>
      </c>
      <c r="EQ28" s="150" t="str" cm="1">
        <f t="array" ref="EQ28">IFERROR(ROUND(IF($D28="","",INDEX('M04-S04'!DZ$18:DZ$199,2*(ROWS(EQ$26:EQ28)-1)+1)),6),"")</f>
        <v/>
      </c>
      <c r="ER28" s="150" t="str">
        <f t="shared" si="21"/>
        <v/>
      </c>
      <c r="ES28" s="150" t="str">
        <f t="shared" si="37"/>
        <v/>
      </c>
      <c r="ET28" s="150" t="str">
        <f t="shared" si="38"/>
        <v/>
      </c>
      <c r="EU28" s="150" t="str">
        <f t="shared" si="39"/>
        <v/>
      </c>
      <c r="EV28" s="150" t="str">
        <f t="shared" si="40"/>
        <v/>
      </c>
      <c r="EW28" s="150" t="str">
        <f t="shared" si="41"/>
        <v/>
      </c>
      <c r="EX28" s="150" t="str">
        <f t="shared" si="42"/>
        <v/>
      </c>
      <c r="EY28" s="150" t="str">
        <f t="shared" si="22"/>
        <v/>
      </c>
      <c r="EZ28" s="150" t="str" cm="1">
        <f t="array" ref="EZ28">IFERROR(ROUND(IF($D28="","",INDEX('M04-S04'!EA$18:EA$199,2*(ROWS(EZ$26:EZ28)-1)+1)),6),"")</f>
        <v/>
      </c>
      <c r="FA28" s="150" t="str" cm="1">
        <f t="array" ref="FA28">IFERROR(ROUND(IF($D28="","",INDEX('M04-S04'!EB$18:EB$199,2*(ROWS(FA$26:FA28)-1)+1)),6),"")</f>
        <v/>
      </c>
      <c r="FB28" s="150" t="str" cm="1">
        <f t="array" ref="FB28">IFERROR(ROUND(IF($D28="","",INDEX('M04-S04'!EC$18:EC$199,2*(ROWS(FB$26:FB28)-1)+1)),6),"")</f>
        <v/>
      </c>
      <c r="FC28" s="150" t="str" cm="1">
        <f t="array" ref="FC28">IFERROR(ROUND(IF($D28="","",INDEX('M04-S04'!ED$18:ED$199,2*(ROWS(FC$26:FC28)-1)+1)),6),"")</f>
        <v/>
      </c>
      <c r="FD28" s="150" t="str" cm="1">
        <f t="array" ref="FD28">IFERROR(ROUND(IF($D28="","",INDEX('M04-S04'!EE$18:EE$199,2*(ROWS(FD$26:FD28)-1)+1)),6),"")</f>
        <v/>
      </c>
      <c r="FE28" s="150" t="str" cm="1">
        <f t="array" ref="FE28">IFERROR(ROUND(IF($D28="","",INDEX('M04-S04'!EF$18:EF$199,2*(ROWS(FE$26:FE28)-1)+1)),6),"")</f>
        <v/>
      </c>
      <c r="FF28" s="150" t="str" cm="1">
        <f t="array" ref="FF28">IFERROR(ROUND(IF($D28="","",INDEX('M04-S04'!EG$18:EG$199,2*(ROWS(FF$26:FF28)-1)+1)),6),"")</f>
        <v/>
      </c>
      <c r="FG28" s="150" t="str" cm="1">
        <f t="array" ref="FG28">IFERROR(ROUND(IF($D28="","",INDEX('M04-S04'!EH$18:EH$199,2*(ROWS(FG$26:FG28)-1)+1)),6),"")</f>
        <v/>
      </c>
      <c r="FH28" s="150" t="str" cm="1">
        <f t="array" ref="FH28">IFERROR(ROUND(IF($D28="","",INDEX('M04-S04'!EI$18:EI$199,2*(ROWS(FH$26:FH28)-1)+1)),6),"")</f>
        <v/>
      </c>
      <c r="FI28" s="150" t="str" cm="1">
        <f t="array" ref="FI28">IFERROR(ROUND(IF($D28="","",INDEX('M04-S04'!EJ$18:EJ$199,2*(ROWS(FI$26:FI28)-1)+1)),6),"")</f>
        <v/>
      </c>
      <c r="FJ28" s="150" t="str" cm="1">
        <f t="array" ref="FJ28">IFERROR(ROUND(IF($D28="","",INDEX('M04-S04'!EK$18:EK$199,2*(ROWS(FJ$26:FJ28)-1)+1)),6),"")</f>
        <v/>
      </c>
      <c r="FK28" s="150" t="str" cm="1">
        <f t="array" ref="FK28">IFERROR(ROUND(IF($D28="","",INDEX('M04-S04'!EL$18:EL$199,2*(ROWS(FK$26:FK28)-1)+1)),6),"")</f>
        <v/>
      </c>
      <c r="FL28" s="150" t="str" cm="1">
        <f t="array" ref="FL28">IFERROR(ROUND(IF($D28="","",INDEX('M04-S04'!EM$18:EM$199,2*(ROWS(FL$26:FL28)-1)+1)),6),"")</f>
        <v/>
      </c>
      <c r="FM28" s="150" t="str" cm="1">
        <f t="array" ref="FM28">IFERROR(ROUND(IF($D28="","",INDEX('M04-S04'!EN$18:EN$199,2*(ROWS(FM$26:FM28)-1)+1)),6),"")</f>
        <v/>
      </c>
    </row>
    <row r="29" spans="1:169">
      <c r="A29" t="str">
        <f t="shared" si="47"/>
        <v/>
      </c>
      <c r="B29" t="str">
        <f t="shared" si="48"/>
        <v/>
      </c>
      <c r="C29" t="str" cm="1">
        <f t="array" ref="C29">IFERROR(IF(D29="","",INDEX('M04-S04'!$B$18:$B$199,2*(ROWS(C$26:C29)-1)+1)),"")</f>
        <v/>
      </c>
      <c r="D29" t="str">
        <f t="shared" si="49"/>
        <v/>
      </c>
      <c r="E29" t="str" cm="1">
        <f t="array" ref="E29">IFERROR(IF(INDEX('M04-S04'!$CC$18:$CC$199,2*(ROWS(E$26:E29)-1)+1)="","",INDEX('M04-S04'!$CC$18:$CC$199,2*(ROWS(E$26:E29)-1)+1)),"")</f>
        <v/>
      </c>
      <c r="G29" t="str">
        <f t="shared" si="50"/>
        <v/>
      </c>
      <c r="H29" t="str">
        <f t="shared" si="51"/>
        <v/>
      </c>
      <c r="L29" t="str">
        <f t="shared" si="52"/>
        <v/>
      </c>
      <c r="O29" t="str">
        <f t="shared" si="53"/>
        <v/>
      </c>
      <c r="V29" t="str" cm="1">
        <f t="array" ref="V29">IFERROR(IF(D29="","",INDEX('M04-S04'!$AY$18:$AY$199,2*(ROWS(V$26:V29)-1)+1)),"")</f>
        <v/>
      </c>
      <c r="W29" t="str" cm="1">
        <f t="array" ref="W29">IFERROR(IF(D29="","",INDEX('M04-S04'!$AV$18:$AV$199,2*(ROWS(W$26:W29)-1)+1)),"")</f>
        <v/>
      </c>
      <c r="X29" t="str" cm="1">
        <f t="array" ref="X29">IFERROR(IF(D29="","",INDEX('M04-S04'!$AV$18:$AV$199,2*(ROWS(X$26:X29)-0)+0)),"")</f>
        <v/>
      </c>
      <c r="AG29" s="98" t="str" cm="1">
        <f t="array" ref="AG29">IFERROR(IF(D29="","",IF(INDEX('M04-S04'!$CB$18:$CB$199,2*(ROWS(AG$26:AG29)*1)+1)="","",INDEX('M04-S04'!$CB$18:$CB$199,2*(ROWS(AG$26:AG29)-1)+1))),"")</f>
        <v/>
      </c>
      <c r="AH29" s="98" t="str" cm="1">
        <f t="array" ref="AH29">IFERROR(IF(D29="","",IF(INDEX('M04-S04'!$CU$18:$CU$199,2*(ROWS(AH$26:AH29)-1)+1)="","",INDEX('M04-S04'!$CU$18:$CU$199,2*(ROWS(AH$26:AH29)-1)+1))),"")</f>
        <v/>
      </c>
      <c r="AI29" s="20" t="str" cm="1">
        <f t="array" ref="AI29">IFERROR(IF(D29="","",IF(INDEX('M04-S04'!$CM$18:$CM$199,2*(ROWS(AI$26:AI29)-1)+1)="",0,INDEX('M04-S04'!$CM$18:$CM$199,2*(ROWS(AI$26:AI29)-1)+1))),"")</f>
        <v/>
      </c>
      <c r="AJ29" s="20" t="str">
        <f t="shared" si="1"/>
        <v/>
      </c>
      <c r="AK29" s="487" t="str" cm="1">
        <f t="array" ref="AK29">IFERROR(IF(D29="","",IF(INDEX('M04-S04'!$CN$18:$CN$199,2*(ROWS(AK$26:AK29)-1)+1)="",0,INDEX('M04-S04'!$CN$18:$CN$199,2*(ROWS(AK$26:AK29)-1)+1))),"")</f>
        <v/>
      </c>
      <c r="AL29" s="20" t="str">
        <f t="shared" si="54"/>
        <v/>
      </c>
      <c r="AM29" s="20" t="str">
        <f t="shared" si="44"/>
        <v/>
      </c>
      <c r="AN29" s="20" t="str" cm="1">
        <f t="array" ref="AN29">IFERROR(IF(D29="","",IF(INDEX('M04-S04'!$CO$18:$CO$199,2*(ROWS(AN$26:AN29)-1)+1)="",0,INDEX('M04-S04'!$CO$18:$CO$199,2*(ROWS(AN$26:AN29)-1)+1))),"")</f>
        <v/>
      </c>
      <c r="AO29" s="20" t="str" cm="1">
        <f t="array" ref="AO29">IFERROR(IF(D29="","",INDEX('M04-S04'!$R$18:$R$199,2*(ROWS(AO$26:AO29)-1)+1)),"")</f>
        <v/>
      </c>
      <c r="AP29" s="20" t="str" cm="1">
        <f t="array" ref="AP29">IFERROR(IF(D29="","",INDEX('M04-S04'!$AJ$18:$AJ$199,2*(ROWS(AP$26:AP29)-1)+1)),"")</f>
        <v/>
      </c>
      <c r="AQ29" s="487" t="str" cm="1">
        <f t="array" ref="AQ29">IFERROR(IF(D29="","",INDEX('M04-S04'!$U$18:$U$199,2*(ROWS(AQ$26:AQ29)-1)+1)),"")</f>
        <v/>
      </c>
      <c r="AR29" s="487" t="str" cm="1">
        <f t="array" ref="AR29">IFERROR(IF(D29="","",INDEX('M04-S04'!$AM$18:$AM$199,2*(ROWS(AR$26:AR29)-1)+1)),"")</f>
        <v/>
      </c>
      <c r="AS29" s="20" t="str" cm="1">
        <f t="array" ref="AS29">IFERROR(IF(D29="","",INDEX('M04-S04'!$X$18:$X$199,2*(ROWS(AS$26:AS29)-1)+1)),"")</f>
        <v/>
      </c>
      <c r="AT29" s="20" t="str" cm="1">
        <f t="array" ref="AT29">IFERROR(IF(D29="","",INDEX('M04-S04'!$AP$18:$AP$199,2*(ROWS(AT$26:AT29)-1)+1)),"")</f>
        <v/>
      </c>
      <c r="BP29" t="str" cm="1">
        <f t="array" ref="BP29">IFERROR(IF(D29="","",INDEX('M04-S04'!$CS$18:$CS$199,2*(ROWS(BP$26:BP29)-1)+1)),"")</f>
        <v/>
      </c>
      <c r="BR29" t="str" cm="1">
        <f t="array" ref="BR29">IFERROR(IF(D29="","",LEFT(INDEX('M04-S04'!$C$18:$C$199,2*(ROWS(BR$26:BR29)-1)+1),150)),"")</f>
        <v/>
      </c>
      <c r="BS29" t="str" cm="1">
        <f t="array" ref="BS29">IFERROR(IF(D29="","",INDEX('M04-S04'!$CT$18:$CT$199,2*(ROWS(BS$26:BS29)-1)+1)),"")</f>
        <v/>
      </c>
      <c r="BT29" s="6" t="str" cm="1">
        <f t="array" ref="BT29">IFERROR(ROUND(IF(D29="","",INDEX('M04-S04'!$BB$18:$BB$199,2*(ROWS(BT$26:BT29)-1)+1)),2),"")</f>
        <v/>
      </c>
      <c r="BU29" s="6" t="str" cm="1">
        <f t="array" ref="BU29">IFERROR(IF(D29="","",INDEX('M04-S04'!$CX$18:$CX$199,2*(ROWS(BU$26:BU29)-1)+1)),"")</f>
        <v/>
      </c>
      <c r="BV29" s="6" t="str" cm="1">
        <f t="array" ref="BV29">IFERROR(IF(D29="","",INDEX('M04-S04'!$CY$18:$CY$199,2*(ROWS(BV$26:BV29)-1)+1)),"")</f>
        <v/>
      </c>
      <c r="BW29" t="str">
        <f t="shared" si="55"/>
        <v/>
      </c>
      <c r="BX29" t="str">
        <f t="shared" si="56"/>
        <v/>
      </c>
      <c r="BY29" s="6" t="str" cm="1">
        <f t="array" ref="BY29">IFERROR(IF(D29="","",INDEX('M04-S04'!$CI$18:$CI$199,2*(ROWS(BY$26:BY29)-1)+1)),"")</f>
        <v/>
      </c>
      <c r="BZ29" s="6" t="str">
        <f t="shared" si="17"/>
        <v/>
      </c>
      <c r="CA29" s="6" t="str">
        <f t="shared" si="18"/>
        <v/>
      </c>
      <c r="CB29" s="6" t="str">
        <f t="shared" si="3"/>
        <v/>
      </c>
      <c r="CC29" s="6" t="str">
        <f t="shared" si="45"/>
        <v/>
      </c>
      <c r="CD29" s="6" t="str">
        <f t="shared" si="46"/>
        <v/>
      </c>
      <c r="CS29" t="str" cm="1">
        <f t="array" ref="CS29">IFERROR(IF(D29="","",INDEX('M04-S04'!$F$18:$F$199,2*(ROWS(CS$26:CS29)-1)+1)),"")</f>
        <v/>
      </c>
      <c r="CT29" t="str" cm="1">
        <f t="array" ref="CT29">IFERROR(IF(D29="","",INDEX('M04-S04'!$L$18:$L$199,2*(ROWS(CT$26:CT29)-1)+1)),"")</f>
        <v/>
      </c>
      <c r="CU29" t="str" cm="1">
        <f t="array" ref="CU29">IFERROR(IF(D29="","",INDEX('M04-S04'!$AD$18:$AD$199,2*(ROWS(CU$26:CU29)-1)+1)),"")</f>
        <v/>
      </c>
      <c r="DE29" s="150"/>
      <c r="DF29" s="150" t="str">
        <f>IFERROR(ROUND(IF(OR(D29="",DE29=""),"",TEMPLATE!$V$12),2),"")</f>
        <v/>
      </c>
      <c r="DG29" s="150"/>
      <c r="DH29" s="150" t="str">
        <f>IFERROR(ROUND(IF(OR(D29="",DG29=""),"",TEMPLATE!$V$12),2),"")</f>
        <v/>
      </c>
      <c r="DI29" s="150"/>
      <c r="DJ29" s="150" t="str">
        <f>IFERROR(ROUND(IF(OR(D29="",DI29=""),"",TEMPLATE!$V$12),2),"")</f>
        <v/>
      </c>
      <c r="DK29" s="150"/>
      <c r="DL29" s="150" t="str">
        <f>IFERROR(ROUND(IF(OR(D29="",DK29=""),"",TEMPLATE!$V$12),2),"")</f>
        <v/>
      </c>
      <c r="DM29" s="150"/>
      <c r="DN29" s="150" t="str">
        <f>IFERROR(ROUND(IF(OR(D29="",DM29=""),"",TEMPLATE!$V$12),2),"")</f>
        <v/>
      </c>
      <c r="DO29" s="150"/>
      <c r="DP29" s="150" t="str">
        <f>IFERROR(ROUND(IF(OR(D29="",DO29=""),"",TEMPLATE!$V$12),2),"")</f>
        <v/>
      </c>
      <c r="DQ29" s="150"/>
      <c r="DR29" s="150" t="str">
        <f>IFERROR(ROUND(IF(OR(D29="",DQ29=""),"",TEMPLATE!$V$12),2),"")</f>
        <v/>
      </c>
      <c r="DS29" s="150"/>
      <c r="DT29" s="150" t="str">
        <f>IFERROR(ROUND(IF(OR(D29="",DS29=""),"",TEMPLATE!$V$12),2),"")</f>
        <v/>
      </c>
      <c r="DU29" s="150" t="str" cm="1">
        <f t="array" ref="DU29">IFERROR(ROUND(IF($D29="","",INDEX('M04-S04'!DD$18:DD$199,2*(ROWS(DU$26:DU29)-1)+1)),4),"")</f>
        <v/>
      </c>
      <c r="DV29" s="150" t="str" cm="1">
        <f t="array" ref="DV29">IFERROR(ROUND(IF($D29="","",INDEX('M04-S04'!DE$18:DE$199,2*(ROWS(DV$26:DV29)-1)+1)),4),"")</f>
        <v/>
      </c>
      <c r="DW29" s="150" t="str" cm="1">
        <f t="array" ref="DW29">IFERROR(ROUND(IF($D29="","",INDEX('M04-S04'!DF$18:DF$199,2*(ROWS(DW$26:DW29)-1)+1)),4),"")</f>
        <v/>
      </c>
      <c r="DX29" s="150" t="str" cm="1">
        <f t="array" ref="DX29">IFERROR(ROUND(IF($D29="","",INDEX('M04-S04'!DG$18:DG$199,2*(ROWS(DX$26:DX29)-1)+1)),4),"")</f>
        <v/>
      </c>
      <c r="DY29" s="150" t="str" cm="1">
        <f t="array" ref="DY29">IFERROR(ROUND(IF($D29="","",INDEX('M04-S04'!DH$18:DH$199,2*(ROWS(DY$26:DY29)-1)+1)),4),"")</f>
        <v/>
      </c>
      <c r="DZ29" s="150" t="str" cm="1">
        <f t="array" ref="DZ29">IFERROR(ROUND(IF($D29="","",INDEX('M04-S04'!DI$18:DI$199,2*(ROWS(DZ$26:DZ29)-1)+1)),4),"")</f>
        <v/>
      </c>
      <c r="EA29" s="150" t="str" cm="1">
        <f t="array" ref="EA29">IFERROR(ROUND(IF($D29="","",INDEX('M04-S04'!DJ$18:DJ$199,2*(ROWS(EA$26:EA29)-1)+1)),4),"")</f>
        <v/>
      </c>
      <c r="EB29" s="150" t="str" cm="1">
        <f t="array" ref="EB29">IFERROR(ROUND(IF($D29="","",INDEX('M04-S04'!DK$18:DK$199,2*(ROWS(EB$26:EB29)-1)+1)),6),"")</f>
        <v/>
      </c>
      <c r="EC29" s="150" t="str" cm="1">
        <f t="array" ref="EC29">IFERROR(ROUND(IF($D29="","",INDEX('M04-S04'!DL$18:DL$199,2*(ROWS(EC$26:EC29)-1)+1)),6),"")</f>
        <v/>
      </c>
      <c r="ED29" s="150" t="str" cm="1">
        <f t="array" ref="ED29">IFERROR(ROUND(IF($D29="","",INDEX('M04-S04'!DM$18:DM$199,2*(ROWS(ED$26:ED29)-1)+1)),6),"")</f>
        <v/>
      </c>
      <c r="EE29" s="150" t="str" cm="1">
        <f t="array" ref="EE29">IFERROR(ROUND(IF($D29="","",INDEX('M04-S04'!DN$18:DN$199,2*(ROWS(EE$26:EE29)-1)+1)),6),"")</f>
        <v/>
      </c>
      <c r="EF29" s="150" t="str" cm="1">
        <f t="array" ref="EF29">IFERROR(ROUND(IF($D29="","",INDEX('M04-S04'!DO$18:DO$199,2*(ROWS(EF$26:EF29)-1)+1)),6),"")</f>
        <v/>
      </c>
      <c r="EG29" s="150" t="str" cm="1">
        <f t="array" ref="EG29">IFERROR(ROUND(IF($D29="","",INDEX('M04-S04'!DP$18:DP$199,2*(ROWS(EG$26:EG29)-1)+1)),6),"")</f>
        <v/>
      </c>
      <c r="EH29" s="150" t="str" cm="1">
        <f t="array" ref="EH29">IFERROR(ROUND(IF($D29="","",INDEX('M04-S04'!DQ$18:DQ$199,2*(ROWS(EH$26:EH29)-1)+1)),6),"")</f>
        <v/>
      </c>
      <c r="EI29" s="150" t="str" cm="1">
        <f t="array" ref="EI29">IFERROR(ROUND(IF($D29="","",INDEX('M04-S04'!DR$18:DR$199,2*(ROWS(EI$26:EI29)-1)+1)),6),"")</f>
        <v/>
      </c>
      <c r="EJ29" s="150" t="str" cm="1">
        <f t="array" ref="EJ29">IFERROR(ROUND(IF($D29="","",INDEX('M04-S04'!DS$18:DS$199,2*(ROWS(EJ$26:EJ29)-1)+1)),6),"")</f>
        <v/>
      </c>
      <c r="EK29" s="150" t="str" cm="1">
        <f t="array" ref="EK29">IFERROR(ROUND(IF($D29="","",INDEX('M04-S04'!DT$18:DT$199,2*(ROWS(EK$26:EK29)-1)+1)),6),"")</f>
        <v/>
      </c>
      <c r="EL29" s="150" t="str" cm="1">
        <f t="array" ref="EL29">IFERROR(ROUND(IF($D29="","",INDEX('M04-S04'!DU$18:DU$199,2*(ROWS(EL$26:EL29)-1)+1)),6),"")</f>
        <v/>
      </c>
      <c r="EM29" s="150" t="str" cm="1">
        <f t="array" ref="EM29">IFERROR(ROUND(IF($D29="","",INDEX('M04-S04'!DV$18:DV$199,2*(ROWS(EM$26:EM29)-1)+1)),6),"")</f>
        <v/>
      </c>
      <c r="EN29" s="150" t="str" cm="1">
        <f t="array" ref="EN29">IFERROR(ROUND(IF($D29="","",INDEX('M04-S04'!DW$18:DW$199,2*(ROWS(EN$26:EN29)-1)+1)),6),"")</f>
        <v/>
      </c>
      <c r="EO29" s="150" t="str" cm="1">
        <f t="array" ref="EO29">IFERROR(ROUND(IF($D29="","",INDEX('M04-S04'!DX$18:DX$199,2*(ROWS(EO$26:EO29)-1)+1)),6),"")</f>
        <v/>
      </c>
      <c r="EP29" s="150" t="str" cm="1">
        <f t="array" ref="EP29">IFERROR(ROUND(IF($D29="","",INDEX('M04-S04'!DY$18:DY$199,2*(ROWS(EP$26:EP29)-1)+1)),6),"")</f>
        <v/>
      </c>
      <c r="EQ29" s="150" t="str" cm="1">
        <f t="array" ref="EQ29">IFERROR(ROUND(IF($D29="","",INDEX('M04-S04'!DZ$18:DZ$199,2*(ROWS(EQ$26:EQ29)-1)+1)),6),"")</f>
        <v/>
      </c>
      <c r="ER29" s="150" t="str">
        <f t="shared" si="21"/>
        <v/>
      </c>
      <c r="ES29" s="150" t="str">
        <f t="shared" si="37"/>
        <v/>
      </c>
      <c r="ET29" s="150" t="str">
        <f t="shared" si="38"/>
        <v/>
      </c>
      <c r="EU29" s="150" t="str">
        <f t="shared" si="39"/>
        <v/>
      </c>
      <c r="EV29" s="150" t="str">
        <f t="shared" si="40"/>
        <v/>
      </c>
      <c r="EW29" s="150" t="str">
        <f t="shared" si="41"/>
        <v/>
      </c>
      <c r="EX29" s="150" t="str">
        <f t="shared" si="42"/>
        <v/>
      </c>
      <c r="EY29" s="150" t="str">
        <f t="shared" si="22"/>
        <v/>
      </c>
      <c r="EZ29" s="150" t="str" cm="1">
        <f t="array" ref="EZ29">IFERROR(ROUND(IF($D29="","",INDEX('M04-S04'!EA$18:EA$199,2*(ROWS(EZ$26:EZ29)-1)+1)),6),"")</f>
        <v/>
      </c>
      <c r="FA29" s="150" t="str" cm="1">
        <f t="array" ref="FA29">IFERROR(ROUND(IF($D29="","",INDEX('M04-S04'!EB$18:EB$199,2*(ROWS(FA$26:FA29)-1)+1)),6),"")</f>
        <v/>
      </c>
      <c r="FB29" s="150" t="str" cm="1">
        <f t="array" ref="FB29">IFERROR(ROUND(IF($D29="","",INDEX('M04-S04'!EC$18:EC$199,2*(ROWS(FB$26:FB29)-1)+1)),6),"")</f>
        <v/>
      </c>
      <c r="FC29" s="150" t="str" cm="1">
        <f t="array" ref="FC29">IFERROR(ROUND(IF($D29="","",INDEX('M04-S04'!ED$18:ED$199,2*(ROWS(FC$26:FC29)-1)+1)),6),"")</f>
        <v/>
      </c>
      <c r="FD29" s="150" t="str" cm="1">
        <f t="array" ref="FD29">IFERROR(ROUND(IF($D29="","",INDEX('M04-S04'!EE$18:EE$199,2*(ROWS(FD$26:FD29)-1)+1)),6),"")</f>
        <v/>
      </c>
      <c r="FE29" s="150" t="str" cm="1">
        <f t="array" ref="FE29">IFERROR(ROUND(IF($D29="","",INDEX('M04-S04'!EF$18:EF$199,2*(ROWS(FE$26:FE29)-1)+1)),6),"")</f>
        <v/>
      </c>
      <c r="FF29" s="150" t="str" cm="1">
        <f t="array" ref="FF29">IFERROR(ROUND(IF($D29="","",INDEX('M04-S04'!EG$18:EG$199,2*(ROWS(FF$26:FF29)-1)+1)),6),"")</f>
        <v/>
      </c>
      <c r="FG29" s="150" t="str" cm="1">
        <f t="array" ref="FG29">IFERROR(ROUND(IF($D29="","",INDEX('M04-S04'!EH$18:EH$199,2*(ROWS(FG$26:FG29)-1)+1)),6),"")</f>
        <v/>
      </c>
      <c r="FH29" s="150" t="str" cm="1">
        <f t="array" ref="FH29">IFERROR(ROUND(IF($D29="","",INDEX('M04-S04'!EI$18:EI$199,2*(ROWS(FH$26:FH29)-1)+1)),6),"")</f>
        <v/>
      </c>
      <c r="FI29" s="150" t="str" cm="1">
        <f t="array" ref="FI29">IFERROR(ROUND(IF($D29="","",INDEX('M04-S04'!EJ$18:EJ$199,2*(ROWS(FI$26:FI29)-1)+1)),6),"")</f>
        <v/>
      </c>
      <c r="FJ29" s="150" t="str" cm="1">
        <f t="array" ref="FJ29">IFERROR(ROUND(IF($D29="","",INDEX('M04-S04'!EK$18:EK$199,2*(ROWS(FJ$26:FJ29)-1)+1)),6),"")</f>
        <v/>
      </c>
      <c r="FK29" s="150" t="str" cm="1">
        <f t="array" ref="FK29">IFERROR(ROUND(IF($D29="","",INDEX('M04-S04'!EL$18:EL$199,2*(ROWS(FK$26:FK29)-1)+1)),6),"")</f>
        <v/>
      </c>
      <c r="FL29" s="150" t="str" cm="1">
        <f t="array" ref="FL29">IFERROR(ROUND(IF($D29="","",INDEX('M04-S04'!EM$18:EM$199,2*(ROWS(FL$26:FL29)-1)+1)),6),"")</f>
        <v/>
      </c>
      <c r="FM29" s="150" t="str" cm="1">
        <f t="array" ref="FM29">IFERROR(ROUND(IF($D29="","",INDEX('M04-S04'!EN$18:EN$199,2*(ROWS(FM$26:FM29)-1)+1)),6),"")</f>
        <v/>
      </c>
    </row>
    <row r="30" spans="1:169">
      <c r="A30" t="str">
        <f t="shared" si="47"/>
        <v/>
      </c>
      <c r="B30" t="str">
        <f t="shared" si="48"/>
        <v/>
      </c>
      <c r="C30" t="str" cm="1">
        <f t="array" ref="C30">IFERROR(IF(D30="","",INDEX('M04-S04'!$B$18:$B$199,2*(ROWS(C$26:C30)-1)+1)),"")</f>
        <v/>
      </c>
      <c r="D30" t="str">
        <f t="shared" si="49"/>
        <v/>
      </c>
      <c r="E30" t="str" cm="1">
        <f t="array" ref="E30">IFERROR(IF(INDEX('M04-S04'!$CC$18:$CC$199,2*(ROWS(E$26:E30)-1)+1)="","",INDEX('M04-S04'!$CC$18:$CC$199,2*(ROWS(E$26:E30)-1)+1)),"")</f>
        <v/>
      </c>
      <c r="G30" t="str">
        <f t="shared" si="50"/>
        <v/>
      </c>
      <c r="H30" t="str">
        <f t="shared" si="51"/>
        <v/>
      </c>
      <c r="L30" t="str">
        <f t="shared" si="52"/>
        <v/>
      </c>
      <c r="O30" t="str">
        <f t="shared" si="53"/>
        <v/>
      </c>
      <c r="V30" t="str" cm="1">
        <f t="array" ref="V30">IFERROR(IF(D30="","",INDEX('M04-S04'!$AY$18:$AY$199,2*(ROWS(V$26:V30)-1)+1)),"")</f>
        <v/>
      </c>
      <c r="W30" t="str" cm="1">
        <f t="array" ref="W30">IFERROR(IF(D30="","",INDEX('M04-S04'!$AV$18:$AV$199,2*(ROWS(W$26:W30)-1)+1)),"")</f>
        <v/>
      </c>
      <c r="X30" t="str" cm="1">
        <f t="array" ref="X30">IFERROR(IF(D30="","",INDEX('M04-S04'!$AV$18:$AV$199,2*(ROWS(X$26:X30)-0)+0)),"")</f>
        <v/>
      </c>
      <c r="AG30" s="98" t="str" cm="1">
        <f t="array" ref="AG30">IFERROR(IF(D30="","",IF(INDEX('M04-S04'!$CB$18:$CB$199,2*(ROWS(AG$26:AG30)*1)+1)="","",INDEX('M04-S04'!$CB$18:$CB$199,2*(ROWS(AG$26:AG30)-1)+1))),"")</f>
        <v/>
      </c>
      <c r="AH30" s="98" t="str" cm="1">
        <f t="array" ref="AH30">IFERROR(IF(D30="","",IF(INDEX('M04-S04'!$CU$18:$CU$199,2*(ROWS(AH$26:AH30)-1)+1)="","",INDEX('M04-S04'!$CU$18:$CU$199,2*(ROWS(AH$26:AH30)-1)+1))),"")</f>
        <v/>
      </c>
      <c r="AI30" s="20" t="str" cm="1">
        <f t="array" ref="AI30">IFERROR(IF(D30="","",IF(INDEX('M04-S04'!$CM$18:$CM$199,2*(ROWS(AI$26:AI30)-1)+1)="",0,INDEX('M04-S04'!$CM$18:$CM$199,2*(ROWS(AI$26:AI30)-1)+1))),"")</f>
        <v/>
      </c>
      <c r="AJ30" s="20" t="str">
        <f t="shared" si="1"/>
        <v/>
      </c>
      <c r="AK30" s="487" t="str" cm="1">
        <f t="array" ref="AK30">IFERROR(IF(D30="","",IF(INDEX('M04-S04'!$CN$18:$CN$199,2*(ROWS(AK$26:AK30)-1)+1)="",0,INDEX('M04-S04'!$CN$18:$CN$199,2*(ROWS(AK$26:AK30)-1)+1))),"")</f>
        <v/>
      </c>
      <c r="AL30" s="20" t="str">
        <f t="shared" si="54"/>
        <v/>
      </c>
      <c r="AM30" s="20" t="str">
        <f t="shared" si="44"/>
        <v/>
      </c>
      <c r="AN30" s="20" t="str" cm="1">
        <f t="array" ref="AN30">IFERROR(IF(D30="","",IF(INDEX('M04-S04'!$CO$18:$CO$199,2*(ROWS(AN$26:AN30)-1)+1)="",0,INDEX('M04-S04'!$CO$18:$CO$199,2*(ROWS(AN$26:AN30)-1)+1))),"")</f>
        <v/>
      </c>
      <c r="AO30" s="20" t="str" cm="1">
        <f t="array" ref="AO30">IFERROR(IF(D30="","",INDEX('M04-S04'!$R$18:$R$199,2*(ROWS(AO$26:AO30)-1)+1)),"")</f>
        <v/>
      </c>
      <c r="AP30" s="20" t="str" cm="1">
        <f t="array" ref="AP30">IFERROR(IF(D30="","",INDEX('M04-S04'!$AJ$18:$AJ$199,2*(ROWS(AP$26:AP30)-1)+1)),"")</f>
        <v/>
      </c>
      <c r="AQ30" s="487" t="str" cm="1">
        <f t="array" ref="AQ30">IFERROR(IF(D30="","",INDEX('M04-S04'!$U$18:$U$199,2*(ROWS(AQ$26:AQ30)-1)+1)),"")</f>
        <v/>
      </c>
      <c r="AR30" s="487" t="str" cm="1">
        <f t="array" ref="AR30">IFERROR(IF(D30="","",INDEX('M04-S04'!$AM$18:$AM$199,2*(ROWS(AR$26:AR30)-1)+1)),"")</f>
        <v/>
      </c>
      <c r="AS30" s="20" t="str" cm="1">
        <f t="array" ref="AS30">IFERROR(IF(D30="","",INDEX('M04-S04'!$X$18:$X$199,2*(ROWS(AS$26:AS30)-1)+1)),"")</f>
        <v/>
      </c>
      <c r="AT30" s="20" t="str" cm="1">
        <f t="array" ref="AT30">IFERROR(IF(D30="","",INDEX('M04-S04'!$AP$18:$AP$199,2*(ROWS(AT$26:AT30)-1)+1)),"")</f>
        <v/>
      </c>
      <c r="BP30" t="str" cm="1">
        <f t="array" ref="BP30">IFERROR(IF(D30="","",INDEX('M04-S04'!$CS$18:$CS$199,2*(ROWS(BP$26:BP30)-1)+1)),"")</f>
        <v/>
      </c>
      <c r="BR30" t="str" cm="1">
        <f t="array" ref="BR30">IFERROR(IF(D30="","",LEFT(INDEX('M04-S04'!$C$18:$C$199,2*(ROWS(BR$26:BR30)-1)+1),150)),"")</f>
        <v/>
      </c>
      <c r="BS30" t="str" cm="1">
        <f t="array" ref="BS30">IFERROR(IF(D30="","",INDEX('M04-S04'!$CT$18:$CT$199,2*(ROWS(BS$26:BS30)-1)+1)),"")</f>
        <v/>
      </c>
      <c r="BT30" s="6" t="str" cm="1">
        <f t="array" ref="BT30">IFERROR(ROUND(IF(D30="","",INDEX('M04-S04'!$BB$18:$BB$199,2*(ROWS(BT$26:BT30)-1)+1)),2),"")</f>
        <v/>
      </c>
      <c r="BU30" s="6" t="str" cm="1">
        <f t="array" ref="BU30">IFERROR(IF(D30="","",INDEX('M04-S04'!$CX$18:$CX$199,2*(ROWS(BU$26:BU30)-1)+1)),"")</f>
        <v/>
      </c>
      <c r="BV30" s="6" t="str" cm="1">
        <f t="array" ref="BV30">IFERROR(IF(D30="","",INDEX('M04-S04'!$CY$18:$CY$199,2*(ROWS(BV$26:BV30)-1)+1)),"")</f>
        <v/>
      </c>
      <c r="BW30" t="str">
        <f t="shared" si="55"/>
        <v/>
      </c>
      <c r="BX30" t="str">
        <f t="shared" si="56"/>
        <v/>
      </c>
      <c r="BY30" s="6" t="str" cm="1">
        <f t="array" ref="BY30">IFERROR(IF(D30="","",INDEX('M04-S04'!$CI$18:$CI$199,2*(ROWS(BY$26:BY30)-1)+1)),"")</f>
        <v/>
      </c>
      <c r="BZ30" s="6" t="str">
        <f t="shared" si="17"/>
        <v/>
      </c>
      <c r="CA30" s="6" t="str">
        <f t="shared" si="18"/>
        <v/>
      </c>
      <c r="CB30" s="6" t="str">
        <f t="shared" si="3"/>
        <v/>
      </c>
      <c r="CC30" s="6" t="str">
        <f t="shared" si="45"/>
        <v/>
      </c>
      <c r="CD30" s="6" t="str">
        <f t="shared" si="46"/>
        <v/>
      </c>
      <c r="CS30" t="str" cm="1">
        <f t="array" ref="CS30">IFERROR(IF(D30="","",INDEX('M04-S04'!$F$18:$F$199,2*(ROWS(CS$26:CS30)-1)+1)),"")</f>
        <v/>
      </c>
      <c r="CT30" t="str" cm="1">
        <f t="array" ref="CT30">IFERROR(IF(D30="","",INDEX('M04-S04'!$L$18:$L$199,2*(ROWS(CT$26:CT30)-1)+1)),"")</f>
        <v/>
      </c>
      <c r="CU30" t="str" cm="1">
        <f t="array" ref="CU30">IFERROR(IF(D30="","",INDEX('M04-S04'!$AD$18:$AD$199,2*(ROWS(CU$26:CU30)-1)+1)),"")</f>
        <v/>
      </c>
      <c r="DE30" s="150"/>
      <c r="DF30" s="150" t="str">
        <f>IFERROR(ROUND(IF(OR(D30="",DE30=""),"",TEMPLATE!$V$12),2),"")</f>
        <v/>
      </c>
      <c r="DG30" s="150"/>
      <c r="DH30" s="150" t="str">
        <f>IFERROR(ROUND(IF(OR(D30="",DG30=""),"",TEMPLATE!$V$12),2),"")</f>
        <v/>
      </c>
      <c r="DI30" s="150"/>
      <c r="DJ30" s="150" t="str">
        <f>IFERROR(ROUND(IF(OR(D30="",DI30=""),"",TEMPLATE!$V$12),2),"")</f>
        <v/>
      </c>
      <c r="DK30" s="150"/>
      <c r="DL30" s="150" t="str">
        <f>IFERROR(ROUND(IF(OR(D30="",DK30=""),"",TEMPLATE!$V$12),2),"")</f>
        <v/>
      </c>
      <c r="DM30" s="150"/>
      <c r="DN30" s="150" t="str">
        <f>IFERROR(ROUND(IF(OR(D30="",DM30=""),"",TEMPLATE!$V$12),2),"")</f>
        <v/>
      </c>
      <c r="DO30" s="150"/>
      <c r="DP30" s="150" t="str">
        <f>IFERROR(ROUND(IF(OR(D30="",DO30=""),"",TEMPLATE!$V$12),2),"")</f>
        <v/>
      </c>
      <c r="DQ30" s="150"/>
      <c r="DR30" s="150" t="str">
        <f>IFERROR(ROUND(IF(OR(D30="",DQ30=""),"",TEMPLATE!$V$12),2),"")</f>
        <v/>
      </c>
      <c r="DS30" s="150"/>
      <c r="DT30" s="150" t="str">
        <f>IFERROR(ROUND(IF(OR(D30="",DS30=""),"",TEMPLATE!$V$12),2),"")</f>
        <v/>
      </c>
      <c r="DU30" s="150" t="str" cm="1">
        <f t="array" ref="DU30">IFERROR(ROUND(IF($D30="","",INDEX('M04-S04'!DD$18:DD$199,2*(ROWS(DU$26:DU30)-1)+1)),4),"")</f>
        <v/>
      </c>
      <c r="DV30" s="150" t="str" cm="1">
        <f t="array" ref="DV30">IFERROR(ROUND(IF($D30="","",INDEX('M04-S04'!DE$18:DE$199,2*(ROWS(DV$26:DV30)-1)+1)),4),"")</f>
        <v/>
      </c>
      <c r="DW30" s="150" t="str" cm="1">
        <f t="array" ref="DW30">IFERROR(ROUND(IF($D30="","",INDEX('M04-S04'!DF$18:DF$199,2*(ROWS(DW$26:DW30)-1)+1)),4),"")</f>
        <v/>
      </c>
      <c r="DX30" s="150" t="str" cm="1">
        <f t="array" ref="DX30">IFERROR(ROUND(IF($D30="","",INDEX('M04-S04'!DG$18:DG$199,2*(ROWS(DX$26:DX30)-1)+1)),4),"")</f>
        <v/>
      </c>
      <c r="DY30" s="150" t="str" cm="1">
        <f t="array" ref="DY30">IFERROR(ROUND(IF($D30="","",INDEX('M04-S04'!DH$18:DH$199,2*(ROWS(DY$26:DY30)-1)+1)),4),"")</f>
        <v/>
      </c>
      <c r="DZ30" s="150" t="str" cm="1">
        <f t="array" ref="DZ30">IFERROR(ROUND(IF($D30="","",INDEX('M04-S04'!DI$18:DI$199,2*(ROWS(DZ$26:DZ30)-1)+1)),4),"")</f>
        <v/>
      </c>
      <c r="EA30" s="150" t="str" cm="1">
        <f t="array" ref="EA30">IFERROR(ROUND(IF($D30="","",INDEX('M04-S04'!DJ$18:DJ$199,2*(ROWS(EA$26:EA30)-1)+1)),4),"")</f>
        <v/>
      </c>
      <c r="EB30" s="150" t="str" cm="1">
        <f t="array" ref="EB30">IFERROR(ROUND(IF($D30="","",INDEX('M04-S04'!DK$18:DK$199,2*(ROWS(EB$26:EB30)-1)+1)),6),"")</f>
        <v/>
      </c>
      <c r="EC30" s="150" t="str" cm="1">
        <f t="array" ref="EC30">IFERROR(ROUND(IF($D30="","",INDEX('M04-S04'!DL$18:DL$199,2*(ROWS(EC$26:EC30)-1)+1)),6),"")</f>
        <v/>
      </c>
      <c r="ED30" s="150" t="str" cm="1">
        <f t="array" ref="ED30">IFERROR(ROUND(IF($D30="","",INDEX('M04-S04'!DM$18:DM$199,2*(ROWS(ED$26:ED30)-1)+1)),6),"")</f>
        <v/>
      </c>
      <c r="EE30" s="150" t="str" cm="1">
        <f t="array" ref="EE30">IFERROR(ROUND(IF($D30="","",INDEX('M04-S04'!DN$18:DN$199,2*(ROWS(EE$26:EE30)-1)+1)),6),"")</f>
        <v/>
      </c>
      <c r="EF30" s="150" t="str" cm="1">
        <f t="array" ref="EF30">IFERROR(ROUND(IF($D30="","",INDEX('M04-S04'!DO$18:DO$199,2*(ROWS(EF$26:EF30)-1)+1)),6),"")</f>
        <v/>
      </c>
      <c r="EG30" s="150" t="str" cm="1">
        <f t="array" ref="EG30">IFERROR(ROUND(IF($D30="","",INDEX('M04-S04'!DP$18:DP$199,2*(ROWS(EG$26:EG30)-1)+1)),6),"")</f>
        <v/>
      </c>
      <c r="EH30" s="150" t="str" cm="1">
        <f t="array" ref="EH30">IFERROR(ROUND(IF($D30="","",INDEX('M04-S04'!DQ$18:DQ$199,2*(ROWS(EH$26:EH30)-1)+1)),6),"")</f>
        <v/>
      </c>
      <c r="EI30" s="150" t="str" cm="1">
        <f t="array" ref="EI30">IFERROR(ROUND(IF($D30="","",INDEX('M04-S04'!DR$18:DR$199,2*(ROWS(EI$26:EI30)-1)+1)),6),"")</f>
        <v/>
      </c>
      <c r="EJ30" s="150" t="str" cm="1">
        <f t="array" ref="EJ30">IFERROR(ROUND(IF($D30="","",INDEX('M04-S04'!DS$18:DS$199,2*(ROWS(EJ$26:EJ30)-1)+1)),6),"")</f>
        <v/>
      </c>
      <c r="EK30" s="150" t="str" cm="1">
        <f t="array" ref="EK30">IFERROR(ROUND(IF($D30="","",INDEX('M04-S04'!DT$18:DT$199,2*(ROWS(EK$26:EK30)-1)+1)),6),"")</f>
        <v/>
      </c>
      <c r="EL30" s="150" t="str" cm="1">
        <f t="array" ref="EL30">IFERROR(ROUND(IF($D30="","",INDEX('M04-S04'!DU$18:DU$199,2*(ROWS(EL$26:EL30)-1)+1)),6),"")</f>
        <v/>
      </c>
      <c r="EM30" s="150" t="str" cm="1">
        <f t="array" ref="EM30">IFERROR(ROUND(IF($D30="","",INDEX('M04-S04'!DV$18:DV$199,2*(ROWS(EM$26:EM30)-1)+1)),6),"")</f>
        <v/>
      </c>
      <c r="EN30" s="150" t="str" cm="1">
        <f t="array" ref="EN30">IFERROR(ROUND(IF($D30="","",INDEX('M04-S04'!DW$18:DW$199,2*(ROWS(EN$26:EN30)-1)+1)),6),"")</f>
        <v/>
      </c>
      <c r="EO30" s="150" t="str" cm="1">
        <f t="array" ref="EO30">IFERROR(ROUND(IF($D30="","",INDEX('M04-S04'!DX$18:DX$199,2*(ROWS(EO$26:EO30)-1)+1)),6),"")</f>
        <v/>
      </c>
      <c r="EP30" s="150" t="str" cm="1">
        <f t="array" ref="EP30">IFERROR(ROUND(IF($D30="","",INDEX('M04-S04'!DY$18:DY$199,2*(ROWS(EP$26:EP30)-1)+1)),6),"")</f>
        <v/>
      </c>
      <c r="EQ30" s="150" t="str" cm="1">
        <f t="array" ref="EQ30">IFERROR(ROUND(IF($D30="","",INDEX('M04-S04'!DZ$18:DZ$199,2*(ROWS(EQ$26:EQ30)-1)+1)),6),"")</f>
        <v/>
      </c>
      <c r="ER30" s="150" t="str">
        <f t="shared" si="21"/>
        <v/>
      </c>
      <c r="ES30" s="150" t="str">
        <f t="shared" si="37"/>
        <v/>
      </c>
      <c r="ET30" s="150" t="str">
        <f t="shared" si="38"/>
        <v/>
      </c>
      <c r="EU30" s="150" t="str">
        <f t="shared" si="39"/>
        <v/>
      </c>
      <c r="EV30" s="150" t="str">
        <f t="shared" si="40"/>
        <v/>
      </c>
      <c r="EW30" s="150" t="str">
        <f t="shared" si="41"/>
        <v/>
      </c>
      <c r="EX30" s="150" t="str">
        <f t="shared" si="42"/>
        <v/>
      </c>
      <c r="EY30" s="150" t="str">
        <f t="shared" si="22"/>
        <v/>
      </c>
      <c r="EZ30" s="150" t="str" cm="1">
        <f t="array" ref="EZ30">IFERROR(ROUND(IF($D30="","",INDEX('M04-S04'!EA$18:EA$199,2*(ROWS(EZ$26:EZ30)-1)+1)),6),"")</f>
        <v/>
      </c>
      <c r="FA30" s="150" t="str" cm="1">
        <f t="array" ref="FA30">IFERROR(ROUND(IF($D30="","",INDEX('M04-S04'!EB$18:EB$199,2*(ROWS(FA$26:FA30)-1)+1)),6),"")</f>
        <v/>
      </c>
      <c r="FB30" s="150" t="str" cm="1">
        <f t="array" ref="FB30">IFERROR(ROUND(IF($D30="","",INDEX('M04-S04'!EC$18:EC$199,2*(ROWS(FB$26:FB30)-1)+1)),6),"")</f>
        <v/>
      </c>
      <c r="FC30" s="150" t="str" cm="1">
        <f t="array" ref="FC30">IFERROR(ROUND(IF($D30="","",INDEX('M04-S04'!ED$18:ED$199,2*(ROWS(FC$26:FC30)-1)+1)),6),"")</f>
        <v/>
      </c>
      <c r="FD30" s="150" t="str" cm="1">
        <f t="array" ref="FD30">IFERROR(ROUND(IF($D30="","",INDEX('M04-S04'!EE$18:EE$199,2*(ROWS(FD$26:FD30)-1)+1)),6),"")</f>
        <v/>
      </c>
      <c r="FE30" s="150" t="str" cm="1">
        <f t="array" ref="FE30">IFERROR(ROUND(IF($D30="","",INDEX('M04-S04'!EF$18:EF$199,2*(ROWS(FE$26:FE30)-1)+1)),6),"")</f>
        <v/>
      </c>
      <c r="FF30" s="150" t="str" cm="1">
        <f t="array" ref="FF30">IFERROR(ROUND(IF($D30="","",INDEX('M04-S04'!EG$18:EG$199,2*(ROWS(FF$26:FF30)-1)+1)),6),"")</f>
        <v/>
      </c>
      <c r="FG30" s="150" t="str" cm="1">
        <f t="array" ref="FG30">IFERROR(ROUND(IF($D30="","",INDEX('M04-S04'!EH$18:EH$199,2*(ROWS(FG$26:FG30)-1)+1)),6),"")</f>
        <v/>
      </c>
      <c r="FH30" s="150" t="str" cm="1">
        <f t="array" ref="FH30">IFERROR(ROUND(IF($D30="","",INDEX('M04-S04'!EI$18:EI$199,2*(ROWS(FH$26:FH30)-1)+1)),6),"")</f>
        <v/>
      </c>
      <c r="FI30" s="150" t="str" cm="1">
        <f t="array" ref="FI30">IFERROR(ROUND(IF($D30="","",INDEX('M04-S04'!EJ$18:EJ$199,2*(ROWS(FI$26:FI30)-1)+1)),6),"")</f>
        <v/>
      </c>
      <c r="FJ30" s="150" t="str" cm="1">
        <f t="array" ref="FJ30">IFERROR(ROUND(IF($D30="","",INDEX('M04-S04'!EK$18:EK$199,2*(ROWS(FJ$26:FJ30)-1)+1)),6),"")</f>
        <v/>
      </c>
      <c r="FK30" s="150" t="str" cm="1">
        <f t="array" ref="FK30">IFERROR(ROUND(IF($D30="","",INDEX('M04-S04'!EL$18:EL$199,2*(ROWS(FK$26:FK30)-1)+1)),6),"")</f>
        <v/>
      </c>
      <c r="FL30" s="150" t="str" cm="1">
        <f t="array" ref="FL30">IFERROR(ROUND(IF($D30="","",INDEX('M04-S04'!EM$18:EM$199,2*(ROWS(FL$26:FL30)-1)+1)),6),"")</f>
        <v/>
      </c>
      <c r="FM30" s="150" t="str" cm="1">
        <f t="array" ref="FM30">IFERROR(ROUND(IF($D30="","",INDEX('M04-S04'!EN$18:EN$199,2*(ROWS(FM$26:FM30)-1)+1)),6),"")</f>
        <v/>
      </c>
    </row>
    <row r="31" spans="1:169">
      <c r="A31" t="str">
        <f t="shared" si="47"/>
        <v/>
      </c>
      <c r="B31" t="str">
        <f t="shared" si="48"/>
        <v/>
      </c>
      <c r="C31" t="str" cm="1">
        <f t="array" ref="C31">IFERROR(IF(D31="","",INDEX('M04-S04'!$B$18:$B$199,2*(ROWS(C$26:C31)-1)+1)),"")</f>
        <v/>
      </c>
      <c r="D31" t="str">
        <f t="shared" si="49"/>
        <v/>
      </c>
      <c r="E31" t="str" cm="1">
        <f t="array" ref="E31">IFERROR(IF(INDEX('M04-S04'!$CC$18:$CC$199,2*(ROWS(E$26:E31)-1)+1)="","",INDEX('M04-S04'!$CC$18:$CC$199,2*(ROWS(E$26:E31)-1)+1)),"")</f>
        <v/>
      </c>
      <c r="G31" t="str">
        <f t="shared" si="50"/>
        <v/>
      </c>
      <c r="H31" t="str">
        <f t="shared" si="51"/>
        <v/>
      </c>
      <c r="L31" t="str">
        <f t="shared" si="52"/>
        <v/>
      </c>
      <c r="O31" t="str">
        <f t="shared" si="53"/>
        <v/>
      </c>
      <c r="V31" t="str" cm="1">
        <f t="array" ref="V31">IFERROR(IF(D31="","",INDEX('M04-S04'!$AY$18:$AY$199,2*(ROWS(V$26:V31)-1)+1)),"")</f>
        <v/>
      </c>
      <c r="W31" t="str" cm="1">
        <f t="array" ref="W31">IFERROR(IF(D31="","",INDEX('M04-S04'!$AV$18:$AV$199,2*(ROWS(W$26:W31)-1)+1)),"")</f>
        <v/>
      </c>
      <c r="X31" t="str" cm="1">
        <f t="array" ref="X31">IFERROR(IF(D31="","",INDEX('M04-S04'!$AV$18:$AV$199,2*(ROWS(X$26:X31)-0)+0)),"")</f>
        <v/>
      </c>
      <c r="AG31" s="98" t="str" cm="1">
        <f t="array" ref="AG31">IFERROR(IF(D31="","",IF(INDEX('M04-S04'!$CB$18:$CB$199,2*(ROWS(AG$26:AG31)*1)+1)="","",INDEX('M04-S04'!$CB$18:$CB$199,2*(ROWS(AG$26:AG31)-1)+1))),"")</f>
        <v/>
      </c>
      <c r="AH31" s="98" t="str" cm="1">
        <f t="array" ref="AH31">IFERROR(IF(D31="","",IF(INDEX('M04-S04'!$CU$18:$CU$199,2*(ROWS(AH$26:AH31)-1)+1)="","",INDEX('M04-S04'!$CU$18:$CU$199,2*(ROWS(AH$26:AH31)-1)+1))),"")</f>
        <v/>
      </c>
      <c r="AI31" s="20" t="str" cm="1">
        <f t="array" ref="AI31">IFERROR(IF(D31="","",IF(INDEX('M04-S04'!$CM$18:$CM$199,2*(ROWS(AI$26:AI31)-1)+1)="",0,INDEX('M04-S04'!$CM$18:$CM$199,2*(ROWS(AI$26:AI31)-1)+1))),"")</f>
        <v/>
      </c>
      <c r="AJ31" s="20" t="str">
        <f t="shared" si="1"/>
        <v/>
      </c>
      <c r="AK31" s="487" t="str" cm="1">
        <f t="array" ref="AK31">IFERROR(IF(D31="","",IF(INDEX('M04-S04'!$CN$18:$CN$199,2*(ROWS(AK$26:AK31)-1)+1)="",0,INDEX('M04-S04'!$CN$18:$CN$199,2*(ROWS(AK$26:AK31)-1)+1))),"")</f>
        <v/>
      </c>
      <c r="AL31" s="20" t="str">
        <f t="shared" si="54"/>
        <v/>
      </c>
      <c r="AM31" s="20" t="str">
        <f t="shared" si="44"/>
        <v/>
      </c>
      <c r="AN31" s="20" t="str" cm="1">
        <f t="array" ref="AN31">IFERROR(IF(D31="","",IF(INDEX('M04-S04'!$CO$18:$CO$199,2*(ROWS(AN$26:AN31)-1)+1)="",0,INDEX('M04-S04'!$CO$18:$CO$199,2*(ROWS(AN$26:AN31)-1)+1))),"")</f>
        <v/>
      </c>
      <c r="AO31" s="20" t="str" cm="1">
        <f t="array" ref="AO31">IFERROR(IF(D31="","",INDEX('M04-S04'!$R$18:$R$199,2*(ROWS(AO$26:AO31)-1)+1)),"")</f>
        <v/>
      </c>
      <c r="AP31" s="20" t="str" cm="1">
        <f t="array" ref="AP31">IFERROR(IF(D31="","",INDEX('M04-S04'!$AJ$18:$AJ$199,2*(ROWS(AP$26:AP31)-1)+1)),"")</f>
        <v/>
      </c>
      <c r="AQ31" s="487" t="str" cm="1">
        <f t="array" ref="AQ31">IFERROR(IF(D31="","",INDEX('M04-S04'!$U$18:$U$199,2*(ROWS(AQ$26:AQ31)-1)+1)),"")</f>
        <v/>
      </c>
      <c r="AR31" s="487" t="str" cm="1">
        <f t="array" ref="AR31">IFERROR(IF(D31="","",INDEX('M04-S04'!$AM$18:$AM$199,2*(ROWS(AR$26:AR31)-1)+1)),"")</f>
        <v/>
      </c>
      <c r="AS31" s="20" t="str" cm="1">
        <f t="array" ref="AS31">IFERROR(IF(D31="","",INDEX('M04-S04'!$X$18:$X$199,2*(ROWS(AS$26:AS31)-1)+1)),"")</f>
        <v/>
      </c>
      <c r="AT31" s="20" t="str" cm="1">
        <f t="array" ref="AT31">IFERROR(IF(D31="","",INDEX('M04-S04'!$AP$18:$AP$199,2*(ROWS(AT$26:AT31)-1)+1)),"")</f>
        <v/>
      </c>
      <c r="BP31" t="str" cm="1">
        <f t="array" ref="BP31">IFERROR(IF(D31="","",INDEX('M04-S04'!$CS$18:$CS$199,2*(ROWS(BP$26:BP31)-1)+1)),"")</f>
        <v/>
      </c>
      <c r="BR31" t="str" cm="1">
        <f t="array" ref="BR31">IFERROR(IF(D31="","",LEFT(INDEX('M04-S04'!$C$18:$C$199,2*(ROWS(BR$26:BR31)-1)+1),150)),"")</f>
        <v/>
      </c>
      <c r="BS31" t="str" cm="1">
        <f t="array" ref="BS31">IFERROR(IF(D31="","",INDEX('M04-S04'!$CT$18:$CT$199,2*(ROWS(BS$26:BS31)-1)+1)),"")</f>
        <v/>
      </c>
      <c r="BT31" s="6" t="str" cm="1">
        <f t="array" ref="BT31">IFERROR(ROUND(IF(D31="","",INDEX('M04-S04'!$BB$18:$BB$199,2*(ROWS(BT$26:BT31)-1)+1)),2),"")</f>
        <v/>
      </c>
      <c r="BU31" s="6" t="str" cm="1">
        <f t="array" ref="BU31">IFERROR(IF(D31="","",INDEX('M04-S04'!$CX$18:$CX$199,2*(ROWS(BU$26:BU31)-1)+1)),"")</f>
        <v/>
      </c>
      <c r="BV31" s="6" t="str" cm="1">
        <f t="array" ref="BV31">IFERROR(IF(D31="","",INDEX('M04-S04'!$CY$18:$CY$199,2*(ROWS(BV$26:BV31)-1)+1)),"")</f>
        <v/>
      </c>
      <c r="BW31" t="str">
        <f t="shared" si="55"/>
        <v/>
      </c>
      <c r="BX31" t="str">
        <f t="shared" si="56"/>
        <v/>
      </c>
      <c r="BY31" s="6" t="str" cm="1">
        <f t="array" ref="BY31">IFERROR(IF(D31="","",INDEX('M04-S04'!$CI$18:$CI$199,2*(ROWS(BY$26:BY31)-1)+1)),"")</f>
        <v/>
      </c>
      <c r="BZ31" s="6" t="str">
        <f t="shared" si="17"/>
        <v/>
      </c>
      <c r="CA31" s="6" t="str">
        <f t="shared" si="18"/>
        <v/>
      </c>
      <c r="CB31" s="6" t="str">
        <f t="shared" si="3"/>
        <v/>
      </c>
      <c r="CC31" s="6" t="str">
        <f t="shared" si="45"/>
        <v/>
      </c>
      <c r="CD31" s="6" t="str">
        <f t="shared" si="46"/>
        <v/>
      </c>
      <c r="CS31" t="str" cm="1">
        <f t="array" ref="CS31">IFERROR(IF(D31="","",INDEX('M04-S04'!$F$18:$F$199,2*(ROWS(CS$26:CS31)-1)+1)),"")</f>
        <v/>
      </c>
      <c r="CT31" t="str" cm="1">
        <f t="array" ref="CT31">IFERROR(IF(D31="","",INDEX('M04-S04'!$L$18:$L$199,2*(ROWS(CT$26:CT31)-1)+1)),"")</f>
        <v/>
      </c>
      <c r="CU31" t="str" cm="1">
        <f t="array" ref="CU31">IFERROR(IF(D31="","",INDEX('M04-S04'!$AD$18:$AD$199,2*(ROWS(CU$26:CU31)-1)+1)),"")</f>
        <v/>
      </c>
      <c r="DE31" s="150"/>
      <c r="DF31" s="150" t="str">
        <f>IFERROR(ROUND(IF(OR(D31="",DE31=""),"",TEMPLATE!$V$12),2),"")</f>
        <v/>
      </c>
      <c r="DG31" s="150"/>
      <c r="DH31" s="150" t="str">
        <f>IFERROR(ROUND(IF(OR(D31="",DG31=""),"",TEMPLATE!$V$12),2),"")</f>
        <v/>
      </c>
      <c r="DI31" s="150"/>
      <c r="DJ31" s="150" t="str">
        <f>IFERROR(ROUND(IF(OR(D31="",DI31=""),"",TEMPLATE!$V$12),2),"")</f>
        <v/>
      </c>
      <c r="DK31" s="150"/>
      <c r="DL31" s="150" t="str">
        <f>IFERROR(ROUND(IF(OR(D31="",DK31=""),"",TEMPLATE!$V$12),2),"")</f>
        <v/>
      </c>
      <c r="DM31" s="150"/>
      <c r="DN31" s="150" t="str">
        <f>IFERROR(ROUND(IF(OR(D31="",DM31=""),"",TEMPLATE!$V$12),2),"")</f>
        <v/>
      </c>
      <c r="DO31" s="150"/>
      <c r="DP31" s="150" t="str">
        <f>IFERROR(ROUND(IF(OR(D31="",DO31=""),"",TEMPLATE!$V$12),2),"")</f>
        <v/>
      </c>
      <c r="DQ31" s="150"/>
      <c r="DR31" s="150" t="str">
        <f>IFERROR(ROUND(IF(OR(D31="",DQ31=""),"",TEMPLATE!$V$12),2),"")</f>
        <v/>
      </c>
      <c r="DS31" s="150"/>
      <c r="DT31" s="150" t="str">
        <f>IFERROR(ROUND(IF(OR(D31="",DS31=""),"",TEMPLATE!$V$12),2),"")</f>
        <v/>
      </c>
      <c r="DU31" s="150" t="str" cm="1">
        <f t="array" ref="DU31">IFERROR(ROUND(IF($D31="","",INDEX('M04-S04'!DD$18:DD$199,2*(ROWS(DU$26:DU31)-1)+1)),4),"")</f>
        <v/>
      </c>
      <c r="DV31" s="150" t="str" cm="1">
        <f t="array" ref="DV31">IFERROR(ROUND(IF($D31="","",INDEX('M04-S04'!DE$18:DE$199,2*(ROWS(DV$26:DV31)-1)+1)),4),"")</f>
        <v/>
      </c>
      <c r="DW31" s="150" t="str" cm="1">
        <f t="array" ref="DW31">IFERROR(ROUND(IF($D31="","",INDEX('M04-S04'!DF$18:DF$199,2*(ROWS(DW$26:DW31)-1)+1)),4),"")</f>
        <v/>
      </c>
      <c r="DX31" s="150" t="str" cm="1">
        <f t="array" ref="DX31">IFERROR(ROUND(IF($D31="","",INDEX('M04-S04'!DG$18:DG$199,2*(ROWS(DX$26:DX31)-1)+1)),4),"")</f>
        <v/>
      </c>
      <c r="DY31" s="150" t="str" cm="1">
        <f t="array" ref="DY31">IFERROR(ROUND(IF($D31="","",INDEX('M04-S04'!DH$18:DH$199,2*(ROWS(DY$26:DY31)-1)+1)),4),"")</f>
        <v/>
      </c>
      <c r="DZ31" s="150" t="str" cm="1">
        <f t="array" ref="DZ31">IFERROR(ROUND(IF($D31="","",INDEX('M04-S04'!DI$18:DI$199,2*(ROWS(DZ$26:DZ31)-1)+1)),4),"")</f>
        <v/>
      </c>
      <c r="EA31" s="150" t="str" cm="1">
        <f t="array" ref="EA31">IFERROR(ROUND(IF($D31="","",INDEX('M04-S04'!DJ$18:DJ$199,2*(ROWS(EA$26:EA31)-1)+1)),4),"")</f>
        <v/>
      </c>
      <c r="EB31" s="150" t="str" cm="1">
        <f t="array" ref="EB31">IFERROR(ROUND(IF($D31="","",INDEX('M04-S04'!DK$18:DK$199,2*(ROWS(EB$26:EB31)-1)+1)),6),"")</f>
        <v/>
      </c>
      <c r="EC31" s="150" t="str" cm="1">
        <f t="array" ref="EC31">IFERROR(ROUND(IF($D31="","",INDEX('M04-S04'!DL$18:DL$199,2*(ROWS(EC$26:EC31)-1)+1)),6),"")</f>
        <v/>
      </c>
      <c r="ED31" s="150" t="str" cm="1">
        <f t="array" ref="ED31">IFERROR(ROUND(IF($D31="","",INDEX('M04-S04'!DM$18:DM$199,2*(ROWS(ED$26:ED31)-1)+1)),6),"")</f>
        <v/>
      </c>
      <c r="EE31" s="150" t="str" cm="1">
        <f t="array" ref="EE31">IFERROR(ROUND(IF($D31="","",INDEX('M04-S04'!DN$18:DN$199,2*(ROWS(EE$26:EE31)-1)+1)),6),"")</f>
        <v/>
      </c>
      <c r="EF31" s="150" t="str" cm="1">
        <f t="array" ref="EF31">IFERROR(ROUND(IF($D31="","",INDEX('M04-S04'!DO$18:DO$199,2*(ROWS(EF$26:EF31)-1)+1)),6),"")</f>
        <v/>
      </c>
      <c r="EG31" s="150" t="str" cm="1">
        <f t="array" ref="EG31">IFERROR(ROUND(IF($D31="","",INDEX('M04-S04'!DP$18:DP$199,2*(ROWS(EG$26:EG31)-1)+1)),6),"")</f>
        <v/>
      </c>
      <c r="EH31" s="150" t="str" cm="1">
        <f t="array" ref="EH31">IFERROR(ROUND(IF($D31="","",INDEX('M04-S04'!DQ$18:DQ$199,2*(ROWS(EH$26:EH31)-1)+1)),6),"")</f>
        <v/>
      </c>
      <c r="EI31" s="150" t="str" cm="1">
        <f t="array" ref="EI31">IFERROR(ROUND(IF($D31="","",INDEX('M04-S04'!DR$18:DR$199,2*(ROWS(EI$26:EI31)-1)+1)),6),"")</f>
        <v/>
      </c>
      <c r="EJ31" s="150" t="str" cm="1">
        <f t="array" ref="EJ31">IFERROR(ROUND(IF($D31="","",INDEX('M04-S04'!DS$18:DS$199,2*(ROWS(EJ$26:EJ31)-1)+1)),6),"")</f>
        <v/>
      </c>
      <c r="EK31" s="150" t="str" cm="1">
        <f t="array" ref="EK31">IFERROR(ROUND(IF($D31="","",INDEX('M04-S04'!DT$18:DT$199,2*(ROWS(EK$26:EK31)-1)+1)),6),"")</f>
        <v/>
      </c>
      <c r="EL31" s="150" t="str" cm="1">
        <f t="array" ref="EL31">IFERROR(ROUND(IF($D31="","",INDEX('M04-S04'!DU$18:DU$199,2*(ROWS(EL$26:EL31)-1)+1)),6),"")</f>
        <v/>
      </c>
      <c r="EM31" s="150" t="str" cm="1">
        <f t="array" ref="EM31">IFERROR(ROUND(IF($D31="","",INDEX('M04-S04'!DV$18:DV$199,2*(ROWS(EM$26:EM31)-1)+1)),6),"")</f>
        <v/>
      </c>
      <c r="EN31" s="150" t="str" cm="1">
        <f t="array" ref="EN31">IFERROR(ROUND(IF($D31="","",INDEX('M04-S04'!DW$18:DW$199,2*(ROWS(EN$26:EN31)-1)+1)),6),"")</f>
        <v/>
      </c>
      <c r="EO31" s="150" t="str" cm="1">
        <f t="array" ref="EO31">IFERROR(ROUND(IF($D31="","",INDEX('M04-S04'!DX$18:DX$199,2*(ROWS(EO$26:EO31)-1)+1)),6),"")</f>
        <v/>
      </c>
      <c r="EP31" s="150" t="str" cm="1">
        <f t="array" ref="EP31">IFERROR(ROUND(IF($D31="","",INDEX('M04-S04'!DY$18:DY$199,2*(ROWS(EP$26:EP31)-1)+1)),6),"")</f>
        <v/>
      </c>
      <c r="EQ31" s="150" t="str" cm="1">
        <f t="array" ref="EQ31">IFERROR(ROUND(IF($D31="","",INDEX('M04-S04'!DZ$18:DZ$199,2*(ROWS(EQ$26:EQ31)-1)+1)),6),"")</f>
        <v/>
      </c>
      <c r="ER31" s="150" t="str">
        <f t="shared" si="21"/>
        <v/>
      </c>
      <c r="ES31" s="150" t="str">
        <f t="shared" si="37"/>
        <v/>
      </c>
      <c r="ET31" s="150" t="str">
        <f t="shared" si="38"/>
        <v/>
      </c>
      <c r="EU31" s="150" t="str">
        <f t="shared" si="39"/>
        <v/>
      </c>
      <c r="EV31" s="150" t="str">
        <f t="shared" si="40"/>
        <v/>
      </c>
      <c r="EW31" s="150" t="str">
        <f t="shared" si="41"/>
        <v/>
      </c>
      <c r="EX31" s="150" t="str">
        <f t="shared" si="42"/>
        <v/>
      </c>
      <c r="EY31" s="150" t="str">
        <f t="shared" si="22"/>
        <v/>
      </c>
      <c r="EZ31" s="150" t="str" cm="1">
        <f t="array" ref="EZ31">IFERROR(ROUND(IF($D31="","",INDEX('M04-S04'!EA$18:EA$199,2*(ROWS(EZ$26:EZ31)-1)+1)),6),"")</f>
        <v/>
      </c>
      <c r="FA31" s="150" t="str" cm="1">
        <f t="array" ref="FA31">IFERROR(ROUND(IF($D31="","",INDEX('M04-S04'!EB$18:EB$199,2*(ROWS(FA$26:FA31)-1)+1)),6),"")</f>
        <v/>
      </c>
      <c r="FB31" s="150" t="str" cm="1">
        <f t="array" ref="FB31">IFERROR(ROUND(IF($D31="","",INDEX('M04-S04'!EC$18:EC$199,2*(ROWS(FB$26:FB31)-1)+1)),6),"")</f>
        <v/>
      </c>
      <c r="FC31" s="150" t="str" cm="1">
        <f t="array" ref="FC31">IFERROR(ROUND(IF($D31="","",INDEX('M04-S04'!ED$18:ED$199,2*(ROWS(FC$26:FC31)-1)+1)),6),"")</f>
        <v/>
      </c>
      <c r="FD31" s="150" t="str" cm="1">
        <f t="array" ref="FD31">IFERROR(ROUND(IF($D31="","",INDEX('M04-S04'!EE$18:EE$199,2*(ROWS(FD$26:FD31)-1)+1)),6),"")</f>
        <v/>
      </c>
      <c r="FE31" s="150" t="str" cm="1">
        <f t="array" ref="FE31">IFERROR(ROUND(IF($D31="","",INDEX('M04-S04'!EF$18:EF$199,2*(ROWS(FE$26:FE31)-1)+1)),6),"")</f>
        <v/>
      </c>
      <c r="FF31" s="150" t="str" cm="1">
        <f t="array" ref="FF31">IFERROR(ROUND(IF($D31="","",INDEX('M04-S04'!EG$18:EG$199,2*(ROWS(FF$26:FF31)-1)+1)),6),"")</f>
        <v/>
      </c>
      <c r="FG31" s="150" t="str" cm="1">
        <f t="array" ref="FG31">IFERROR(ROUND(IF($D31="","",INDEX('M04-S04'!EH$18:EH$199,2*(ROWS(FG$26:FG31)-1)+1)),6),"")</f>
        <v/>
      </c>
      <c r="FH31" s="150" t="str" cm="1">
        <f t="array" ref="FH31">IFERROR(ROUND(IF($D31="","",INDEX('M04-S04'!EI$18:EI$199,2*(ROWS(FH$26:FH31)-1)+1)),6),"")</f>
        <v/>
      </c>
      <c r="FI31" s="150" t="str" cm="1">
        <f t="array" ref="FI31">IFERROR(ROUND(IF($D31="","",INDEX('M04-S04'!EJ$18:EJ$199,2*(ROWS(FI$26:FI31)-1)+1)),6),"")</f>
        <v/>
      </c>
      <c r="FJ31" s="150" t="str" cm="1">
        <f t="array" ref="FJ31">IFERROR(ROUND(IF($D31="","",INDEX('M04-S04'!EK$18:EK$199,2*(ROWS(FJ$26:FJ31)-1)+1)),6),"")</f>
        <v/>
      </c>
      <c r="FK31" s="150" t="str" cm="1">
        <f t="array" ref="FK31">IFERROR(ROUND(IF($D31="","",INDEX('M04-S04'!EL$18:EL$199,2*(ROWS(FK$26:FK31)-1)+1)),6),"")</f>
        <v/>
      </c>
      <c r="FL31" s="150" t="str" cm="1">
        <f t="array" ref="FL31">IFERROR(ROUND(IF($D31="","",INDEX('M04-S04'!EM$18:EM$199,2*(ROWS(FL$26:FL31)-1)+1)),6),"")</f>
        <v/>
      </c>
      <c r="FM31" s="150" t="str" cm="1">
        <f t="array" ref="FM31">IFERROR(ROUND(IF($D31="","",INDEX('M04-S04'!EN$18:EN$199,2*(ROWS(FM$26:FM31)-1)+1)),6),"")</f>
        <v/>
      </c>
    </row>
    <row r="32" spans="1:169">
      <c r="A32" t="str">
        <f t="shared" si="47"/>
        <v/>
      </c>
      <c r="B32" t="str">
        <f t="shared" si="48"/>
        <v/>
      </c>
      <c r="C32" t="str" cm="1">
        <f t="array" ref="C32">IFERROR(IF(D32="","",INDEX('M04-S04'!$B$18:$B$199,2*(ROWS(C$26:C32)-1)+1)),"")</f>
        <v/>
      </c>
      <c r="D32" t="str">
        <f t="shared" si="49"/>
        <v/>
      </c>
      <c r="E32" t="str" cm="1">
        <f t="array" ref="E32">IFERROR(IF(INDEX('M04-S04'!$CC$18:$CC$199,2*(ROWS(E$26:E32)-1)+1)="","",INDEX('M04-S04'!$CC$18:$CC$199,2*(ROWS(E$26:E32)-1)+1)),"")</f>
        <v/>
      </c>
      <c r="G32" t="str">
        <f t="shared" si="50"/>
        <v/>
      </c>
      <c r="H32" t="str">
        <f t="shared" si="51"/>
        <v/>
      </c>
      <c r="L32" t="str">
        <f t="shared" si="52"/>
        <v/>
      </c>
      <c r="O32" t="str">
        <f t="shared" si="53"/>
        <v/>
      </c>
      <c r="V32" t="str" cm="1">
        <f t="array" ref="V32">IFERROR(IF(D32="","",INDEX('M04-S04'!$AY$18:$AY$199,2*(ROWS(V$26:V32)-1)+1)),"")</f>
        <v/>
      </c>
      <c r="W32" t="str" cm="1">
        <f t="array" ref="W32">IFERROR(IF(D32="","",INDEX('M04-S04'!$AV$18:$AV$199,2*(ROWS(W$26:W32)-1)+1)),"")</f>
        <v/>
      </c>
      <c r="X32" t="str" cm="1">
        <f t="array" ref="X32">IFERROR(IF(D32="","",INDEX('M04-S04'!$AV$18:$AV$199,2*(ROWS(X$26:X32)-0)+0)),"")</f>
        <v/>
      </c>
      <c r="AG32" s="98" t="str" cm="1">
        <f t="array" ref="AG32">IFERROR(IF(D32="","",IF(INDEX('M04-S04'!$CB$18:$CB$199,2*(ROWS(AG$26:AG32)*1)+1)="","",INDEX('M04-S04'!$CB$18:$CB$199,2*(ROWS(AG$26:AG32)-1)+1))),"")</f>
        <v/>
      </c>
      <c r="AH32" s="98" t="str" cm="1">
        <f t="array" ref="AH32">IFERROR(IF(D32="","",IF(INDEX('M04-S04'!$CU$18:$CU$199,2*(ROWS(AH$26:AH32)-1)+1)="","",INDEX('M04-S04'!$CU$18:$CU$199,2*(ROWS(AH$26:AH32)-1)+1))),"")</f>
        <v/>
      </c>
      <c r="AI32" s="20" t="str" cm="1">
        <f t="array" ref="AI32">IFERROR(IF(D32="","",IF(INDEX('M04-S04'!$CM$18:$CM$199,2*(ROWS(AI$26:AI32)-1)+1)="",0,INDEX('M04-S04'!$CM$18:$CM$199,2*(ROWS(AI$26:AI32)-1)+1))),"")</f>
        <v/>
      </c>
      <c r="AJ32" s="20" t="str">
        <f t="shared" si="1"/>
        <v/>
      </c>
      <c r="AK32" s="487" t="str" cm="1">
        <f t="array" ref="AK32">IFERROR(IF(D32="","",IF(INDEX('M04-S04'!$CN$18:$CN$199,2*(ROWS(AK$26:AK32)-1)+1)="",0,INDEX('M04-S04'!$CN$18:$CN$199,2*(ROWS(AK$26:AK32)-1)+1))),"")</f>
        <v/>
      </c>
      <c r="AL32" s="20" t="str">
        <f t="shared" si="54"/>
        <v/>
      </c>
      <c r="AM32" s="20" t="str">
        <f t="shared" si="44"/>
        <v/>
      </c>
      <c r="AN32" s="20" t="str" cm="1">
        <f t="array" ref="AN32">IFERROR(IF(D32="","",IF(INDEX('M04-S04'!$CO$18:$CO$199,2*(ROWS(AN$26:AN32)-1)+1)="",0,INDEX('M04-S04'!$CO$18:$CO$199,2*(ROWS(AN$26:AN32)-1)+1))),"")</f>
        <v/>
      </c>
      <c r="AO32" s="20" t="str" cm="1">
        <f t="array" ref="AO32">IFERROR(IF(D32="","",INDEX('M04-S04'!$R$18:$R$199,2*(ROWS(AO$26:AO32)-1)+1)),"")</f>
        <v/>
      </c>
      <c r="AP32" s="20" t="str" cm="1">
        <f t="array" ref="AP32">IFERROR(IF(D32="","",INDEX('M04-S04'!$AJ$18:$AJ$199,2*(ROWS(AP$26:AP32)-1)+1)),"")</f>
        <v/>
      </c>
      <c r="AQ32" s="487" t="str" cm="1">
        <f t="array" ref="AQ32">IFERROR(IF(D32="","",INDEX('M04-S04'!$U$18:$U$199,2*(ROWS(AQ$26:AQ32)-1)+1)),"")</f>
        <v/>
      </c>
      <c r="AR32" s="487" t="str" cm="1">
        <f t="array" ref="AR32">IFERROR(IF(D32="","",INDEX('M04-S04'!$AM$18:$AM$199,2*(ROWS(AR$26:AR32)-1)+1)),"")</f>
        <v/>
      </c>
      <c r="AS32" s="20" t="str" cm="1">
        <f t="array" ref="AS32">IFERROR(IF(D32="","",INDEX('M04-S04'!$X$18:$X$199,2*(ROWS(AS$26:AS32)-1)+1)),"")</f>
        <v/>
      </c>
      <c r="AT32" s="20" t="str" cm="1">
        <f t="array" ref="AT32">IFERROR(IF(D32="","",INDEX('M04-S04'!$AP$18:$AP$199,2*(ROWS(AT$26:AT32)-1)+1)),"")</f>
        <v/>
      </c>
      <c r="BP32" t="str" cm="1">
        <f t="array" ref="BP32">IFERROR(IF(D32="","",INDEX('M04-S04'!$CS$18:$CS$199,2*(ROWS(BP$26:BP32)-1)+1)),"")</f>
        <v/>
      </c>
      <c r="BR32" t="str" cm="1">
        <f t="array" ref="BR32">IFERROR(IF(D32="","",LEFT(INDEX('M04-S04'!$C$18:$C$199,2*(ROWS(BR$26:BR32)-1)+1),150)),"")</f>
        <v/>
      </c>
      <c r="BS32" t="str" cm="1">
        <f t="array" ref="BS32">IFERROR(IF(D32="","",INDEX('M04-S04'!$CT$18:$CT$199,2*(ROWS(BS$26:BS32)-1)+1)),"")</f>
        <v/>
      </c>
      <c r="BT32" s="6" t="str" cm="1">
        <f t="array" ref="BT32">IFERROR(ROUND(IF(D32="","",INDEX('M04-S04'!$BB$18:$BB$199,2*(ROWS(BT$26:BT32)-1)+1)),2),"")</f>
        <v/>
      </c>
      <c r="BU32" s="6" t="str" cm="1">
        <f t="array" ref="BU32">IFERROR(IF(D32="","",INDEX('M04-S04'!$CX$18:$CX$199,2*(ROWS(BU$26:BU32)-1)+1)),"")</f>
        <v/>
      </c>
      <c r="BV32" s="6" t="str" cm="1">
        <f t="array" ref="BV32">IFERROR(IF(D32="","",INDEX('M04-S04'!$CY$18:$CY$199,2*(ROWS(BV$26:BV32)-1)+1)),"")</f>
        <v/>
      </c>
      <c r="BW32" t="str">
        <f t="shared" si="55"/>
        <v/>
      </c>
      <c r="BX32" t="str">
        <f t="shared" si="56"/>
        <v/>
      </c>
      <c r="BY32" s="6" t="str" cm="1">
        <f t="array" ref="BY32">IFERROR(IF(D32="","",INDEX('M04-S04'!$CI$18:$CI$199,2*(ROWS(BY$26:BY32)-1)+1)),"")</f>
        <v/>
      </c>
      <c r="BZ32" s="6" t="str">
        <f t="shared" si="17"/>
        <v/>
      </c>
      <c r="CA32" s="6" t="str">
        <f t="shared" si="18"/>
        <v/>
      </c>
      <c r="CB32" s="6" t="str">
        <f t="shared" si="3"/>
        <v/>
      </c>
      <c r="CC32" s="6" t="str">
        <f t="shared" si="45"/>
        <v/>
      </c>
      <c r="CD32" s="6" t="str">
        <f t="shared" si="46"/>
        <v/>
      </c>
      <c r="CS32" t="str" cm="1">
        <f t="array" ref="CS32">IFERROR(IF(D32="","",INDEX('M04-S04'!$F$18:$F$199,2*(ROWS(CS$26:CS32)-1)+1)),"")</f>
        <v/>
      </c>
      <c r="CT32" t="str" cm="1">
        <f t="array" ref="CT32">IFERROR(IF(D32="","",INDEX('M04-S04'!$L$18:$L$199,2*(ROWS(CT$26:CT32)-1)+1)),"")</f>
        <v/>
      </c>
      <c r="CU32" t="str" cm="1">
        <f t="array" ref="CU32">IFERROR(IF(D32="","",INDEX('M04-S04'!$AD$18:$AD$199,2*(ROWS(CU$26:CU32)-1)+1)),"")</f>
        <v/>
      </c>
      <c r="DE32" s="150"/>
      <c r="DF32" s="150" t="str">
        <f>IFERROR(ROUND(IF(OR(D32="",DE32=""),"",TEMPLATE!$V$12),2),"")</f>
        <v/>
      </c>
      <c r="DG32" s="150"/>
      <c r="DH32" s="150" t="str">
        <f>IFERROR(ROUND(IF(OR(D32="",DG32=""),"",TEMPLATE!$V$12),2),"")</f>
        <v/>
      </c>
      <c r="DI32" s="150"/>
      <c r="DJ32" s="150" t="str">
        <f>IFERROR(ROUND(IF(OR(D32="",DI32=""),"",TEMPLATE!$V$12),2),"")</f>
        <v/>
      </c>
      <c r="DK32" s="150"/>
      <c r="DL32" s="150" t="str">
        <f>IFERROR(ROUND(IF(OR(D32="",DK32=""),"",TEMPLATE!$V$12),2),"")</f>
        <v/>
      </c>
      <c r="DM32" s="150"/>
      <c r="DN32" s="150" t="str">
        <f>IFERROR(ROUND(IF(OR(D32="",DM32=""),"",TEMPLATE!$V$12),2),"")</f>
        <v/>
      </c>
      <c r="DO32" s="150"/>
      <c r="DP32" s="150" t="str">
        <f>IFERROR(ROUND(IF(OR(D32="",DO32=""),"",TEMPLATE!$V$12),2),"")</f>
        <v/>
      </c>
      <c r="DQ32" s="150"/>
      <c r="DR32" s="150" t="str">
        <f>IFERROR(ROUND(IF(OR(D32="",DQ32=""),"",TEMPLATE!$V$12),2),"")</f>
        <v/>
      </c>
      <c r="DS32" s="150"/>
      <c r="DT32" s="150" t="str">
        <f>IFERROR(ROUND(IF(OR(D32="",DS32=""),"",TEMPLATE!$V$12),2),"")</f>
        <v/>
      </c>
      <c r="DU32" s="150" t="str" cm="1">
        <f t="array" ref="DU32">IFERROR(ROUND(IF($D32="","",INDEX('M04-S04'!DD$18:DD$199,2*(ROWS(DU$26:DU32)-1)+1)),4),"")</f>
        <v/>
      </c>
      <c r="DV32" s="150" t="str" cm="1">
        <f t="array" ref="DV32">IFERROR(ROUND(IF($D32="","",INDEX('M04-S04'!DE$18:DE$199,2*(ROWS(DV$26:DV32)-1)+1)),4),"")</f>
        <v/>
      </c>
      <c r="DW32" s="150" t="str" cm="1">
        <f t="array" ref="DW32">IFERROR(ROUND(IF($D32="","",INDEX('M04-S04'!DF$18:DF$199,2*(ROWS(DW$26:DW32)-1)+1)),4),"")</f>
        <v/>
      </c>
      <c r="DX32" s="150" t="str" cm="1">
        <f t="array" ref="DX32">IFERROR(ROUND(IF($D32="","",INDEX('M04-S04'!DG$18:DG$199,2*(ROWS(DX$26:DX32)-1)+1)),4),"")</f>
        <v/>
      </c>
      <c r="DY32" s="150" t="str" cm="1">
        <f t="array" ref="DY32">IFERROR(ROUND(IF($D32="","",INDEX('M04-S04'!DH$18:DH$199,2*(ROWS(DY$26:DY32)-1)+1)),4),"")</f>
        <v/>
      </c>
      <c r="DZ32" s="150" t="str" cm="1">
        <f t="array" ref="DZ32">IFERROR(ROUND(IF($D32="","",INDEX('M04-S04'!DI$18:DI$199,2*(ROWS(DZ$26:DZ32)-1)+1)),4),"")</f>
        <v/>
      </c>
      <c r="EA32" s="150" t="str" cm="1">
        <f t="array" ref="EA32">IFERROR(ROUND(IF($D32="","",INDEX('M04-S04'!DJ$18:DJ$199,2*(ROWS(EA$26:EA32)-1)+1)),4),"")</f>
        <v/>
      </c>
      <c r="EB32" s="150" t="str" cm="1">
        <f t="array" ref="EB32">IFERROR(ROUND(IF($D32="","",INDEX('M04-S04'!DK$18:DK$199,2*(ROWS(EB$26:EB32)-1)+1)),6),"")</f>
        <v/>
      </c>
      <c r="EC32" s="150" t="str" cm="1">
        <f t="array" ref="EC32">IFERROR(ROUND(IF($D32="","",INDEX('M04-S04'!DL$18:DL$199,2*(ROWS(EC$26:EC32)-1)+1)),6),"")</f>
        <v/>
      </c>
      <c r="ED32" s="150" t="str" cm="1">
        <f t="array" ref="ED32">IFERROR(ROUND(IF($D32="","",INDEX('M04-S04'!DM$18:DM$199,2*(ROWS(ED$26:ED32)-1)+1)),6),"")</f>
        <v/>
      </c>
      <c r="EE32" s="150" t="str" cm="1">
        <f t="array" ref="EE32">IFERROR(ROUND(IF($D32="","",INDEX('M04-S04'!DN$18:DN$199,2*(ROWS(EE$26:EE32)-1)+1)),6),"")</f>
        <v/>
      </c>
      <c r="EF32" s="150" t="str" cm="1">
        <f t="array" ref="EF32">IFERROR(ROUND(IF($D32="","",INDEX('M04-S04'!DO$18:DO$199,2*(ROWS(EF$26:EF32)-1)+1)),6),"")</f>
        <v/>
      </c>
      <c r="EG32" s="150" t="str" cm="1">
        <f t="array" ref="EG32">IFERROR(ROUND(IF($D32="","",INDEX('M04-S04'!DP$18:DP$199,2*(ROWS(EG$26:EG32)-1)+1)),6),"")</f>
        <v/>
      </c>
      <c r="EH32" s="150" t="str" cm="1">
        <f t="array" ref="EH32">IFERROR(ROUND(IF($D32="","",INDEX('M04-S04'!DQ$18:DQ$199,2*(ROWS(EH$26:EH32)-1)+1)),6),"")</f>
        <v/>
      </c>
      <c r="EI32" s="150" t="str" cm="1">
        <f t="array" ref="EI32">IFERROR(ROUND(IF($D32="","",INDEX('M04-S04'!DR$18:DR$199,2*(ROWS(EI$26:EI32)-1)+1)),6),"")</f>
        <v/>
      </c>
      <c r="EJ32" s="150" t="str" cm="1">
        <f t="array" ref="EJ32">IFERROR(ROUND(IF($D32="","",INDEX('M04-S04'!DS$18:DS$199,2*(ROWS(EJ$26:EJ32)-1)+1)),6),"")</f>
        <v/>
      </c>
      <c r="EK32" s="150" t="str" cm="1">
        <f t="array" ref="EK32">IFERROR(ROUND(IF($D32="","",INDEX('M04-S04'!DT$18:DT$199,2*(ROWS(EK$26:EK32)-1)+1)),6),"")</f>
        <v/>
      </c>
      <c r="EL32" s="150" t="str" cm="1">
        <f t="array" ref="EL32">IFERROR(ROUND(IF($D32="","",INDEX('M04-S04'!DU$18:DU$199,2*(ROWS(EL$26:EL32)-1)+1)),6),"")</f>
        <v/>
      </c>
      <c r="EM32" s="150" t="str" cm="1">
        <f t="array" ref="EM32">IFERROR(ROUND(IF($D32="","",INDEX('M04-S04'!DV$18:DV$199,2*(ROWS(EM$26:EM32)-1)+1)),6),"")</f>
        <v/>
      </c>
      <c r="EN32" s="150" t="str" cm="1">
        <f t="array" ref="EN32">IFERROR(ROUND(IF($D32="","",INDEX('M04-S04'!DW$18:DW$199,2*(ROWS(EN$26:EN32)-1)+1)),6),"")</f>
        <v/>
      </c>
      <c r="EO32" s="150" t="str" cm="1">
        <f t="array" ref="EO32">IFERROR(ROUND(IF($D32="","",INDEX('M04-S04'!DX$18:DX$199,2*(ROWS(EO$26:EO32)-1)+1)),6),"")</f>
        <v/>
      </c>
      <c r="EP32" s="150" t="str" cm="1">
        <f t="array" ref="EP32">IFERROR(ROUND(IF($D32="","",INDEX('M04-S04'!DY$18:DY$199,2*(ROWS(EP$26:EP32)-1)+1)),6),"")</f>
        <v/>
      </c>
      <c r="EQ32" s="150" t="str" cm="1">
        <f t="array" ref="EQ32">IFERROR(ROUND(IF($D32="","",INDEX('M04-S04'!DZ$18:DZ$199,2*(ROWS(EQ$26:EQ32)-1)+1)),6),"")</f>
        <v/>
      </c>
      <c r="ER32" s="150" t="str">
        <f t="shared" si="21"/>
        <v/>
      </c>
      <c r="ES32" s="150" t="str">
        <f t="shared" si="37"/>
        <v/>
      </c>
      <c r="ET32" s="150" t="str">
        <f t="shared" si="38"/>
        <v/>
      </c>
      <c r="EU32" s="150" t="str">
        <f t="shared" si="39"/>
        <v/>
      </c>
      <c r="EV32" s="150" t="str">
        <f t="shared" si="40"/>
        <v/>
      </c>
      <c r="EW32" s="150" t="str">
        <f t="shared" si="41"/>
        <v/>
      </c>
      <c r="EX32" s="150" t="str">
        <f t="shared" si="42"/>
        <v/>
      </c>
      <c r="EY32" s="150" t="str">
        <f t="shared" si="22"/>
        <v/>
      </c>
      <c r="EZ32" s="150" t="str" cm="1">
        <f t="array" ref="EZ32">IFERROR(ROUND(IF($D32="","",INDEX('M04-S04'!EA$18:EA$199,2*(ROWS(EZ$26:EZ32)-1)+1)),6),"")</f>
        <v/>
      </c>
      <c r="FA32" s="150" t="str" cm="1">
        <f t="array" ref="FA32">IFERROR(ROUND(IF($D32="","",INDEX('M04-S04'!EB$18:EB$199,2*(ROWS(FA$26:FA32)-1)+1)),6),"")</f>
        <v/>
      </c>
      <c r="FB32" s="150" t="str" cm="1">
        <f t="array" ref="FB32">IFERROR(ROUND(IF($D32="","",INDEX('M04-S04'!EC$18:EC$199,2*(ROWS(FB$26:FB32)-1)+1)),6),"")</f>
        <v/>
      </c>
      <c r="FC32" s="150" t="str" cm="1">
        <f t="array" ref="FC32">IFERROR(ROUND(IF($D32="","",INDEX('M04-S04'!ED$18:ED$199,2*(ROWS(FC$26:FC32)-1)+1)),6),"")</f>
        <v/>
      </c>
      <c r="FD32" s="150" t="str" cm="1">
        <f t="array" ref="FD32">IFERROR(ROUND(IF($D32="","",INDEX('M04-S04'!EE$18:EE$199,2*(ROWS(FD$26:FD32)-1)+1)),6),"")</f>
        <v/>
      </c>
      <c r="FE32" s="150" t="str" cm="1">
        <f t="array" ref="FE32">IFERROR(ROUND(IF($D32="","",INDEX('M04-S04'!EF$18:EF$199,2*(ROWS(FE$26:FE32)-1)+1)),6),"")</f>
        <v/>
      </c>
      <c r="FF32" s="150" t="str" cm="1">
        <f t="array" ref="FF32">IFERROR(ROUND(IF($D32="","",INDEX('M04-S04'!EG$18:EG$199,2*(ROWS(FF$26:FF32)-1)+1)),6),"")</f>
        <v/>
      </c>
      <c r="FG32" s="150" t="str" cm="1">
        <f t="array" ref="FG32">IFERROR(ROUND(IF($D32="","",INDEX('M04-S04'!EH$18:EH$199,2*(ROWS(FG$26:FG32)-1)+1)),6),"")</f>
        <v/>
      </c>
      <c r="FH32" s="150" t="str" cm="1">
        <f t="array" ref="FH32">IFERROR(ROUND(IF($D32="","",INDEX('M04-S04'!EI$18:EI$199,2*(ROWS(FH$26:FH32)-1)+1)),6),"")</f>
        <v/>
      </c>
      <c r="FI32" s="150" t="str" cm="1">
        <f t="array" ref="FI32">IFERROR(ROUND(IF($D32="","",INDEX('M04-S04'!EJ$18:EJ$199,2*(ROWS(FI$26:FI32)-1)+1)),6),"")</f>
        <v/>
      </c>
      <c r="FJ32" s="150" t="str" cm="1">
        <f t="array" ref="FJ32">IFERROR(ROUND(IF($D32="","",INDEX('M04-S04'!EK$18:EK$199,2*(ROWS(FJ$26:FJ32)-1)+1)),6),"")</f>
        <v/>
      </c>
      <c r="FK32" s="150" t="str" cm="1">
        <f t="array" ref="FK32">IFERROR(ROUND(IF($D32="","",INDEX('M04-S04'!EL$18:EL$199,2*(ROWS(FK$26:FK32)-1)+1)),6),"")</f>
        <v/>
      </c>
      <c r="FL32" s="150" t="str" cm="1">
        <f t="array" ref="FL32">IFERROR(ROUND(IF($D32="","",INDEX('M04-S04'!EM$18:EM$199,2*(ROWS(FL$26:FL32)-1)+1)),6),"")</f>
        <v/>
      </c>
      <c r="FM32" s="150" t="str" cm="1">
        <f t="array" ref="FM32">IFERROR(ROUND(IF($D32="","",INDEX('M04-S04'!EN$18:EN$199,2*(ROWS(FM$26:FM32)-1)+1)),6),"")</f>
        <v/>
      </c>
    </row>
    <row r="33" spans="1:169">
      <c r="A33" t="str">
        <f t="shared" si="47"/>
        <v/>
      </c>
      <c r="B33" t="str">
        <f t="shared" si="48"/>
        <v/>
      </c>
      <c r="C33" t="str" cm="1">
        <f t="array" ref="C33">IFERROR(IF(D33="","",INDEX('M04-S04'!$B$18:$B$199,2*(ROWS(C$26:C33)-1)+1)),"")</f>
        <v/>
      </c>
      <c r="D33" t="str">
        <f t="shared" si="49"/>
        <v/>
      </c>
      <c r="E33" t="str" cm="1">
        <f t="array" ref="E33">IFERROR(IF(INDEX('M04-S04'!$CC$18:$CC$199,2*(ROWS(E$26:E33)-1)+1)="","",INDEX('M04-S04'!$CC$18:$CC$199,2*(ROWS(E$26:E33)-1)+1)),"")</f>
        <v/>
      </c>
      <c r="G33" t="str">
        <f t="shared" si="50"/>
        <v/>
      </c>
      <c r="H33" t="str">
        <f t="shared" si="51"/>
        <v/>
      </c>
      <c r="L33" t="str">
        <f t="shared" si="52"/>
        <v/>
      </c>
      <c r="O33" t="str">
        <f t="shared" si="53"/>
        <v/>
      </c>
      <c r="V33" t="str" cm="1">
        <f t="array" ref="V33">IFERROR(IF(D33="","",INDEX('M04-S04'!$AY$18:$AY$199,2*(ROWS(V$26:V33)-1)+1)),"")</f>
        <v/>
      </c>
      <c r="W33" t="str" cm="1">
        <f t="array" ref="W33">IFERROR(IF(D33="","",INDEX('M04-S04'!$AV$18:$AV$199,2*(ROWS(W$26:W33)-1)+1)),"")</f>
        <v/>
      </c>
      <c r="X33" t="str" cm="1">
        <f t="array" ref="X33">IFERROR(IF(D33="","",INDEX('M04-S04'!$AV$18:$AV$199,2*(ROWS(X$26:X33)-0)+0)),"")</f>
        <v/>
      </c>
      <c r="AG33" s="98" t="str" cm="1">
        <f t="array" ref="AG33">IFERROR(IF(D33="","",IF(INDEX('M04-S04'!$CB$18:$CB$199,2*(ROWS(AG$26:AG33)*1)+1)="","",INDEX('M04-S04'!$CB$18:$CB$199,2*(ROWS(AG$26:AG33)-1)+1))),"")</f>
        <v/>
      </c>
      <c r="AH33" s="98" t="str" cm="1">
        <f t="array" ref="AH33">IFERROR(IF(D33="","",IF(INDEX('M04-S04'!$CU$18:$CU$199,2*(ROWS(AH$26:AH33)-1)+1)="","",INDEX('M04-S04'!$CU$18:$CU$199,2*(ROWS(AH$26:AH33)-1)+1))),"")</f>
        <v/>
      </c>
      <c r="AI33" s="20" t="str" cm="1">
        <f t="array" ref="AI33">IFERROR(IF(D33="","",IF(INDEX('M04-S04'!$CM$18:$CM$199,2*(ROWS(AI$26:AI33)-1)+1)="",0,INDEX('M04-S04'!$CM$18:$CM$199,2*(ROWS(AI$26:AI33)-1)+1))),"")</f>
        <v/>
      </c>
      <c r="AJ33" s="20" t="str">
        <f t="shared" si="1"/>
        <v/>
      </c>
      <c r="AK33" s="487" t="str" cm="1">
        <f t="array" ref="AK33">IFERROR(IF(D33="","",IF(INDEX('M04-S04'!$CN$18:$CN$199,2*(ROWS(AK$26:AK33)-1)+1)="",0,INDEX('M04-S04'!$CN$18:$CN$199,2*(ROWS(AK$26:AK33)-1)+1))),"")</f>
        <v/>
      </c>
      <c r="AL33" s="20" t="str">
        <f t="shared" si="54"/>
        <v/>
      </c>
      <c r="AM33" s="20" t="str">
        <f t="shared" si="44"/>
        <v/>
      </c>
      <c r="AN33" s="20" t="str" cm="1">
        <f t="array" ref="AN33">IFERROR(IF(D33="","",IF(INDEX('M04-S04'!$CO$18:$CO$199,2*(ROWS(AN$26:AN33)-1)+1)="",0,INDEX('M04-S04'!$CO$18:$CO$199,2*(ROWS(AN$26:AN33)-1)+1))),"")</f>
        <v/>
      </c>
      <c r="AO33" s="20" t="str" cm="1">
        <f t="array" ref="AO33">IFERROR(IF(D33="","",INDEX('M04-S04'!$R$18:$R$199,2*(ROWS(AO$26:AO33)-1)+1)),"")</f>
        <v/>
      </c>
      <c r="AP33" s="20" t="str" cm="1">
        <f t="array" ref="AP33">IFERROR(IF(D33="","",INDEX('M04-S04'!$AJ$18:$AJ$199,2*(ROWS(AP$26:AP33)-1)+1)),"")</f>
        <v/>
      </c>
      <c r="AQ33" s="487" t="str" cm="1">
        <f t="array" ref="AQ33">IFERROR(IF(D33="","",INDEX('M04-S04'!$U$18:$U$199,2*(ROWS(AQ$26:AQ33)-1)+1)),"")</f>
        <v/>
      </c>
      <c r="AR33" s="487" t="str" cm="1">
        <f t="array" ref="AR33">IFERROR(IF(D33="","",INDEX('M04-S04'!$AM$18:$AM$199,2*(ROWS(AR$26:AR33)-1)+1)),"")</f>
        <v/>
      </c>
      <c r="AS33" s="20" t="str" cm="1">
        <f t="array" ref="AS33">IFERROR(IF(D33="","",INDEX('M04-S04'!$X$18:$X$199,2*(ROWS(AS$26:AS33)-1)+1)),"")</f>
        <v/>
      </c>
      <c r="AT33" s="20" t="str" cm="1">
        <f t="array" ref="AT33">IFERROR(IF(D33="","",INDEX('M04-S04'!$AP$18:$AP$199,2*(ROWS(AT$26:AT33)-1)+1)),"")</f>
        <v/>
      </c>
      <c r="BP33" t="str" cm="1">
        <f t="array" ref="BP33">IFERROR(IF(D33="","",INDEX('M04-S04'!$CS$18:$CS$199,2*(ROWS(BP$26:BP33)-1)+1)),"")</f>
        <v/>
      </c>
      <c r="BR33" t="str" cm="1">
        <f t="array" ref="BR33">IFERROR(IF(D33="","",LEFT(INDEX('M04-S04'!$C$18:$C$199,2*(ROWS(BR$26:BR33)-1)+1),150)),"")</f>
        <v/>
      </c>
      <c r="BS33" t="str" cm="1">
        <f t="array" ref="BS33">IFERROR(IF(D33="","",INDEX('M04-S04'!$CT$18:$CT$199,2*(ROWS(BS$26:BS33)-1)+1)),"")</f>
        <v/>
      </c>
      <c r="BT33" s="6" t="str" cm="1">
        <f t="array" ref="BT33">IFERROR(ROUND(IF(D33="","",INDEX('M04-S04'!$BB$18:$BB$199,2*(ROWS(BT$26:BT33)-1)+1)),2),"")</f>
        <v/>
      </c>
      <c r="BU33" s="6" t="str" cm="1">
        <f t="array" ref="BU33">IFERROR(IF(D33="","",INDEX('M04-S04'!$CX$18:$CX$199,2*(ROWS(BU$26:BU33)-1)+1)),"")</f>
        <v/>
      </c>
      <c r="BV33" s="6" t="str" cm="1">
        <f t="array" ref="BV33">IFERROR(IF(D33="","",INDEX('M04-S04'!$CY$18:$CY$199,2*(ROWS(BV$26:BV33)-1)+1)),"")</f>
        <v/>
      </c>
      <c r="BW33" t="str">
        <f t="shared" si="55"/>
        <v/>
      </c>
      <c r="BX33" t="str">
        <f t="shared" si="56"/>
        <v/>
      </c>
      <c r="BY33" s="6" t="str" cm="1">
        <f t="array" ref="BY33">IFERROR(IF(D33="","",INDEX('M04-S04'!$CI$18:$CI$199,2*(ROWS(BY$26:BY33)-1)+1)),"")</f>
        <v/>
      </c>
      <c r="BZ33" s="6" t="str">
        <f t="shared" si="17"/>
        <v/>
      </c>
      <c r="CA33" s="6" t="str">
        <f t="shared" si="18"/>
        <v/>
      </c>
      <c r="CB33" s="6" t="str">
        <f t="shared" si="3"/>
        <v/>
      </c>
      <c r="CC33" s="6" t="str">
        <f t="shared" si="45"/>
        <v/>
      </c>
      <c r="CD33" s="6" t="str">
        <f t="shared" si="46"/>
        <v/>
      </c>
      <c r="CS33" t="str" cm="1">
        <f t="array" ref="CS33">IFERROR(IF(D33="","",INDEX('M04-S04'!$F$18:$F$199,2*(ROWS(CS$26:CS33)-1)+1)),"")</f>
        <v/>
      </c>
      <c r="CT33" t="str" cm="1">
        <f t="array" ref="CT33">IFERROR(IF(D33="","",INDEX('M04-S04'!$L$18:$L$199,2*(ROWS(CT$26:CT33)-1)+1)),"")</f>
        <v/>
      </c>
      <c r="CU33" t="str" cm="1">
        <f t="array" ref="CU33">IFERROR(IF(D33="","",INDEX('M04-S04'!$AD$18:$AD$199,2*(ROWS(CU$26:CU33)-1)+1)),"")</f>
        <v/>
      </c>
      <c r="DE33" s="150"/>
      <c r="DF33" s="150" t="str">
        <f>IFERROR(ROUND(IF(OR(D33="",DE33=""),"",TEMPLATE!$V$12),2),"")</f>
        <v/>
      </c>
      <c r="DG33" s="150"/>
      <c r="DH33" s="150" t="str">
        <f>IFERROR(ROUND(IF(OR(D33="",DG33=""),"",TEMPLATE!$V$12),2),"")</f>
        <v/>
      </c>
      <c r="DI33" s="150"/>
      <c r="DJ33" s="150" t="str">
        <f>IFERROR(ROUND(IF(OR(D33="",DI33=""),"",TEMPLATE!$V$12),2),"")</f>
        <v/>
      </c>
      <c r="DK33" s="150"/>
      <c r="DL33" s="150" t="str">
        <f>IFERROR(ROUND(IF(OR(D33="",DK33=""),"",TEMPLATE!$V$12),2),"")</f>
        <v/>
      </c>
      <c r="DM33" s="150"/>
      <c r="DN33" s="150" t="str">
        <f>IFERROR(ROUND(IF(OR(D33="",DM33=""),"",TEMPLATE!$V$12),2),"")</f>
        <v/>
      </c>
      <c r="DO33" s="150"/>
      <c r="DP33" s="150" t="str">
        <f>IFERROR(ROUND(IF(OR(D33="",DO33=""),"",TEMPLATE!$V$12),2),"")</f>
        <v/>
      </c>
      <c r="DQ33" s="150"/>
      <c r="DR33" s="150" t="str">
        <f>IFERROR(ROUND(IF(OR(D33="",DQ33=""),"",TEMPLATE!$V$12),2),"")</f>
        <v/>
      </c>
      <c r="DS33" s="150"/>
      <c r="DT33" s="150" t="str">
        <f>IFERROR(ROUND(IF(OR(D33="",DS33=""),"",TEMPLATE!$V$12),2),"")</f>
        <v/>
      </c>
      <c r="DU33" s="150" t="str" cm="1">
        <f t="array" ref="DU33">IFERROR(ROUND(IF($D33="","",INDEX('M04-S04'!DD$18:DD$199,2*(ROWS(DU$26:DU33)-1)+1)),4),"")</f>
        <v/>
      </c>
      <c r="DV33" s="150" t="str" cm="1">
        <f t="array" ref="DV33">IFERROR(ROUND(IF($D33="","",INDEX('M04-S04'!DE$18:DE$199,2*(ROWS(DV$26:DV33)-1)+1)),4),"")</f>
        <v/>
      </c>
      <c r="DW33" s="150" t="str" cm="1">
        <f t="array" ref="DW33">IFERROR(ROUND(IF($D33="","",INDEX('M04-S04'!DF$18:DF$199,2*(ROWS(DW$26:DW33)-1)+1)),4),"")</f>
        <v/>
      </c>
      <c r="DX33" s="150" t="str" cm="1">
        <f t="array" ref="DX33">IFERROR(ROUND(IF($D33="","",INDEX('M04-S04'!DG$18:DG$199,2*(ROWS(DX$26:DX33)-1)+1)),4),"")</f>
        <v/>
      </c>
      <c r="DY33" s="150" t="str" cm="1">
        <f t="array" ref="DY33">IFERROR(ROUND(IF($D33="","",INDEX('M04-S04'!DH$18:DH$199,2*(ROWS(DY$26:DY33)-1)+1)),4),"")</f>
        <v/>
      </c>
      <c r="DZ33" s="150" t="str" cm="1">
        <f t="array" ref="DZ33">IFERROR(ROUND(IF($D33="","",INDEX('M04-S04'!DI$18:DI$199,2*(ROWS(DZ$26:DZ33)-1)+1)),4),"")</f>
        <v/>
      </c>
      <c r="EA33" s="150" t="str" cm="1">
        <f t="array" ref="EA33">IFERROR(ROUND(IF($D33="","",INDEX('M04-S04'!DJ$18:DJ$199,2*(ROWS(EA$26:EA33)-1)+1)),4),"")</f>
        <v/>
      </c>
      <c r="EB33" s="150" t="str" cm="1">
        <f t="array" ref="EB33">IFERROR(ROUND(IF($D33="","",INDEX('M04-S04'!DK$18:DK$199,2*(ROWS(EB$26:EB33)-1)+1)),6),"")</f>
        <v/>
      </c>
      <c r="EC33" s="150" t="str" cm="1">
        <f t="array" ref="EC33">IFERROR(ROUND(IF($D33="","",INDEX('M04-S04'!DL$18:DL$199,2*(ROWS(EC$26:EC33)-1)+1)),6),"")</f>
        <v/>
      </c>
      <c r="ED33" s="150" t="str" cm="1">
        <f t="array" ref="ED33">IFERROR(ROUND(IF($D33="","",INDEX('M04-S04'!DM$18:DM$199,2*(ROWS(ED$26:ED33)-1)+1)),6),"")</f>
        <v/>
      </c>
      <c r="EE33" s="150" t="str" cm="1">
        <f t="array" ref="EE33">IFERROR(ROUND(IF($D33="","",INDEX('M04-S04'!DN$18:DN$199,2*(ROWS(EE$26:EE33)-1)+1)),6),"")</f>
        <v/>
      </c>
      <c r="EF33" s="150" t="str" cm="1">
        <f t="array" ref="EF33">IFERROR(ROUND(IF($D33="","",INDEX('M04-S04'!DO$18:DO$199,2*(ROWS(EF$26:EF33)-1)+1)),6),"")</f>
        <v/>
      </c>
      <c r="EG33" s="150" t="str" cm="1">
        <f t="array" ref="EG33">IFERROR(ROUND(IF($D33="","",INDEX('M04-S04'!DP$18:DP$199,2*(ROWS(EG$26:EG33)-1)+1)),6),"")</f>
        <v/>
      </c>
      <c r="EH33" s="150" t="str" cm="1">
        <f t="array" ref="EH33">IFERROR(ROUND(IF($D33="","",INDEX('M04-S04'!DQ$18:DQ$199,2*(ROWS(EH$26:EH33)-1)+1)),6),"")</f>
        <v/>
      </c>
      <c r="EI33" s="150" t="str" cm="1">
        <f t="array" ref="EI33">IFERROR(ROUND(IF($D33="","",INDEX('M04-S04'!DR$18:DR$199,2*(ROWS(EI$26:EI33)-1)+1)),6),"")</f>
        <v/>
      </c>
      <c r="EJ33" s="150" t="str" cm="1">
        <f t="array" ref="EJ33">IFERROR(ROUND(IF($D33="","",INDEX('M04-S04'!DS$18:DS$199,2*(ROWS(EJ$26:EJ33)-1)+1)),6),"")</f>
        <v/>
      </c>
      <c r="EK33" s="150" t="str" cm="1">
        <f t="array" ref="EK33">IFERROR(ROUND(IF($D33="","",INDEX('M04-S04'!DT$18:DT$199,2*(ROWS(EK$26:EK33)-1)+1)),6),"")</f>
        <v/>
      </c>
      <c r="EL33" s="150" t="str" cm="1">
        <f t="array" ref="EL33">IFERROR(ROUND(IF($D33="","",INDEX('M04-S04'!DU$18:DU$199,2*(ROWS(EL$26:EL33)-1)+1)),6),"")</f>
        <v/>
      </c>
      <c r="EM33" s="150" t="str" cm="1">
        <f t="array" ref="EM33">IFERROR(ROUND(IF($D33="","",INDEX('M04-S04'!DV$18:DV$199,2*(ROWS(EM$26:EM33)-1)+1)),6),"")</f>
        <v/>
      </c>
      <c r="EN33" s="150" t="str" cm="1">
        <f t="array" ref="EN33">IFERROR(ROUND(IF($D33="","",INDEX('M04-S04'!DW$18:DW$199,2*(ROWS(EN$26:EN33)-1)+1)),6),"")</f>
        <v/>
      </c>
      <c r="EO33" s="150" t="str" cm="1">
        <f t="array" ref="EO33">IFERROR(ROUND(IF($D33="","",INDEX('M04-S04'!DX$18:DX$199,2*(ROWS(EO$26:EO33)-1)+1)),6),"")</f>
        <v/>
      </c>
      <c r="EP33" s="150" t="str" cm="1">
        <f t="array" ref="EP33">IFERROR(ROUND(IF($D33="","",INDEX('M04-S04'!DY$18:DY$199,2*(ROWS(EP$26:EP33)-1)+1)),6),"")</f>
        <v/>
      </c>
      <c r="EQ33" s="150" t="str" cm="1">
        <f t="array" ref="EQ33">IFERROR(ROUND(IF($D33="","",INDEX('M04-S04'!DZ$18:DZ$199,2*(ROWS(EQ$26:EQ33)-1)+1)),6),"")</f>
        <v/>
      </c>
      <c r="ER33" s="150" t="str">
        <f t="shared" si="21"/>
        <v/>
      </c>
      <c r="ES33" s="150" t="str">
        <f t="shared" si="37"/>
        <v/>
      </c>
      <c r="ET33" s="150" t="str">
        <f t="shared" si="38"/>
        <v/>
      </c>
      <c r="EU33" s="150" t="str">
        <f t="shared" si="39"/>
        <v/>
      </c>
      <c r="EV33" s="150" t="str">
        <f t="shared" si="40"/>
        <v/>
      </c>
      <c r="EW33" s="150" t="str">
        <f t="shared" si="41"/>
        <v/>
      </c>
      <c r="EX33" s="150" t="str">
        <f t="shared" si="42"/>
        <v/>
      </c>
      <c r="EY33" s="150" t="str">
        <f t="shared" si="22"/>
        <v/>
      </c>
      <c r="EZ33" s="150" t="str" cm="1">
        <f t="array" ref="EZ33">IFERROR(ROUND(IF($D33="","",INDEX('M04-S04'!EA$18:EA$199,2*(ROWS(EZ$26:EZ33)-1)+1)),6),"")</f>
        <v/>
      </c>
      <c r="FA33" s="150" t="str" cm="1">
        <f t="array" ref="FA33">IFERROR(ROUND(IF($D33="","",INDEX('M04-S04'!EB$18:EB$199,2*(ROWS(FA$26:FA33)-1)+1)),6),"")</f>
        <v/>
      </c>
      <c r="FB33" s="150" t="str" cm="1">
        <f t="array" ref="FB33">IFERROR(ROUND(IF($D33="","",INDEX('M04-S04'!EC$18:EC$199,2*(ROWS(FB$26:FB33)-1)+1)),6),"")</f>
        <v/>
      </c>
      <c r="FC33" s="150" t="str" cm="1">
        <f t="array" ref="FC33">IFERROR(ROUND(IF($D33="","",INDEX('M04-S04'!ED$18:ED$199,2*(ROWS(FC$26:FC33)-1)+1)),6),"")</f>
        <v/>
      </c>
      <c r="FD33" s="150" t="str" cm="1">
        <f t="array" ref="FD33">IFERROR(ROUND(IF($D33="","",INDEX('M04-S04'!EE$18:EE$199,2*(ROWS(FD$26:FD33)-1)+1)),6),"")</f>
        <v/>
      </c>
      <c r="FE33" s="150" t="str" cm="1">
        <f t="array" ref="FE33">IFERROR(ROUND(IF($D33="","",INDEX('M04-S04'!EF$18:EF$199,2*(ROWS(FE$26:FE33)-1)+1)),6),"")</f>
        <v/>
      </c>
      <c r="FF33" s="150" t="str" cm="1">
        <f t="array" ref="FF33">IFERROR(ROUND(IF($D33="","",INDEX('M04-S04'!EG$18:EG$199,2*(ROWS(FF$26:FF33)-1)+1)),6),"")</f>
        <v/>
      </c>
      <c r="FG33" s="150" t="str" cm="1">
        <f t="array" ref="FG33">IFERROR(ROUND(IF($D33="","",INDEX('M04-S04'!EH$18:EH$199,2*(ROWS(FG$26:FG33)-1)+1)),6),"")</f>
        <v/>
      </c>
      <c r="FH33" s="150" t="str" cm="1">
        <f t="array" ref="FH33">IFERROR(ROUND(IF($D33="","",INDEX('M04-S04'!EI$18:EI$199,2*(ROWS(FH$26:FH33)-1)+1)),6),"")</f>
        <v/>
      </c>
      <c r="FI33" s="150" t="str" cm="1">
        <f t="array" ref="FI33">IFERROR(ROUND(IF($D33="","",INDEX('M04-S04'!EJ$18:EJ$199,2*(ROWS(FI$26:FI33)-1)+1)),6),"")</f>
        <v/>
      </c>
      <c r="FJ33" s="150" t="str" cm="1">
        <f t="array" ref="FJ33">IFERROR(ROUND(IF($D33="","",INDEX('M04-S04'!EK$18:EK$199,2*(ROWS(FJ$26:FJ33)-1)+1)),6),"")</f>
        <v/>
      </c>
      <c r="FK33" s="150" t="str" cm="1">
        <f t="array" ref="FK33">IFERROR(ROUND(IF($D33="","",INDEX('M04-S04'!EL$18:EL$199,2*(ROWS(FK$26:FK33)-1)+1)),6),"")</f>
        <v/>
      </c>
      <c r="FL33" s="150" t="str" cm="1">
        <f t="array" ref="FL33">IFERROR(ROUND(IF($D33="","",INDEX('M04-S04'!EM$18:EM$199,2*(ROWS(FL$26:FL33)-1)+1)),6),"")</f>
        <v/>
      </c>
      <c r="FM33" s="150" t="str" cm="1">
        <f t="array" ref="FM33">IFERROR(ROUND(IF($D33="","",INDEX('M04-S04'!EN$18:EN$199,2*(ROWS(FM$26:FM33)-1)+1)),6),"")</f>
        <v/>
      </c>
    </row>
    <row r="34" spans="1:169">
      <c r="A34" t="str">
        <f t="shared" si="47"/>
        <v/>
      </c>
      <c r="B34" t="str">
        <f t="shared" si="48"/>
        <v/>
      </c>
      <c r="C34" t="str" cm="1">
        <f t="array" ref="C34">IFERROR(IF(D34="","",INDEX('M04-S04'!$B$18:$B$199,2*(ROWS(C$26:C34)-1)+1)),"")</f>
        <v/>
      </c>
      <c r="D34" t="str">
        <f t="shared" si="49"/>
        <v/>
      </c>
      <c r="E34" t="str" cm="1">
        <f t="array" ref="E34">IFERROR(IF(INDEX('M04-S04'!$CC$18:$CC$199,2*(ROWS(E$26:E34)-1)+1)="","",INDEX('M04-S04'!$CC$18:$CC$199,2*(ROWS(E$26:E34)-1)+1)),"")</f>
        <v/>
      </c>
      <c r="G34" t="str">
        <f t="shared" si="50"/>
        <v/>
      </c>
      <c r="H34" t="str">
        <f t="shared" si="51"/>
        <v/>
      </c>
      <c r="L34" t="str">
        <f t="shared" si="52"/>
        <v/>
      </c>
      <c r="O34" t="str">
        <f t="shared" si="53"/>
        <v/>
      </c>
      <c r="V34" t="str" cm="1">
        <f t="array" ref="V34">IFERROR(IF(D34="","",INDEX('M04-S04'!$AY$18:$AY$199,2*(ROWS(V$26:V34)-1)+1)),"")</f>
        <v/>
      </c>
      <c r="W34" t="str" cm="1">
        <f t="array" ref="W34">IFERROR(IF(D34="","",INDEX('M04-S04'!$AV$18:$AV$199,2*(ROWS(W$26:W34)-1)+1)),"")</f>
        <v/>
      </c>
      <c r="X34" t="str" cm="1">
        <f t="array" ref="X34">IFERROR(IF(D34="","",INDEX('M04-S04'!$AV$18:$AV$199,2*(ROWS(X$26:X34)-0)+0)),"")</f>
        <v/>
      </c>
      <c r="AG34" s="98" t="str" cm="1">
        <f t="array" ref="AG34">IFERROR(IF(D34="","",IF(INDEX('M04-S04'!$CB$18:$CB$199,2*(ROWS(AG$26:AG34)*1)+1)="","",INDEX('M04-S04'!$CB$18:$CB$199,2*(ROWS(AG$26:AG34)-1)+1))),"")</f>
        <v/>
      </c>
      <c r="AH34" s="98" t="str" cm="1">
        <f t="array" ref="AH34">IFERROR(IF(D34="","",IF(INDEX('M04-S04'!$CU$18:$CU$199,2*(ROWS(AH$26:AH34)-1)+1)="","",INDEX('M04-S04'!$CU$18:$CU$199,2*(ROWS(AH$26:AH34)-1)+1))),"")</f>
        <v/>
      </c>
      <c r="AI34" s="20" t="str" cm="1">
        <f t="array" ref="AI34">IFERROR(IF(D34="","",IF(INDEX('M04-S04'!$CM$18:$CM$199,2*(ROWS(AI$26:AI34)-1)+1)="",0,INDEX('M04-S04'!$CM$18:$CM$199,2*(ROWS(AI$26:AI34)-1)+1))),"")</f>
        <v/>
      </c>
      <c r="AJ34" s="20" t="str">
        <f t="shared" si="1"/>
        <v/>
      </c>
      <c r="AK34" s="487" t="str" cm="1">
        <f t="array" ref="AK34">IFERROR(IF(D34="","",IF(INDEX('M04-S04'!$CN$18:$CN$199,2*(ROWS(AK$26:AK34)-1)+1)="",0,INDEX('M04-S04'!$CN$18:$CN$199,2*(ROWS(AK$26:AK34)-1)+1))),"")</f>
        <v/>
      </c>
      <c r="AL34" s="20" t="str">
        <f t="shared" si="54"/>
        <v/>
      </c>
      <c r="AM34" s="20" t="str">
        <f t="shared" si="44"/>
        <v/>
      </c>
      <c r="AN34" s="20" t="str" cm="1">
        <f t="array" ref="AN34">IFERROR(IF(D34="","",IF(INDEX('M04-S04'!$CO$18:$CO$199,2*(ROWS(AN$26:AN34)-1)+1)="",0,INDEX('M04-S04'!$CO$18:$CO$199,2*(ROWS(AN$26:AN34)-1)+1))),"")</f>
        <v/>
      </c>
      <c r="AO34" s="20" t="str" cm="1">
        <f t="array" ref="AO34">IFERROR(IF(D34="","",INDEX('M04-S04'!$R$18:$R$199,2*(ROWS(AO$26:AO34)-1)+1)),"")</f>
        <v/>
      </c>
      <c r="AP34" s="20" t="str" cm="1">
        <f t="array" ref="AP34">IFERROR(IF(D34="","",INDEX('M04-S04'!$AJ$18:$AJ$199,2*(ROWS(AP$26:AP34)-1)+1)),"")</f>
        <v/>
      </c>
      <c r="AQ34" s="487" t="str" cm="1">
        <f t="array" ref="AQ34">IFERROR(IF(D34="","",INDEX('M04-S04'!$U$18:$U$199,2*(ROWS(AQ$26:AQ34)-1)+1)),"")</f>
        <v/>
      </c>
      <c r="AR34" s="487" t="str" cm="1">
        <f t="array" ref="AR34">IFERROR(IF(D34="","",INDEX('M04-S04'!$AM$18:$AM$199,2*(ROWS(AR$26:AR34)-1)+1)),"")</f>
        <v/>
      </c>
      <c r="AS34" s="20" t="str" cm="1">
        <f t="array" ref="AS34">IFERROR(IF(D34="","",INDEX('M04-S04'!$X$18:$X$199,2*(ROWS(AS$26:AS34)-1)+1)),"")</f>
        <v/>
      </c>
      <c r="AT34" s="20" t="str" cm="1">
        <f t="array" ref="AT34">IFERROR(IF(D34="","",INDEX('M04-S04'!$AP$18:$AP$199,2*(ROWS(AT$26:AT34)-1)+1)),"")</f>
        <v/>
      </c>
      <c r="BP34" t="str" cm="1">
        <f t="array" ref="BP34">IFERROR(IF(D34="","",INDEX('M04-S04'!$CS$18:$CS$199,2*(ROWS(BP$26:BP34)-1)+1)),"")</f>
        <v/>
      </c>
      <c r="BR34" t="str" cm="1">
        <f t="array" ref="BR34">IFERROR(IF(D34="","",LEFT(INDEX('M04-S04'!$C$18:$C$199,2*(ROWS(BR$26:BR34)-1)+1),150)),"")</f>
        <v/>
      </c>
      <c r="BS34" t="str" cm="1">
        <f t="array" ref="BS34">IFERROR(IF(D34="","",INDEX('M04-S04'!$CT$18:$CT$199,2*(ROWS(BS$26:BS34)-1)+1)),"")</f>
        <v/>
      </c>
      <c r="BT34" s="6" t="str" cm="1">
        <f t="array" ref="BT34">IFERROR(ROUND(IF(D34="","",INDEX('M04-S04'!$BB$18:$BB$199,2*(ROWS(BT$26:BT34)-1)+1)),2),"")</f>
        <v/>
      </c>
      <c r="BU34" s="6" t="str" cm="1">
        <f t="array" ref="BU34">IFERROR(IF(D34="","",INDEX('M04-S04'!$CX$18:$CX$199,2*(ROWS(BU$26:BU34)-1)+1)),"")</f>
        <v/>
      </c>
      <c r="BV34" s="6" t="str" cm="1">
        <f t="array" ref="BV34">IFERROR(IF(D34="","",INDEX('M04-S04'!$CY$18:$CY$199,2*(ROWS(BV$26:BV34)-1)+1)),"")</f>
        <v/>
      </c>
      <c r="BW34" t="str">
        <f t="shared" si="55"/>
        <v/>
      </c>
      <c r="BX34" t="str">
        <f t="shared" si="56"/>
        <v/>
      </c>
      <c r="BY34" s="6" t="str" cm="1">
        <f t="array" ref="BY34">IFERROR(IF(D34="","",INDEX('M04-S04'!$CI$18:$CI$199,2*(ROWS(BY$26:BY34)-1)+1)),"")</f>
        <v/>
      </c>
      <c r="BZ34" s="6" t="str">
        <f t="shared" si="17"/>
        <v/>
      </c>
      <c r="CA34" s="6" t="str">
        <f t="shared" si="18"/>
        <v/>
      </c>
      <c r="CB34" s="6" t="str">
        <f t="shared" si="3"/>
        <v/>
      </c>
      <c r="CC34" s="6" t="str">
        <f t="shared" si="45"/>
        <v/>
      </c>
      <c r="CD34" s="6" t="str">
        <f t="shared" si="46"/>
        <v/>
      </c>
      <c r="CS34" t="str" cm="1">
        <f t="array" ref="CS34">IFERROR(IF(D34="","",INDEX('M04-S04'!$F$18:$F$199,2*(ROWS(CS$26:CS34)-1)+1)),"")</f>
        <v/>
      </c>
      <c r="CT34" t="str" cm="1">
        <f t="array" ref="CT34">IFERROR(IF(D34="","",INDEX('M04-S04'!$L$18:$L$199,2*(ROWS(CT$26:CT34)-1)+1)),"")</f>
        <v/>
      </c>
      <c r="CU34" t="str" cm="1">
        <f t="array" ref="CU34">IFERROR(IF(D34="","",INDEX('M04-S04'!$AD$18:$AD$199,2*(ROWS(CU$26:CU34)-1)+1)),"")</f>
        <v/>
      </c>
      <c r="DE34" s="150"/>
      <c r="DF34" s="150" t="str">
        <f>IFERROR(ROUND(IF(OR(D34="",DE34=""),"",TEMPLATE!$V$12),2),"")</f>
        <v/>
      </c>
      <c r="DG34" s="150"/>
      <c r="DH34" s="150" t="str">
        <f>IFERROR(ROUND(IF(OR(D34="",DG34=""),"",TEMPLATE!$V$12),2),"")</f>
        <v/>
      </c>
      <c r="DI34" s="150"/>
      <c r="DJ34" s="150" t="str">
        <f>IFERROR(ROUND(IF(OR(D34="",DI34=""),"",TEMPLATE!$V$12),2),"")</f>
        <v/>
      </c>
      <c r="DK34" s="150"/>
      <c r="DL34" s="150" t="str">
        <f>IFERROR(ROUND(IF(OR(D34="",DK34=""),"",TEMPLATE!$V$12),2),"")</f>
        <v/>
      </c>
      <c r="DM34" s="150"/>
      <c r="DN34" s="150" t="str">
        <f>IFERROR(ROUND(IF(OR(D34="",DM34=""),"",TEMPLATE!$V$12),2),"")</f>
        <v/>
      </c>
      <c r="DO34" s="150"/>
      <c r="DP34" s="150" t="str">
        <f>IFERROR(ROUND(IF(OR(D34="",DO34=""),"",TEMPLATE!$V$12),2),"")</f>
        <v/>
      </c>
      <c r="DQ34" s="150"/>
      <c r="DR34" s="150" t="str">
        <f>IFERROR(ROUND(IF(OR(D34="",DQ34=""),"",TEMPLATE!$V$12),2),"")</f>
        <v/>
      </c>
      <c r="DS34" s="150"/>
      <c r="DT34" s="150" t="str">
        <f>IFERROR(ROUND(IF(OR(D34="",DS34=""),"",TEMPLATE!$V$12),2),"")</f>
        <v/>
      </c>
      <c r="DU34" s="150" t="str" cm="1">
        <f t="array" ref="DU34">IFERROR(ROUND(IF($D34="","",INDEX('M04-S04'!DD$18:DD$199,2*(ROWS(DU$26:DU34)-1)+1)),4),"")</f>
        <v/>
      </c>
      <c r="DV34" s="150" t="str" cm="1">
        <f t="array" ref="DV34">IFERROR(ROUND(IF($D34="","",INDEX('M04-S04'!DE$18:DE$199,2*(ROWS(DV$26:DV34)-1)+1)),4),"")</f>
        <v/>
      </c>
      <c r="DW34" s="150" t="str" cm="1">
        <f t="array" ref="DW34">IFERROR(ROUND(IF($D34="","",INDEX('M04-S04'!DF$18:DF$199,2*(ROWS(DW$26:DW34)-1)+1)),4),"")</f>
        <v/>
      </c>
      <c r="DX34" s="150" t="str" cm="1">
        <f t="array" ref="DX34">IFERROR(ROUND(IF($D34="","",INDEX('M04-S04'!DG$18:DG$199,2*(ROWS(DX$26:DX34)-1)+1)),4),"")</f>
        <v/>
      </c>
      <c r="DY34" s="150" t="str" cm="1">
        <f t="array" ref="DY34">IFERROR(ROUND(IF($D34="","",INDEX('M04-S04'!DH$18:DH$199,2*(ROWS(DY$26:DY34)-1)+1)),4),"")</f>
        <v/>
      </c>
      <c r="DZ34" s="150" t="str" cm="1">
        <f t="array" ref="DZ34">IFERROR(ROUND(IF($D34="","",INDEX('M04-S04'!DI$18:DI$199,2*(ROWS(DZ$26:DZ34)-1)+1)),4),"")</f>
        <v/>
      </c>
      <c r="EA34" s="150" t="str" cm="1">
        <f t="array" ref="EA34">IFERROR(ROUND(IF($D34="","",INDEX('M04-S04'!DJ$18:DJ$199,2*(ROWS(EA$26:EA34)-1)+1)),4),"")</f>
        <v/>
      </c>
      <c r="EB34" s="150" t="str" cm="1">
        <f t="array" ref="EB34">IFERROR(ROUND(IF($D34="","",INDEX('M04-S04'!DK$18:DK$199,2*(ROWS(EB$26:EB34)-1)+1)),6),"")</f>
        <v/>
      </c>
      <c r="EC34" s="150" t="str" cm="1">
        <f t="array" ref="EC34">IFERROR(ROUND(IF($D34="","",INDEX('M04-S04'!DL$18:DL$199,2*(ROWS(EC$26:EC34)-1)+1)),6),"")</f>
        <v/>
      </c>
      <c r="ED34" s="150" t="str" cm="1">
        <f t="array" ref="ED34">IFERROR(ROUND(IF($D34="","",INDEX('M04-S04'!DM$18:DM$199,2*(ROWS(ED$26:ED34)-1)+1)),6),"")</f>
        <v/>
      </c>
      <c r="EE34" s="150" t="str" cm="1">
        <f t="array" ref="EE34">IFERROR(ROUND(IF($D34="","",INDEX('M04-S04'!DN$18:DN$199,2*(ROWS(EE$26:EE34)-1)+1)),6),"")</f>
        <v/>
      </c>
      <c r="EF34" s="150" t="str" cm="1">
        <f t="array" ref="EF34">IFERROR(ROUND(IF($D34="","",INDEX('M04-S04'!DO$18:DO$199,2*(ROWS(EF$26:EF34)-1)+1)),6),"")</f>
        <v/>
      </c>
      <c r="EG34" s="150" t="str" cm="1">
        <f t="array" ref="EG34">IFERROR(ROUND(IF($D34="","",INDEX('M04-S04'!DP$18:DP$199,2*(ROWS(EG$26:EG34)-1)+1)),6),"")</f>
        <v/>
      </c>
      <c r="EH34" s="150" t="str" cm="1">
        <f t="array" ref="EH34">IFERROR(ROUND(IF($D34="","",INDEX('M04-S04'!DQ$18:DQ$199,2*(ROWS(EH$26:EH34)-1)+1)),6),"")</f>
        <v/>
      </c>
      <c r="EI34" s="150" t="str" cm="1">
        <f t="array" ref="EI34">IFERROR(ROUND(IF($D34="","",INDEX('M04-S04'!DR$18:DR$199,2*(ROWS(EI$26:EI34)-1)+1)),6),"")</f>
        <v/>
      </c>
      <c r="EJ34" s="150" t="str" cm="1">
        <f t="array" ref="EJ34">IFERROR(ROUND(IF($D34="","",INDEX('M04-S04'!DS$18:DS$199,2*(ROWS(EJ$26:EJ34)-1)+1)),6),"")</f>
        <v/>
      </c>
      <c r="EK34" s="150" t="str" cm="1">
        <f t="array" ref="EK34">IFERROR(ROUND(IF($D34="","",INDEX('M04-S04'!DT$18:DT$199,2*(ROWS(EK$26:EK34)-1)+1)),6),"")</f>
        <v/>
      </c>
      <c r="EL34" s="150" t="str" cm="1">
        <f t="array" ref="EL34">IFERROR(ROUND(IF($D34="","",INDEX('M04-S04'!DU$18:DU$199,2*(ROWS(EL$26:EL34)-1)+1)),6),"")</f>
        <v/>
      </c>
      <c r="EM34" s="150" t="str" cm="1">
        <f t="array" ref="EM34">IFERROR(ROUND(IF($D34="","",INDEX('M04-S04'!DV$18:DV$199,2*(ROWS(EM$26:EM34)-1)+1)),6),"")</f>
        <v/>
      </c>
      <c r="EN34" s="150" t="str" cm="1">
        <f t="array" ref="EN34">IFERROR(ROUND(IF($D34="","",INDEX('M04-S04'!DW$18:DW$199,2*(ROWS(EN$26:EN34)-1)+1)),6),"")</f>
        <v/>
      </c>
      <c r="EO34" s="150" t="str" cm="1">
        <f t="array" ref="EO34">IFERROR(ROUND(IF($D34="","",INDEX('M04-S04'!DX$18:DX$199,2*(ROWS(EO$26:EO34)-1)+1)),6),"")</f>
        <v/>
      </c>
      <c r="EP34" s="150" t="str" cm="1">
        <f t="array" ref="EP34">IFERROR(ROUND(IF($D34="","",INDEX('M04-S04'!DY$18:DY$199,2*(ROWS(EP$26:EP34)-1)+1)),6),"")</f>
        <v/>
      </c>
      <c r="EQ34" s="150" t="str" cm="1">
        <f t="array" ref="EQ34">IFERROR(ROUND(IF($D34="","",INDEX('M04-S04'!DZ$18:DZ$199,2*(ROWS(EQ$26:EQ34)-1)+1)),6),"")</f>
        <v/>
      </c>
      <c r="ER34" s="150" t="str">
        <f t="shared" si="21"/>
        <v/>
      </c>
      <c r="ES34" s="150" t="str">
        <f t="shared" si="37"/>
        <v/>
      </c>
      <c r="ET34" s="150" t="str">
        <f t="shared" si="38"/>
        <v/>
      </c>
      <c r="EU34" s="150" t="str">
        <f t="shared" si="39"/>
        <v/>
      </c>
      <c r="EV34" s="150" t="str">
        <f t="shared" si="40"/>
        <v/>
      </c>
      <c r="EW34" s="150" t="str">
        <f t="shared" si="41"/>
        <v/>
      </c>
      <c r="EX34" s="150" t="str">
        <f t="shared" si="42"/>
        <v/>
      </c>
      <c r="EY34" s="150" t="str">
        <f t="shared" si="22"/>
        <v/>
      </c>
      <c r="EZ34" s="150" t="str" cm="1">
        <f t="array" ref="EZ34">IFERROR(ROUND(IF($D34="","",INDEX('M04-S04'!EA$18:EA$199,2*(ROWS(EZ$26:EZ34)-1)+1)),6),"")</f>
        <v/>
      </c>
      <c r="FA34" s="150" t="str" cm="1">
        <f t="array" ref="FA34">IFERROR(ROUND(IF($D34="","",INDEX('M04-S04'!EB$18:EB$199,2*(ROWS(FA$26:FA34)-1)+1)),6),"")</f>
        <v/>
      </c>
      <c r="FB34" s="150" t="str" cm="1">
        <f t="array" ref="FB34">IFERROR(ROUND(IF($D34="","",INDEX('M04-S04'!EC$18:EC$199,2*(ROWS(FB$26:FB34)-1)+1)),6),"")</f>
        <v/>
      </c>
      <c r="FC34" s="150" t="str" cm="1">
        <f t="array" ref="FC34">IFERROR(ROUND(IF($D34="","",INDEX('M04-S04'!ED$18:ED$199,2*(ROWS(FC$26:FC34)-1)+1)),6),"")</f>
        <v/>
      </c>
      <c r="FD34" s="150" t="str" cm="1">
        <f t="array" ref="FD34">IFERROR(ROUND(IF($D34="","",INDEX('M04-S04'!EE$18:EE$199,2*(ROWS(FD$26:FD34)-1)+1)),6),"")</f>
        <v/>
      </c>
      <c r="FE34" s="150" t="str" cm="1">
        <f t="array" ref="FE34">IFERROR(ROUND(IF($D34="","",INDEX('M04-S04'!EF$18:EF$199,2*(ROWS(FE$26:FE34)-1)+1)),6),"")</f>
        <v/>
      </c>
      <c r="FF34" s="150" t="str" cm="1">
        <f t="array" ref="FF34">IFERROR(ROUND(IF($D34="","",INDEX('M04-S04'!EG$18:EG$199,2*(ROWS(FF$26:FF34)-1)+1)),6),"")</f>
        <v/>
      </c>
      <c r="FG34" s="150" t="str" cm="1">
        <f t="array" ref="FG34">IFERROR(ROUND(IF($D34="","",INDEX('M04-S04'!EH$18:EH$199,2*(ROWS(FG$26:FG34)-1)+1)),6),"")</f>
        <v/>
      </c>
      <c r="FH34" s="150" t="str" cm="1">
        <f t="array" ref="FH34">IFERROR(ROUND(IF($D34="","",INDEX('M04-S04'!EI$18:EI$199,2*(ROWS(FH$26:FH34)-1)+1)),6),"")</f>
        <v/>
      </c>
      <c r="FI34" s="150" t="str" cm="1">
        <f t="array" ref="FI34">IFERROR(ROUND(IF($D34="","",INDEX('M04-S04'!EJ$18:EJ$199,2*(ROWS(FI$26:FI34)-1)+1)),6),"")</f>
        <v/>
      </c>
      <c r="FJ34" s="150" t="str" cm="1">
        <f t="array" ref="FJ34">IFERROR(ROUND(IF($D34="","",INDEX('M04-S04'!EK$18:EK$199,2*(ROWS(FJ$26:FJ34)-1)+1)),6),"")</f>
        <v/>
      </c>
      <c r="FK34" s="150" t="str" cm="1">
        <f t="array" ref="FK34">IFERROR(ROUND(IF($D34="","",INDEX('M04-S04'!EL$18:EL$199,2*(ROWS(FK$26:FK34)-1)+1)),6),"")</f>
        <v/>
      </c>
      <c r="FL34" s="150" t="str" cm="1">
        <f t="array" ref="FL34">IFERROR(ROUND(IF($D34="","",INDEX('M04-S04'!EM$18:EM$199,2*(ROWS(FL$26:FL34)-1)+1)),6),"")</f>
        <v/>
      </c>
      <c r="FM34" s="150" t="str" cm="1">
        <f t="array" ref="FM34">IFERROR(ROUND(IF($D34="","",INDEX('M04-S04'!EN$18:EN$199,2*(ROWS(FM$26:FM34)-1)+1)),6),"")</f>
        <v/>
      </c>
    </row>
    <row r="35" spans="1:169">
      <c r="A35" t="str">
        <f t="shared" si="47"/>
        <v/>
      </c>
      <c r="B35" t="str">
        <f t="shared" si="48"/>
        <v/>
      </c>
      <c r="C35" t="str" cm="1">
        <f t="array" ref="C35">IFERROR(IF(D35="","",INDEX('M04-S04'!$B$18:$B$199,2*(ROWS(C$26:C35)-1)+1)),"")</f>
        <v/>
      </c>
      <c r="D35" t="str">
        <f t="shared" si="49"/>
        <v/>
      </c>
      <c r="E35" t="str" cm="1">
        <f t="array" ref="E35">IFERROR(IF(INDEX('M04-S04'!$CC$18:$CC$199,2*(ROWS(E$26:E35)-1)+1)="","",INDEX('M04-S04'!$CC$18:$CC$199,2*(ROWS(E$26:E35)-1)+1)),"")</f>
        <v/>
      </c>
      <c r="G35" t="str">
        <f t="shared" si="50"/>
        <v/>
      </c>
      <c r="H35" t="str">
        <f t="shared" si="51"/>
        <v/>
      </c>
      <c r="L35" t="str">
        <f t="shared" si="52"/>
        <v/>
      </c>
      <c r="O35" t="str">
        <f t="shared" si="53"/>
        <v/>
      </c>
      <c r="V35" t="str" cm="1">
        <f t="array" ref="V35">IFERROR(IF(D35="","",INDEX('M04-S04'!$AY$18:$AY$199,2*(ROWS(V$26:V35)-1)+1)),"")</f>
        <v/>
      </c>
      <c r="W35" t="str" cm="1">
        <f t="array" ref="W35">IFERROR(IF(D35="","",INDEX('M04-S04'!$AV$18:$AV$199,2*(ROWS(W$26:W35)-1)+1)),"")</f>
        <v/>
      </c>
      <c r="X35" t="str" cm="1">
        <f t="array" ref="X35">IFERROR(IF(D35="","",INDEX('M04-S04'!$AV$18:$AV$199,2*(ROWS(X$26:X35)-0)+0)),"")</f>
        <v/>
      </c>
      <c r="AG35" s="98" t="str" cm="1">
        <f t="array" ref="AG35">IFERROR(IF(D35="","",IF(INDEX('M04-S04'!$CB$18:$CB$199,2*(ROWS(AG$26:AG35)*1)+1)="","",INDEX('M04-S04'!$CB$18:$CB$199,2*(ROWS(AG$26:AG35)-1)+1))),"")</f>
        <v/>
      </c>
      <c r="AH35" s="98" t="str" cm="1">
        <f t="array" ref="AH35">IFERROR(IF(D35="","",IF(INDEX('M04-S04'!$CU$18:$CU$199,2*(ROWS(AH$26:AH35)-1)+1)="","",INDEX('M04-S04'!$CU$18:$CU$199,2*(ROWS(AH$26:AH35)-1)+1))),"")</f>
        <v/>
      </c>
      <c r="AI35" s="20" t="str" cm="1">
        <f t="array" ref="AI35">IFERROR(IF(D35="","",IF(INDEX('M04-S04'!$CM$18:$CM$199,2*(ROWS(AI$26:AI35)-1)+1)="",0,INDEX('M04-S04'!$CM$18:$CM$199,2*(ROWS(AI$26:AI35)-1)+1))),"")</f>
        <v/>
      </c>
      <c r="AJ35" s="20" t="str">
        <f t="shared" si="1"/>
        <v/>
      </c>
      <c r="AK35" s="487" t="str" cm="1">
        <f t="array" ref="AK35">IFERROR(IF(D35="","",IF(INDEX('M04-S04'!$CN$18:$CN$199,2*(ROWS(AK$26:AK35)-1)+1)="",0,INDEX('M04-S04'!$CN$18:$CN$199,2*(ROWS(AK$26:AK35)-1)+1))),"")</f>
        <v/>
      </c>
      <c r="AL35" s="20" t="str">
        <f t="shared" si="54"/>
        <v/>
      </c>
      <c r="AM35" s="20" t="str">
        <f t="shared" si="44"/>
        <v/>
      </c>
      <c r="AN35" s="20" t="str" cm="1">
        <f t="array" ref="AN35">IFERROR(IF(D35="","",IF(INDEX('M04-S04'!$CO$18:$CO$199,2*(ROWS(AN$26:AN35)-1)+1)="",0,INDEX('M04-S04'!$CO$18:$CO$199,2*(ROWS(AN$26:AN35)-1)+1))),"")</f>
        <v/>
      </c>
      <c r="AO35" s="20" t="str" cm="1">
        <f t="array" ref="AO35">IFERROR(IF(D35="","",INDEX('M04-S04'!$R$18:$R$199,2*(ROWS(AO$26:AO35)-1)+1)),"")</f>
        <v/>
      </c>
      <c r="AP35" s="20" t="str" cm="1">
        <f t="array" ref="AP35">IFERROR(IF(D35="","",INDEX('M04-S04'!$AJ$18:$AJ$199,2*(ROWS(AP$26:AP35)-1)+1)),"")</f>
        <v/>
      </c>
      <c r="AQ35" s="487" t="str" cm="1">
        <f t="array" ref="AQ35">IFERROR(IF(D35="","",INDEX('M04-S04'!$U$18:$U$199,2*(ROWS(AQ$26:AQ35)-1)+1)),"")</f>
        <v/>
      </c>
      <c r="AR35" s="487" t="str" cm="1">
        <f t="array" ref="AR35">IFERROR(IF(D35="","",INDEX('M04-S04'!$AM$18:$AM$199,2*(ROWS(AR$26:AR35)-1)+1)),"")</f>
        <v/>
      </c>
      <c r="AS35" s="20" t="str" cm="1">
        <f t="array" ref="AS35">IFERROR(IF(D35="","",INDEX('M04-S04'!$X$18:$X$199,2*(ROWS(AS$26:AS35)-1)+1)),"")</f>
        <v/>
      </c>
      <c r="AT35" s="20" t="str" cm="1">
        <f t="array" ref="AT35">IFERROR(IF(D35="","",INDEX('M04-S04'!$AP$18:$AP$199,2*(ROWS(AT$26:AT35)-1)+1)),"")</f>
        <v/>
      </c>
      <c r="BP35" t="str" cm="1">
        <f t="array" ref="BP35">IFERROR(IF(D35="","",INDEX('M04-S04'!$CS$18:$CS$199,2*(ROWS(BP$26:BP35)-1)+1)),"")</f>
        <v/>
      </c>
      <c r="BR35" t="str" cm="1">
        <f t="array" ref="BR35">IFERROR(IF(D35="","",LEFT(INDEX('M04-S04'!$C$18:$C$199,2*(ROWS(BR$26:BR35)-1)+1),150)),"")</f>
        <v/>
      </c>
      <c r="BS35" t="str" cm="1">
        <f t="array" ref="BS35">IFERROR(IF(D35="","",INDEX('M04-S04'!$CT$18:$CT$199,2*(ROWS(BS$26:BS35)-1)+1)),"")</f>
        <v/>
      </c>
      <c r="BT35" s="6" t="str" cm="1">
        <f t="array" ref="BT35">IFERROR(ROUND(IF(D35="","",INDEX('M04-S04'!$BB$18:$BB$199,2*(ROWS(BT$26:BT35)-1)+1)),2),"")</f>
        <v/>
      </c>
      <c r="BU35" s="6" t="str" cm="1">
        <f t="array" ref="BU35">IFERROR(IF(D35="","",INDEX('M04-S04'!$CX$18:$CX$199,2*(ROWS(BU$26:BU35)-1)+1)),"")</f>
        <v/>
      </c>
      <c r="BV35" s="6" t="str" cm="1">
        <f t="array" ref="BV35">IFERROR(IF(D35="","",INDEX('M04-S04'!$CY$18:$CY$199,2*(ROWS(BV$26:BV35)-1)+1)),"")</f>
        <v/>
      </c>
      <c r="BW35" t="str">
        <f t="shared" si="55"/>
        <v/>
      </c>
      <c r="BX35" t="str">
        <f t="shared" si="56"/>
        <v/>
      </c>
      <c r="BY35" s="6" t="str" cm="1">
        <f t="array" ref="BY35">IFERROR(IF(D35="","",INDEX('M04-S04'!$CI$18:$CI$199,2*(ROWS(BY$26:BY35)-1)+1)),"")</f>
        <v/>
      </c>
      <c r="BZ35" s="6" t="str">
        <f t="shared" si="17"/>
        <v/>
      </c>
      <c r="CA35" s="6" t="str">
        <f t="shared" si="18"/>
        <v/>
      </c>
      <c r="CB35" s="6" t="str">
        <f t="shared" si="3"/>
        <v/>
      </c>
      <c r="CC35" s="6" t="str">
        <f t="shared" si="45"/>
        <v/>
      </c>
      <c r="CD35" s="6" t="str">
        <f t="shared" si="46"/>
        <v/>
      </c>
      <c r="CS35" t="str" cm="1">
        <f t="array" ref="CS35">IFERROR(IF(D35="","",INDEX('M04-S04'!$F$18:$F$199,2*(ROWS(CS$26:CS35)-1)+1)),"")</f>
        <v/>
      </c>
      <c r="CT35" t="str" cm="1">
        <f t="array" ref="CT35">IFERROR(IF(D35="","",INDEX('M04-S04'!$L$18:$L$199,2*(ROWS(CT$26:CT35)-1)+1)),"")</f>
        <v/>
      </c>
      <c r="CU35" t="str" cm="1">
        <f t="array" ref="CU35">IFERROR(IF(D35="","",INDEX('M04-S04'!$AD$18:$AD$199,2*(ROWS(CU$26:CU35)-1)+1)),"")</f>
        <v/>
      </c>
      <c r="DE35" s="150"/>
      <c r="DF35" s="150" t="str">
        <f>IFERROR(ROUND(IF(OR(D35="",DE35=""),"",TEMPLATE!$V$12),2),"")</f>
        <v/>
      </c>
      <c r="DG35" s="150"/>
      <c r="DH35" s="150" t="str">
        <f>IFERROR(ROUND(IF(OR(D35="",DG35=""),"",TEMPLATE!$V$12),2),"")</f>
        <v/>
      </c>
      <c r="DI35" s="150"/>
      <c r="DJ35" s="150" t="str">
        <f>IFERROR(ROUND(IF(OR(D35="",DI35=""),"",TEMPLATE!$V$12),2),"")</f>
        <v/>
      </c>
      <c r="DK35" s="150"/>
      <c r="DL35" s="150" t="str">
        <f>IFERROR(ROUND(IF(OR(D35="",DK35=""),"",TEMPLATE!$V$12),2),"")</f>
        <v/>
      </c>
      <c r="DM35" s="150"/>
      <c r="DN35" s="150" t="str">
        <f>IFERROR(ROUND(IF(OR(D35="",DM35=""),"",TEMPLATE!$V$12),2),"")</f>
        <v/>
      </c>
      <c r="DO35" s="150"/>
      <c r="DP35" s="150" t="str">
        <f>IFERROR(ROUND(IF(OR(D35="",DO35=""),"",TEMPLATE!$V$12),2),"")</f>
        <v/>
      </c>
      <c r="DQ35" s="150"/>
      <c r="DR35" s="150" t="str">
        <f>IFERROR(ROUND(IF(OR(D35="",DQ35=""),"",TEMPLATE!$V$12),2),"")</f>
        <v/>
      </c>
      <c r="DS35" s="150"/>
      <c r="DT35" s="150" t="str">
        <f>IFERROR(ROUND(IF(OR(D35="",DS35=""),"",TEMPLATE!$V$12),2),"")</f>
        <v/>
      </c>
      <c r="DU35" s="150" t="str" cm="1">
        <f t="array" ref="DU35">IFERROR(ROUND(IF($D35="","",INDEX('M04-S04'!DD$18:DD$199,2*(ROWS(DU$26:DU35)-1)+1)),4),"")</f>
        <v/>
      </c>
      <c r="DV35" s="150" t="str" cm="1">
        <f t="array" ref="DV35">IFERROR(ROUND(IF($D35="","",INDEX('M04-S04'!DE$18:DE$199,2*(ROWS(DV$26:DV35)-1)+1)),4),"")</f>
        <v/>
      </c>
      <c r="DW35" s="150" t="str" cm="1">
        <f t="array" ref="DW35">IFERROR(ROUND(IF($D35="","",INDEX('M04-S04'!DF$18:DF$199,2*(ROWS(DW$26:DW35)-1)+1)),4),"")</f>
        <v/>
      </c>
      <c r="DX35" s="150" t="str" cm="1">
        <f t="array" ref="DX35">IFERROR(ROUND(IF($D35="","",INDEX('M04-S04'!DG$18:DG$199,2*(ROWS(DX$26:DX35)-1)+1)),4),"")</f>
        <v/>
      </c>
      <c r="DY35" s="150" t="str" cm="1">
        <f t="array" ref="DY35">IFERROR(ROUND(IF($D35="","",INDEX('M04-S04'!DH$18:DH$199,2*(ROWS(DY$26:DY35)-1)+1)),4),"")</f>
        <v/>
      </c>
      <c r="DZ35" s="150" t="str" cm="1">
        <f t="array" ref="DZ35">IFERROR(ROUND(IF($D35="","",INDEX('M04-S04'!DI$18:DI$199,2*(ROWS(DZ$26:DZ35)-1)+1)),4),"")</f>
        <v/>
      </c>
      <c r="EA35" s="150" t="str" cm="1">
        <f t="array" ref="EA35">IFERROR(ROUND(IF($D35="","",INDEX('M04-S04'!DJ$18:DJ$199,2*(ROWS(EA$26:EA35)-1)+1)),4),"")</f>
        <v/>
      </c>
      <c r="EB35" s="150" t="str" cm="1">
        <f t="array" ref="EB35">IFERROR(ROUND(IF($D35="","",INDEX('M04-S04'!DK$18:DK$199,2*(ROWS(EB$26:EB35)-1)+1)),6),"")</f>
        <v/>
      </c>
      <c r="EC35" s="150" t="str" cm="1">
        <f t="array" ref="EC35">IFERROR(ROUND(IF($D35="","",INDEX('M04-S04'!DL$18:DL$199,2*(ROWS(EC$26:EC35)-1)+1)),6),"")</f>
        <v/>
      </c>
      <c r="ED35" s="150" t="str" cm="1">
        <f t="array" ref="ED35">IFERROR(ROUND(IF($D35="","",INDEX('M04-S04'!DM$18:DM$199,2*(ROWS(ED$26:ED35)-1)+1)),6),"")</f>
        <v/>
      </c>
      <c r="EE35" s="150" t="str" cm="1">
        <f t="array" ref="EE35">IFERROR(ROUND(IF($D35="","",INDEX('M04-S04'!DN$18:DN$199,2*(ROWS(EE$26:EE35)-1)+1)),6),"")</f>
        <v/>
      </c>
      <c r="EF35" s="150" t="str" cm="1">
        <f t="array" ref="EF35">IFERROR(ROUND(IF($D35="","",INDEX('M04-S04'!DO$18:DO$199,2*(ROWS(EF$26:EF35)-1)+1)),6),"")</f>
        <v/>
      </c>
      <c r="EG35" s="150" t="str" cm="1">
        <f t="array" ref="EG35">IFERROR(ROUND(IF($D35="","",INDEX('M04-S04'!DP$18:DP$199,2*(ROWS(EG$26:EG35)-1)+1)),6),"")</f>
        <v/>
      </c>
      <c r="EH35" s="150" t="str" cm="1">
        <f t="array" ref="EH35">IFERROR(ROUND(IF($D35="","",INDEX('M04-S04'!DQ$18:DQ$199,2*(ROWS(EH$26:EH35)-1)+1)),6),"")</f>
        <v/>
      </c>
      <c r="EI35" s="150" t="str" cm="1">
        <f t="array" ref="EI35">IFERROR(ROUND(IF($D35="","",INDEX('M04-S04'!DR$18:DR$199,2*(ROWS(EI$26:EI35)-1)+1)),6),"")</f>
        <v/>
      </c>
      <c r="EJ35" s="150" t="str" cm="1">
        <f t="array" ref="EJ35">IFERROR(ROUND(IF($D35="","",INDEX('M04-S04'!DS$18:DS$199,2*(ROWS(EJ$26:EJ35)-1)+1)),6),"")</f>
        <v/>
      </c>
      <c r="EK35" s="150" t="str" cm="1">
        <f t="array" ref="EK35">IFERROR(ROUND(IF($D35="","",INDEX('M04-S04'!DT$18:DT$199,2*(ROWS(EK$26:EK35)-1)+1)),6),"")</f>
        <v/>
      </c>
      <c r="EL35" s="150" t="str" cm="1">
        <f t="array" ref="EL35">IFERROR(ROUND(IF($D35="","",INDEX('M04-S04'!DU$18:DU$199,2*(ROWS(EL$26:EL35)-1)+1)),6),"")</f>
        <v/>
      </c>
      <c r="EM35" s="150" t="str" cm="1">
        <f t="array" ref="EM35">IFERROR(ROUND(IF($D35="","",INDEX('M04-S04'!DV$18:DV$199,2*(ROWS(EM$26:EM35)-1)+1)),6),"")</f>
        <v/>
      </c>
      <c r="EN35" s="150" t="str" cm="1">
        <f t="array" ref="EN35">IFERROR(ROUND(IF($D35="","",INDEX('M04-S04'!DW$18:DW$199,2*(ROWS(EN$26:EN35)-1)+1)),6),"")</f>
        <v/>
      </c>
      <c r="EO35" s="150" t="str" cm="1">
        <f t="array" ref="EO35">IFERROR(ROUND(IF($D35="","",INDEX('M04-S04'!DX$18:DX$199,2*(ROWS(EO$26:EO35)-1)+1)),6),"")</f>
        <v/>
      </c>
      <c r="EP35" s="150" t="str" cm="1">
        <f t="array" ref="EP35">IFERROR(ROUND(IF($D35="","",INDEX('M04-S04'!DY$18:DY$199,2*(ROWS(EP$26:EP35)-1)+1)),6),"")</f>
        <v/>
      </c>
      <c r="EQ35" s="150" t="str" cm="1">
        <f t="array" ref="EQ35">IFERROR(ROUND(IF($D35="","",INDEX('M04-S04'!DZ$18:DZ$199,2*(ROWS(EQ$26:EQ35)-1)+1)),6),"")</f>
        <v/>
      </c>
      <c r="ER35" s="150" t="str">
        <f t="shared" si="21"/>
        <v/>
      </c>
      <c r="ES35" s="150" t="str">
        <f t="shared" si="37"/>
        <v/>
      </c>
      <c r="ET35" s="150" t="str">
        <f t="shared" si="38"/>
        <v/>
      </c>
      <c r="EU35" s="150" t="str">
        <f t="shared" si="39"/>
        <v/>
      </c>
      <c r="EV35" s="150" t="str">
        <f t="shared" si="40"/>
        <v/>
      </c>
      <c r="EW35" s="150" t="str">
        <f t="shared" si="41"/>
        <v/>
      </c>
      <c r="EX35" s="150" t="str">
        <f t="shared" si="42"/>
        <v/>
      </c>
      <c r="EY35" s="150" t="str">
        <f t="shared" si="22"/>
        <v/>
      </c>
      <c r="EZ35" s="150" t="str" cm="1">
        <f t="array" ref="EZ35">IFERROR(ROUND(IF($D35="","",INDEX('M04-S04'!EA$18:EA$199,2*(ROWS(EZ$26:EZ35)-1)+1)),6),"")</f>
        <v/>
      </c>
      <c r="FA35" s="150" t="str" cm="1">
        <f t="array" ref="FA35">IFERROR(ROUND(IF($D35="","",INDEX('M04-S04'!EB$18:EB$199,2*(ROWS(FA$26:FA35)-1)+1)),6),"")</f>
        <v/>
      </c>
      <c r="FB35" s="150" t="str" cm="1">
        <f t="array" ref="FB35">IFERROR(ROUND(IF($D35="","",INDEX('M04-S04'!EC$18:EC$199,2*(ROWS(FB$26:FB35)-1)+1)),6),"")</f>
        <v/>
      </c>
      <c r="FC35" s="150" t="str" cm="1">
        <f t="array" ref="FC35">IFERROR(ROUND(IF($D35="","",INDEX('M04-S04'!ED$18:ED$199,2*(ROWS(FC$26:FC35)-1)+1)),6),"")</f>
        <v/>
      </c>
      <c r="FD35" s="150" t="str" cm="1">
        <f t="array" ref="FD35">IFERROR(ROUND(IF($D35="","",INDEX('M04-S04'!EE$18:EE$199,2*(ROWS(FD$26:FD35)-1)+1)),6),"")</f>
        <v/>
      </c>
      <c r="FE35" s="150" t="str" cm="1">
        <f t="array" ref="FE35">IFERROR(ROUND(IF($D35="","",INDEX('M04-S04'!EF$18:EF$199,2*(ROWS(FE$26:FE35)-1)+1)),6),"")</f>
        <v/>
      </c>
      <c r="FF35" s="150" t="str" cm="1">
        <f t="array" ref="FF35">IFERROR(ROUND(IF($D35="","",INDEX('M04-S04'!EG$18:EG$199,2*(ROWS(FF$26:FF35)-1)+1)),6),"")</f>
        <v/>
      </c>
      <c r="FG35" s="150" t="str" cm="1">
        <f t="array" ref="FG35">IFERROR(ROUND(IF($D35="","",INDEX('M04-S04'!EH$18:EH$199,2*(ROWS(FG$26:FG35)-1)+1)),6),"")</f>
        <v/>
      </c>
      <c r="FH35" s="150" t="str" cm="1">
        <f t="array" ref="FH35">IFERROR(ROUND(IF($D35="","",INDEX('M04-S04'!EI$18:EI$199,2*(ROWS(FH$26:FH35)-1)+1)),6),"")</f>
        <v/>
      </c>
      <c r="FI35" s="150" t="str" cm="1">
        <f t="array" ref="FI35">IFERROR(ROUND(IF($D35="","",INDEX('M04-S04'!EJ$18:EJ$199,2*(ROWS(FI$26:FI35)-1)+1)),6),"")</f>
        <v/>
      </c>
      <c r="FJ35" s="150" t="str" cm="1">
        <f t="array" ref="FJ35">IFERROR(ROUND(IF($D35="","",INDEX('M04-S04'!EK$18:EK$199,2*(ROWS(FJ$26:FJ35)-1)+1)),6),"")</f>
        <v/>
      </c>
      <c r="FK35" s="150" t="str" cm="1">
        <f t="array" ref="FK35">IFERROR(ROUND(IF($D35="","",INDEX('M04-S04'!EL$18:EL$199,2*(ROWS(FK$26:FK35)-1)+1)),6),"")</f>
        <v/>
      </c>
      <c r="FL35" s="150" t="str" cm="1">
        <f t="array" ref="FL35">IFERROR(ROUND(IF($D35="","",INDEX('M04-S04'!EM$18:EM$199,2*(ROWS(FL$26:FL35)-1)+1)),6),"")</f>
        <v/>
      </c>
      <c r="FM35" s="150" t="str" cm="1">
        <f t="array" ref="FM35">IFERROR(ROUND(IF($D35="","",INDEX('M04-S04'!EN$18:EN$199,2*(ROWS(FM$26:FM35)-1)+1)),6),"")</f>
        <v/>
      </c>
    </row>
    <row r="36" spans="1:169">
      <c r="A36" s="218" t="str">
        <f>"Custom "&amp;M4S5</f>
        <v>Custom Water Heating &amp; Boilers</v>
      </c>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c r="CS36" s="218"/>
      <c r="CT36" s="218"/>
      <c r="CU36" s="218"/>
      <c r="CV36" s="218"/>
      <c r="CW36" s="218"/>
      <c r="CX36" s="218"/>
      <c r="CY36" s="218"/>
      <c r="CZ36" s="218"/>
      <c r="DA36" s="218"/>
      <c r="DB36" s="218"/>
      <c r="DC36" s="218"/>
      <c r="DD36" s="218"/>
      <c r="DE36" s="218"/>
      <c r="DF36" s="218"/>
      <c r="DG36" s="218"/>
      <c r="DH36" s="218"/>
      <c r="DI36" s="218"/>
      <c r="DJ36" s="218"/>
      <c r="DK36" s="218"/>
      <c r="DL36" s="218"/>
      <c r="DM36" s="218"/>
      <c r="DN36" s="218"/>
      <c r="DO36" s="218"/>
      <c r="DP36" s="218"/>
      <c r="DQ36" s="218"/>
      <c r="DR36" s="218"/>
      <c r="DS36" s="218"/>
      <c r="DT36" s="218"/>
      <c r="DU36" s="218"/>
      <c r="DV36" s="218"/>
      <c r="DW36" s="218"/>
      <c r="DX36" s="218"/>
      <c r="DY36" s="218"/>
      <c r="DZ36" s="218"/>
      <c r="EA36" s="218"/>
      <c r="EB36" s="218"/>
      <c r="EC36" s="218"/>
      <c r="ED36" s="218"/>
      <c r="EE36" s="218"/>
      <c r="EF36" s="218"/>
      <c r="EG36" s="218"/>
      <c r="EH36" s="218"/>
      <c r="EI36" s="218"/>
      <c r="EJ36" s="218"/>
      <c r="EK36" s="218"/>
      <c r="EL36" s="218"/>
      <c r="EM36" s="218"/>
      <c r="EN36" s="218"/>
      <c r="EO36" s="218"/>
      <c r="EP36" s="218"/>
      <c r="EQ36" s="218"/>
      <c r="ER36" s="218"/>
      <c r="ES36" s="218"/>
      <c r="ET36" s="218"/>
      <c r="EU36" s="218"/>
      <c r="EV36" s="218"/>
      <c r="EW36" s="218"/>
      <c r="EX36" s="218"/>
      <c r="EY36" s="218"/>
      <c r="EZ36" s="218"/>
      <c r="FA36" s="218"/>
      <c r="FB36" s="218"/>
      <c r="FC36" s="218"/>
      <c r="FD36" s="218"/>
      <c r="FE36" s="218"/>
      <c r="FF36" s="218"/>
      <c r="FG36" s="218"/>
      <c r="FH36" s="218"/>
      <c r="FI36" s="218"/>
      <c r="FJ36" s="218"/>
      <c r="FK36" s="218"/>
      <c r="FL36" s="218"/>
      <c r="FM36" s="218"/>
    </row>
    <row r="37" spans="1:169">
      <c r="A37" t="str">
        <f>IFERROR(IF(D37="","",PROJID),"")</f>
        <v/>
      </c>
      <c r="B37" t="str">
        <f>IFERROR(IF(D37="","",CONCATENATE(ROW(),"-",D37)),"")</f>
        <v/>
      </c>
      <c r="C37" t="str" cm="1">
        <f t="array" ref="C37">IFERROR(IF(D37="","",INDEX('M04-S05'!$B$18:$B$199,2*(ROWS(C$37:C37)-1)+1)),"")</f>
        <v/>
      </c>
      <c r="D37" t="str">
        <f>IFERROR(IF(E37="","",E37),"")</f>
        <v/>
      </c>
      <c r="E37" t="str" cm="1">
        <f t="array" ref="E37">IFERROR(IF(INDEX('M04-S05'!$CC$18:$CC$199,2*(ROWS(E$37:E37)-1)+1)="","",INDEX('M04-S05'!$CC$18:$CC$199,2*(ROWS(E$37:E37)-1)+1)),"")</f>
        <v/>
      </c>
      <c r="G37" t="str">
        <f>IFERROR(IF(C37&lt;&gt;"","Custom",""),"")</f>
        <v/>
      </c>
      <c r="H37" t="str">
        <f t="shared" ref="H37" si="57">IFERROR(IF(C37&lt;&gt;"","Downstream",""),"")</f>
        <v/>
      </c>
      <c r="L37" t="str">
        <f>IF($C37="","",IF(AND(AI37&gt;0,AN37&gt;0),"Electric &amp; Gas",IF(AI37&gt;0,"Electric",IF(AN37&gt;0,"Gas",""))))</f>
        <v/>
      </c>
      <c r="O37" t="str">
        <f>IF($C37="","",TRUE)</f>
        <v/>
      </c>
      <c r="V37" t="str" cm="1">
        <f t="array" ref="V37">IFERROR(IF(D37="","",INDEX('M04-S05'!$AY$18:$AY$199,2*(ROWS(V$37:V37)-1)+1)),"")</f>
        <v/>
      </c>
      <c r="W37" t="str" cm="1">
        <f t="array" ref="W37">IFERROR(IF(D37="","",INDEX('M04-S05'!$AV$18:$AV$199,2*(ROWS(W$37:W37)-1)+1)),"")</f>
        <v/>
      </c>
      <c r="X37" t="str" cm="1">
        <f t="array" ref="X37">IFERROR(IF(D37="","",INDEX('M04-S05'!$AV$18:$AV$199,2*(ROWS(X$37:X37)-0)+0)),"")</f>
        <v/>
      </c>
      <c r="AG37" s="98" t="str" cm="1">
        <f t="array" ref="AG37">IFERROR(IF(D37="","",IF(INDEX('M04-S05'!$CB$18:$CB$199,2*(ROWS(AG$37:AG37)-1)+1)="","",INDEX('M04-S05'!$CB$18:$CB$199,2*(ROWS(AG$37:AG37)-1)+1))),"")</f>
        <v/>
      </c>
      <c r="AH37" s="98" t="str" cm="1">
        <f t="array" ref="AH37">IFERROR(IF(D37="","",IF(INDEX('M04-S05'!$CU$18:$CU$199,2*(ROWS(AH$37:AH37)-1)+1)="","",INDEX('M04-S05'!$CU$18:$CU$199,2*(ROWS(AH$37:AH37)-1)+1))),"")</f>
        <v/>
      </c>
      <c r="AI37" s="20" t="str" cm="1">
        <f t="array" ref="AI37">IFERROR(IF(D37="","",IF(INDEX('M04-S05'!$CM$18:$CM$199,2*(ROWS(AI$37:AI37)-1)+1)="",0,INDEX('M04-S05'!$CM$18:$CM$199,2*(ROWS(AI$37:AI37)-1)+1))),"")</f>
        <v/>
      </c>
      <c r="AJ37" s="20" t="str">
        <f t="shared" si="1"/>
        <v/>
      </c>
      <c r="AK37" s="487" t="str" cm="1">
        <f t="array" ref="AK37">IFERROR(IF(D37="","",IF(INDEX('M04-S05'!$CN$18:$CN$199,2*(ROWS(AK$37:AK37)-1)+1)="",0,INDEX('M04-S05'!$CN$18:$CN$199,2*(ROWS(AK$37:AK37)-1)+1))),"")</f>
        <v/>
      </c>
      <c r="AL37" s="20" t="str">
        <f>IF(AN37&gt;=0,AN37,0)</f>
        <v/>
      </c>
      <c r="AM37" s="20" t="str">
        <f t="shared" ref="AM37:AM46" si="58">IFERROR(ROUND(IF(D37="","",AL37/10),6),"")</f>
        <v/>
      </c>
      <c r="AN37" s="20" t="str" cm="1">
        <f t="array" ref="AN37">IFERROR(IF(D37="","",IF(INDEX('M04-S05'!$CO$18:$CO$199,2*(ROWS(AN$37:AN37)-1)+1)="",0,INDEX('M04-S05'!$CO$18:$CO$199,2*(ROWS(AN$37:AN37)-1)+1))),"")</f>
        <v/>
      </c>
      <c r="AO37" s="20" t="str" cm="1">
        <f t="array" ref="AO37">IFERROR(IF(D37="","",INDEX('M04-S05'!$R$18:$R$199,2*(ROWS(AO$37:AO37)-1)+1)),"")</f>
        <v/>
      </c>
      <c r="AP37" s="20" t="str" cm="1">
        <f t="array" ref="AP37">IFERROR(IF(D37="","",INDEX('M04-S05'!$AJ$18:$AJ$199,2*(ROWS(AP$37:AP37)-1)+1)),"")</f>
        <v/>
      </c>
      <c r="AQ37" s="487" t="str" cm="1">
        <f t="array" ref="AQ37">IFERROR(IF(D37="","",INDEX('M04-S05'!$U$18:$U$199,2*(ROWS(AQ$37:AQ37)-1)+1)),"")</f>
        <v/>
      </c>
      <c r="AR37" s="487" t="str" cm="1">
        <f t="array" ref="AR37">IFERROR(IF(D37="","",INDEX('M04-S05'!$AM$18:$AM$199,2*(ROWS(AR$37:AR37)-1)+1)),"")</f>
        <v/>
      </c>
      <c r="AS37" s="20" t="str" cm="1">
        <f t="array" ref="AS37">IFERROR(IF(D37="","",INDEX('M04-S05'!$X$18:$X$199,2*(ROWS(AS$37:AS37)-1)+1)),"")</f>
        <v/>
      </c>
      <c r="AT37" s="20" t="str" cm="1">
        <f t="array" ref="AT37">IFERROR(IF(D37="","",INDEX('M04-S05'!$AP$18:$AP$199,2*(ROWS(AT$37:AT37)-1)+1)),"")</f>
        <v/>
      </c>
      <c r="BP37" t="str" cm="1">
        <f t="array" ref="BP37">IFERROR(IF(D37="","",INDEX('M04-S05'!$CS$18:$CS$199,2*(ROWS(BP$37:BP37)-1)+1)),"")</f>
        <v/>
      </c>
      <c r="BR37" t="str" cm="1">
        <f t="array" ref="BR37">IFERROR(IF(D37="","",LEFT(INDEX('M04-S05'!$C$18:$C$199,2*(ROWS(BR$37:BR37)-1)+1),150)),"")</f>
        <v/>
      </c>
      <c r="BS37" t="str" cm="1">
        <f t="array" ref="BS37">IFERROR(IF(D37="","",INDEX('M04-S05'!$CT$18:$CT$199,2*(ROWS(BS$37:BS37)-1)+1)),"")</f>
        <v/>
      </c>
      <c r="BT37" s="6" t="str" cm="1">
        <f t="array" ref="BT37">IFERROR(ROUND(IF(D37="","",INDEX('M04-S05'!$BB$18:$BB$199,2*(ROWS(BT$37:BT37)-1)+1)),2),"")</f>
        <v/>
      </c>
      <c r="BU37" s="6" t="str" cm="1">
        <f t="array" ref="BU37">IFERROR(IF(D37="","",INDEX('M04-S05'!$CX$18:$CX$199,2*(ROWS(BU$37:BU37)-1)+1)),"")</f>
        <v/>
      </c>
      <c r="BV37" s="6" t="str" cm="1">
        <f t="array" ref="BV37">IFERROR(IF(D37="","",INDEX('M04-S05'!$CY$18:$CY$199,2*(ROWS(BV$37:BV37)-1)+1)),"")</f>
        <v/>
      </c>
      <c r="BW37" t="str">
        <f>IF(D37="","","Measure")</f>
        <v/>
      </c>
      <c r="BX37" t="str">
        <f>IF(D37="","",1)</f>
        <v/>
      </c>
      <c r="BY37" s="6" t="str" cm="1">
        <f t="array" ref="BY37">IFERROR(IF(D37="","",INDEX('M04-S05'!$CI$18:$CI$199,2*(ROWS(BY$37:BY37)-1)+1)),"")</f>
        <v/>
      </c>
      <c r="BZ37" s="6" t="str">
        <f t="shared" si="17"/>
        <v/>
      </c>
      <c r="CA37" s="6" t="str">
        <f t="shared" si="18"/>
        <v/>
      </c>
      <c r="CB37" s="6" t="str">
        <f t="shared" si="3"/>
        <v/>
      </c>
      <c r="CC37" s="6" t="str">
        <f t="shared" ref="CC37:CC46" si="59">IFERROR(IF(D37="","",AJ37/(AJ37+AM37)*CB37),"")</f>
        <v/>
      </c>
      <c r="CD37" s="6" t="str">
        <f t="shared" ref="CD37:CD46" si="60">IFERROR(IF(D37="","",AM37/(AJ37+AM37)*CB37),"")</f>
        <v/>
      </c>
      <c r="CS37" t="str" cm="1">
        <f t="array" ref="CS37">IFERROR(IF(D37="","",INDEX('M04-S05'!$F$18:$F$199,2*(ROWS(CS$37:CS37)-1)+1)),"")</f>
        <v/>
      </c>
      <c r="CT37" t="str" cm="1">
        <f t="array" ref="CT37">IFERROR(IF(D37="","",INDEX('M04-S05'!$L$18:$L$199,2*(ROWS(CT$37:CT37)-1)+1)),"")</f>
        <v/>
      </c>
      <c r="CU37" t="str" cm="1">
        <f t="array" ref="CU37">IFERROR(IF(D37="","",INDEX('M04-S05'!$AD$18:$AD$199,2*(ROWS(CU$37:CU37)-1)+1)),"")</f>
        <v/>
      </c>
      <c r="DE37" s="150"/>
      <c r="DF37" s="150" t="str">
        <f>IFERROR(ROUND(IF(OR(D37="",DE37=""),"",TEMPLATE!$V$13),2),"")</f>
        <v/>
      </c>
      <c r="DG37" s="150"/>
      <c r="DH37" s="150" t="str">
        <f>IFERROR(ROUND(IF(OR(D37="",DG37=""),"",TEMPLATE!$V$13),2),"")</f>
        <v/>
      </c>
      <c r="DI37" s="150"/>
      <c r="DJ37" s="150" t="str">
        <f>IFERROR(ROUND(IF(OR(D37="",DI37=""),"",TEMPLATE!$V$13),2),"")</f>
        <v/>
      </c>
      <c r="DK37" s="150"/>
      <c r="DL37" s="150" t="str">
        <f>IFERROR(ROUND(IF(OR(D37="",DK37=""),"",TEMPLATE!$V$13),2),"")</f>
        <v/>
      </c>
      <c r="DM37" s="150"/>
      <c r="DN37" s="150" t="str">
        <f>IFERROR(ROUND(IF(OR(D37="",DM37=""),"",TEMPLATE!$V$13),2),"")</f>
        <v/>
      </c>
      <c r="DO37" s="150"/>
      <c r="DP37" s="150" t="str">
        <f>IFERROR(ROUND(IF(OR(D37="",DO37=""),"",TEMPLATE!$V$13),2),"")</f>
        <v/>
      </c>
      <c r="DQ37" s="150"/>
      <c r="DR37" s="150" t="str">
        <f>IFERROR(ROUND(IF(OR(D37="",DQ37=""),"",TEMPLATE!$V$13),2),"")</f>
        <v/>
      </c>
      <c r="DS37" s="150"/>
      <c r="DT37" s="150" t="str">
        <f>IFERROR(ROUND(IF(OR(D37="",DS37=""),"",TEMPLATE!$V$13),2),"")</f>
        <v/>
      </c>
      <c r="DU37" s="150" t="str" cm="1">
        <f t="array" ref="DU37">IFERROR(ROUND(IF($D37="","",INDEX('M04-S05'!DD$18:DD$199,2*(ROWS(DU$37:DU37)-1)+1)),4),"")</f>
        <v/>
      </c>
      <c r="DV37" s="150" t="str" cm="1">
        <f t="array" ref="DV37">IFERROR(ROUND(IF($D37="","",INDEX('M04-S05'!DE$18:DE$199,2*(ROWS(DV$37:DV37)-1)+1)),4),"")</f>
        <v/>
      </c>
      <c r="DW37" s="150" t="str" cm="1">
        <f t="array" ref="DW37">IFERROR(ROUND(IF($D37="","",INDEX('M04-S05'!DF$18:DF$199,2*(ROWS(DW$37:DW37)-1)+1)),4),"")</f>
        <v/>
      </c>
      <c r="DX37" s="150" t="str" cm="1">
        <f t="array" ref="DX37">IFERROR(ROUND(IF($D37="","",INDEX('M04-S05'!DG$18:DG$199,2*(ROWS(DX$37:DX37)-1)+1)),4),"")</f>
        <v/>
      </c>
      <c r="DY37" s="150" t="str" cm="1">
        <f t="array" ref="DY37">IFERROR(ROUND(IF($D37="","",INDEX('M04-S05'!DH$18:DH$199,2*(ROWS(DY$37:DY37)-1)+1)),4),"")</f>
        <v/>
      </c>
      <c r="DZ37" s="150" t="str" cm="1">
        <f t="array" ref="DZ37">IFERROR(ROUND(IF($D37="","",INDEX('M04-S05'!DI$18:DI$199,2*(ROWS(DZ$37:DZ37)-1)+1)),4),"")</f>
        <v/>
      </c>
      <c r="EA37" s="150" t="str" cm="1">
        <f t="array" ref="EA37">IFERROR(ROUND(IF($D37="","",INDEX('M04-S05'!DJ$18:DJ$199,2*(ROWS(EA$37:EA37)-1)+1)),4),"")</f>
        <v/>
      </c>
      <c r="EB37" s="150" t="str" cm="1">
        <f t="array" ref="EB37">IFERROR(ROUND(IF($D37="","",INDEX('M04-S05'!DK$18:DK$199,2*(ROWS(EB$37:EB37)-1)+1)),6),"")</f>
        <v/>
      </c>
      <c r="EC37" s="150" t="str" cm="1">
        <f t="array" ref="EC37">IFERROR(ROUND(IF($D37="","",INDEX('M04-S05'!DL$18:DL$199,2*(ROWS(EC$37:EC37)-1)+1)),6),"")</f>
        <v/>
      </c>
      <c r="ED37" s="150" t="str" cm="1">
        <f t="array" ref="ED37">IFERROR(ROUND(IF($D37="","",INDEX('M04-S05'!DM$18:DM$199,2*(ROWS(ED$37:ED37)-1)+1)),6),"")</f>
        <v/>
      </c>
      <c r="EE37" s="150" t="str" cm="1">
        <f t="array" ref="EE37">IFERROR(ROUND(IF($D37="","",INDEX('M04-S05'!DN$18:DN$199,2*(ROWS(EE$37:EE37)-1)+1)),6),"")</f>
        <v/>
      </c>
      <c r="EF37" s="150" t="str" cm="1">
        <f t="array" ref="EF37">IFERROR(ROUND(IF($D37="","",INDEX('M04-S05'!DO$18:DO$199,2*(ROWS(EF$37:EF37)-1)+1)),6),"")</f>
        <v/>
      </c>
      <c r="EG37" s="150" t="str" cm="1">
        <f t="array" ref="EG37">IFERROR(ROUND(IF($D37="","",INDEX('M04-S05'!DP$18:DP$199,2*(ROWS(EG$37:EG37)-1)+1)),6),"")</f>
        <v/>
      </c>
      <c r="EH37" s="150" t="str" cm="1">
        <f t="array" ref="EH37">IFERROR(ROUND(IF($D37="","",INDEX('M04-S05'!DQ$18:DQ$199,2*(ROWS(EH$37:EH37)-1)+1)),6),"")</f>
        <v/>
      </c>
      <c r="EI37" s="150" t="str" cm="1">
        <f t="array" ref="EI37">IFERROR(ROUND(IF($D37="","",INDEX('M04-S05'!DR$18:DR$199,2*(ROWS(EI$37:EI37)-1)+1)),6),"")</f>
        <v/>
      </c>
      <c r="EJ37" s="150" t="str" cm="1">
        <f t="array" ref="EJ37">IFERROR(ROUND(IF($D37="","",INDEX('M04-S05'!DS$18:DS$199,2*(ROWS(EJ$37:EJ37)-1)+1)),6),"")</f>
        <v/>
      </c>
      <c r="EK37" s="150" t="str" cm="1">
        <f t="array" ref="EK37">IFERROR(ROUND(IF($D37="","",INDEX('M04-S05'!DT$18:DT$199,2*(ROWS(EK$37:EK37)-1)+1)),6),"")</f>
        <v/>
      </c>
      <c r="EL37" s="150" t="str" cm="1">
        <f t="array" ref="EL37">IFERROR(ROUND(IF($D37="","",INDEX('M04-S05'!DU$18:DU$199,2*(ROWS(EL$37:EL37)-1)+1)),6),"")</f>
        <v/>
      </c>
      <c r="EM37" s="150" t="str" cm="1">
        <f t="array" ref="EM37">IFERROR(ROUND(IF($D37="","",INDEX('M04-S05'!DV$18:DV$199,2*(ROWS(EM$37:EM37)-1)+1)),6),"")</f>
        <v/>
      </c>
      <c r="EN37" s="150" t="str" cm="1">
        <f t="array" ref="EN37">IFERROR(ROUND(IF($D37="","",INDEX('M04-S05'!DW$18:DW$199,2*(ROWS(EN$37:EN37)-1)+1)),6),"")</f>
        <v/>
      </c>
      <c r="EO37" s="150" t="str" cm="1">
        <f t="array" ref="EO37">IFERROR(ROUND(IF($D37="","",INDEX('M04-S05'!DX$18:DX$199,2*(ROWS(EO$37:EO37)-1)+1)),6),"")</f>
        <v/>
      </c>
      <c r="EP37" s="150" t="str" cm="1">
        <f t="array" ref="EP37">IFERROR(ROUND(IF($D37="","",INDEX('M04-S05'!DY$18:DY$199,2*(ROWS(EP$37:EP37)-1)+1)),6),"")</f>
        <v/>
      </c>
      <c r="EQ37" s="150" t="str" cm="1">
        <f t="array" ref="EQ37">IFERROR(ROUND(IF($D37="","",INDEX('M04-S05'!DZ$18:DZ$199,2*(ROWS(EQ$37:EQ37)-1)+1)),6),"")</f>
        <v/>
      </c>
      <c r="ER37" s="150" t="str">
        <f t="shared" si="21"/>
        <v/>
      </c>
      <c r="ES37" s="150" t="str">
        <f t="shared" si="37"/>
        <v/>
      </c>
      <c r="ET37" s="150" t="str">
        <f t="shared" si="38"/>
        <v/>
      </c>
      <c r="EU37" s="150" t="str">
        <f t="shared" si="39"/>
        <v/>
      </c>
      <c r="EV37" s="150" t="str">
        <f t="shared" si="40"/>
        <v/>
      </c>
      <c r="EW37" s="150" t="str">
        <f t="shared" si="41"/>
        <v/>
      </c>
      <c r="EX37" s="150" t="str">
        <f t="shared" si="42"/>
        <v/>
      </c>
      <c r="EY37" s="150" t="str">
        <f t="shared" si="22"/>
        <v/>
      </c>
      <c r="EZ37" s="150" t="str" cm="1">
        <f t="array" ref="EZ37">IFERROR(ROUND(IF($D37="","",INDEX('M04-S05'!EA$18:EA$199,2*(ROWS(EZ$37:EZ37)-1)+1)),6),"")</f>
        <v/>
      </c>
      <c r="FA37" s="150" t="str" cm="1">
        <f t="array" ref="FA37">IFERROR(ROUND(IF($D37="","",INDEX('M04-S05'!EB$18:EB$199,2*(ROWS(FA$37:FA37)-1)+1)),6),"")</f>
        <v/>
      </c>
      <c r="FB37" s="150" t="str" cm="1">
        <f t="array" ref="FB37">IFERROR(ROUND(IF($D37="","",INDEX('M04-S05'!EC$18:EC$199,2*(ROWS(FB$37:FB37)-1)+1)),6),"")</f>
        <v/>
      </c>
      <c r="FC37" s="150" t="str" cm="1">
        <f t="array" ref="FC37">IFERROR(ROUND(IF($D37="","",INDEX('M04-S05'!ED$18:ED$199,2*(ROWS(FC$37:FC37)-1)+1)),6),"")</f>
        <v/>
      </c>
      <c r="FD37" s="150" t="str" cm="1">
        <f t="array" ref="FD37">IFERROR(ROUND(IF($D37="","",INDEX('M04-S05'!EE$18:EE$199,2*(ROWS(FD$37:FD37)-1)+1)),6),"")</f>
        <v/>
      </c>
      <c r="FE37" s="150" t="str" cm="1">
        <f t="array" ref="FE37">IFERROR(ROUND(IF($D37="","",INDEX('M04-S05'!EF$18:EF$199,2*(ROWS(FE$37:FE37)-1)+1)),6),"")</f>
        <v/>
      </c>
      <c r="FF37" s="150" t="str" cm="1">
        <f t="array" ref="FF37">IFERROR(ROUND(IF($D37="","",INDEX('M04-S05'!EG$18:EG$199,2*(ROWS(FF$37:FF37)-1)+1)),6),"")</f>
        <v/>
      </c>
      <c r="FG37" s="150" t="str" cm="1">
        <f t="array" ref="FG37">IFERROR(ROUND(IF($D37="","",INDEX('M04-S05'!EH$18:EH$199,2*(ROWS(FG$37:FG37)-1)+1)),6),"")</f>
        <v/>
      </c>
      <c r="FH37" s="150" t="str" cm="1">
        <f t="array" ref="FH37">IFERROR(ROUND(IF($D37="","",INDEX('M04-S05'!EI$18:EI$199,2*(ROWS(FH$37:FH37)-1)+1)),6),"")</f>
        <v/>
      </c>
      <c r="FI37" s="150" t="str" cm="1">
        <f t="array" ref="FI37">IFERROR(ROUND(IF($D37="","",INDEX('M04-S05'!EJ$18:EJ$199,2*(ROWS(FI$37:FI37)-1)+1)),6),"")</f>
        <v/>
      </c>
      <c r="FJ37" s="150" t="str" cm="1">
        <f t="array" ref="FJ37">IFERROR(ROUND(IF($D37="","",INDEX('M04-S05'!EK$18:EK$199,2*(ROWS(FJ$37:FJ37)-1)+1)),6),"")</f>
        <v/>
      </c>
      <c r="FK37" s="150" t="str" cm="1">
        <f t="array" ref="FK37">IFERROR(ROUND(IF($D37="","",INDEX('M04-S05'!EL$18:EL$199,2*(ROWS(FK$37:FK37)-1)+1)),6),"")</f>
        <v/>
      </c>
      <c r="FL37" s="150" t="str" cm="1">
        <f t="array" ref="FL37">IFERROR(ROUND(IF($D37="","",INDEX('M04-S05'!EM$18:EM$199,2*(ROWS(FL$37:FL37)-1)+1)),6),"")</f>
        <v/>
      </c>
      <c r="FM37" s="150" t="str" cm="1">
        <f t="array" ref="FM37">IFERROR(ROUND(IF($D37="","",INDEX('M04-S05'!EN$18:EN$199,2*(ROWS(FM$37:FM37)-1)+1)),6),"")</f>
        <v/>
      </c>
    </row>
    <row r="38" spans="1:169">
      <c r="A38" t="str">
        <f t="shared" ref="A38:A46" si="61">IFERROR(IF(D38="","",PROJID),"")</f>
        <v/>
      </c>
      <c r="B38" t="str">
        <f t="shared" ref="B38:B46" si="62">IFERROR(IF(D38="","",CONCATENATE(ROW(),"-",D38)),"")</f>
        <v/>
      </c>
      <c r="C38" t="str" cm="1">
        <f t="array" ref="C38">IFERROR(IF(D38="","",INDEX('M04-S05'!$B$18:$B$199,2*(ROWS(C$37:C38)-1)+1)),"")</f>
        <v/>
      </c>
      <c r="D38" t="str">
        <f t="shared" ref="D38:D46" si="63">IFERROR(IF(E38="","",E38),"")</f>
        <v/>
      </c>
      <c r="E38" t="str" cm="1">
        <f t="array" ref="E38">IFERROR(IF(INDEX('M04-S05'!$CC$18:$CC$199,2*(ROWS(E$37:E38)-1)+1)="","",INDEX('M04-S05'!$CC$18:$CC$199,2*(ROWS(E$37:E38)-1)+1)),"")</f>
        <v/>
      </c>
      <c r="G38" t="str">
        <f t="shared" ref="G38:G46" si="64">IFERROR(IF(C38&lt;&gt;"","Custom",""),"")</f>
        <v/>
      </c>
      <c r="H38" t="str">
        <f t="shared" ref="H38:H46" si="65">IFERROR(IF(C38&lt;&gt;"","Downstream",""),"")</f>
        <v/>
      </c>
      <c r="L38" t="str">
        <f t="shared" ref="L38:L46" si="66">IF($C38="","",IF(AND(AI38&gt;0,AN38&gt;0),"Electric &amp; Gas",IF(AI38&gt;0,"Electric",IF(AN38&gt;0,"Gas",""))))</f>
        <v/>
      </c>
      <c r="O38" t="str">
        <f t="shared" ref="O38:O46" si="67">IF($C38="","",TRUE)</f>
        <v/>
      </c>
      <c r="V38" t="str" cm="1">
        <f t="array" ref="V38">IFERROR(IF(D38="","",INDEX('M04-S05'!$AY$18:$AY$199,2*(ROWS(V$37:V38)-1)+1)),"")</f>
        <v/>
      </c>
      <c r="W38" t="str" cm="1">
        <f t="array" ref="W38">IFERROR(IF(D38="","",INDEX('M04-S05'!$AV$18:$AV$199,2*(ROWS(W$37:W38)-1)+1)),"")</f>
        <v/>
      </c>
      <c r="X38" t="str" cm="1">
        <f t="array" ref="X38">IFERROR(IF(D38="","",INDEX('M04-S05'!$AV$18:$AV$199,2*(ROWS(X$37:X38)-0)+0)),"")</f>
        <v/>
      </c>
      <c r="AG38" s="98" t="str" cm="1">
        <f t="array" ref="AG38">IFERROR(IF(INDEX('M04-S05'!$CB$18:$CB$199,(ROWS(AG$37:AG38)))="","",INDEX('M04-S05'!$CB$18:$CB$199,(ROWS(AG$37:AG38)))),"")</f>
        <v/>
      </c>
      <c r="AH38" s="98" t="str" cm="1">
        <f t="array" ref="AH38">IFERROR(IF(D38="","",IF(INDEX('M04-S05'!$CU$18:$CU$199,2*(ROWS(AH$37:AH38)-1)+1)="","",INDEX('M04-S05'!$CU$18:$CU$199,2*(ROWS(AH$37:AH38)-1)+1))),"")</f>
        <v/>
      </c>
      <c r="AI38" s="20" t="str" cm="1">
        <f t="array" ref="AI38">IFERROR(IF(D38="","",IF(INDEX('M04-S05'!$CM$18:$CM$199,2*(ROWS(AI$37:AI38)-1)+1)="",0,INDEX('M04-S05'!$CM$18:$CM$199,2*(ROWS(AI$37:AI38)-1)+1))),"")</f>
        <v/>
      </c>
      <c r="AJ38" s="20" t="str">
        <f t="shared" si="1"/>
        <v/>
      </c>
      <c r="AK38" s="487" t="str" cm="1">
        <f t="array" ref="AK38">IFERROR(IF(D38="","",IF(INDEX('M04-S05'!$CN$18:$CN$199,2*(ROWS(AK$37:AK38)-1)+1)="",0,INDEX('M04-S05'!$CN$18:$CN$199,2*(ROWS(AK$37:AK38)-1)+1))),"")</f>
        <v/>
      </c>
      <c r="AL38" s="20" t="str">
        <f t="shared" ref="AL38:AL46" si="68">IF(AN38&gt;=0,AN38,0)</f>
        <v/>
      </c>
      <c r="AM38" s="20" t="str">
        <f t="shared" si="58"/>
        <v/>
      </c>
      <c r="AN38" s="20" t="str" cm="1">
        <f t="array" ref="AN38">IFERROR(IF(D38="","",IF(INDEX('M04-S05'!$CO$18:$CO$199,2*(ROWS(AN$37:AN38)-1)+1)="",0,INDEX('M04-S05'!$CO$18:$CO$199,2*(ROWS(AN$37:AN38)-1)+1))),"")</f>
        <v/>
      </c>
      <c r="AO38" s="20" t="str" cm="1">
        <f t="array" ref="AO38">IFERROR(IF(D38="","",INDEX('M04-S05'!$R$18:$R$199,2*(ROWS(AO$37:AO38)-1)+1)),"")</f>
        <v/>
      </c>
      <c r="AP38" s="20" t="str" cm="1">
        <f t="array" ref="AP38">IFERROR(IF(D38="","",INDEX('M04-S05'!$AJ$18:$AJ$199,2*(ROWS(AP$37:AP38)-1)+1)),"")</f>
        <v/>
      </c>
      <c r="AQ38" s="487" t="str" cm="1">
        <f t="array" ref="AQ38">IFERROR(IF(D38="","",INDEX('M04-S05'!$U$18:$U$199,2*(ROWS(AQ$37:AQ38)-1)+1)),"")</f>
        <v/>
      </c>
      <c r="AR38" s="487" t="str" cm="1">
        <f t="array" ref="AR38">IFERROR(IF(D38="","",INDEX('M04-S05'!$AM$18:$AM$199,2*(ROWS(AR$37:AR38)-1)+1)),"")</f>
        <v/>
      </c>
      <c r="AS38" s="20" t="str" cm="1">
        <f t="array" ref="AS38">IFERROR(IF(D38="","",INDEX('M04-S05'!$X$18:$X$199,2*(ROWS(AS$37:AS38)-1)+1)),"")</f>
        <v/>
      </c>
      <c r="AT38" s="20" t="str" cm="1">
        <f t="array" ref="AT38">IFERROR(IF(D38="","",INDEX('M04-S05'!$AP$18:$AP$199,2*(ROWS(AT$37:AT38)-1)+1)),"")</f>
        <v/>
      </c>
      <c r="BP38" t="str" cm="1">
        <f t="array" ref="BP38">IFERROR(IF(D38="","",INDEX('M04-S05'!$CS$18:$CS$199,2*(ROWS(BP$37:BP38)-1)+1)),"")</f>
        <v/>
      </c>
      <c r="BR38" t="str" cm="1">
        <f t="array" ref="BR38">IFERROR(IF(D38="","",LEFT(INDEX('M04-S05'!$C$18:$C$199,2*(ROWS(BR$37:BR38)-1)+1),150)),"")</f>
        <v/>
      </c>
      <c r="BS38" t="str" cm="1">
        <f t="array" ref="BS38">IFERROR(IF(D38="","",INDEX('M04-S05'!$CT$18:$CT$199,2*(ROWS(BS$37:BS38)-1)+1)),"")</f>
        <v/>
      </c>
      <c r="BT38" s="6" t="str" cm="1">
        <f t="array" ref="BT38">IFERROR(ROUND(IF(D38="","",INDEX('M04-S05'!$BB$18:$BB$199,2*(ROWS(BT$37:BT38)-1)+1)),2),"")</f>
        <v/>
      </c>
      <c r="BU38" s="6" t="str" cm="1">
        <f t="array" ref="BU38">IFERROR(IF(D38="","",INDEX('M04-S05'!$CX$18:$CX$199,2*(ROWS(BU$37:BU38)-1)+1)),"")</f>
        <v/>
      </c>
      <c r="BV38" s="6" t="str" cm="1">
        <f t="array" ref="BV38">IFERROR(IF(D38="","",INDEX('M04-S05'!$CY$18:$CY$199,2*(ROWS(BV$37:BV38)-1)+1)),"")</f>
        <v/>
      </c>
      <c r="BW38" t="str">
        <f t="shared" ref="BW38:BW46" si="69">IF(D38="","","Measure")</f>
        <v/>
      </c>
      <c r="BX38" t="str">
        <f t="shared" ref="BX38:BX46" si="70">IF(D38="","",1)</f>
        <v/>
      </c>
      <c r="BY38" s="6" t="str" cm="1">
        <f t="array" ref="BY38">IFERROR(IF(D38="","",INDEX('M04-S05'!$CI$18:$CI$199,2*(ROWS(BY$37:BY38)-1)+1)),"")</f>
        <v/>
      </c>
      <c r="BZ38" s="6" t="str">
        <f t="shared" si="17"/>
        <v/>
      </c>
      <c r="CA38" s="6" t="str">
        <f t="shared" si="18"/>
        <v/>
      </c>
      <c r="CB38" s="6" t="str">
        <f t="shared" si="3"/>
        <v/>
      </c>
      <c r="CC38" s="6" t="str">
        <f t="shared" si="59"/>
        <v/>
      </c>
      <c r="CD38" s="6" t="str">
        <f t="shared" si="60"/>
        <v/>
      </c>
      <c r="CS38" t="str" cm="1">
        <f t="array" ref="CS38">IFERROR(IF(D38="","",INDEX('M04-S05'!$F$18:$F$199,2*(ROWS(CS$37:CS38)-1)+1)),"")</f>
        <v/>
      </c>
      <c r="CT38" t="str" cm="1">
        <f t="array" ref="CT38">IFERROR(IF(D38="","",INDEX('M04-S05'!$L$18:$L$199,2*(ROWS(CT$37:CT38)-1)+1)),"")</f>
        <v/>
      </c>
      <c r="CU38" t="str" cm="1">
        <f t="array" ref="CU38">IFERROR(IF(D38="","",INDEX('M04-S05'!$AD$18:$AD$199,2*(ROWS(CU$37:CU38)-1)+1)),"")</f>
        <v/>
      </c>
      <c r="DE38" s="150"/>
      <c r="DF38" s="150" t="str">
        <f>IFERROR(ROUND(IF(OR(D38="",DE38=""),"",TEMPLATE!$V$13),2),"")</f>
        <v/>
      </c>
      <c r="DG38" s="150"/>
      <c r="DH38" s="150" t="str">
        <f>IFERROR(ROUND(IF(OR(D38="",DG38=""),"",TEMPLATE!$V$13),2),"")</f>
        <v/>
      </c>
      <c r="DI38" s="150"/>
      <c r="DJ38" s="150" t="str">
        <f>IFERROR(ROUND(IF(OR(D38="",DI38=""),"",TEMPLATE!$V$13),2),"")</f>
        <v/>
      </c>
      <c r="DK38" s="150"/>
      <c r="DL38" s="150" t="str">
        <f>IFERROR(ROUND(IF(OR(D38="",DK38=""),"",TEMPLATE!$V$13),2),"")</f>
        <v/>
      </c>
      <c r="DM38" s="150"/>
      <c r="DN38" s="150" t="str">
        <f>IFERROR(ROUND(IF(OR(D38="",DM38=""),"",TEMPLATE!$V$13),2),"")</f>
        <v/>
      </c>
      <c r="DO38" s="150"/>
      <c r="DP38" s="150" t="str">
        <f>IFERROR(ROUND(IF(OR(D38="",DO38=""),"",TEMPLATE!$V$13),2),"")</f>
        <v/>
      </c>
      <c r="DQ38" s="150"/>
      <c r="DR38" s="150" t="str">
        <f>IFERROR(ROUND(IF(OR(D38="",DQ38=""),"",TEMPLATE!$V$13),2),"")</f>
        <v/>
      </c>
      <c r="DS38" s="150"/>
      <c r="DT38" s="150" t="str">
        <f>IFERROR(ROUND(IF(OR(D38="",DS38=""),"",TEMPLATE!$V$13),2),"")</f>
        <v/>
      </c>
      <c r="DU38" s="150" t="str" cm="1">
        <f t="array" ref="DU38">IFERROR(ROUND(IF($D38="","",INDEX('M04-S05'!DD$18:DD$199,2*(ROWS(DU$37:DU38)-1)+1)),4),"")</f>
        <v/>
      </c>
      <c r="DV38" s="150" t="str" cm="1">
        <f t="array" ref="DV38">IFERROR(ROUND(IF($D38="","",INDEX('M04-S05'!DE$18:DE$199,2*(ROWS(DV$37:DV38)-1)+1)),4),"")</f>
        <v/>
      </c>
      <c r="DW38" s="150" t="str" cm="1">
        <f t="array" ref="DW38">IFERROR(ROUND(IF($D38="","",INDEX('M04-S05'!DF$18:DF$199,2*(ROWS(DW$37:DW38)-1)+1)),4),"")</f>
        <v/>
      </c>
      <c r="DX38" s="150" t="str" cm="1">
        <f t="array" ref="DX38">IFERROR(ROUND(IF($D38="","",INDEX('M04-S05'!DG$18:DG$199,2*(ROWS(DX$37:DX38)-1)+1)),4),"")</f>
        <v/>
      </c>
      <c r="DY38" s="150" t="str" cm="1">
        <f t="array" ref="DY38">IFERROR(ROUND(IF($D38="","",INDEX('M04-S05'!DH$18:DH$199,2*(ROWS(DY$37:DY38)-1)+1)),4),"")</f>
        <v/>
      </c>
      <c r="DZ38" s="150" t="str" cm="1">
        <f t="array" ref="DZ38">IFERROR(ROUND(IF($D38="","",INDEX('M04-S05'!DI$18:DI$199,2*(ROWS(DZ$37:DZ38)-1)+1)),4),"")</f>
        <v/>
      </c>
      <c r="EA38" s="150" t="str" cm="1">
        <f t="array" ref="EA38">IFERROR(ROUND(IF($D38="","",INDEX('M04-S05'!DJ$18:DJ$199,2*(ROWS(EA$37:EA38)-1)+1)),4),"")</f>
        <v/>
      </c>
      <c r="EB38" s="150" t="str" cm="1">
        <f t="array" ref="EB38">IFERROR(ROUND(IF($D38="","",INDEX('M04-S05'!DK$18:DK$199,2*(ROWS(EB$37:EB38)-1)+1)),6),"")</f>
        <v/>
      </c>
      <c r="EC38" s="150" t="str" cm="1">
        <f t="array" ref="EC38">IFERROR(ROUND(IF($D38="","",INDEX('M04-S05'!DL$18:DL$199,2*(ROWS(EC$37:EC38)-1)+1)),6),"")</f>
        <v/>
      </c>
      <c r="ED38" s="150" t="str" cm="1">
        <f t="array" ref="ED38">IFERROR(ROUND(IF($D38="","",INDEX('M04-S05'!DM$18:DM$199,2*(ROWS(ED$37:ED38)-1)+1)),6),"")</f>
        <v/>
      </c>
      <c r="EE38" s="150" t="str" cm="1">
        <f t="array" ref="EE38">IFERROR(ROUND(IF($D38="","",INDEX('M04-S05'!DN$18:DN$199,2*(ROWS(EE$37:EE38)-1)+1)),6),"")</f>
        <v/>
      </c>
      <c r="EF38" s="150" t="str" cm="1">
        <f t="array" ref="EF38">IFERROR(ROUND(IF($D38="","",INDEX('M04-S05'!DO$18:DO$199,2*(ROWS(EF$37:EF38)-1)+1)),6),"")</f>
        <v/>
      </c>
      <c r="EG38" s="150" t="str" cm="1">
        <f t="array" ref="EG38">IFERROR(ROUND(IF($D38="","",INDEX('M04-S05'!DP$18:DP$199,2*(ROWS(EG$37:EG38)-1)+1)),6),"")</f>
        <v/>
      </c>
      <c r="EH38" s="150" t="str" cm="1">
        <f t="array" ref="EH38">IFERROR(ROUND(IF($D38="","",INDEX('M04-S05'!DQ$18:DQ$199,2*(ROWS(EH$37:EH38)-1)+1)),6),"")</f>
        <v/>
      </c>
      <c r="EI38" s="150" t="str" cm="1">
        <f t="array" ref="EI38">IFERROR(ROUND(IF($D38="","",INDEX('M04-S05'!DR$18:DR$199,2*(ROWS(EI$37:EI38)-1)+1)),6),"")</f>
        <v/>
      </c>
      <c r="EJ38" s="150" t="str" cm="1">
        <f t="array" ref="EJ38">IFERROR(ROUND(IF($D38="","",INDEX('M04-S05'!DS$18:DS$199,2*(ROWS(EJ$37:EJ38)-1)+1)),6),"")</f>
        <v/>
      </c>
      <c r="EK38" s="150" t="str" cm="1">
        <f t="array" ref="EK38">IFERROR(ROUND(IF($D38="","",INDEX('M04-S05'!DT$18:DT$199,2*(ROWS(EK$37:EK38)-1)+1)),6),"")</f>
        <v/>
      </c>
      <c r="EL38" s="150" t="str" cm="1">
        <f t="array" ref="EL38">IFERROR(ROUND(IF($D38="","",INDEX('M04-S05'!DU$18:DU$199,2*(ROWS(EL$37:EL38)-1)+1)),6),"")</f>
        <v/>
      </c>
      <c r="EM38" s="150" t="str" cm="1">
        <f t="array" ref="EM38">IFERROR(ROUND(IF($D38="","",INDEX('M04-S05'!DV$18:DV$199,2*(ROWS(EM$37:EM38)-1)+1)),6),"")</f>
        <v/>
      </c>
      <c r="EN38" s="150" t="str" cm="1">
        <f t="array" ref="EN38">IFERROR(ROUND(IF($D38="","",INDEX('M04-S05'!DW$18:DW$199,2*(ROWS(EN$37:EN38)-1)+1)),6),"")</f>
        <v/>
      </c>
      <c r="EO38" s="150" t="str" cm="1">
        <f t="array" ref="EO38">IFERROR(ROUND(IF($D38="","",INDEX('M04-S05'!DX$18:DX$199,2*(ROWS(EO$37:EO38)-1)+1)),6),"")</f>
        <v/>
      </c>
      <c r="EP38" s="150" t="str" cm="1">
        <f t="array" ref="EP38">IFERROR(ROUND(IF($D38="","",INDEX('M04-S05'!DY$18:DY$199,2*(ROWS(EP$37:EP38)-1)+1)),6),"")</f>
        <v/>
      </c>
      <c r="EQ38" s="150" t="str" cm="1">
        <f t="array" ref="EQ38">IFERROR(ROUND(IF($D38="","",INDEX('M04-S05'!DZ$18:DZ$199,2*(ROWS(EQ$37:EQ38)-1)+1)),6),"")</f>
        <v/>
      </c>
      <c r="ER38" s="150" t="str">
        <f t="shared" si="21"/>
        <v/>
      </c>
      <c r="ES38" s="150" t="str">
        <f t="shared" si="37"/>
        <v/>
      </c>
      <c r="ET38" s="150" t="str">
        <f t="shared" si="38"/>
        <v/>
      </c>
      <c r="EU38" s="150" t="str">
        <f t="shared" si="39"/>
        <v/>
      </c>
      <c r="EV38" s="150" t="str">
        <f t="shared" si="40"/>
        <v/>
      </c>
      <c r="EW38" s="150" t="str">
        <f t="shared" si="41"/>
        <v/>
      </c>
      <c r="EX38" s="150" t="str">
        <f t="shared" si="42"/>
        <v/>
      </c>
      <c r="EY38" s="150" t="str">
        <f t="shared" si="22"/>
        <v/>
      </c>
      <c r="EZ38" s="150" t="str" cm="1">
        <f t="array" ref="EZ38">IFERROR(ROUND(IF($D38="","",INDEX('M04-S05'!EA$18:EA$199,2*(ROWS(EZ$37:EZ38)-1)+1)),6),"")</f>
        <v/>
      </c>
      <c r="FA38" s="150" t="str" cm="1">
        <f t="array" ref="FA38">IFERROR(ROUND(IF($D38="","",INDEX('M04-S05'!EB$18:EB$199,2*(ROWS(FA$37:FA38)-1)+1)),6),"")</f>
        <v/>
      </c>
      <c r="FB38" s="150" t="str" cm="1">
        <f t="array" ref="FB38">IFERROR(ROUND(IF($D38="","",INDEX('M04-S05'!EC$18:EC$199,2*(ROWS(FB$37:FB38)-1)+1)),6),"")</f>
        <v/>
      </c>
      <c r="FC38" s="150" t="str" cm="1">
        <f t="array" ref="FC38">IFERROR(ROUND(IF($D38="","",INDEX('M04-S05'!ED$18:ED$199,2*(ROWS(FC$37:FC38)-1)+1)),6),"")</f>
        <v/>
      </c>
      <c r="FD38" s="150" t="str" cm="1">
        <f t="array" ref="FD38">IFERROR(ROUND(IF($D38="","",INDEX('M04-S05'!EE$18:EE$199,2*(ROWS(FD$37:FD38)-1)+1)),6),"")</f>
        <v/>
      </c>
      <c r="FE38" s="150" t="str" cm="1">
        <f t="array" ref="FE38">IFERROR(ROUND(IF($D38="","",INDEX('M04-S05'!EF$18:EF$199,2*(ROWS(FE$37:FE38)-1)+1)),6),"")</f>
        <v/>
      </c>
      <c r="FF38" s="150" t="str" cm="1">
        <f t="array" ref="FF38">IFERROR(ROUND(IF($D38="","",INDEX('M04-S05'!EG$18:EG$199,2*(ROWS(FF$37:FF38)-1)+1)),6),"")</f>
        <v/>
      </c>
      <c r="FG38" s="150" t="str" cm="1">
        <f t="array" ref="FG38">IFERROR(ROUND(IF($D38="","",INDEX('M04-S05'!EH$18:EH$199,2*(ROWS(FG$37:FG38)-1)+1)),6),"")</f>
        <v/>
      </c>
      <c r="FH38" s="150" t="str" cm="1">
        <f t="array" ref="FH38">IFERROR(ROUND(IF($D38="","",INDEX('M04-S05'!EI$18:EI$199,2*(ROWS(FH$37:FH38)-1)+1)),6),"")</f>
        <v/>
      </c>
      <c r="FI38" s="150" t="str" cm="1">
        <f t="array" ref="FI38">IFERROR(ROUND(IF($D38="","",INDEX('M04-S05'!EJ$18:EJ$199,2*(ROWS(FI$37:FI38)-1)+1)),6),"")</f>
        <v/>
      </c>
      <c r="FJ38" s="150" t="str" cm="1">
        <f t="array" ref="FJ38">IFERROR(ROUND(IF($D38="","",INDEX('M04-S05'!EK$18:EK$199,2*(ROWS(FJ$37:FJ38)-1)+1)),6),"")</f>
        <v/>
      </c>
      <c r="FK38" s="150" t="str" cm="1">
        <f t="array" ref="FK38">IFERROR(ROUND(IF($D38="","",INDEX('M04-S05'!EL$18:EL$199,2*(ROWS(FK$37:FK38)-1)+1)),6),"")</f>
        <v/>
      </c>
      <c r="FL38" s="150" t="str" cm="1">
        <f t="array" ref="FL38">IFERROR(ROUND(IF($D38="","",INDEX('M04-S05'!EM$18:EM$199,2*(ROWS(FL$37:FL38)-1)+1)),6),"")</f>
        <v/>
      </c>
      <c r="FM38" s="150" t="str" cm="1">
        <f t="array" ref="FM38">IFERROR(ROUND(IF($D38="","",INDEX('M04-S05'!EN$18:EN$199,2*(ROWS(FM$37:FM38)-1)+1)),6),"")</f>
        <v/>
      </c>
    </row>
    <row r="39" spans="1:169">
      <c r="A39" t="str">
        <f t="shared" si="61"/>
        <v/>
      </c>
      <c r="B39" t="str">
        <f t="shared" si="62"/>
        <v/>
      </c>
      <c r="C39" t="str" cm="1">
        <f t="array" ref="C39">IFERROR(IF(D39="","",INDEX('M04-S05'!$B$18:$B$199,2*(ROWS(C$37:C39)-1)+1)),"")</f>
        <v/>
      </c>
      <c r="D39" t="str">
        <f t="shared" si="63"/>
        <v/>
      </c>
      <c r="E39" t="str" cm="1">
        <f t="array" ref="E39">IFERROR(IF(INDEX('M04-S05'!$CC$18:$CC$199,2*(ROWS(E$37:E39)-1)+1)="","",INDEX('M04-S05'!$CC$18:$CC$199,2*(ROWS(E$37:E39)-1)+1)),"")</f>
        <v/>
      </c>
      <c r="G39" t="str">
        <f t="shared" si="64"/>
        <v/>
      </c>
      <c r="H39" t="str">
        <f t="shared" si="65"/>
        <v/>
      </c>
      <c r="L39" t="str">
        <f t="shared" si="66"/>
        <v/>
      </c>
      <c r="O39" t="str">
        <f t="shared" si="67"/>
        <v/>
      </c>
      <c r="V39" t="str" cm="1">
        <f t="array" ref="V39">IFERROR(IF(D39="","",INDEX('M04-S05'!$AY$18:$AY$199,2*(ROWS(V$37:V39)-1)+1)),"")</f>
        <v/>
      </c>
      <c r="W39" t="str" cm="1">
        <f t="array" ref="W39">IFERROR(IF(D39="","",INDEX('M04-S05'!$AV$18:$AV$199,2*(ROWS(W$37:W39)-1)+1)),"")</f>
        <v/>
      </c>
      <c r="X39" t="str" cm="1">
        <f t="array" ref="X39">IFERROR(IF(D39="","",INDEX('M04-S05'!$AV$18:$AV$199,2*(ROWS(X$37:X39)-0)+0)),"")</f>
        <v/>
      </c>
      <c r="AG39" s="98" t="str" cm="1">
        <f t="array" ref="AG39">IFERROR(IF(INDEX('M04-S05'!$CB$18:$CB$199,(ROWS(AG$37:AG39)))="","",INDEX('M04-S05'!$CB$18:$CB$199,(ROWS(AG$37:AG39)))),"")</f>
        <v/>
      </c>
      <c r="AH39" s="98" t="str" cm="1">
        <f t="array" ref="AH39">IFERROR(IF(D39="","",IF(INDEX('M04-S05'!$CU$18:$CU$199,2*(ROWS(AH$37:AH39)-1)+1)="","",INDEX('M04-S05'!$CU$18:$CU$199,2*(ROWS(AH$37:AH39)-1)+1))),"")</f>
        <v/>
      </c>
      <c r="AI39" s="20" t="str" cm="1">
        <f t="array" ref="AI39">IFERROR(IF(D39="","",IF(INDEX('M04-S05'!$CM$18:$CM$199,2*(ROWS(AI$37:AI39)-1)+1)="",0,INDEX('M04-S05'!$CM$18:$CM$199,2*(ROWS(AI$37:AI39)-1)+1))),"")</f>
        <v/>
      </c>
      <c r="AJ39" s="20" t="str">
        <f t="shared" si="1"/>
        <v/>
      </c>
      <c r="AK39" s="487" t="str" cm="1">
        <f t="array" ref="AK39">IFERROR(IF(D39="","",IF(INDEX('M04-S05'!$CN$18:$CN$199,2*(ROWS(AK$37:AK39)-1)+1)="",0,INDEX('M04-S05'!$CN$18:$CN$199,2*(ROWS(AK$37:AK39)-1)+1))),"")</f>
        <v/>
      </c>
      <c r="AL39" s="20" t="str">
        <f t="shared" si="68"/>
        <v/>
      </c>
      <c r="AM39" s="20" t="str">
        <f t="shared" si="58"/>
        <v/>
      </c>
      <c r="AN39" s="20" t="str" cm="1">
        <f t="array" ref="AN39">IFERROR(IF(D39="","",IF(INDEX('M04-S05'!$CO$18:$CO$199,2*(ROWS(AN$37:AN39)-1)+1)="",0,INDEX('M04-S05'!$CO$18:$CO$199,2*(ROWS(AN$37:AN39)-1)+1))),"")</f>
        <v/>
      </c>
      <c r="AO39" s="20" t="str" cm="1">
        <f t="array" ref="AO39">IFERROR(IF(D39="","",INDEX('M04-S05'!$R$18:$R$199,2*(ROWS(AO$37:AO39)-1)+1)),"")</f>
        <v/>
      </c>
      <c r="AP39" s="20" t="str" cm="1">
        <f t="array" ref="AP39">IFERROR(IF(D39="","",INDEX('M04-S05'!$AJ$18:$AJ$199,2*(ROWS(AP$37:AP39)-1)+1)),"")</f>
        <v/>
      </c>
      <c r="AQ39" s="487" t="str" cm="1">
        <f t="array" ref="AQ39">IFERROR(IF(D39="","",INDEX('M04-S05'!$U$18:$U$199,2*(ROWS(AQ$37:AQ39)-1)+1)),"")</f>
        <v/>
      </c>
      <c r="AR39" s="487" t="str" cm="1">
        <f t="array" ref="AR39">IFERROR(IF(D39="","",INDEX('M04-S05'!$AM$18:$AM$199,2*(ROWS(AR$37:AR39)-1)+1)),"")</f>
        <v/>
      </c>
      <c r="AS39" s="20" t="str" cm="1">
        <f t="array" ref="AS39">IFERROR(IF(D39="","",INDEX('M04-S05'!$X$18:$X$199,2*(ROWS(AS$37:AS39)-1)+1)),"")</f>
        <v/>
      </c>
      <c r="AT39" s="20" t="str" cm="1">
        <f t="array" ref="AT39">IFERROR(IF(D39="","",INDEX('M04-S05'!$AP$18:$AP$199,2*(ROWS(AT$37:AT39)-1)+1)),"")</f>
        <v/>
      </c>
      <c r="BP39" t="str" cm="1">
        <f t="array" ref="BP39">IFERROR(IF(D39="","",INDEX('M04-S05'!$CS$18:$CS$199,2*(ROWS(BP$37:BP39)-1)+1)),"")</f>
        <v/>
      </c>
      <c r="BR39" t="str" cm="1">
        <f t="array" ref="BR39">IFERROR(IF(D39="","",LEFT(INDEX('M04-S05'!$C$18:$C$199,2*(ROWS(BR$37:BR39)-1)+1),150)),"")</f>
        <v/>
      </c>
      <c r="BS39" t="str" cm="1">
        <f t="array" ref="BS39">IFERROR(IF(D39="","",INDEX('M04-S05'!$CT$18:$CT$199,2*(ROWS(BS$37:BS39)-1)+1)),"")</f>
        <v/>
      </c>
      <c r="BT39" s="6" t="str" cm="1">
        <f t="array" ref="BT39">IFERROR(ROUND(IF(D39="","",INDEX('M04-S05'!$BB$18:$BB$199,2*(ROWS(BT$37:BT39)-1)+1)),2),"")</f>
        <v/>
      </c>
      <c r="BU39" s="6" t="str" cm="1">
        <f t="array" ref="BU39">IFERROR(IF(D39="","",INDEX('M04-S05'!$CX$18:$CX$199,2*(ROWS(BU$37:BU39)-1)+1)),"")</f>
        <v/>
      </c>
      <c r="BV39" s="6" t="str" cm="1">
        <f t="array" ref="BV39">IFERROR(IF(D39="","",INDEX('M04-S05'!$CY$18:$CY$199,2*(ROWS(BV$37:BV39)-1)+1)),"")</f>
        <v/>
      </c>
      <c r="BW39" t="str">
        <f t="shared" si="69"/>
        <v/>
      </c>
      <c r="BX39" t="str">
        <f t="shared" si="70"/>
        <v/>
      </c>
      <c r="BY39" s="6" t="str" cm="1">
        <f t="array" ref="BY39">IFERROR(IF(D39="","",INDEX('M04-S05'!$CI$18:$CI$199,2*(ROWS(BY$37:BY39)-1)+1)),"")</f>
        <v/>
      </c>
      <c r="BZ39" s="6" t="str">
        <f t="shared" si="17"/>
        <v/>
      </c>
      <c r="CA39" s="6" t="str">
        <f t="shared" si="18"/>
        <v/>
      </c>
      <c r="CB39" s="6" t="str">
        <f t="shared" si="3"/>
        <v/>
      </c>
      <c r="CC39" s="6" t="str">
        <f t="shared" si="59"/>
        <v/>
      </c>
      <c r="CD39" s="6" t="str">
        <f t="shared" si="60"/>
        <v/>
      </c>
      <c r="CS39" t="str" cm="1">
        <f t="array" ref="CS39">IFERROR(IF(D39="","",INDEX('M04-S05'!$F$18:$F$199,2*(ROWS(CS$37:CS39)-1)+1)),"")</f>
        <v/>
      </c>
      <c r="CT39" t="str" cm="1">
        <f t="array" ref="CT39">IFERROR(IF(D39="","",INDEX('M04-S05'!$L$18:$L$199,2*(ROWS(CT$37:CT39)-1)+1)),"")</f>
        <v/>
      </c>
      <c r="CU39" t="str" cm="1">
        <f t="array" ref="CU39">IFERROR(IF(D39="","",INDEX('M04-S05'!$AD$18:$AD$199,2*(ROWS(CU$37:CU39)-1)+1)),"")</f>
        <v/>
      </c>
      <c r="DE39" s="150"/>
      <c r="DF39" s="150" t="str">
        <f>IFERROR(ROUND(IF(OR(D39="",DE39=""),"",TEMPLATE!$V$13),2),"")</f>
        <v/>
      </c>
      <c r="DG39" s="150"/>
      <c r="DH39" s="150" t="str">
        <f>IFERROR(ROUND(IF(OR(D39="",DG39=""),"",TEMPLATE!$V$13),2),"")</f>
        <v/>
      </c>
      <c r="DI39" s="150"/>
      <c r="DJ39" s="150" t="str">
        <f>IFERROR(ROUND(IF(OR(D39="",DI39=""),"",TEMPLATE!$V$13),2),"")</f>
        <v/>
      </c>
      <c r="DK39" s="150"/>
      <c r="DL39" s="150" t="str">
        <f>IFERROR(ROUND(IF(OR(D39="",DK39=""),"",TEMPLATE!$V$13),2),"")</f>
        <v/>
      </c>
      <c r="DM39" s="150"/>
      <c r="DN39" s="150" t="str">
        <f>IFERROR(ROUND(IF(OR(D39="",DM39=""),"",TEMPLATE!$V$13),2),"")</f>
        <v/>
      </c>
      <c r="DO39" s="150"/>
      <c r="DP39" s="150" t="str">
        <f>IFERROR(ROUND(IF(OR(D39="",DO39=""),"",TEMPLATE!$V$13),2),"")</f>
        <v/>
      </c>
      <c r="DQ39" s="150"/>
      <c r="DR39" s="150" t="str">
        <f>IFERROR(ROUND(IF(OR(D39="",DQ39=""),"",TEMPLATE!$V$13),2),"")</f>
        <v/>
      </c>
      <c r="DS39" s="150"/>
      <c r="DT39" s="150" t="str">
        <f>IFERROR(ROUND(IF(OR(D39="",DS39=""),"",TEMPLATE!$V$13),2),"")</f>
        <v/>
      </c>
      <c r="DU39" s="150" t="str" cm="1">
        <f t="array" ref="DU39">IFERROR(ROUND(IF($D39="","",INDEX('M04-S05'!DD$18:DD$199,2*(ROWS(DU$37:DU39)-1)+1)),4),"")</f>
        <v/>
      </c>
      <c r="DV39" s="150" t="str" cm="1">
        <f t="array" ref="DV39">IFERROR(ROUND(IF($D39="","",INDEX('M04-S05'!DE$18:DE$199,2*(ROWS(DV$37:DV39)-1)+1)),4),"")</f>
        <v/>
      </c>
      <c r="DW39" s="150" t="str" cm="1">
        <f t="array" ref="DW39">IFERROR(ROUND(IF($D39="","",INDEX('M04-S05'!DF$18:DF$199,2*(ROWS(DW$37:DW39)-1)+1)),4),"")</f>
        <v/>
      </c>
      <c r="DX39" s="150" t="str" cm="1">
        <f t="array" ref="DX39">IFERROR(ROUND(IF($D39="","",INDEX('M04-S05'!DG$18:DG$199,2*(ROWS(DX$37:DX39)-1)+1)),4),"")</f>
        <v/>
      </c>
      <c r="DY39" s="150" t="str" cm="1">
        <f t="array" ref="DY39">IFERROR(ROUND(IF($D39="","",INDEX('M04-S05'!DH$18:DH$199,2*(ROWS(DY$37:DY39)-1)+1)),4),"")</f>
        <v/>
      </c>
      <c r="DZ39" s="150" t="str" cm="1">
        <f t="array" ref="DZ39">IFERROR(ROUND(IF($D39="","",INDEX('M04-S05'!DI$18:DI$199,2*(ROWS(DZ$37:DZ39)-1)+1)),4),"")</f>
        <v/>
      </c>
      <c r="EA39" s="150" t="str" cm="1">
        <f t="array" ref="EA39">IFERROR(ROUND(IF($D39="","",INDEX('M04-S05'!DJ$18:DJ$199,2*(ROWS(EA$37:EA39)-1)+1)),4),"")</f>
        <v/>
      </c>
      <c r="EB39" s="150" t="str" cm="1">
        <f t="array" ref="EB39">IFERROR(ROUND(IF($D39="","",INDEX('M04-S05'!DK$18:DK$199,2*(ROWS(EB$37:EB39)-1)+1)),6),"")</f>
        <v/>
      </c>
      <c r="EC39" s="150" t="str" cm="1">
        <f t="array" ref="EC39">IFERROR(ROUND(IF($D39="","",INDEX('M04-S05'!DL$18:DL$199,2*(ROWS(EC$37:EC39)-1)+1)),6),"")</f>
        <v/>
      </c>
      <c r="ED39" s="150" t="str" cm="1">
        <f t="array" ref="ED39">IFERROR(ROUND(IF($D39="","",INDEX('M04-S05'!DM$18:DM$199,2*(ROWS(ED$37:ED39)-1)+1)),6),"")</f>
        <v/>
      </c>
      <c r="EE39" s="150" t="str" cm="1">
        <f t="array" ref="EE39">IFERROR(ROUND(IF($D39="","",INDEX('M04-S05'!DN$18:DN$199,2*(ROWS(EE$37:EE39)-1)+1)),6),"")</f>
        <v/>
      </c>
      <c r="EF39" s="150" t="str" cm="1">
        <f t="array" ref="EF39">IFERROR(ROUND(IF($D39="","",INDEX('M04-S05'!DO$18:DO$199,2*(ROWS(EF$37:EF39)-1)+1)),6),"")</f>
        <v/>
      </c>
      <c r="EG39" s="150" t="str" cm="1">
        <f t="array" ref="EG39">IFERROR(ROUND(IF($D39="","",INDEX('M04-S05'!DP$18:DP$199,2*(ROWS(EG$37:EG39)-1)+1)),6),"")</f>
        <v/>
      </c>
      <c r="EH39" s="150" t="str" cm="1">
        <f t="array" ref="EH39">IFERROR(ROUND(IF($D39="","",INDEX('M04-S05'!DQ$18:DQ$199,2*(ROWS(EH$37:EH39)-1)+1)),6),"")</f>
        <v/>
      </c>
      <c r="EI39" s="150" t="str" cm="1">
        <f t="array" ref="EI39">IFERROR(ROUND(IF($D39="","",INDEX('M04-S05'!DR$18:DR$199,2*(ROWS(EI$37:EI39)-1)+1)),6),"")</f>
        <v/>
      </c>
      <c r="EJ39" s="150" t="str" cm="1">
        <f t="array" ref="EJ39">IFERROR(ROUND(IF($D39="","",INDEX('M04-S05'!DS$18:DS$199,2*(ROWS(EJ$37:EJ39)-1)+1)),6),"")</f>
        <v/>
      </c>
      <c r="EK39" s="150" t="str" cm="1">
        <f t="array" ref="EK39">IFERROR(ROUND(IF($D39="","",INDEX('M04-S05'!DT$18:DT$199,2*(ROWS(EK$37:EK39)-1)+1)),6),"")</f>
        <v/>
      </c>
      <c r="EL39" s="150" t="str" cm="1">
        <f t="array" ref="EL39">IFERROR(ROUND(IF($D39="","",INDEX('M04-S05'!DU$18:DU$199,2*(ROWS(EL$37:EL39)-1)+1)),6),"")</f>
        <v/>
      </c>
      <c r="EM39" s="150" t="str" cm="1">
        <f t="array" ref="EM39">IFERROR(ROUND(IF($D39="","",INDEX('M04-S05'!DV$18:DV$199,2*(ROWS(EM$37:EM39)-1)+1)),6),"")</f>
        <v/>
      </c>
      <c r="EN39" s="150" t="str" cm="1">
        <f t="array" ref="EN39">IFERROR(ROUND(IF($D39="","",INDEX('M04-S05'!DW$18:DW$199,2*(ROWS(EN$37:EN39)-1)+1)),6),"")</f>
        <v/>
      </c>
      <c r="EO39" s="150" t="str" cm="1">
        <f t="array" ref="EO39">IFERROR(ROUND(IF($D39="","",INDEX('M04-S05'!DX$18:DX$199,2*(ROWS(EO$37:EO39)-1)+1)),6),"")</f>
        <v/>
      </c>
      <c r="EP39" s="150" t="str" cm="1">
        <f t="array" ref="EP39">IFERROR(ROUND(IF($D39="","",INDEX('M04-S05'!DY$18:DY$199,2*(ROWS(EP$37:EP39)-1)+1)),6),"")</f>
        <v/>
      </c>
      <c r="EQ39" s="150" t="str" cm="1">
        <f t="array" ref="EQ39">IFERROR(ROUND(IF($D39="","",INDEX('M04-S05'!DZ$18:DZ$199,2*(ROWS(EQ$37:EQ39)-1)+1)),6),"")</f>
        <v/>
      </c>
      <c r="ER39" s="150" t="str">
        <f t="shared" si="21"/>
        <v/>
      </c>
      <c r="ES39" s="150" t="str">
        <f t="shared" si="37"/>
        <v/>
      </c>
      <c r="ET39" s="150" t="str">
        <f t="shared" si="38"/>
        <v/>
      </c>
      <c r="EU39" s="150" t="str">
        <f t="shared" si="39"/>
        <v/>
      </c>
      <c r="EV39" s="150" t="str">
        <f t="shared" si="40"/>
        <v/>
      </c>
      <c r="EW39" s="150" t="str">
        <f t="shared" si="41"/>
        <v/>
      </c>
      <c r="EX39" s="150" t="str">
        <f t="shared" si="42"/>
        <v/>
      </c>
      <c r="EY39" s="150" t="str">
        <f t="shared" si="22"/>
        <v/>
      </c>
      <c r="EZ39" s="150" t="str" cm="1">
        <f t="array" ref="EZ39">IFERROR(ROUND(IF($D39="","",INDEX('M04-S05'!EA$18:EA$199,2*(ROWS(EZ$37:EZ39)-1)+1)),6),"")</f>
        <v/>
      </c>
      <c r="FA39" s="150" t="str" cm="1">
        <f t="array" ref="FA39">IFERROR(ROUND(IF($D39="","",INDEX('M04-S05'!EB$18:EB$199,2*(ROWS(FA$37:FA39)-1)+1)),6),"")</f>
        <v/>
      </c>
      <c r="FB39" s="150" t="str" cm="1">
        <f t="array" ref="FB39">IFERROR(ROUND(IF($D39="","",INDEX('M04-S05'!EC$18:EC$199,2*(ROWS(FB$37:FB39)-1)+1)),6),"")</f>
        <v/>
      </c>
      <c r="FC39" s="150" t="str" cm="1">
        <f t="array" ref="FC39">IFERROR(ROUND(IF($D39="","",INDEX('M04-S05'!ED$18:ED$199,2*(ROWS(FC$37:FC39)-1)+1)),6),"")</f>
        <v/>
      </c>
      <c r="FD39" s="150" t="str" cm="1">
        <f t="array" ref="FD39">IFERROR(ROUND(IF($D39="","",INDEX('M04-S05'!EE$18:EE$199,2*(ROWS(FD$37:FD39)-1)+1)),6),"")</f>
        <v/>
      </c>
      <c r="FE39" s="150" t="str" cm="1">
        <f t="array" ref="FE39">IFERROR(ROUND(IF($D39="","",INDEX('M04-S05'!EF$18:EF$199,2*(ROWS(FE$37:FE39)-1)+1)),6),"")</f>
        <v/>
      </c>
      <c r="FF39" s="150" t="str" cm="1">
        <f t="array" ref="FF39">IFERROR(ROUND(IF($D39="","",INDEX('M04-S05'!EG$18:EG$199,2*(ROWS(FF$37:FF39)-1)+1)),6),"")</f>
        <v/>
      </c>
      <c r="FG39" s="150" t="str" cm="1">
        <f t="array" ref="FG39">IFERROR(ROUND(IF($D39="","",INDEX('M04-S05'!EH$18:EH$199,2*(ROWS(FG$37:FG39)-1)+1)),6),"")</f>
        <v/>
      </c>
      <c r="FH39" s="150" t="str" cm="1">
        <f t="array" ref="FH39">IFERROR(ROUND(IF($D39="","",INDEX('M04-S05'!EI$18:EI$199,2*(ROWS(FH$37:FH39)-1)+1)),6),"")</f>
        <v/>
      </c>
      <c r="FI39" s="150" t="str" cm="1">
        <f t="array" ref="FI39">IFERROR(ROUND(IF($D39="","",INDEX('M04-S05'!EJ$18:EJ$199,2*(ROWS(FI$37:FI39)-1)+1)),6),"")</f>
        <v/>
      </c>
      <c r="FJ39" s="150" t="str" cm="1">
        <f t="array" ref="FJ39">IFERROR(ROUND(IF($D39="","",INDEX('M04-S05'!EK$18:EK$199,2*(ROWS(FJ$37:FJ39)-1)+1)),6),"")</f>
        <v/>
      </c>
      <c r="FK39" s="150" t="str" cm="1">
        <f t="array" ref="FK39">IFERROR(ROUND(IF($D39="","",INDEX('M04-S05'!EL$18:EL$199,2*(ROWS(FK$37:FK39)-1)+1)),6),"")</f>
        <v/>
      </c>
      <c r="FL39" s="150" t="str" cm="1">
        <f t="array" ref="FL39">IFERROR(ROUND(IF($D39="","",INDEX('M04-S05'!EM$18:EM$199,2*(ROWS(FL$37:FL39)-1)+1)),6),"")</f>
        <v/>
      </c>
      <c r="FM39" s="150" t="str" cm="1">
        <f t="array" ref="FM39">IFERROR(ROUND(IF($D39="","",INDEX('M04-S05'!EN$18:EN$199,2*(ROWS(FM$37:FM39)-1)+1)),6),"")</f>
        <v/>
      </c>
    </row>
    <row r="40" spans="1:169">
      <c r="A40" t="str">
        <f t="shared" si="61"/>
        <v/>
      </c>
      <c r="B40" t="str">
        <f t="shared" si="62"/>
        <v/>
      </c>
      <c r="C40" t="str" cm="1">
        <f t="array" ref="C40">IFERROR(IF(D40="","",INDEX('M04-S05'!$B$18:$B$199,2*(ROWS(C$37:C40)-1)+1)),"")</f>
        <v/>
      </c>
      <c r="D40" t="str">
        <f t="shared" si="63"/>
        <v/>
      </c>
      <c r="E40" t="str" cm="1">
        <f t="array" ref="E40">IFERROR(IF(INDEX('M04-S05'!$CC$18:$CC$199,2*(ROWS(E$37:E40)-1)+1)="","",INDEX('M04-S05'!$CC$18:$CC$199,2*(ROWS(E$37:E40)-1)+1)),"")</f>
        <v/>
      </c>
      <c r="G40" t="str">
        <f t="shared" si="64"/>
        <v/>
      </c>
      <c r="H40" t="str">
        <f t="shared" si="65"/>
        <v/>
      </c>
      <c r="L40" t="str">
        <f t="shared" si="66"/>
        <v/>
      </c>
      <c r="O40" t="str">
        <f t="shared" si="67"/>
        <v/>
      </c>
      <c r="V40" t="str" cm="1">
        <f t="array" ref="V40">IFERROR(IF(D40="","",INDEX('M04-S05'!$AY$18:$AY$199,2*(ROWS(V$37:V40)-1)+1)),"")</f>
        <v/>
      </c>
      <c r="W40" t="str" cm="1">
        <f t="array" ref="W40">IFERROR(IF(D40="","",INDEX('M04-S05'!$AV$18:$AV$199,2*(ROWS(W$37:W40)-1)+1)),"")</f>
        <v/>
      </c>
      <c r="X40" t="str" cm="1">
        <f t="array" ref="X40">IFERROR(IF(D40="","",INDEX('M04-S05'!$AV$18:$AV$199,2*(ROWS(X$37:X40)-0)+0)),"")</f>
        <v/>
      </c>
      <c r="AG40" s="98" t="str" cm="1">
        <f t="array" ref="AG40">IFERROR(IF(INDEX('M04-S05'!$CB$18:$CB$199,(ROWS(AG$37:AG40)))="","",INDEX('M04-S05'!$CB$18:$CB$199,(ROWS(AG$37:AG40)))),"")</f>
        <v/>
      </c>
      <c r="AH40" s="98" t="str" cm="1">
        <f t="array" ref="AH40">IFERROR(IF(D40="","",IF(INDEX('M04-S05'!$CU$18:$CU$199,2*(ROWS(AH$37:AH40)-1)+1)="","",INDEX('M04-S05'!$CU$18:$CU$199,2*(ROWS(AH$37:AH40)-1)+1))),"")</f>
        <v/>
      </c>
      <c r="AI40" s="20" t="str" cm="1">
        <f t="array" ref="AI40">IFERROR(IF(D40="","",IF(INDEX('M04-S05'!$CM$18:$CM$199,2*(ROWS(AI$37:AI40)-1)+1)="",0,INDEX('M04-S05'!$CM$18:$CM$199,2*(ROWS(AI$37:AI40)-1)+1))),"")</f>
        <v/>
      </c>
      <c r="AJ40" s="20" t="str">
        <f t="shared" si="1"/>
        <v/>
      </c>
      <c r="AK40" s="487" t="str" cm="1">
        <f t="array" ref="AK40">IFERROR(IF(D40="","",IF(INDEX('M04-S05'!$CN$18:$CN$199,2*(ROWS(AK$37:AK40)-1)+1)="",0,INDEX('M04-S05'!$CN$18:$CN$199,2*(ROWS(AK$37:AK40)-1)+1))),"")</f>
        <v/>
      </c>
      <c r="AL40" s="20" t="str">
        <f t="shared" si="68"/>
        <v/>
      </c>
      <c r="AM40" s="20" t="str">
        <f t="shared" si="58"/>
        <v/>
      </c>
      <c r="AN40" s="20" t="str" cm="1">
        <f t="array" ref="AN40">IFERROR(IF(D40="","",IF(INDEX('M04-S05'!$CO$18:$CO$199,2*(ROWS(AN$37:AN40)-1)+1)="",0,INDEX('M04-S05'!$CO$18:$CO$199,2*(ROWS(AN$37:AN40)-1)+1))),"")</f>
        <v/>
      </c>
      <c r="AO40" s="20" t="str" cm="1">
        <f t="array" ref="AO40">IFERROR(IF(D40="","",INDEX('M04-S05'!$R$18:$R$199,2*(ROWS(AO$37:AO40)-1)+1)),"")</f>
        <v/>
      </c>
      <c r="AP40" s="20" t="str" cm="1">
        <f t="array" ref="AP40">IFERROR(IF(D40="","",INDEX('M04-S05'!$AJ$18:$AJ$199,2*(ROWS(AP$37:AP40)-1)+1)),"")</f>
        <v/>
      </c>
      <c r="AQ40" s="487" t="str" cm="1">
        <f t="array" ref="AQ40">IFERROR(IF(D40="","",INDEX('M04-S05'!$U$18:$U$199,2*(ROWS(AQ$37:AQ40)-1)+1)),"")</f>
        <v/>
      </c>
      <c r="AR40" s="487" t="str" cm="1">
        <f t="array" ref="AR40">IFERROR(IF(D40="","",INDEX('M04-S05'!$AM$18:$AM$199,2*(ROWS(AR$37:AR40)-1)+1)),"")</f>
        <v/>
      </c>
      <c r="AS40" s="20" t="str" cm="1">
        <f t="array" ref="AS40">IFERROR(IF(D40="","",INDEX('M04-S05'!$X$18:$X$199,2*(ROWS(AS$37:AS40)-1)+1)),"")</f>
        <v/>
      </c>
      <c r="AT40" s="20" t="str" cm="1">
        <f t="array" ref="AT40">IFERROR(IF(D40="","",INDEX('M04-S05'!$AP$18:$AP$199,2*(ROWS(AT$37:AT40)-1)+1)),"")</f>
        <v/>
      </c>
      <c r="BP40" t="str" cm="1">
        <f t="array" ref="BP40">IFERROR(IF(D40="","",INDEX('M04-S05'!$CS$18:$CS$199,2*(ROWS(BP$37:BP40)-1)+1)),"")</f>
        <v/>
      </c>
      <c r="BR40" t="str" cm="1">
        <f t="array" ref="BR40">IFERROR(IF(D40="","",LEFT(INDEX('M04-S05'!$C$18:$C$199,2*(ROWS(BR$37:BR40)-1)+1),150)),"")</f>
        <v/>
      </c>
      <c r="BS40" t="str" cm="1">
        <f t="array" ref="BS40">IFERROR(IF(D40="","",INDEX('M04-S05'!$CT$18:$CT$199,2*(ROWS(BS$37:BS40)-1)+1)),"")</f>
        <v/>
      </c>
      <c r="BT40" s="6" t="str" cm="1">
        <f t="array" ref="BT40">IFERROR(ROUND(IF(D40="","",INDEX('M04-S05'!$BB$18:$BB$199,2*(ROWS(BT$37:BT40)-1)+1)),2),"")</f>
        <v/>
      </c>
      <c r="BU40" s="6" t="str" cm="1">
        <f t="array" ref="BU40">IFERROR(IF(D40="","",INDEX('M04-S05'!$CX$18:$CX$199,2*(ROWS(BU$37:BU40)-1)+1)),"")</f>
        <v/>
      </c>
      <c r="BV40" s="6" t="str" cm="1">
        <f t="array" ref="BV40">IFERROR(IF(D40="","",INDEX('M04-S05'!$CY$18:$CY$199,2*(ROWS(BV$37:BV40)-1)+1)),"")</f>
        <v/>
      </c>
      <c r="BW40" t="str">
        <f t="shared" si="69"/>
        <v/>
      </c>
      <c r="BX40" t="str">
        <f t="shared" si="70"/>
        <v/>
      </c>
      <c r="BY40" s="6" t="str" cm="1">
        <f t="array" ref="BY40">IFERROR(IF(D40="","",INDEX('M04-S05'!$CI$18:$CI$199,2*(ROWS(BY$37:BY40)-1)+1)),"")</f>
        <v/>
      </c>
      <c r="BZ40" s="6" t="str">
        <f t="shared" si="17"/>
        <v/>
      </c>
      <c r="CA40" s="6" t="str">
        <f t="shared" si="18"/>
        <v/>
      </c>
      <c r="CB40" s="6" t="str">
        <f t="shared" si="3"/>
        <v/>
      </c>
      <c r="CC40" s="6" t="str">
        <f t="shared" si="59"/>
        <v/>
      </c>
      <c r="CD40" s="6" t="str">
        <f t="shared" si="60"/>
        <v/>
      </c>
      <c r="CS40" t="str" cm="1">
        <f t="array" ref="CS40">IFERROR(IF(D40="","",INDEX('M04-S05'!$F$18:$F$199,2*(ROWS(CS$37:CS40)-1)+1)),"")</f>
        <v/>
      </c>
      <c r="CT40" t="str" cm="1">
        <f t="array" ref="CT40">IFERROR(IF(D40="","",INDEX('M04-S05'!$L$18:$L$199,2*(ROWS(CT$37:CT40)-1)+1)),"")</f>
        <v/>
      </c>
      <c r="CU40" t="str" cm="1">
        <f t="array" ref="CU40">IFERROR(IF(D40="","",INDEX('M04-S05'!$AD$18:$AD$199,2*(ROWS(CU$37:CU40)-1)+1)),"")</f>
        <v/>
      </c>
      <c r="DE40" s="150"/>
      <c r="DF40" s="150" t="str">
        <f>IFERROR(ROUND(IF(OR(D40="",DE40=""),"",TEMPLATE!$V$13),2),"")</f>
        <v/>
      </c>
      <c r="DG40" s="150"/>
      <c r="DH40" s="150" t="str">
        <f>IFERROR(ROUND(IF(OR(D40="",DG40=""),"",TEMPLATE!$V$13),2),"")</f>
        <v/>
      </c>
      <c r="DI40" s="150"/>
      <c r="DJ40" s="150" t="str">
        <f>IFERROR(ROUND(IF(OR(D40="",DI40=""),"",TEMPLATE!$V$13),2),"")</f>
        <v/>
      </c>
      <c r="DK40" s="150"/>
      <c r="DL40" s="150" t="str">
        <f>IFERROR(ROUND(IF(OR(D40="",DK40=""),"",TEMPLATE!$V$13),2),"")</f>
        <v/>
      </c>
      <c r="DM40" s="150"/>
      <c r="DN40" s="150" t="str">
        <f>IFERROR(ROUND(IF(OR(D40="",DM40=""),"",TEMPLATE!$V$13),2),"")</f>
        <v/>
      </c>
      <c r="DO40" s="150"/>
      <c r="DP40" s="150" t="str">
        <f>IFERROR(ROUND(IF(OR(D40="",DO40=""),"",TEMPLATE!$V$13),2),"")</f>
        <v/>
      </c>
      <c r="DQ40" s="150"/>
      <c r="DR40" s="150" t="str">
        <f>IFERROR(ROUND(IF(OR(D40="",DQ40=""),"",TEMPLATE!$V$13),2),"")</f>
        <v/>
      </c>
      <c r="DS40" s="150"/>
      <c r="DT40" s="150" t="str">
        <f>IFERROR(ROUND(IF(OR(D40="",DS40=""),"",TEMPLATE!$V$13),2),"")</f>
        <v/>
      </c>
      <c r="DU40" s="150" t="str" cm="1">
        <f t="array" ref="DU40">IFERROR(ROUND(IF($D40="","",INDEX('M04-S05'!DD$18:DD$199,2*(ROWS(DU$37:DU40)-1)+1)),4),"")</f>
        <v/>
      </c>
      <c r="DV40" s="150" t="str" cm="1">
        <f t="array" ref="DV40">IFERROR(ROUND(IF($D40="","",INDEX('M04-S05'!DE$18:DE$199,2*(ROWS(DV$37:DV40)-1)+1)),4),"")</f>
        <v/>
      </c>
      <c r="DW40" s="150" t="str" cm="1">
        <f t="array" ref="DW40">IFERROR(ROUND(IF($D40="","",INDEX('M04-S05'!DF$18:DF$199,2*(ROWS(DW$37:DW40)-1)+1)),4),"")</f>
        <v/>
      </c>
      <c r="DX40" s="150" t="str" cm="1">
        <f t="array" ref="DX40">IFERROR(ROUND(IF($D40="","",INDEX('M04-S05'!DG$18:DG$199,2*(ROWS(DX$37:DX40)-1)+1)),4),"")</f>
        <v/>
      </c>
      <c r="DY40" s="150" t="str" cm="1">
        <f t="array" ref="DY40">IFERROR(ROUND(IF($D40="","",INDEX('M04-S05'!DH$18:DH$199,2*(ROWS(DY$37:DY40)-1)+1)),4),"")</f>
        <v/>
      </c>
      <c r="DZ40" s="150" t="str" cm="1">
        <f t="array" ref="DZ40">IFERROR(ROUND(IF($D40="","",INDEX('M04-S05'!DI$18:DI$199,2*(ROWS(DZ$37:DZ40)-1)+1)),4),"")</f>
        <v/>
      </c>
      <c r="EA40" s="150" t="str" cm="1">
        <f t="array" ref="EA40">IFERROR(ROUND(IF($D40="","",INDEX('M04-S05'!DJ$18:DJ$199,2*(ROWS(EA$37:EA40)-1)+1)),4),"")</f>
        <v/>
      </c>
      <c r="EB40" s="150" t="str" cm="1">
        <f t="array" ref="EB40">IFERROR(ROUND(IF($D40="","",INDEX('M04-S05'!DK$18:DK$199,2*(ROWS(EB$37:EB40)-1)+1)),6),"")</f>
        <v/>
      </c>
      <c r="EC40" s="150" t="str" cm="1">
        <f t="array" ref="EC40">IFERROR(ROUND(IF($D40="","",INDEX('M04-S05'!DL$18:DL$199,2*(ROWS(EC$37:EC40)-1)+1)),6),"")</f>
        <v/>
      </c>
      <c r="ED40" s="150" t="str" cm="1">
        <f t="array" ref="ED40">IFERROR(ROUND(IF($D40="","",INDEX('M04-S05'!DM$18:DM$199,2*(ROWS(ED$37:ED40)-1)+1)),6),"")</f>
        <v/>
      </c>
      <c r="EE40" s="150" t="str" cm="1">
        <f t="array" ref="EE40">IFERROR(ROUND(IF($D40="","",INDEX('M04-S05'!DN$18:DN$199,2*(ROWS(EE$37:EE40)-1)+1)),6),"")</f>
        <v/>
      </c>
      <c r="EF40" s="150" t="str" cm="1">
        <f t="array" ref="EF40">IFERROR(ROUND(IF($D40="","",INDEX('M04-S05'!DO$18:DO$199,2*(ROWS(EF$37:EF40)-1)+1)),6),"")</f>
        <v/>
      </c>
      <c r="EG40" s="150" t="str" cm="1">
        <f t="array" ref="EG40">IFERROR(ROUND(IF($D40="","",INDEX('M04-S05'!DP$18:DP$199,2*(ROWS(EG$37:EG40)-1)+1)),6),"")</f>
        <v/>
      </c>
      <c r="EH40" s="150" t="str" cm="1">
        <f t="array" ref="EH40">IFERROR(ROUND(IF($D40="","",INDEX('M04-S05'!DQ$18:DQ$199,2*(ROWS(EH$37:EH40)-1)+1)),6),"")</f>
        <v/>
      </c>
      <c r="EI40" s="150" t="str" cm="1">
        <f t="array" ref="EI40">IFERROR(ROUND(IF($D40="","",INDEX('M04-S05'!DR$18:DR$199,2*(ROWS(EI$37:EI40)-1)+1)),6),"")</f>
        <v/>
      </c>
      <c r="EJ40" s="150" t="str" cm="1">
        <f t="array" ref="EJ40">IFERROR(ROUND(IF($D40="","",INDEX('M04-S05'!DS$18:DS$199,2*(ROWS(EJ$37:EJ40)-1)+1)),6),"")</f>
        <v/>
      </c>
      <c r="EK40" s="150" t="str" cm="1">
        <f t="array" ref="EK40">IFERROR(ROUND(IF($D40="","",INDEX('M04-S05'!DT$18:DT$199,2*(ROWS(EK$37:EK40)-1)+1)),6),"")</f>
        <v/>
      </c>
      <c r="EL40" s="150" t="str" cm="1">
        <f t="array" ref="EL40">IFERROR(ROUND(IF($D40="","",INDEX('M04-S05'!DU$18:DU$199,2*(ROWS(EL$37:EL40)-1)+1)),6),"")</f>
        <v/>
      </c>
      <c r="EM40" s="150" t="str" cm="1">
        <f t="array" ref="EM40">IFERROR(ROUND(IF($D40="","",INDEX('M04-S05'!DV$18:DV$199,2*(ROWS(EM$37:EM40)-1)+1)),6),"")</f>
        <v/>
      </c>
      <c r="EN40" s="150" t="str" cm="1">
        <f t="array" ref="EN40">IFERROR(ROUND(IF($D40="","",INDEX('M04-S05'!DW$18:DW$199,2*(ROWS(EN$37:EN40)-1)+1)),6),"")</f>
        <v/>
      </c>
      <c r="EO40" s="150" t="str" cm="1">
        <f t="array" ref="EO40">IFERROR(ROUND(IF($D40="","",INDEX('M04-S05'!DX$18:DX$199,2*(ROWS(EO$37:EO40)-1)+1)),6),"")</f>
        <v/>
      </c>
      <c r="EP40" s="150" t="str" cm="1">
        <f t="array" ref="EP40">IFERROR(ROUND(IF($D40="","",INDEX('M04-S05'!DY$18:DY$199,2*(ROWS(EP$37:EP40)-1)+1)),6),"")</f>
        <v/>
      </c>
      <c r="EQ40" s="150" t="str" cm="1">
        <f t="array" ref="EQ40">IFERROR(ROUND(IF($D40="","",INDEX('M04-S05'!DZ$18:DZ$199,2*(ROWS(EQ$37:EQ40)-1)+1)),6),"")</f>
        <v/>
      </c>
      <c r="ER40" s="150" t="str">
        <f t="shared" si="21"/>
        <v/>
      </c>
      <c r="ES40" s="150" t="str">
        <f t="shared" si="37"/>
        <v/>
      </c>
      <c r="ET40" s="150" t="str">
        <f t="shared" si="38"/>
        <v/>
      </c>
      <c r="EU40" s="150" t="str">
        <f t="shared" si="39"/>
        <v/>
      </c>
      <c r="EV40" s="150" t="str">
        <f t="shared" si="40"/>
        <v/>
      </c>
      <c r="EW40" s="150" t="str">
        <f t="shared" si="41"/>
        <v/>
      </c>
      <c r="EX40" s="150" t="str">
        <f t="shared" si="42"/>
        <v/>
      </c>
      <c r="EY40" s="150" t="str">
        <f t="shared" si="22"/>
        <v/>
      </c>
      <c r="EZ40" s="150" t="str" cm="1">
        <f t="array" ref="EZ40">IFERROR(ROUND(IF($D40="","",INDEX('M04-S05'!EA$18:EA$199,2*(ROWS(EZ$37:EZ40)-1)+1)),6),"")</f>
        <v/>
      </c>
      <c r="FA40" s="150" t="str" cm="1">
        <f t="array" ref="FA40">IFERROR(ROUND(IF($D40="","",INDEX('M04-S05'!EB$18:EB$199,2*(ROWS(FA$37:FA40)-1)+1)),6),"")</f>
        <v/>
      </c>
      <c r="FB40" s="150" t="str" cm="1">
        <f t="array" ref="FB40">IFERROR(ROUND(IF($D40="","",INDEX('M04-S05'!EC$18:EC$199,2*(ROWS(FB$37:FB40)-1)+1)),6),"")</f>
        <v/>
      </c>
      <c r="FC40" s="150" t="str" cm="1">
        <f t="array" ref="FC40">IFERROR(ROUND(IF($D40="","",INDEX('M04-S05'!ED$18:ED$199,2*(ROWS(FC$37:FC40)-1)+1)),6),"")</f>
        <v/>
      </c>
      <c r="FD40" s="150" t="str" cm="1">
        <f t="array" ref="FD40">IFERROR(ROUND(IF($D40="","",INDEX('M04-S05'!EE$18:EE$199,2*(ROWS(FD$37:FD40)-1)+1)),6),"")</f>
        <v/>
      </c>
      <c r="FE40" s="150" t="str" cm="1">
        <f t="array" ref="FE40">IFERROR(ROUND(IF($D40="","",INDEX('M04-S05'!EF$18:EF$199,2*(ROWS(FE$37:FE40)-1)+1)),6),"")</f>
        <v/>
      </c>
      <c r="FF40" s="150" t="str" cm="1">
        <f t="array" ref="FF40">IFERROR(ROUND(IF($D40="","",INDEX('M04-S05'!EG$18:EG$199,2*(ROWS(FF$37:FF40)-1)+1)),6),"")</f>
        <v/>
      </c>
      <c r="FG40" s="150" t="str" cm="1">
        <f t="array" ref="FG40">IFERROR(ROUND(IF($D40="","",INDEX('M04-S05'!EH$18:EH$199,2*(ROWS(FG$37:FG40)-1)+1)),6),"")</f>
        <v/>
      </c>
      <c r="FH40" s="150" t="str" cm="1">
        <f t="array" ref="FH40">IFERROR(ROUND(IF($D40="","",INDEX('M04-S05'!EI$18:EI$199,2*(ROWS(FH$37:FH40)-1)+1)),6),"")</f>
        <v/>
      </c>
      <c r="FI40" s="150" t="str" cm="1">
        <f t="array" ref="FI40">IFERROR(ROUND(IF($D40="","",INDEX('M04-S05'!EJ$18:EJ$199,2*(ROWS(FI$37:FI40)-1)+1)),6),"")</f>
        <v/>
      </c>
      <c r="FJ40" s="150" t="str" cm="1">
        <f t="array" ref="FJ40">IFERROR(ROUND(IF($D40="","",INDEX('M04-S05'!EK$18:EK$199,2*(ROWS(FJ$37:FJ40)-1)+1)),6),"")</f>
        <v/>
      </c>
      <c r="FK40" s="150" t="str" cm="1">
        <f t="array" ref="FK40">IFERROR(ROUND(IF($D40="","",INDEX('M04-S05'!EL$18:EL$199,2*(ROWS(FK$37:FK40)-1)+1)),6),"")</f>
        <v/>
      </c>
      <c r="FL40" s="150" t="str" cm="1">
        <f t="array" ref="FL40">IFERROR(ROUND(IF($D40="","",INDEX('M04-S05'!EM$18:EM$199,2*(ROWS(FL$37:FL40)-1)+1)),6),"")</f>
        <v/>
      </c>
      <c r="FM40" s="150" t="str" cm="1">
        <f t="array" ref="FM40">IFERROR(ROUND(IF($D40="","",INDEX('M04-S05'!EN$18:EN$199,2*(ROWS(FM$37:FM40)-1)+1)),6),"")</f>
        <v/>
      </c>
    </row>
    <row r="41" spans="1:169">
      <c r="A41" t="str">
        <f t="shared" si="61"/>
        <v/>
      </c>
      <c r="B41" t="str">
        <f t="shared" si="62"/>
        <v/>
      </c>
      <c r="C41" t="str" cm="1">
        <f t="array" ref="C41">IFERROR(IF(D41="","",INDEX('M04-S05'!$B$18:$B$199,2*(ROWS(C$37:C41)-1)+1)),"")</f>
        <v/>
      </c>
      <c r="D41" t="str">
        <f t="shared" si="63"/>
        <v/>
      </c>
      <c r="E41" t="str" cm="1">
        <f t="array" ref="E41">IFERROR(IF(INDEX('M04-S05'!$CC$18:$CC$199,2*(ROWS(E$37:E41)-1)+1)="","",INDEX('M04-S05'!$CC$18:$CC$199,2*(ROWS(E$37:E41)-1)+1)),"")</f>
        <v/>
      </c>
      <c r="G41" t="str">
        <f t="shared" si="64"/>
        <v/>
      </c>
      <c r="H41" t="str">
        <f t="shared" si="65"/>
        <v/>
      </c>
      <c r="L41" t="str">
        <f t="shared" si="66"/>
        <v/>
      </c>
      <c r="O41" t="str">
        <f t="shared" si="67"/>
        <v/>
      </c>
      <c r="V41" t="str" cm="1">
        <f t="array" ref="V41">IFERROR(IF(D41="","",INDEX('M04-S05'!$AY$18:$AY$199,2*(ROWS(V$37:V41)-1)+1)),"")</f>
        <v/>
      </c>
      <c r="W41" t="str" cm="1">
        <f t="array" ref="W41">IFERROR(IF(D41="","",INDEX('M04-S05'!$AV$18:$AV$199,2*(ROWS(W$37:W41)-1)+1)),"")</f>
        <v/>
      </c>
      <c r="X41" t="str" cm="1">
        <f t="array" ref="X41">IFERROR(IF(D41="","",INDEX('M04-S05'!$AV$18:$AV$199,2*(ROWS(X$37:X41)-0)+0)),"")</f>
        <v/>
      </c>
      <c r="AG41" s="98" t="str" cm="1">
        <f t="array" ref="AG41">IFERROR(IF(INDEX('M04-S05'!$CB$18:$CB$199,(ROWS(AG$37:AG41)))="","",INDEX('M04-S05'!$CB$18:$CB$199,(ROWS(AG$37:AG41)))),"")</f>
        <v/>
      </c>
      <c r="AH41" s="98" t="str" cm="1">
        <f t="array" ref="AH41">IFERROR(IF(D41="","",IF(INDEX('M04-S05'!$CU$18:$CU$199,2*(ROWS(AH$37:AH41)-1)+1)="","",INDEX('M04-S05'!$CU$18:$CU$199,2*(ROWS(AH$37:AH41)-1)+1))),"")</f>
        <v/>
      </c>
      <c r="AI41" s="20" t="str" cm="1">
        <f t="array" ref="AI41">IFERROR(IF(D41="","",IF(INDEX('M04-S05'!$CM$18:$CM$199,2*(ROWS(AI$37:AI41)-1)+1)="",0,INDEX('M04-S05'!$CM$18:$CM$199,2*(ROWS(AI$37:AI41)-1)+1))),"")</f>
        <v/>
      </c>
      <c r="AJ41" s="20" t="str">
        <f t="shared" si="1"/>
        <v/>
      </c>
      <c r="AK41" s="487" t="str" cm="1">
        <f t="array" ref="AK41">IFERROR(IF(D41="","",IF(INDEX('M04-S05'!$CN$18:$CN$199,2*(ROWS(AK$37:AK41)-1)+1)="",0,INDEX('M04-S05'!$CN$18:$CN$199,2*(ROWS(AK$37:AK41)-1)+1))),"")</f>
        <v/>
      </c>
      <c r="AL41" s="20" t="str">
        <f t="shared" si="68"/>
        <v/>
      </c>
      <c r="AM41" s="20" t="str">
        <f t="shared" si="58"/>
        <v/>
      </c>
      <c r="AN41" s="20" t="str" cm="1">
        <f t="array" ref="AN41">IFERROR(IF(D41="","",IF(INDEX('M04-S05'!$CO$18:$CO$199,2*(ROWS(AN$37:AN41)-1)+1)="",0,INDEX('M04-S05'!$CO$18:$CO$199,2*(ROWS(AN$37:AN41)-1)+1))),"")</f>
        <v/>
      </c>
      <c r="AO41" s="20" t="str" cm="1">
        <f t="array" ref="AO41">IFERROR(IF(D41="","",INDEX('M04-S05'!$R$18:$R$199,2*(ROWS(AO$37:AO41)-1)+1)),"")</f>
        <v/>
      </c>
      <c r="AP41" s="20" t="str" cm="1">
        <f t="array" ref="AP41">IFERROR(IF(D41="","",INDEX('M04-S05'!$AJ$18:$AJ$199,2*(ROWS(AP$37:AP41)-1)+1)),"")</f>
        <v/>
      </c>
      <c r="AQ41" s="487" t="str" cm="1">
        <f t="array" ref="AQ41">IFERROR(IF(D41="","",INDEX('M04-S05'!$U$18:$U$199,2*(ROWS(AQ$37:AQ41)-1)+1)),"")</f>
        <v/>
      </c>
      <c r="AR41" s="487" t="str" cm="1">
        <f t="array" ref="AR41">IFERROR(IF(D41="","",INDEX('M04-S05'!$AM$18:$AM$199,2*(ROWS(AR$37:AR41)-1)+1)),"")</f>
        <v/>
      </c>
      <c r="AS41" s="20" t="str" cm="1">
        <f t="array" ref="AS41">IFERROR(IF(D41="","",INDEX('M04-S05'!$X$18:$X$199,2*(ROWS(AS$37:AS41)-1)+1)),"")</f>
        <v/>
      </c>
      <c r="AT41" s="20" t="str" cm="1">
        <f t="array" ref="AT41">IFERROR(IF(D41="","",INDEX('M04-S05'!$AP$18:$AP$199,2*(ROWS(AT$37:AT41)-1)+1)),"")</f>
        <v/>
      </c>
      <c r="BP41" t="str" cm="1">
        <f t="array" ref="BP41">IFERROR(IF(D41="","",INDEX('M04-S05'!$CS$18:$CS$199,2*(ROWS(BP$37:BP41)-1)+1)),"")</f>
        <v/>
      </c>
      <c r="BR41" t="str" cm="1">
        <f t="array" ref="BR41">IFERROR(IF(D41="","",LEFT(INDEX('M04-S05'!$C$18:$C$199,2*(ROWS(BR$37:BR41)-1)+1),150)),"")</f>
        <v/>
      </c>
      <c r="BS41" t="str" cm="1">
        <f t="array" ref="BS41">IFERROR(IF(D41="","",INDEX('M04-S05'!$CT$18:$CT$199,2*(ROWS(BS$37:BS41)-1)+1)),"")</f>
        <v/>
      </c>
      <c r="BT41" s="6" t="str" cm="1">
        <f t="array" ref="BT41">IFERROR(ROUND(IF(D41="","",INDEX('M04-S05'!$BB$18:$BB$199,2*(ROWS(BT$37:BT41)-1)+1)),2),"")</f>
        <v/>
      </c>
      <c r="BU41" s="6" t="str" cm="1">
        <f t="array" ref="BU41">IFERROR(IF(D41="","",INDEX('M04-S05'!$CX$18:$CX$199,2*(ROWS(BU$37:BU41)-1)+1)),"")</f>
        <v/>
      </c>
      <c r="BV41" s="6" t="str" cm="1">
        <f t="array" ref="BV41">IFERROR(IF(D41="","",INDEX('M04-S05'!$CY$18:$CY$199,2*(ROWS(BV$37:BV41)-1)+1)),"")</f>
        <v/>
      </c>
      <c r="BW41" t="str">
        <f t="shared" si="69"/>
        <v/>
      </c>
      <c r="BX41" t="str">
        <f t="shared" si="70"/>
        <v/>
      </c>
      <c r="BY41" s="6" t="str" cm="1">
        <f t="array" ref="BY41">IFERROR(IF(D41="","",INDEX('M04-S05'!$CI$18:$CI$199,2*(ROWS(BY$37:BY41)-1)+1)),"")</f>
        <v/>
      </c>
      <c r="BZ41" s="6" t="str">
        <f t="shared" si="17"/>
        <v/>
      </c>
      <c r="CA41" s="6" t="str">
        <f t="shared" si="18"/>
        <v/>
      </c>
      <c r="CB41" s="6" t="str">
        <f t="shared" si="3"/>
        <v/>
      </c>
      <c r="CC41" s="6" t="str">
        <f t="shared" si="59"/>
        <v/>
      </c>
      <c r="CD41" s="6" t="str">
        <f t="shared" si="60"/>
        <v/>
      </c>
      <c r="CS41" t="str" cm="1">
        <f t="array" ref="CS41">IFERROR(IF(D41="","",INDEX('M04-S05'!$F$18:$F$199,2*(ROWS(CS$37:CS41)-1)+1)),"")</f>
        <v/>
      </c>
      <c r="CT41" t="str" cm="1">
        <f t="array" ref="CT41">IFERROR(IF(D41="","",INDEX('M04-S05'!$L$18:$L$199,2*(ROWS(CT$37:CT41)-1)+1)),"")</f>
        <v/>
      </c>
      <c r="CU41" t="str" cm="1">
        <f t="array" ref="CU41">IFERROR(IF(D41="","",INDEX('M04-S05'!$AD$18:$AD$199,2*(ROWS(CU$37:CU41)-1)+1)),"")</f>
        <v/>
      </c>
      <c r="DE41" s="150"/>
      <c r="DF41" s="150" t="str">
        <f>IFERROR(ROUND(IF(OR(D41="",DE41=""),"",TEMPLATE!$V$13),2),"")</f>
        <v/>
      </c>
      <c r="DG41" s="150"/>
      <c r="DH41" s="150" t="str">
        <f>IFERROR(ROUND(IF(OR(D41="",DG41=""),"",TEMPLATE!$V$13),2),"")</f>
        <v/>
      </c>
      <c r="DI41" s="150"/>
      <c r="DJ41" s="150" t="str">
        <f>IFERROR(ROUND(IF(OR(D41="",DI41=""),"",TEMPLATE!$V$13),2),"")</f>
        <v/>
      </c>
      <c r="DK41" s="150"/>
      <c r="DL41" s="150" t="str">
        <f>IFERROR(ROUND(IF(OR(D41="",DK41=""),"",TEMPLATE!$V$13),2),"")</f>
        <v/>
      </c>
      <c r="DM41" s="150"/>
      <c r="DN41" s="150" t="str">
        <f>IFERROR(ROUND(IF(OR(D41="",DM41=""),"",TEMPLATE!$V$13),2),"")</f>
        <v/>
      </c>
      <c r="DO41" s="150"/>
      <c r="DP41" s="150" t="str">
        <f>IFERROR(ROUND(IF(OR(D41="",DO41=""),"",TEMPLATE!$V$13),2),"")</f>
        <v/>
      </c>
      <c r="DQ41" s="150"/>
      <c r="DR41" s="150" t="str">
        <f>IFERROR(ROUND(IF(OR(D41="",DQ41=""),"",TEMPLATE!$V$13),2),"")</f>
        <v/>
      </c>
      <c r="DS41" s="150"/>
      <c r="DT41" s="150" t="str">
        <f>IFERROR(ROUND(IF(OR(D41="",DS41=""),"",TEMPLATE!$V$13),2),"")</f>
        <v/>
      </c>
      <c r="DU41" s="150" t="str" cm="1">
        <f t="array" ref="DU41">IFERROR(ROUND(IF($D41="","",INDEX('M04-S05'!DD$18:DD$199,2*(ROWS(DU$37:DU41)-1)+1)),4),"")</f>
        <v/>
      </c>
      <c r="DV41" s="150" t="str" cm="1">
        <f t="array" ref="DV41">IFERROR(ROUND(IF($D41="","",INDEX('M04-S05'!DE$18:DE$199,2*(ROWS(DV$37:DV41)-1)+1)),4),"")</f>
        <v/>
      </c>
      <c r="DW41" s="150" t="str" cm="1">
        <f t="array" ref="DW41">IFERROR(ROUND(IF($D41="","",INDEX('M04-S05'!DF$18:DF$199,2*(ROWS(DW$37:DW41)-1)+1)),4),"")</f>
        <v/>
      </c>
      <c r="DX41" s="150" t="str" cm="1">
        <f t="array" ref="DX41">IFERROR(ROUND(IF($D41="","",INDEX('M04-S05'!DG$18:DG$199,2*(ROWS(DX$37:DX41)-1)+1)),4),"")</f>
        <v/>
      </c>
      <c r="DY41" s="150" t="str" cm="1">
        <f t="array" ref="DY41">IFERROR(ROUND(IF($D41="","",INDEX('M04-S05'!DH$18:DH$199,2*(ROWS(DY$37:DY41)-1)+1)),4),"")</f>
        <v/>
      </c>
      <c r="DZ41" s="150" t="str" cm="1">
        <f t="array" ref="DZ41">IFERROR(ROUND(IF($D41="","",INDEX('M04-S05'!DI$18:DI$199,2*(ROWS(DZ$37:DZ41)-1)+1)),4),"")</f>
        <v/>
      </c>
      <c r="EA41" s="150" t="str" cm="1">
        <f t="array" ref="EA41">IFERROR(ROUND(IF($D41="","",INDEX('M04-S05'!DJ$18:DJ$199,2*(ROWS(EA$37:EA41)-1)+1)),4),"")</f>
        <v/>
      </c>
      <c r="EB41" s="150" t="str" cm="1">
        <f t="array" ref="EB41">IFERROR(ROUND(IF($D41="","",INDEX('M04-S05'!DK$18:DK$199,2*(ROWS(EB$37:EB41)-1)+1)),6),"")</f>
        <v/>
      </c>
      <c r="EC41" s="150" t="str" cm="1">
        <f t="array" ref="EC41">IFERROR(ROUND(IF($D41="","",INDEX('M04-S05'!DL$18:DL$199,2*(ROWS(EC$37:EC41)-1)+1)),6),"")</f>
        <v/>
      </c>
      <c r="ED41" s="150" t="str" cm="1">
        <f t="array" ref="ED41">IFERROR(ROUND(IF($D41="","",INDEX('M04-S05'!DM$18:DM$199,2*(ROWS(ED$37:ED41)-1)+1)),6),"")</f>
        <v/>
      </c>
      <c r="EE41" s="150" t="str" cm="1">
        <f t="array" ref="EE41">IFERROR(ROUND(IF($D41="","",INDEX('M04-S05'!DN$18:DN$199,2*(ROWS(EE$37:EE41)-1)+1)),6),"")</f>
        <v/>
      </c>
      <c r="EF41" s="150" t="str" cm="1">
        <f t="array" ref="EF41">IFERROR(ROUND(IF($D41="","",INDEX('M04-S05'!DO$18:DO$199,2*(ROWS(EF$37:EF41)-1)+1)),6),"")</f>
        <v/>
      </c>
      <c r="EG41" s="150" t="str" cm="1">
        <f t="array" ref="EG41">IFERROR(ROUND(IF($D41="","",INDEX('M04-S05'!DP$18:DP$199,2*(ROWS(EG$37:EG41)-1)+1)),6),"")</f>
        <v/>
      </c>
      <c r="EH41" s="150" t="str" cm="1">
        <f t="array" ref="EH41">IFERROR(ROUND(IF($D41="","",INDEX('M04-S05'!DQ$18:DQ$199,2*(ROWS(EH$37:EH41)-1)+1)),6),"")</f>
        <v/>
      </c>
      <c r="EI41" s="150" t="str" cm="1">
        <f t="array" ref="EI41">IFERROR(ROUND(IF($D41="","",INDEX('M04-S05'!DR$18:DR$199,2*(ROWS(EI$37:EI41)-1)+1)),6),"")</f>
        <v/>
      </c>
      <c r="EJ41" s="150" t="str" cm="1">
        <f t="array" ref="EJ41">IFERROR(ROUND(IF($D41="","",INDEX('M04-S05'!DS$18:DS$199,2*(ROWS(EJ$37:EJ41)-1)+1)),6),"")</f>
        <v/>
      </c>
      <c r="EK41" s="150" t="str" cm="1">
        <f t="array" ref="EK41">IFERROR(ROUND(IF($D41="","",INDEX('M04-S05'!DT$18:DT$199,2*(ROWS(EK$37:EK41)-1)+1)),6),"")</f>
        <v/>
      </c>
      <c r="EL41" s="150" t="str" cm="1">
        <f t="array" ref="EL41">IFERROR(ROUND(IF($D41="","",INDEX('M04-S05'!DU$18:DU$199,2*(ROWS(EL$37:EL41)-1)+1)),6),"")</f>
        <v/>
      </c>
      <c r="EM41" s="150" t="str" cm="1">
        <f t="array" ref="EM41">IFERROR(ROUND(IF($D41="","",INDEX('M04-S05'!DV$18:DV$199,2*(ROWS(EM$37:EM41)-1)+1)),6),"")</f>
        <v/>
      </c>
      <c r="EN41" s="150" t="str" cm="1">
        <f t="array" ref="EN41">IFERROR(ROUND(IF($D41="","",INDEX('M04-S05'!DW$18:DW$199,2*(ROWS(EN$37:EN41)-1)+1)),6),"")</f>
        <v/>
      </c>
      <c r="EO41" s="150" t="str" cm="1">
        <f t="array" ref="EO41">IFERROR(ROUND(IF($D41="","",INDEX('M04-S05'!DX$18:DX$199,2*(ROWS(EO$37:EO41)-1)+1)),6),"")</f>
        <v/>
      </c>
      <c r="EP41" s="150" t="str" cm="1">
        <f t="array" ref="EP41">IFERROR(ROUND(IF($D41="","",INDEX('M04-S05'!DY$18:DY$199,2*(ROWS(EP$37:EP41)-1)+1)),6),"")</f>
        <v/>
      </c>
      <c r="EQ41" s="150" t="str" cm="1">
        <f t="array" ref="EQ41">IFERROR(ROUND(IF($D41="","",INDEX('M04-S05'!DZ$18:DZ$199,2*(ROWS(EQ$37:EQ41)-1)+1)),6),"")</f>
        <v/>
      </c>
      <c r="ER41" s="150" t="str">
        <f t="shared" si="21"/>
        <v/>
      </c>
      <c r="ES41" s="150" t="str">
        <f t="shared" si="37"/>
        <v/>
      </c>
      <c r="ET41" s="150" t="str">
        <f t="shared" si="38"/>
        <v/>
      </c>
      <c r="EU41" s="150" t="str">
        <f t="shared" si="39"/>
        <v/>
      </c>
      <c r="EV41" s="150" t="str">
        <f t="shared" si="40"/>
        <v/>
      </c>
      <c r="EW41" s="150" t="str">
        <f t="shared" si="41"/>
        <v/>
      </c>
      <c r="EX41" s="150" t="str">
        <f t="shared" si="42"/>
        <v/>
      </c>
      <c r="EY41" s="150" t="str">
        <f t="shared" si="22"/>
        <v/>
      </c>
      <c r="EZ41" s="150" t="str" cm="1">
        <f t="array" ref="EZ41">IFERROR(ROUND(IF($D41="","",INDEX('M04-S05'!EA$18:EA$199,2*(ROWS(EZ$37:EZ41)-1)+1)),6),"")</f>
        <v/>
      </c>
      <c r="FA41" s="150" t="str" cm="1">
        <f t="array" ref="FA41">IFERROR(ROUND(IF($D41="","",INDEX('M04-S05'!EB$18:EB$199,2*(ROWS(FA$37:FA41)-1)+1)),6),"")</f>
        <v/>
      </c>
      <c r="FB41" s="150" t="str" cm="1">
        <f t="array" ref="FB41">IFERROR(ROUND(IF($D41="","",INDEX('M04-S05'!EC$18:EC$199,2*(ROWS(FB$37:FB41)-1)+1)),6),"")</f>
        <v/>
      </c>
      <c r="FC41" s="150" t="str" cm="1">
        <f t="array" ref="FC41">IFERROR(ROUND(IF($D41="","",INDEX('M04-S05'!ED$18:ED$199,2*(ROWS(FC$37:FC41)-1)+1)),6),"")</f>
        <v/>
      </c>
      <c r="FD41" s="150" t="str" cm="1">
        <f t="array" ref="FD41">IFERROR(ROUND(IF($D41="","",INDEX('M04-S05'!EE$18:EE$199,2*(ROWS(FD$37:FD41)-1)+1)),6),"")</f>
        <v/>
      </c>
      <c r="FE41" s="150" t="str" cm="1">
        <f t="array" ref="FE41">IFERROR(ROUND(IF($D41="","",INDEX('M04-S05'!EF$18:EF$199,2*(ROWS(FE$37:FE41)-1)+1)),6),"")</f>
        <v/>
      </c>
      <c r="FF41" s="150" t="str" cm="1">
        <f t="array" ref="FF41">IFERROR(ROUND(IF($D41="","",INDEX('M04-S05'!EG$18:EG$199,2*(ROWS(FF$37:FF41)-1)+1)),6),"")</f>
        <v/>
      </c>
      <c r="FG41" s="150" t="str" cm="1">
        <f t="array" ref="FG41">IFERROR(ROUND(IF($D41="","",INDEX('M04-S05'!EH$18:EH$199,2*(ROWS(FG$37:FG41)-1)+1)),6),"")</f>
        <v/>
      </c>
      <c r="FH41" s="150" t="str" cm="1">
        <f t="array" ref="FH41">IFERROR(ROUND(IF($D41="","",INDEX('M04-S05'!EI$18:EI$199,2*(ROWS(FH$37:FH41)-1)+1)),6),"")</f>
        <v/>
      </c>
      <c r="FI41" s="150" t="str" cm="1">
        <f t="array" ref="FI41">IFERROR(ROUND(IF($D41="","",INDEX('M04-S05'!EJ$18:EJ$199,2*(ROWS(FI$37:FI41)-1)+1)),6),"")</f>
        <v/>
      </c>
      <c r="FJ41" s="150" t="str" cm="1">
        <f t="array" ref="FJ41">IFERROR(ROUND(IF($D41="","",INDEX('M04-S05'!EK$18:EK$199,2*(ROWS(FJ$37:FJ41)-1)+1)),6),"")</f>
        <v/>
      </c>
      <c r="FK41" s="150" t="str" cm="1">
        <f t="array" ref="FK41">IFERROR(ROUND(IF($D41="","",INDEX('M04-S05'!EL$18:EL$199,2*(ROWS(FK$37:FK41)-1)+1)),6),"")</f>
        <v/>
      </c>
      <c r="FL41" s="150" t="str" cm="1">
        <f t="array" ref="FL41">IFERROR(ROUND(IF($D41="","",INDEX('M04-S05'!EM$18:EM$199,2*(ROWS(FL$37:FL41)-1)+1)),6),"")</f>
        <v/>
      </c>
      <c r="FM41" s="150" t="str" cm="1">
        <f t="array" ref="FM41">IFERROR(ROUND(IF($D41="","",INDEX('M04-S05'!EN$18:EN$199,2*(ROWS(FM$37:FM41)-1)+1)),6),"")</f>
        <v/>
      </c>
    </row>
    <row r="42" spans="1:169">
      <c r="A42" t="str">
        <f t="shared" si="61"/>
        <v/>
      </c>
      <c r="B42" t="str">
        <f t="shared" si="62"/>
        <v/>
      </c>
      <c r="C42" t="str" cm="1">
        <f t="array" ref="C42">IFERROR(IF(D42="","",INDEX('M04-S05'!$B$18:$B$199,2*(ROWS(C$37:C42)-1)+1)),"")</f>
        <v/>
      </c>
      <c r="D42" t="str">
        <f t="shared" si="63"/>
        <v/>
      </c>
      <c r="E42" t="str" cm="1">
        <f t="array" ref="E42">IFERROR(IF(INDEX('M04-S05'!$CC$18:$CC$199,2*(ROWS(E$37:E42)-1)+1)="","",INDEX('M04-S05'!$CC$18:$CC$199,2*(ROWS(E$37:E42)-1)+1)),"")</f>
        <v/>
      </c>
      <c r="G42" t="str">
        <f t="shared" si="64"/>
        <v/>
      </c>
      <c r="H42" t="str">
        <f t="shared" si="65"/>
        <v/>
      </c>
      <c r="L42" t="str">
        <f t="shared" si="66"/>
        <v/>
      </c>
      <c r="O42" t="str">
        <f t="shared" si="67"/>
        <v/>
      </c>
      <c r="V42" t="str" cm="1">
        <f t="array" ref="V42">IFERROR(IF(D42="","",INDEX('M04-S05'!$AY$18:$AY$199,2*(ROWS(V$37:V42)-1)+1)),"")</f>
        <v/>
      </c>
      <c r="W42" t="str" cm="1">
        <f t="array" ref="W42">IFERROR(IF(D42="","",INDEX('M04-S05'!$AV$18:$AV$199,2*(ROWS(W$37:W42)-1)+1)),"")</f>
        <v/>
      </c>
      <c r="X42" t="str" cm="1">
        <f t="array" ref="X42">IFERROR(IF(D42="","",INDEX('M04-S05'!$AV$18:$AV$199,2*(ROWS(X$37:X42)-0)+0)),"")</f>
        <v/>
      </c>
      <c r="AG42" s="98" t="str" cm="1">
        <f t="array" ref="AG42">IFERROR(IF(INDEX('M04-S05'!$CB$18:$CB$199,(ROWS(AG$37:AG42)))="","",INDEX('M04-S05'!$CB$18:$CB$199,(ROWS(AG$37:AG42)))),"")</f>
        <v/>
      </c>
      <c r="AH42" s="98" t="str" cm="1">
        <f t="array" ref="AH42">IFERROR(IF(D42="","",IF(INDEX('M04-S05'!$CU$18:$CU$199,2*(ROWS(AH$37:AH42)-1)+1)="","",INDEX('M04-S05'!$CU$18:$CU$199,2*(ROWS(AH$37:AH42)-1)+1))),"")</f>
        <v/>
      </c>
      <c r="AI42" s="20" t="str" cm="1">
        <f t="array" ref="AI42">IFERROR(IF(D42="","",IF(INDEX('M04-S05'!$CM$18:$CM$199,2*(ROWS(AI$37:AI42)-1)+1)="",0,INDEX('M04-S05'!$CM$18:$CM$199,2*(ROWS(AI$37:AI42)-1)+1))),"")</f>
        <v/>
      </c>
      <c r="AJ42" s="20" t="str">
        <f t="shared" si="1"/>
        <v/>
      </c>
      <c r="AK42" s="487" t="str" cm="1">
        <f t="array" ref="AK42">IFERROR(IF(D42="","",IF(INDEX('M04-S05'!$CN$18:$CN$199,2*(ROWS(AK$37:AK42)-1)+1)="",0,INDEX('M04-S05'!$CN$18:$CN$199,2*(ROWS(AK$37:AK42)-1)+1))),"")</f>
        <v/>
      </c>
      <c r="AL42" s="20" t="str">
        <f t="shared" si="68"/>
        <v/>
      </c>
      <c r="AM42" s="20" t="str">
        <f t="shared" si="58"/>
        <v/>
      </c>
      <c r="AN42" s="20" t="str" cm="1">
        <f t="array" ref="AN42">IFERROR(IF(D42="","",IF(INDEX('M04-S05'!$CO$18:$CO$199,2*(ROWS(AN$37:AN42)-1)+1)="",0,INDEX('M04-S05'!$CO$18:$CO$199,2*(ROWS(AN$37:AN42)-1)+1))),"")</f>
        <v/>
      </c>
      <c r="AO42" s="20" t="str" cm="1">
        <f t="array" ref="AO42">IFERROR(IF(D42="","",INDEX('M04-S05'!$R$18:$R$199,2*(ROWS(AO$37:AO42)-1)+1)),"")</f>
        <v/>
      </c>
      <c r="AP42" s="20" t="str" cm="1">
        <f t="array" ref="AP42">IFERROR(IF(D42="","",INDEX('M04-S05'!$AJ$18:$AJ$199,2*(ROWS(AP$37:AP42)-1)+1)),"")</f>
        <v/>
      </c>
      <c r="AQ42" s="487" t="str" cm="1">
        <f t="array" ref="AQ42">IFERROR(IF(D42="","",INDEX('M04-S05'!$U$18:$U$199,2*(ROWS(AQ$37:AQ42)-1)+1)),"")</f>
        <v/>
      </c>
      <c r="AR42" s="487" t="str" cm="1">
        <f t="array" ref="AR42">IFERROR(IF(D42="","",INDEX('M04-S05'!$AM$18:$AM$199,2*(ROWS(AR$37:AR42)-1)+1)),"")</f>
        <v/>
      </c>
      <c r="AS42" s="20" t="str" cm="1">
        <f t="array" ref="AS42">IFERROR(IF(D42="","",INDEX('M04-S05'!$X$18:$X$199,2*(ROWS(AS$37:AS42)-1)+1)),"")</f>
        <v/>
      </c>
      <c r="AT42" s="20" t="str" cm="1">
        <f t="array" ref="AT42">IFERROR(IF(D42="","",INDEX('M04-S05'!$AP$18:$AP$199,2*(ROWS(AT$37:AT42)-1)+1)),"")</f>
        <v/>
      </c>
      <c r="BP42" t="str" cm="1">
        <f t="array" ref="BP42">IFERROR(IF(D42="","",INDEX('M04-S05'!$CS$18:$CS$199,2*(ROWS(BP$37:BP42)-1)+1)),"")</f>
        <v/>
      </c>
      <c r="BR42" t="str" cm="1">
        <f t="array" ref="BR42">IFERROR(IF(D42="","",LEFT(INDEX('M04-S05'!$C$18:$C$199,2*(ROWS(BR$37:BR42)-1)+1),150)),"")</f>
        <v/>
      </c>
      <c r="BS42" t="str" cm="1">
        <f t="array" ref="BS42">IFERROR(IF(D42="","",INDEX('M04-S05'!$CT$18:$CT$199,2*(ROWS(BS$37:BS42)-1)+1)),"")</f>
        <v/>
      </c>
      <c r="BT42" s="6" t="str" cm="1">
        <f t="array" ref="BT42">IFERROR(ROUND(IF(D42="","",INDEX('M04-S05'!$BB$18:$BB$199,2*(ROWS(BT$37:BT42)-1)+1)),2),"")</f>
        <v/>
      </c>
      <c r="BU42" s="6" t="str" cm="1">
        <f t="array" ref="BU42">IFERROR(IF(D42="","",INDEX('M04-S05'!$CX$18:$CX$199,2*(ROWS(BU$37:BU42)-1)+1)),"")</f>
        <v/>
      </c>
      <c r="BV42" s="6" t="str" cm="1">
        <f t="array" ref="BV42">IFERROR(IF(D42="","",INDEX('M04-S05'!$CY$18:$CY$199,2*(ROWS(BV$37:BV42)-1)+1)),"")</f>
        <v/>
      </c>
      <c r="BW42" t="str">
        <f t="shared" si="69"/>
        <v/>
      </c>
      <c r="BX42" t="str">
        <f t="shared" si="70"/>
        <v/>
      </c>
      <c r="BY42" s="6" t="str" cm="1">
        <f t="array" ref="BY42">IFERROR(IF(D42="","",INDEX('M04-S05'!$CI$18:$CI$199,2*(ROWS(BY$37:BY42)-1)+1)),"")</f>
        <v/>
      </c>
      <c r="BZ42" s="6" t="str">
        <f t="shared" si="17"/>
        <v/>
      </c>
      <c r="CA42" s="6" t="str">
        <f t="shared" si="18"/>
        <v/>
      </c>
      <c r="CB42" s="6" t="str">
        <f t="shared" si="3"/>
        <v/>
      </c>
      <c r="CC42" s="6" t="str">
        <f t="shared" si="59"/>
        <v/>
      </c>
      <c r="CD42" s="6" t="str">
        <f t="shared" si="60"/>
        <v/>
      </c>
      <c r="CS42" t="str" cm="1">
        <f t="array" ref="CS42">IFERROR(IF(D42="","",INDEX('M04-S05'!$F$18:$F$199,2*(ROWS(CS$37:CS42)-1)+1)),"")</f>
        <v/>
      </c>
      <c r="CT42" t="str" cm="1">
        <f t="array" ref="CT42">IFERROR(IF(D42="","",INDEX('M04-S05'!$L$18:$L$199,2*(ROWS(CT$37:CT42)-1)+1)),"")</f>
        <v/>
      </c>
      <c r="CU42" t="str" cm="1">
        <f t="array" ref="CU42">IFERROR(IF(D42="","",INDEX('M04-S05'!$AD$18:$AD$199,2*(ROWS(CU$37:CU42)-1)+1)),"")</f>
        <v/>
      </c>
      <c r="DE42" s="150"/>
      <c r="DF42" s="150" t="str">
        <f>IFERROR(ROUND(IF(OR(D42="",DE42=""),"",TEMPLATE!$V$13),2),"")</f>
        <v/>
      </c>
      <c r="DG42" s="150"/>
      <c r="DH42" s="150" t="str">
        <f>IFERROR(ROUND(IF(OR(D42="",DG42=""),"",TEMPLATE!$V$13),2),"")</f>
        <v/>
      </c>
      <c r="DI42" s="150"/>
      <c r="DJ42" s="150" t="str">
        <f>IFERROR(ROUND(IF(OR(D42="",DI42=""),"",TEMPLATE!$V$13),2),"")</f>
        <v/>
      </c>
      <c r="DK42" s="150"/>
      <c r="DL42" s="150" t="str">
        <f>IFERROR(ROUND(IF(OR(D42="",DK42=""),"",TEMPLATE!$V$13),2),"")</f>
        <v/>
      </c>
      <c r="DM42" s="150"/>
      <c r="DN42" s="150" t="str">
        <f>IFERROR(ROUND(IF(OR(D42="",DM42=""),"",TEMPLATE!$V$13),2),"")</f>
        <v/>
      </c>
      <c r="DO42" s="150"/>
      <c r="DP42" s="150" t="str">
        <f>IFERROR(ROUND(IF(OR(D42="",DO42=""),"",TEMPLATE!$V$13),2),"")</f>
        <v/>
      </c>
      <c r="DQ42" s="150"/>
      <c r="DR42" s="150" t="str">
        <f>IFERROR(ROUND(IF(OR(D42="",DQ42=""),"",TEMPLATE!$V$13),2),"")</f>
        <v/>
      </c>
      <c r="DS42" s="150"/>
      <c r="DT42" s="150" t="str">
        <f>IFERROR(ROUND(IF(OR(D42="",DS42=""),"",TEMPLATE!$V$13),2),"")</f>
        <v/>
      </c>
      <c r="DU42" s="150" t="str" cm="1">
        <f t="array" ref="DU42">IFERROR(ROUND(IF($D42="","",INDEX('M04-S05'!DD$18:DD$199,2*(ROWS(DU$37:DU42)-1)+1)),4),"")</f>
        <v/>
      </c>
      <c r="DV42" s="150" t="str" cm="1">
        <f t="array" ref="DV42">IFERROR(ROUND(IF($D42="","",INDEX('M04-S05'!DE$18:DE$199,2*(ROWS(DV$37:DV42)-1)+1)),4),"")</f>
        <v/>
      </c>
      <c r="DW42" s="150" t="str" cm="1">
        <f t="array" ref="DW42">IFERROR(ROUND(IF($D42="","",INDEX('M04-S05'!DF$18:DF$199,2*(ROWS(DW$37:DW42)-1)+1)),4),"")</f>
        <v/>
      </c>
      <c r="DX42" s="150" t="str" cm="1">
        <f t="array" ref="DX42">IFERROR(ROUND(IF($D42="","",INDEX('M04-S05'!DG$18:DG$199,2*(ROWS(DX$37:DX42)-1)+1)),4),"")</f>
        <v/>
      </c>
      <c r="DY42" s="150" t="str" cm="1">
        <f t="array" ref="DY42">IFERROR(ROUND(IF($D42="","",INDEX('M04-S05'!DH$18:DH$199,2*(ROWS(DY$37:DY42)-1)+1)),4),"")</f>
        <v/>
      </c>
      <c r="DZ42" s="150" t="str" cm="1">
        <f t="array" ref="DZ42">IFERROR(ROUND(IF($D42="","",INDEX('M04-S05'!DI$18:DI$199,2*(ROWS(DZ$37:DZ42)-1)+1)),4),"")</f>
        <v/>
      </c>
      <c r="EA42" s="150" t="str" cm="1">
        <f t="array" ref="EA42">IFERROR(ROUND(IF($D42="","",INDEX('M04-S05'!DJ$18:DJ$199,2*(ROWS(EA$37:EA42)-1)+1)),4),"")</f>
        <v/>
      </c>
      <c r="EB42" s="150" t="str" cm="1">
        <f t="array" ref="EB42">IFERROR(ROUND(IF($D42="","",INDEX('M04-S05'!DK$18:DK$199,2*(ROWS(EB$37:EB42)-1)+1)),6),"")</f>
        <v/>
      </c>
      <c r="EC42" s="150" t="str" cm="1">
        <f t="array" ref="EC42">IFERROR(ROUND(IF($D42="","",INDEX('M04-S05'!DL$18:DL$199,2*(ROWS(EC$37:EC42)-1)+1)),6),"")</f>
        <v/>
      </c>
      <c r="ED42" s="150" t="str" cm="1">
        <f t="array" ref="ED42">IFERROR(ROUND(IF($D42="","",INDEX('M04-S05'!DM$18:DM$199,2*(ROWS(ED$37:ED42)-1)+1)),6),"")</f>
        <v/>
      </c>
      <c r="EE42" s="150" t="str" cm="1">
        <f t="array" ref="EE42">IFERROR(ROUND(IF($D42="","",INDEX('M04-S05'!DN$18:DN$199,2*(ROWS(EE$37:EE42)-1)+1)),6),"")</f>
        <v/>
      </c>
      <c r="EF42" s="150" t="str" cm="1">
        <f t="array" ref="EF42">IFERROR(ROUND(IF($D42="","",INDEX('M04-S05'!DO$18:DO$199,2*(ROWS(EF$37:EF42)-1)+1)),6),"")</f>
        <v/>
      </c>
      <c r="EG42" s="150" t="str" cm="1">
        <f t="array" ref="EG42">IFERROR(ROUND(IF($D42="","",INDEX('M04-S05'!DP$18:DP$199,2*(ROWS(EG$37:EG42)-1)+1)),6),"")</f>
        <v/>
      </c>
      <c r="EH42" s="150" t="str" cm="1">
        <f t="array" ref="EH42">IFERROR(ROUND(IF($D42="","",INDEX('M04-S05'!DQ$18:DQ$199,2*(ROWS(EH$37:EH42)-1)+1)),6),"")</f>
        <v/>
      </c>
      <c r="EI42" s="150" t="str" cm="1">
        <f t="array" ref="EI42">IFERROR(ROUND(IF($D42="","",INDEX('M04-S05'!DR$18:DR$199,2*(ROWS(EI$37:EI42)-1)+1)),6),"")</f>
        <v/>
      </c>
      <c r="EJ42" s="150" t="str" cm="1">
        <f t="array" ref="EJ42">IFERROR(ROUND(IF($D42="","",INDEX('M04-S05'!DS$18:DS$199,2*(ROWS(EJ$37:EJ42)-1)+1)),6),"")</f>
        <v/>
      </c>
      <c r="EK42" s="150" t="str" cm="1">
        <f t="array" ref="EK42">IFERROR(ROUND(IF($D42="","",INDEX('M04-S05'!DT$18:DT$199,2*(ROWS(EK$37:EK42)-1)+1)),6),"")</f>
        <v/>
      </c>
      <c r="EL42" s="150" t="str" cm="1">
        <f t="array" ref="EL42">IFERROR(ROUND(IF($D42="","",INDEX('M04-S05'!DU$18:DU$199,2*(ROWS(EL$37:EL42)-1)+1)),6),"")</f>
        <v/>
      </c>
      <c r="EM42" s="150" t="str" cm="1">
        <f t="array" ref="EM42">IFERROR(ROUND(IF($D42="","",INDEX('M04-S05'!DV$18:DV$199,2*(ROWS(EM$37:EM42)-1)+1)),6),"")</f>
        <v/>
      </c>
      <c r="EN42" s="150" t="str" cm="1">
        <f t="array" ref="EN42">IFERROR(ROUND(IF($D42="","",INDEX('M04-S05'!DW$18:DW$199,2*(ROWS(EN$37:EN42)-1)+1)),6),"")</f>
        <v/>
      </c>
      <c r="EO42" s="150" t="str" cm="1">
        <f t="array" ref="EO42">IFERROR(ROUND(IF($D42="","",INDEX('M04-S05'!DX$18:DX$199,2*(ROWS(EO$37:EO42)-1)+1)),6),"")</f>
        <v/>
      </c>
      <c r="EP42" s="150" t="str" cm="1">
        <f t="array" ref="EP42">IFERROR(ROUND(IF($D42="","",INDEX('M04-S05'!DY$18:DY$199,2*(ROWS(EP$37:EP42)-1)+1)),6),"")</f>
        <v/>
      </c>
      <c r="EQ42" s="150" t="str" cm="1">
        <f t="array" ref="EQ42">IFERROR(ROUND(IF($D42="","",INDEX('M04-S05'!DZ$18:DZ$199,2*(ROWS(EQ$37:EQ42)-1)+1)),6),"")</f>
        <v/>
      </c>
      <c r="ER42" s="150" t="str">
        <f t="shared" si="21"/>
        <v/>
      </c>
      <c r="ES42" s="150" t="str">
        <f t="shared" si="37"/>
        <v/>
      </c>
      <c r="ET42" s="150" t="str">
        <f t="shared" si="38"/>
        <v/>
      </c>
      <c r="EU42" s="150" t="str">
        <f t="shared" si="39"/>
        <v/>
      </c>
      <c r="EV42" s="150" t="str">
        <f t="shared" si="40"/>
        <v/>
      </c>
      <c r="EW42" s="150" t="str">
        <f t="shared" si="41"/>
        <v/>
      </c>
      <c r="EX42" s="150" t="str">
        <f t="shared" si="42"/>
        <v/>
      </c>
      <c r="EY42" s="150" t="str">
        <f t="shared" si="22"/>
        <v/>
      </c>
      <c r="EZ42" s="150" t="str" cm="1">
        <f t="array" ref="EZ42">IFERROR(ROUND(IF($D42="","",INDEX('M04-S05'!EA$18:EA$199,2*(ROWS(EZ$37:EZ42)-1)+1)),6),"")</f>
        <v/>
      </c>
      <c r="FA42" s="150" t="str" cm="1">
        <f t="array" ref="FA42">IFERROR(ROUND(IF($D42="","",INDEX('M04-S05'!EB$18:EB$199,2*(ROWS(FA$37:FA42)-1)+1)),6),"")</f>
        <v/>
      </c>
      <c r="FB42" s="150" t="str" cm="1">
        <f t="array" ref="FB42">IFERROR(ROUND(IF($D42="","",INDEX('M04-S05'!EC$18:EC$199,2*(ROWS(FB$37:FB42)-1)+1)),6),"")</f>
        <v/>
      </c>
      <c r="FC42" s="150" t="str" cm="1">
        <f t="array" ref="FC42">IFERROR(ROUND(IF($D42="","",INDEX('M04-S05'!ED$18:ED$199,2*(ROWS(FC$37:FC42)-1)+1)),6),"")</f>
        <v/>
      </c>
      <c r="FD42" s="150" t="str" cm="1">
        <f t="array" ref="FD42">IFERROR(ROUND(IF($D42="","",INDEX('M04-S05'!EE$18:EE$199,2*(ROWS(FD$37:FD42)-1)+1)),6),"")</f>
        <v/>
      </c>
      <c r="FE42" s="150" t="str" cm="1">
        <f t="array" ref="FE42">IFERROR(ROUND(IF($D42="","",INDEX('M04-S05'!EF$18:EF$199,2*(ROWS(FE$37:FE42)-1)+1)),6),"")</f>
        <v/>
      </c>
      <c r="FF42" s="150" t="str" cm="1">
        <f t="array" ref="FF42">IFERROR(ROUND(IF($D42="","",INDEX('M04-S05'!EG$18:EG$199,2*(ROWS(FF$37:FF42)-1)+1)),6),"")</f>
        <v/>
      </c>
      <c r="FG42" s="150" t="str" cm="1">
        <f t="array" ref="FG42">IFERROR(ROUND(IF($D42="","",INDEX('M04-S05'!EH$18:EH$199,2*(ROWS(FG$37:FG42)-1)+1)),6),"")</f>
        <v/>
      </c>
      <c r="FH42" s="150" t="str" cm="1">
        <f t="array" ref="FH42">IFERROR(ROUND(IF($D42="","",INDEX('M04-S05'!EI$18:EI$199,2*(ROWS(FH$37:FH42)-1)+1)),6),"")</f>
        <v/>
      </c>
      <c r="FI42" s="150" t="str" cm="1">
        <f t="array" ref="FI42">IFERROR(ROUND(IF($D42="","",INDEX('M04-S05'!EJ$18:EJ$199,2*(ROWS(FI$37:FI42)-1)+1)),6),"")</f>
        <v/>
      </c>
      <c r="FJ42" s="150" t="str" cm="1">
        <f t="array" ref="FJ42">IFERROR(ROUND(IF($D42="","",INDEX('M04-S05'!EK$18:EK$199,2*(ROWS(FJ$37:FJ42)-1)+1)),6),"")</f>
        <v/>
      </c>
      <c r="FK42" s="150" t="str" cm="1">
        <f t="array" ref="FK42">IFERROR(ROUND(IF($D42="","",INDEX('M04-S05'!EL$18:EL$199,2*(ROWS(FK$37:FK42)-1)+1)),6),"")</f>
        <v/>
      </c>
      <c r="FL42" s="150" t="str" cm="1">
        <f t="array" ref="FL42">IFERROR(ROUND(IF($D42="","",INDEX('M04-S05'!EM$18:EM$199,2*(ROWS(FL$37:FL42)-1)+1)),6),"")</f>
        <v/>
      </c>
      <c r="FM42" s="150" t="str" cm="1">
        <f t="array" ref="FM42">IFERROR(ROUND(IF($D42="","",INDEX('M04-S05'!EN$18:EN$199,2*(ROWS(FM$37:FM42)-1)+1)),6),"")</f>
        <v/>
      </c>
    </row>
    <row r="43" spans="1:169">
      <c r="A43" t="str">
        <f t="shared" si="61"/>
        <v/>
      </c>
      <c r="B43" t="str">
        <f t="shared" si="62"/>
        <v/>
      </c>
      <c r="C43" t="str" cm="1">
        <f t="array" ref="C43">IFERROR(IF(D43="","",INDEX('M04-S05'!$B$18:$B$199,2*(ROWS(C$37:C43)-1)+1)),"")</f>
        <v/>
      </c>
      <c r="D43" t="str">
        <f t="shared" si="63"/>
        <v/>
      </c>
      <c r="E43" t="str" cm="1">
        <f t="array" ref="E43">IFERROR(IF(INDEX('M04-S05'!$CC$18:$CC$199,2*(ROWS(E$37:E43)-1)+1)="","",INDEX('M04-S05'!$CC$18:$CC$199,2*(ROWS(E$37:E43)-1)+1)),"")</f>
        <v/>
      </c>
      <c r="G43" t="str">
        <f t="shared" si="64"/>
        <v/>
      </c>
      <c r="H43" t="str">
        <f t="shared" si="65"/>
        <v/>
      </c>
      <c r="L43" t="str">
        <f t="shared" si="66"/>
        <v/>
      </c>
      <c r="O43" t="str">
        <f t="shared" si="67"/>
        <v/>
      </c>
      <c r="V43" t="str" cm="1">
        <f t="array" ref="V43">IFERROR(IF(D43="","",INDEX('M04-S05'!$AY$18:$AY$199,2*(ROWS(V$37:V43)-1)+1)),"")</f>
        <v/>
      </c>
      <c r="W43" t="str" cm="1">
        <f t="array" ref="W43">IFERROR(IF(D43="","",INDEX('M04-S05'!$AV$18:$AV$199,2*(ROWS(W$37:W43)-1)+1)),"")</f>
        <v/>
      </c>
      <c r="X43" t="str" cm="1">
        <f t="array" ref="X43">IFERROR(IF(D43="","",INDEX('M04-S05'!$AV$18:$AV$199,2*(ROWS(X$37:X43)-0)+0)),"")</f>
        <v/>
      </c>
      <c r="AG43" s="98" t="str" cm="1">
        <f t="array" ref="AG43">IFERROR(IF(INDEX('M04-S05'!$CB$18:$CB$199,(ROWS(AG$37:AG43)))="","",INDEX('M04-S05'!$CB$18:$CB$199,(ROWS(AG$37:AG43)))),"")</f>
        <v/>
      </c>
      <c r="AH43" s="98" t="str" cm="1">
        <f t="array" ref="AH43">IFERROR(IF(D43="","",IF(INDEX('M04-S05'!$CU$18:$CU$199,2*(ROWS(AH$37:AH43)-1)+1)="","",INDEX('M04-S05'!$CU$18:$CU$199,2*(ROWS(AH$37:AH43)-1)+1))),"")</f>
        <v/>
      </c>
      <c r="AI43" s="20" t="str" cm="1">
        <f t="array" ref="AI43">IFERROR(IF(D43="","",IF(INDEX('M04-S05'!$CM$18:$CM$199,2*(ROWS(AI$37:AI43)-1)+1)="",0,INDEX('M04-S05'!$CM$18:$CM$199,2*(ROWS(AI$37:AI43)-1)+1))),"")</f>
        <v/>
      </c>
      <c r="AJ43" s="20" t="str">
        <f t="shared" si="1"/>
        <v/>
      </c>
      <c r="AK43" s="487" t="str" cm="1">
        <f t="array" ref="AK43">IFERROR(IF(D43="","",IF(INDEX('M04-S05'!$CN$18:$CN$199,2*(ROWS(AK$37:AK43)-1)+1)="",0,INDEX('M04-S05'!$CN$18:$CN$199,2*(ROWS(AK$37:AK43)-1)+1))),"")</f>
        <v/>
      </c>
      <c r="AL43" s="20" t="str">
        <f t="shared" si="68"/>
        <v/>
      </c>
      <c r="AM43" s="20" t="str">
        <f t="shared" si="58"/>
        <v/>
      </c>
      <c r="AN43" s="20" t="str" cm="1">
        <f t="array" ref="AN43">IFERROR(IF(D43="","",IF(INDEX('M04-S05'!$CO$18:$CO$199,2*(ROWS(AN$37:AN43)-1)+1)="",0,INDEX('M04-S05'!$CO$18:$CO$199,2*(ROWS(AN$37:AN43)-1)+1))),"")</f>
        <v/>
      </c>
      <c r="AO43" s="20" t="str" cm="1">
        <f t="array" ref="AO43">IFERROR(IF(D43="","",INDEX('M04-S05'!$R$18:$R$199,2*(ROWS(AO$37:AO43)-1)+1)),"")</f>
        <v/>
      </c>
      <c r="AP43" s="20" t="str" cm="1">
        <f t="array" ref="AP43">IFERROR(IF(D43="","",INDEX('M04-S05'!$AJ$18:$AJ$199,2*(ROWS(AP$37:AP43)-1)+1)),"")</f>
        <v/>
      </c>
      <c r="AQ43" s="487" t="str" cm="1">
        <f t="array" ref="AQ43">IFERROR(IF(D43="","",INDEX('M04-S05'!$U$18:$U$199,2*(ROWS(AQ$37:AQ43)-1)+1)),"")</f>
        <v/>
      </c>
      <c r="AR43" s="487" t="str" cm="1">
        <f t="array" ref="AR43">IFERROR(IF(D43="","",INDEX('M04-S05'!$AM$18:$AM$199,2*(ROWS(AR$37:AR43)-1)+1)),"")</f>
        <v/>
      </c>
      <c r="AS43" s="20" t="str" cm="1">
        <f t="array" ref="AS43">IFERROR(IF(D43="","",INDEX('M04-S05'!$X$18:$X$199,2*(ROWS(AS$37:AS43)-1)+1)),"")</f>
        <v/>
      </c>
      <c r="AT43" s="20" t="str" cm="1">
        <f t="array" ref="AT43">IFERROR(IF(D43="","",INDEX('M04-S05'!$AP$18:$AP$199,2*(ROWS(AT$37:AT43)-1)+1)),"")</f>
        <v/>
      </c>
      <c r="BP43" t="str" cm="1">
        <f t="array" ref="BP43">IFERROR(IF(D43="","",INDEX('M04-S05'!$CS$18:$CS$199,2*(ROWS(BP$37:BP43)-1)+1)),"")</f>
        <v/>
      </c>
      <c r="BR43" t="str" cm="1">
        <f t="array" ref="BR43">IFERROR(IF(D43="","",LEFT(INDEX('M04-S05'!$C$18:$C$199,2*(ROWS(BR$37:BR43)-1)+1),150)),"")</f>
        <v/>
      </c>
      <c r="BS43" t="str" cm="1">
        <f t="array" ref="BS43">IFERROR(IF(D43="","",INDEX('M04-S05'!$CT$18:$CT$199,2*(ROWS(BS$37:BS43)-1)+1)),"")</f>
        <v/>
      </c>
      <c r="BT43" s="6" t="str" cm="1">
        <f t="array" ref="BT43">IFERROR(ROUND(IF(D43="","",INDEX('M04-S05'!$BB$18:$BB$199,2*(ROWS(BT$37:BT43)-1)+1)),2),"")</f>
        <v/>
      </c>
      <c r="BU43" s="6" t="str" cm="1">
        <f t="array" ref="BU43">IFERROR(IF(D43="","",INDEX('M04-S05'!$CX$18:$CX$199,2*(ROWS(BU$37:BU43)-1)+1)),"")</f>
        <v/>
      </c>
      <c r="BV43" s="6" t="str" cm="1">
        <f t="array" ref="BV43">IFERROR(IF(D43="","",INDEX('M04-S05'!$CY$18:$CY$199,2*(ROWS(BV$37:BV43)-1)+1)),"")</f>
        <v/>
      </c>
      <c r="BW43" t="str">
        <f t="shared" si="69"/>
        <v/>
      </c>
      <c r="BX43" t="str">
        <f t="shared" si="70"/>
        <v/>
      </c>
      <c r="BY43" s="6" t="str" cm="1">
        <f t="array" ref="BY43">IFERROR(IF(D43="","",INDEX('M04-S05'!$CI$18:$CI$199,2*(ROWS(BY$37:BY43)-1)+1)),"")</f>
        <v/>
      </c>
      <c r="BZ43" s="6" t="str">
        <f t="shared" si="17"/>
        <v/>
      </c>
      <c r="CA43" s="6" t="str">
        <f t="shared" si="18"/>
        <v/>
      </c>
      <c r="CB43" s="6" t="str">
        <f t="shared" si="3"/>
        <v/>
      </c>
      <c r="CC43" s="6" t="str">
        <f t="shared" si="59"/>
        <v/>
      </c>
      <c r="CD43" s="6" t="str">
        <f t="shared" si="60"/>
        <v/>
      </c>
      <c r="CS43" t="str" cm="1">
        <f t="array" ref="CS43">IFERROR(IF(D43="","",INDEX('M04-S05'!$F$18:$F$199,2*(ROWS(CS$37:CS43)-1)+1)),"")</f>
        <v/>
      </c>
      <c r="CT43" t="str" cm="1">
        <f t="array" ref="CT43">IFERROR(IF(D43="","",INDEX('M04-S05'!$L$18:$L$199,2*(ROWS(CT$37:CT43)-1)+1)),"")</f>
        <v/>
      </c>
      <c r="CU43" t="str" cm="1">
        <f t="array" ref="CU43">IFERROR(IF(D43="","",INDEX('M04-S05'!$AD$18:$AD$199,2*(ROWS(CU$37:CU43)-1)+1)),"")</f>
        <v/>
      </c>
      <c r="DE43" s="150"/>
      <c r="DF43" s="150" t="str">
        <f>IFERROR(ROUND(IF(OR(D43="",DE43=""),"",TEMPLATE!$V$13),2),"")</f>
        <v/>
      </c>
      <c r="DG43" s="150"/>
      <c r="DH43" s="150" t="str">
        <f>IFERROR(ROUND(IF(OR(D43="",DG43=""),"",TEMPLATE!$V$13),2),"")</f>
        <v/>
      </c>
      <c r="DI43" s="150"/>
      <c r="DJ43" s="150" t="str">
        <f>IFERROR(ROUND(IF(OR(D43="",DI43=""),"",TEMPLATE!$V$13),2),"")</f>
        <v/>
      </c>
      <c r="DK43" s="150"/>
      <c r="DL43" s="150" t="str">
        <f>IFERROR(ROUND(IF(OR(D43="",DK43=""),"",TEMPLATE!$V$13),2),"")</f>
        <v/>
      </c>
      <c r="DM43" s="150"/>
      <c r="DN43" s="150" t="str">
        <f>IFERROR(ROUND(IF(OR(D43="",DM43=""),"",TEMPLATE!$V$13),2),"")</f>
        <v/>
      </c>
      <c r="DO43" s="150"/>
      <c r="DP43" s="150" t="str">
        <f>IFERROR(ROUND(IF(OR(D43="",DO43=""),"",TEMPLATE!$V$13),2),"")</f>
        <v/>
      </c>
      <c r="DQ43" s="150"/>
      <c r="DR43" s="150" t="str">
        <f>IFERROR(ROUND(IF(OR(D43="",DQ43=""),"",TEMPLATE!$V$13),2),"")</f>
        <v/>
      </c>
      <c r="DS43" s="150"/>
      <c r="DT43" s="150" t="str">
        <f>IFERROR(ROUND(IF(OR(D43="",DS43=""),"",TEMPLATE!$V$13),2),"")</f>
        <v/>
      </c>
      <c r="DU43" s="150" t="str" cm="1">
        <f t="array" ref="DU43">IFERROR(ROUND(IF($D43="","",INDEX('M04-S05'!DD$18:DD$199,2*(ROWS(DU$37:DU43)-1)+1)),4),"")</f>
        <v/>
      </c>
      <c r="DV43" s="150" t="str" cm="1">
        <f t="array" ref="DV43">IFERROR(ROUND(IF($D43="","",INDEX('M04-S05'!DE$18:DE$199,2*(ROWS(DV$37:DV43)-1)+1)),4),"")</f>
        <v/>
      </c>
      <c r="DW43" s="150" t="str" cm="1">
        <f t="array" ref="DW43">IFERROR(ROUND(IF($D43="","",INDEX('M04-S05'!DF$18:DF$199,2*(ROWS(DW$37:DW43)-1)+1)),4),"")</f>
        <v/>
      </c>
      <c r="DX43" s="150" t="str" cm="1">
        <f t="array" ref="DX43">IFERROR(ROUND(IF($D43="","",INDEX('M04-S05'!DG$18:DG$199,2*(ROWS(DX$37:DX43)-1)+1)),4),"")</f>
        <v/>
      </c>
      <c r="DY43" s="150" t="str" cm="1">
        <f t="array" ref="DY43">IFERROR(ROUND(IF($D43="","",INDEX('M04-S05'!DH$18:DH$199,2*(ROWS(DY$37:DY43)-1)+1)),4),"")</f>
        <v/>
      </c>
      <c r="DZ43" s="150" t="str" cm="1">
        <f t="array" ref="DZ43">IFERROR(ROUND(IF($D43="","",INDEX('M04-S05'!DI$18:DI$199,2*(ROWS(DZ$37:DZ43)-1)+1)),4),"")</f>
        <v/>
      </c>
      <c r="EA43" s="150" t="str" cm="1">
        <f t="array" ref="EA43">IFERROR(ROUND(IF($D43="","",INDEX('M04-S05'!DJ$18:DJ$199,2*(ROWS(EA$37:EA43)-1)+1)),4),"")</f>
        <v/>
      </c>
      <c r="EB43" s="150" t="str" cm="1">
        <f t="array" ref="EB43">IFERROR(ROUND(IF($D43="","",INDEX('M04-S05'!DK$18:DK$199,2*(ROWS(EB$37:EB43)-1)+1)),6),"")</f>
        <v/>
      </c>
      <c r="EC43" s="150" t="str" cm="1">
        <f t="array" ref="EC43">IFERROR(ROUND(IF($D43="","",INDEX('M04-S05'!DL$18:DL$199,2*(ROWS(EC$37:EC43)-1)+1)),6),"")</f>
        <v/>
      </c>
      <c r="ED43" s="150" t="str" cm="1">
        <f t="array" ref="ED43">IFERROR(ROUND(IF($D43="","",INDEX('M04-S05'!DM$18:DM$199,2*(ROWS(ED$37:ED43)-1)+1)),6),"")</f>
        <v/>
      </c>
      <c r="EE43" s="150" t="str" cm="1">
        <f t="array" ref="EE43">IFERROR(ROUND(IF($D43="","",INDEX('M04-S05'!DN$18:DN$199,2*(ROWS(EE$37:EE43)-1)+1)),6),"")</f>
        <v/>
      </c>
      <c r="EF43" s="150" t="str" cm="1">
        <f t="array" ref="EF43">IFERROR(ROUND(IF($D43="","",INDEX('M04-S05'!DO$18:DO$199,2*(ROWS(EF$37:EF43)-1)+1)),6),"")</f>
        <v/>
      </c>
      <c r="EG43" s="150" t="str" cm="1">
        <f t="array" ref="EG43">IFERROR(ROUND(IF($D43="","",INDEX('M04-S05'!DP$18:DP$199,2*(ROWS(EG$37:EG43)-1)+1)),6),"")</f>
        <v/>
      </c>
      <c r="EH43" s="150" t="str" cm="1">
        <f t="array" ref="EH43">IFERROR(ROUND(IF($D43="","",INDEX('M04-S05'!DQ$18:DQ$199,2*(ROWS(EH$37:EH43)-1)+1)),6),"")</f>
        <v/>
      </c>
      <c r="EI43" s="150" t="str" cm="1">
        <f t="array" ref="EI43">IFERROR(ROUND(IF($D43="","",INDEX('M04-S05'!DR$18:DR$199,2*(ROWS(EI$37:EI43)-1)+1)),6),"")</f>
        <v/>
      </c>
      <c r="EJ43" s="150" t="str" cm="1">
        <f t="array" ref="EJ43">IFERROR(ROUND(IF($D43="","",INDEX('M04-S05'!DS$18:DS$199,2*(ROWS(EJ$37:EJ43)-1)+1)),6),"")</f>
        <v/>
      </c>
      <c r="EK43" s="150" t="str" cm="1">
        <f t="array" ref="EK43">IFERROR(ROUND(IF($D43="","",INDEX('M04-S05'!DT$18:DT$199,2*(ROWS(EK$37:EK43)-1)+1)),6),"")</f>
        <v/>
      </c>
      <c r="EL43" s="150" t="str" cm="1">
        <f t="array" ref="EL43">IFERROR(ROUND(IF($D43="","",INDEX('M04-S05'!DU$18:DU$199,2*(ROWS(EL$37:EL43)-1)+1)),6),"")</f>
        <v/>
      </c>
      <c r="EM43" s="150" t="str" cm="1">
        <f t="array" ref="EM43">IFERROR(ROUND(IF($D43="","",INDEX('M04-S05'!DV$18:DV$199,2*(ROWS(EM$37:EM43)-1)+1)),6),"")</f>
        <v/>
      </c>
      <c r="EN43" s="150" t="str" cm="1">
        <f t="array" ref="EN43">IFERROR(ROUND(IF($D43="","",INDEX('M04-S05'!DW$18:DW$199,2*(ROWS(EN$37:EN43)-1)+1)),6),"")</f>
        <v/>
      </c>
      <c r="EO43" s="150" t="str" cm="1">
        <f t="array" ref="EO43">IFERROR(ROUND(IF($D43="","",INDEX('M04-S05'!DX$18:DX$199,2*(ROWS(EO$37:EO43)-1)+1)),6),"")</f>
        <v/>
      </c>
      <c r="EP43" s="150" t="str" cm="1">
        <f t="array" ref="EP43">IFERROR(ROUND(IF($D43="","",INDEX('M04-S05'!DY$18:DY$199,2*(ROWS(EP$37:EP43)-1)+1)),6),"")</f>
        <v/>
      </c>
      <c r="EQ43" s="150" t="str" cm="1">
        <f t="array" ref="EQ43">IFERROR(ROUND(IF($D43="","",INDEX('M04-S05'!DZ$18:DZ$199,2*(ROWS(EQ$37:EQ43)-1)+1)),6),"")</f>
        <v/>
      </c>
      <c r="ER43" s="150" t="str">
        <f t="shared" si="21"/>
        <v/>
      </c>
      <c r="ES43" s="150" t="str">
        <f t="shared" si="37"/>
        <v/>
      </c>
      <c r="ET43" s="150" t="str">
        <f t="shared" si="38"/>
        <v/>
      </c>
      <c r="EU43" s="150" t="str">
        <f t="shared" si="39"/>
        <v/>
      </c>
      <c r="EV43" s="150" t="str">
        <f t="shared" si="40"/>
        <v/>
      </c>
      <c r="EW43" s="150" t="str">
        <f t="shared" si="41"/>
        <v/>
      </c>
      <c r="EX43" s="150" t="str">
        <f t="shared" si="42"/>
        <v/>
      </c>
      <c r="EY43" s="150" t="str">
        <f t="shared" si="22"/>
        <v/>
      </c>
      <c r="EZ43" s="150" t="str" cm="1">
        <f t="array" ref="EZ43">IFERROR(ROUND(IF($D43="","",INDEX('M04-S05'!EA$18:EA$199,2*(ROWS(EZ$37:EZ43)-1)+1)),6),"")</f>
        <v/>
      </c>
      <c r="FA43" s="150" t="str" cm="1">
        <f t="array" ref="FA43">IFERROR(ROUND(IF($D43="","",INDEX('M04-S05'!EB$18:EB$199,2*(ROWS(FA$37:FA43)-1)+1)),6),"")</f>
        <v/>
      </c>
      <c r="FB43" s="150" t="str" cm="1">
        <f t="array" ref="FB43">IFERROR(ROUND(IF($D43="","",INDEX('M04-S05'!EC$18:EC$199,2*(ROWS(FB$37:FB43)-1)+1)),6),"")</f>
        <v/>
      </c>
      <c r="FC43" s="150" t="str" cm="1">
        <f t="array" ref="FC43">IFERROR(ROUND(IF($D43="","",INDEX('M04-S05'!ED$18:ED$199,2*(ROWS(FC$37:FC43)-1)+1)),6),"")</f>
        <v/>
      </c>
      <c r="FD43" s="150" t="str" cm="1">
        <f t="array" ref="FD43">IFERROR(ROUND(IF($D43="","",INDEX('M04-S05'!EE$18:EE$199,2*(ROWS(FD$37:FD43)-1)+1)),6),"")</f>
        <v/>
      </c>
      <c r="FE43" s="150" t="str" cm="1">
        <f t="array" ref="FE43">IFERROR(ROUND(IF($D43="","",INDEX('M04-S05'!EF$18:EF$199,2*(ROWS(FE$37:FE43)-1)+1)),6),"")</f>
        <v/>
      </c>
      <c r="FF43" s="150" t="str" cm="1">
        <f t="array" ref="FF43">IFERROR(ROUND(IF($D43="","",INDEX('M04-S05'!EG$18:EG$199,2*(ROWS(FF$37:FF43)-1)+1)),6),"")</f>
        <v/>
      </c>
      <c r="FG43" s="150" t="str" cm="1">
        <f t="array" ref="FG43">IFERROR(ROUND(IF($D43="","",INDEX('M04-S05'!EH$18:EH$199,2*(ROWS(FG$37:FG43)-1)+1)),6),"")</f>
        <v/>
      </c>
      <c r="FH43" s="150" t="str" cm="1">
        <f t="array" ref="FH43">IFERROR(ROUND(IF($D43="","",INDEX('M04-S05'!EI$18:EI$199,2*(ROWS(FH$37:FH43)-1)+1)),6),"")</f>
        <v/>
      </c>
      <c r="FI43" s="150" t="str" cm="1">
        <f t="array" ref="FI43">IFERROR(ROUND(IF($D43="","",INDEX('M04-S05'!EJ$18:EJ$199,2*(ROWS(FI$37:FI43)-1)+1)),6),"")</f>
        <v/>
      </c>
      <c r="FJ43" s="150" t="str" cm="1">
        <f t="array" ref="FJ43">IFERROR(ROUND(IF($D43="","",INDEX('M04-S05'!EK$18:EK$199,2*(ROWS(FJ$37:FJ43)-1)+1)),6),"")</f>
        <v/>
      </c>
      <c r="FK43" s="150" t="str" cm="1">
        <f t="array" ref="FK43">IFERROR(ROUND(IF($D43="","",INDEX('M04-S05'!EL$18:EL$199,2*(ROWS(FK$37:FK43)-1)+1)),6),"")</f>
        <v/>
      </c>
      <c r="FL43" s="150" t="str" cm="1">
        <f t="array" ref="FL43">IFERROR(ROUND(IF($D43="","",INDEX('M04-S05'!EM$18:EM$199,2*(ROWS(FL$37:FL43)-1)+1)),6),"")</f>
        <v/>
      </c>
      <c r="FM43" s="150" t="str" cm="1">
        <f t="array" ref="FM43">IFERROR(ROUND(IF($D43="","",INDEX('M04-S05'!EN$18:EN$199,2*(ROWS(FM$37:FM43)-1)+1)),6),"")</f>
        <v/>
      </c>
    </row>
    <row r="44" spans="1:169">
      <c r="A44" t="str">
        <f t="shared" si="61"/>
        <v/>
      </c>
      <c r="B44" t="str">
        <f t="shared" si="62"/>
        <v/>
      </c>
      <c r="C44" t="str" cm="1">
        <f t="array" ref="C44">IFERROR(IF(D44="","",INDEX('M04-S05'!$B$18:$B$199,2*(ROWS(C$37:C44)-1)+1)),"")</f>
        <v/>
      </c>
      <c r="D44" t="str">
        <f t="shared" si="63"/>
        <v/>
      </c>
      <c r="E44" t="str" cm="1">
        <f t="array" ref="E44">IFERROR(IF(INDEX('M04-S05'!$CC$18:$CC$199,2*(ROWS(E$37:E44)-1)+1)="","",INDEX('M04-S05'!$CC$18:$CC$199,2*(ROWS(E$37:E44)-1)+1)),"")</f>
        <v/>
      </c>
      <c r="G44" t="str">
        <f t="shared" si="64"/>
        <v/>
      </c>
      <c r="H44" t="str">
        <f t="shared" si="65"/>
        <v/>
      </c>
      <c r="L44" t="str">
        <f t="shared" si="66"/>
        <v/>
      </c>
      <c r="O44" t="str">
        <f t="shared" si="67"/>
        <v/>
      </c>
      <c r="V44" t="str" cm="1">
        <f t="array" ref="V44">IFERROR(IF(D44="","",INDEX('M04-S05'!$AY$18:$AY$199,2*(ROWS(V$37:V44)-1)+1)),"")</f>
        <v/>
      </c>
      <c r="W44" t="str" cm="1">
        <f t="array" ref="W44">IFERROR(IF(D44="","",INDEX('M04-S05'!$AV$18:$AV$199,2*(ROWS(W$37:W44)-1)+1)),"")</f>
        <v/>
      </c>
      <c r="X44" t="str" cm="1">
        <f t="array" ref="X44">IFERROR(IF(D44="","",INDEX('M04-S05'!$AV$18:$AV$199,2*(ROWS(X$37:X44)-0)+0)),"")</f>
        <v/>
      </c>
      <c r="AG44" s="98" t="str" cm="1">
        <f t="array" ref="AG44">IFERROR(IF(INDEX('M04-S05'!$CB$18:$CB$199,(ROWS(AG$37:AG44)))="","",INDEX('M04-S05'!$CB$18:$CB$199,(ROWS(AG$37:AG44)))),"")</f>
        <v/>
      </c>
      <c r="AH44" s="98" t="str" cm="1">
        <f t="array" ref="AH44">IFERROR(IF(D44="","",IF(INDEX('M04-S05'!$CU$18:$CU$199,2*(ROWS(AH$37:AH44)-1)+1)="","",INDEX('M04-S05'!$CU$18:$CU$199,2*(ROWS(AH$37:AH44)-1)+1))),"")</f>
        <v/>
      </c>
      <c r="AI44" s="20" t="str" cm="1">
        <f t="array" ref="AI44">IFERROR(IF(D44="","",IF(INDEX('M04-S05'!$CM$18:$CM$199,2*(ROWS(AI$37:AI44)-1)+1)="",0,INDEX('M04-S05'!$CM$18:$CM$199,2*(ROWS(AI$37:AI44)-1)+1))),"")</f>
        <v/>
      </c>
      <c r="AJ44" s="20" t="str">
        <f t="shared" si="1"/>
        <v/>
      </c>
      <c r="AK44" s="487" t="str" cm="1">
        <f t="array" ref="AK44">IFERROR(IF(D44="","",IF(INDEX('M04-S05'!$CN$18:$CN$199,2*(ROWS(AK$37:AK44)-1)+1)="",0,INDEX('M04-S05'!$CN$18:$CN$199,2*(ROWS(AK$37:AK44)-1)+1))),"")</f>
        <v/>
      </c>
      <c r="AL44" s="20" t="str">
        <f t="shared" si="68"/>
        <v/>
      </c>
      <c r="AM44" s="20" t="str">
        <f t="shared" si="58"/>
        <v/>
      </c>
      <c r="AN44" s="20" t="str" cm="1">
        <f t="array" ref="AN44">IFERROR(IF(D44="","",IF(INDEX('M04-S05'!$CO$18:$CO$199,2*(ROWS(AN$37:AN44)-1)+1)="",0,INDEX('M04-S05'!$CO$18:$CO$199,2*(ROWS(AN$37:AN44)-1)+1))),"")</f>
        <v/>
      </c>
      <c r="AO44" s="20" t="str" cm="1">
        <f t="array" ref="AO44">IFERROR(IF(D44="","",INDEX('M04-S05'!$R$18:$R$199,2*(ROWS(AO$37:AO44)-1)+1)),"")</f>
        <v/>
      </c>
      <c r="AP44" s="20" t="str" cm="1">
        <f t="array" ref="AP44">IFERROR(IF(D44="","",INDEX('M04-S05'!$AJ$18:$AJ$199,2*(ROWS(AP$37:AP44)-1)+1)),"")</f>
        <v/>
      </c>
      <c r="AQ44" s="487" t="str" cm="1">
        <f t="array" ref="AQ44">IFERROR(IF(D44="","",INDEX('M04-S05'!$U$18:$U$199,2*(ROWS(AQ$37:AQ44)-1)+1)),"")</f>
        <v/>
      </c>
      <c r="AR44" s="487" t="str" cm="1">
        <f t="array" ref="AR44">IFERROR(IF(D44="","",INDEX('M04-S05'!$AM$18:$AM$199,2*(ROWS(AR$37:AR44)-1)+1)),"")</f>
        <v/>
      </c>
      <c r="AS44" s="20" t="str" cm="1">
        <f t="array" ref="AS44">IFERROR(IF(D44="","",INDEX('M04-S05'!$X$18:$X$199,2*(ROWS(AS$37:AS44)-1)+1)),"")</f>
        <v/>
      </c>
      <c r="AT44" s="20" t="str" cm="1">
        <f t="array" ref="AT44">IFERROR(IF(D44="","",INDEX('M04-S05'!$AP$18:$AP$199,2*(ROWS(AT$37:AT44)-1)+1)),"")</f>
        <v/>
      </c>
      <c r="BP44" t="str" cm="1">
        <f t="array" ref="BP44">IFERROR(IF(D44="","",INDEX('M04-S05'!$CS$18:$CS$199,2*(ROWS(BP$37:BP44)-1)+1)),"")</f>
        <v/>
      </c>
      <c r="BR44" t="str" cm="1">
        <f t="array" ref="BR44">IFERROR(IF(D44="","",LEFT(INDEX('M04-S05'!$C$18:$C$199,2*(ROWS(BR$37:BR44)-1)+1),150)),"")</f>
        <v/>
      </c>
      <c r="BS44" t="str" cm="1">
        <f t="array" ref="BS44">IFERROR(IF(D44="","",INDEX('M04-S05'!$CT$18:$CT$199,2*(ROWS(BS$37:BS44)-1)+1)),"")</f>
        <v/>
      </c>
      <c r="BT44" s="6" t="str" cm="1">
        <f t="array" ref="BT44">IFERROR(ROUND(IF(D44="","",INDEX('M04-S05'!$BB$18:$BB$199,2*(ROWS(BT$37:BT44)-1)+1)),2),"")</f>
        <v/>
      </c>
      <c r="BU44" s="6" t="str" cm="1">
        <f t="array" ref="BU44">IFERROR(IF(D44="","",INDEX('M04-S05'!$CX$18:$CX$199,2*(ROWS(BU$37:BU44)-1)+1)),"")</f>
        <v/>
      </c>
      <c r="BV44" s="6" t="str" cm="1">
        <f t="array" ref="BV44">IFERROR(IF(D44="","",INDEX('M04-S05'!$CY$18:$CY$199,2*(ROWS(BV$37:BV44)-1)+1)),"")</f>
        <v/>
      </c>
      <c r="BW44" t="str">
        <f t="shared" si="69"/>
        <v/>
      </c>
      <c r="BX44" t="str">
        <f t="shared" si="70"/>
        <v/>
      </c>
      <c r="BY44" s="6" t="str" cm="1">
        <f t="array" ref="BY44">IFERROR(IF(D44="","",INDEX('M04-S05'!$CI$18:$CI$199,2*(ROWS(BY$37:BY44)-1)+1)),"")</f>
        <v/>
      </c>
      <c r="BZ44" s="6" t="str">
        <f t="shared" si="17"/>
        <v/>
      </c>
      <c r="CA44" s="6" t="str">
        <f t="shared" si="18"/>
        <v/>
      </c>
      <c r="CB44" s="6" t="str">
        <f t="shared" si="3"/>
        <v/>
      </c>
      <c r="CC44" s="6" t="str">
        <f t="shared" si="59"/>
        <v/>
      </c>
      <c r="CD44" s="6" t="str">
        <f t="shared" si="60"/>
        <v/>
      </c>
      <c r="CS44" t="str" cm="1">
        <f t="array" ref="CS44">IFERROR(IF(D44="","",INDEX('M04-S05'!$F$18:$F$199,2*(ROWS(CS$37:CS44)-1)+1)),"")</f>
        <v/>
      </c>
      <c r="CT44" t="str" cm="1">
        <f t="array" ref="CT44">IFERROR(IF(D44="","",INDEX('M04-S05'!$L$18:$L$199,2*(ROWS(CT$37:CT44)-1)+1)),"")</f>
        <v/>
      </c>
      <c r="CU44" t="str" cm="1">
        <f t="array" ref="CU44">IFERROR(IF(D44="","",INDEX('M04-S05'!$AD$18:$AD$199,2*(ROWS(CU$37:CU44)-1)+1)),"")</f>
        <v/>
      </c>
      <c r="DE44" s="150"/>
      <c r="DF44" s="150" t="str">
        <f>IFERROR(ROUND(IF(OR(D44="",DE44=""),"",TEMPLATE!$V$13),2),"")</f>
        <v/>
      </c>
      <c r="DG44" s="150"/>
      <c r="DH44" s="150" t="str">
        <f>IFERROR(ROUND(IF(OR(D44="",DG44=""),"",TEMPLATE!$V$13),2),"")</f>
        <v/>
      </c>
      <c r="DI44" s="150"/>
      <c r="DJ44" s="150" t="str">
        <f>IFERROR(ROUND(IF(OR(D44="",DI44=""),"",TEMPLATE!$V$13),2),"")</f>
        <v/>
      </c>
      <c r="DK44" s="150"/>
      <c r="DL44" s="150" t="str">
        <f>IFERROR(ROUND(IF(OR(D44="",DK44=""),"",TEMPLATE!$V$13),2),"")</f>
        <v/>
      </c>
      <c r="DM44" s="150"/>
      <c r="DN44" s="150" t="str">
        <f>IFERROR(ROUND(IF(OR(D44="",DM44=""),"",TEMPLATE!$V$13),2),"")</f>
        <v/>
      </c>
      <c r="DO44" s="150"/>
      <c r="DP44" s="150" t="str">
        <f>IFERROR(ROUND(IF(OR(D44="",DO44=""),"",TEMPLATE!$V$13),2),"")</f>
        <v/>
      </c>
      <c r="DQ44" s="150"/>
      <c r="DR44" s="150" t="str">
        <f>IFERROR(ROUND(IF(OR(D44="",DQ44=""),"",TEMPLATE!$V$13),2),"")</f>
        <v/>
      </c>
      <c r="DS44" s="150"/>
      <c r="DT44" s="150" t="str">
        <f>IFERROR(ROUND(IF(OR(D44="",DS44=""),"",TEMPLATE!$V$13),2),"")</f>
        <v/>
      </c>
      <c r="DU44" s="150" t="str" cm="1">
        <f t="array" ref="DU44">IFERROR(ROUND(IF($D44="","",INDEX('M04-S05'!DD$18:DD$199,2*(ROWS(DU$37:DU44)-1)+1)),4),"")</f>
        <v/>
      </c>
      <c r="DV44" s="150" t="str" cm="1">
        <f t="array" ref="DV44">IFERROR(ROUND(IF($D44="","",INDEX('M04-S05'!DE$18:DE$199,2*(ROWS(DV$37:DV44)-1)+1)),4),"")</f>
        <v/>
      </c>
      <c r="DW44" s="150" t="str" cm="1">
        <f t="array" ref="DW44">IFERROR(ROUND(IF($D44="","",INDEX('M04-S05'!DF$18:DF$199,2*(ROWS(DW$37:DW44)-1)+1)),4),"")</f>
        <v/>
      </c>
      <c r="DX44" s="150" t="str" cm="1">
        <f t="array" ref="DX44">IFERROR(ROUND(IF($D44="","",INDEX('M04-S05'!DG$18:DG$199,2*(ROWS(DX$37:DX44)-1)+1)),4),"")</f>
        <v/>
      </c>
      <c r="DY44" s="150" t="str" cm="1">
        <f t="array" ref="DY44">IFERROR(ROUND(IF($D44="","",INDEX('M04-S05'!DH$18:DH$199,2*(ROWS(DY$37:DY44)-1)+1)),4),"")</f>
        <v/>
      </c>
      <c r="DZ44" s="150" t="str" cm="1">
        <f t="array" ref="DZ44">IFERROR(ROUND(IF($D44="","",INDEX('M04-S05'!DI$18:DI$199,2*(ROWS(DZ$37:DZ44)-1)+1)),4),"")</f>
        <v/>
      </c>
      <c r="EA44" s="150" t="str" cm="1">
        <f t="array" ref="EA44">IFERROR(ROUND(IF($D44="","",INDEX('M04-S05'!DJ$18:DJ$199,2*(ROWS(EA$37:EA44)-1)+1)),4),"")</f>
        <v/>
      </c>
      <c r="EB44" s="150" t="str" cm="1">
        <f t="array" ref="EB44">IFERROR(ROUND(IF($D44="","",INDEX('M04-S05'!DK$18:DK$199,2*(ROWS(EB$37:EB44)-1)+1)),6),"")</f>
        <v/>
      </c>
      <c r="EC44" s="150" t="str" cm="1">
        <f t="array" ref="EC44">IFERROR(ROUND(IF($D44="","",INDEX('M04-S05'!DL$18:DL$199,2*(ROWS(EC$37:EC44)-1)+1)),6),"")</f>
        <v/>
      </c>
      <c r="ED44" s="150" t="str" cm="1">
        <f t="array" ref="ED44">IFERROR(ROUND(IF($D44="","",INDEX('M04-S05'!DM$18:DM$199,2*(ROWS(ED$37:ED44)-1)+1)),6),"")</f>
        <v/>
      </c>
      <c r="EE44" s="150" t="str" cm="1">
        <f t="array" ref="EE44">IFERROR(ROUND(IF($D44="","",INDEX('M04-S05'!DN$18:DN$199,2*(ROWS(EE$37:EE44)-1)+1)),6),"")</f>
        <v/>
      </c>
      <c r="EF44" s="150" t="str" cm="1">
        <f t="array" ref="EF44">IFERROR(ROUND(IF($D44="","",INDEX('M04-S05'!DO$18:DO$199,2*(ROWS(EF$37:EF44)-1)+1)),6),"")</f>
        <v/>
      </c>
      <c r="EG44" s="150" t="str" cm="1">
        <f t="array" ref="EG44">IFERROR(ROUND(IF($D44="","",INDEX('M04-S05'!DP$18:DP$199,2*(ROWS(EG$37:EG44)-1)+1)),6),"")</f>
        <v/>
      </c>
      <c r="EH44" s="150" t="str" cm="1">
        <f t="array" ref="EH44">IFERROR(ROUND(IF($D44="","",INDEX('M04-S05'!DQ$18:DQ$199,2*(ROWS(EH$37:EH44)-1)+1)),6),"")</f>
        <v/>
      </c>
      <c r="EI44" s="150" t="str" cm="1">
        <f t="array" ref="EI44">IFERROR(ROUND(IF($D44="","",INDEX('M04-S05'!DR$18:DR$199,2*(ROWS(EI$37:EI44)-1)+1)),6),"")</f>
        <v/>
      </c>
      <c r="EJ44" s="150" t="str" cm="1">
        <f t="array" ref="EJ44">IFERROR(ROUND(IF($D44="","",INDEX('M04-S05'!DS$18:DS$199,2*(ROWS(EJ$37:EJ44)-1)+1)),6),"")</f>
        <v/>
      </c>
      <c r="EK44" s="150" t="str" cm="1">
        <f t="array" ref="EK44">IFERROR(ROUND(IF($D44="","",INDEX('M04-S05'!DT$18:DT$199,2*(ROWS(EK$37:EK44)-1)+1)),6),"")</f>
        <v/>
      </c>
      <c r="EL44" s="150" t="str" cm="1">
        <f t="array" ref="EL44">IFERROR(ROUND(IF($D44="","",INDEX('M04-S05'!DU$18:DU$199,2*(ROWS(EL$37:EL44)-1)+1)),6),"")</f>
        <v/>
      </c>
      <c r="EM44" s="150" t="str" cm="1">
        <f t="array" ref="EM44">IFERROR(ROUND(IF($D44="","",INDEX('M04-S05'!DV$18:DV$199,2*(ROWS(EM$37:EM44)-1)+1)),6),"")</f>
        <v/>
      </c>
      <c r="EN44" s="150" t="str" cm="1">
        <f t="array" ref="EN44">IFERROR(ROUND(IF($D44="","",INDEX('M04-S05'!DW$18:DW$199,2*(ROWS(EN$37:EN44)-1)+1)),6),"")</f>
        <v/>
      </c>
      <c r="EO44" s="150" t="str" cm="1">
        <f t="array" ref="EO44">IFERROR(ROUND(IF($D44="","",INDEX('M04-S05'!DX$18:DX$199,2*(ROWS(EO$37:EO44)-1)+1)),6),"")</f>
        <v/>
      </c>
      <c r="EP44" s="150" t="str" cm="1">
        <f t="array" ref="EP44">IFERROR(ROUND(IF($D44="","",INDEX('M04-S05'!DY$18:DY$199,2*(ROWS(EP$37:EP44)-1)+1)),6),"")</f>
        <v/>
      </c>
      <c r="EQ44" s="150" t="str" cm="1">
        <f t="array" ref="EQ44">IFERROR(ROUND(IF($D44="","",INDEX('M04-S05'!DZ$18:DZ$199,2*(ROWS(EQ$37:EQ44)-1)+1)),6),"")</f>
        <v/>
      </c>
      <c r="ER44" s="150" t="str">
        <f t="shared" si="21"/>
        <v/>
      </c>
      <c r="ES44" s="150" t="str">
        <f t="shared" si="37"/>
        <v/>
      </c>
      <c r="ET44" s="150" t="str">
        <f t="shared" si="38"/>
        <v/>
      </c>
      <c r="EU44" s="150" t="str">
        <f t="shared" si="39"/>
        <v/>
      </c>
      <c r="EV44" s="150" t="str">
        <f t="shared" si="40"/>
        <v/>
      </c>
      <c r="EW44" s="150" t="str">
        <f t="shared" si="41"/>
        <v/>
      </c>
      <c r="EX44" s="150" t="str">
        <f t="shared" si="42"/>
        <v/>
      </c>
      <c r="EY44" s="150" t="str">
        <f t="shared" si="22"/>
        <v/>
      </c>
      <c r="EZ44" s="150" t="str" cm="1">
        <f t="array" ref="EZ44">IFERROR(ROUND(IF($D44="","",INDEX('M04-S05'!EA$18:EA$199,2*(ROWS(EZ$37:EZ44)-1)+1)),6),"")</f>
        <v/>
      </c>
      <c r="FA44" s="150" t="str" cm="1">
        <f t="array" ref="FA44">IFERROR(ROUND(IF($D44="","",INDEX('M04-S05'!EB$18:EB$199,2*(ROWS(FA$37:FA44)-1)+1)),6),"")</f>
        <v/>
      </c>
      <c r="FB44" s="150" t="str" cm="1">
        <f t="array" ref="FB44">IFERROR(ROUND(IF($D44="","",INDEX('M04-S05'!EC$18:EC$199,2*(ROWS(FB$37:FB44)-1)+1)),6),"")</f>
        <v/>
      </c>
      <c r="FC44" s="150" t="str" cm="1">
        <f t="array" ref="FC44">IFERROR(ROUND(IF($D44="","",INDEX('M04-S05'!ED$18:ED$199,2*(ROWS(FC$37:FC44)-1)+1)),6),"")</f>
        <v/>
      </c>
      <c r="FD44" s="150" t="str" cm="1">
        <f t="array" ref="FD44">IFERROR(ROUND(IF($D44="","",INDEX('M04-S05'!EE$18:EE$199,2*(ROWS(FD$37:FD44)-1)+1)),6),"")</f>
        <v/>
      </c>
      <c r="FE44" s="150" t="str" cm="1">
        <f t="array" ref="FE44">IFERROR(ROUND(IF($D44="","",INDEX('M04-S05'!EF$18:EF$199,2*(ROWS(FE$37:FE44)-1)+1)),6),"")</f>
        <v/>
      </c>
      <c r="FF44" s="150" t="str" cm="1">
        <f t="array" ref="FF44">IFERROR(ROUND(IF($D44="","",INDEX('M04-S05'!EG$18:EG$199,2*(ROWS(FF$37:FF44)-1)+1)),6),"")</f>
        <v/>
      </c>
      <c r="FG44" s="150" t="str" cm="1">
        <f t="array" ref="FG44">IFERROR(ROUND(IF($D44="","",INDEX('M04-S05'!EH$18:EH$199,2*(ROWS(FG$37:FG44)-1)+1)),6),"")</f>
        <v/>
      </c>
      <c r="FH44" s="150" t="str" cm="1">
        <f t="array" ref="FH44">IFERROR(ROUND(IF($D44="","",INDEX('M04-S05'!EI$18:EI$199,2*(ROWS(FH$37:FH44)-1)+1)),6),"")</f>
        <v/>
      </c>
      <c r="FI44" s="150" t="str" cm="1">
        <f t="array" ref="FI44">IFERROR(ROUND(IF($D44="","",INDEX('M04-S05'!EJ$18:EJ$199,2*(ROWS(FI$37:FI44)-1)+1)),6),"")</f>
        <v/>
      </c>
      <c r="FJ44" s="150" t="str" cm="1">
        <f t="array" ref="FJ44">IFERROR(ROUND(IF($D44="","",INDEX('M04-S05'!EK$18:EK$199,2*(ROWS(FJ$37:FJ44)-1)+1)),6),"")</f>
        <v/>
      </c>
      <c r="FK44" s="150" t="str" cm="1">
        <f t="array" ref="FK44">IFERROR(ROUND(IF($D44="","",INDEX('M04-S05'!EL$18:EL$199,2*(ROWS(FK$37:FK44)-1)+1)),6),"")</f>
        <v/>
      </c>
      <c r="FL44" s="150" t="str" cm="1">
        <f t="array" ref="FL44">IFERROR(ROUND(IF($D44="","",INDEX('M04-S05'!EM$18:EM$199,2*(ROWS(FL$37:FL44)-1)+1)),6),"")</f>
        <v/>
      </c>
      <c r="FM44" s="150" t="str" cm="1">
        <f t="array" ref="FM44">IFERROR(ROUND(IF($D44="","",INDEX('M04-S05'!EN$18:EN$199,2*(ROWS(FM$37:FM44)-1)+1)),6),"")</f>
        <v/>
      </c>
    </row>
    <row r="45" spans="1:169">
      <c r="A45" t="str">
        <f t="shared" si="61"/>
        <v/>
      </c>
      <c r="B45" t="str">
        <f t="shared" si="62"/>
        <v/>
      </c>
      <c r="C45" t="str" cm="1">
        <f t="array" ref="C45">IFERROR(IF(D45="","",INDEX('M04-S05'!$B$18:$B$199,2*(ROWS(C$37:C45)-1)+1)),"")</f>
        <v/>
      </c>
      <c r="D45" t="str">
        <f t="shared" si="63"/>
        <v/>
      </c>
      <c r="E45" t="str" cm="1">
        <f t="array" ref="E45">IFERROR(IF(INDEX('M04-S05'!$CC$18:$CC$199,2*(ROWS(E$37:E45)-1)+1)="","",INDEX('M04-S05'!$CC$18:$CC$199,2*(ROWS(E$37:E45)-1)+1)),"")</f>
        <v/>
      </c>
      <c r="G45" t="str">
        <f t="shared" si="64"/>
        <v/>
      </c>
      <c r="H45" t="str">
        <f t="shared" si="65"/>
        <v/>
      </c>
      <c r="L45" t="str">
        <f t="shared" si="66"/>
        <v/>
      </c>
      <c r="O45" t="str">
        <f t="shared" si="67"/>
        <v/>
      </c>
      <c r="V45" t="str" cm="1">
        <f t="array" ref="V45">IFERROR(IF(D45="","",INDEX('M04-S05'!$AY$18:$AY$199,2*(ROWS(V$37:V45)-1)+1)),"")</f>
        <v/>
      </c>
      <c r="W45" t="str" cm="1">
        <f t="array" ref="W45">IFERROR(IF(D45="","",INDEX('M04-S05'!$AV$18:$AV$199,2*(ROWS(W$37:W45)-1)+1)),"")</f>
        <v/>
      </c>
      <c r="X45" t="str" cm="1">
        <f t="array" ref="X45">IFERROR(IF(D45="","",INDEX('M04-S05'!$AV$18:$AV$199,2*(ROWS(X$37:X45)-0)+0)),"")</f>
        <v/>
      </c>
      <c r="AG45" s="98" t="str" cm="1">
        <f t="array" ref="AG45">IFERROR(IF(INDEX('M04-S05'!$CB$18:$CB$199,(ROWS(AG$37:AG45)))="","",INDEX('M04-S05'!$CB$18:$CB$199,(ROWS(AG$37:AG45)))),"")</f>
        <v/>
      </c>
      <c r="AH45" s="98" t="str" cm="1">
        <f t="array" ref="AH45">IFERROR(IF(D45="","",IF(INDEX('M04-S05'!$CU$18:$CU$199,2*(ROWS(AH$37:AH45)-1)+1)="","",INDEX('M04-S05'!$CU$18:$CU$199,2*(ROWS(AH$37:AH45)-1)+1))),"")</f>
        <v/>
      </c>
      <c r="AI45" s="20" t="str" cm="1">
        <f t="array" ref="AI45">IFERROR(IF(D45="","",IF(INDEX('M04-S05'!$CM$18:$CM$199,2*(ROWS(AI$37:AI45)-1)+1)="",0,INDEX('M04-S05'!$CM$18:$CM$199,2*(ROWS(AI$37:AI45)-1)+1))),"")</f>
        <v/>
      </c>
      <c r="AJ45" s="20" t="str">
        <f t="shared" si="1"/>
        <v/>
      </c>
      <c r="AK45" s="487" t="str" cm="1">
        <f t="array" ref="AK45">IFERROR(IF(D45="","",IF(INDEX('M04-S05'!$CN$18:$CN$199,2*(ROWS(AK$37:AK45)-1)+1)="",0,INDEX('M04-S05'!$CN$18:$CN$199,2*(ROWS(AK$37:AK45)-1)+1))),"")</f>
        <v/>
      </c>
      <c r="AL45" s="20" t="str">
        <f t="shared" si="68"/>
        <v/>
      </c>
      <c r="AM45" s="20" t="str">
        <f t="shared" si="58"/>
        <v/>
      </c>
      <c r="AN45" s="20" t="str" cm="1">
        <f t="array" ref="AN45">IFERROR(IF(D45="","",IF(INDEX('M04-S05'!$CO$18:$CO$199,2*(ROWS(AN$37:AN45)-1)+1)="",0,INDEX('M04-S05'!$CO$18:$CO$199,2*(ROWS(AN$37:AN45)-1)+1))),"")</f>
        <v/>
      </c>
      <c r="AO45" s="20" t="str" cm="1">
        <f t="array" ref="AO45">IFERROR(IF(D45="","",INDEX('M04-S05'!$R$18:$R$199,2*(ROWS(AO$37:AO45)-1)+1)),"")</f>
        <v/>
      </c>
      <c r="AP45" s="20" t="str" cm="1">
        <f t="array" ref="AP45">IFERROR(IF(D45="","",INDEX('M04-S05'!$AJ$18:$AJ$199,2*(ROWS(AP$37:AP45)-1)+1)),"")</f>
        <v/>
      </c>
      <c r="AQ45" s="487" t="str" cm="1">
        <f t="array" ref="AQ45">IFERROR(IF(D45="","",INDEX('M04-S05'!$U$18:$U$199,2*(ROWS(AQ$37:AQ45)-1)+1)),"")</f>
        <v/>
      </c>
      <c r="AR45" s="487" t="str" cm="1">
        <f t="array" ref="AR45">IFERROR(IF(D45="","",INDEX('M04-S05'!$AM$18:$AM$199,2*(ROWS(AR$37:AR45)-1)+1)),"")</f>
        <v/>
      </c>
      <c r="AS45" s="20" t="str" cm="1">
        <f t="array" ref="AS45">IFERROR(IF(D45="","",INDEX('M04-S05'!$X$18:$X$199,2*(ROWS(AS$37:AS45)-1)+1)),"")</f>
        <v/>
      </c>
      <c r="AT45" s="20" t="str" cm="1">
        <f t="array" ref="AT45">IFERROR(IF(D45="","",INDEX('M04-S05'!$AP$18:$AP$199,2*(ROWS(AT$37:AT45)-1)+1)),"")</f>
        <v/>
      </c>
      <c r="BP45" t="str" cm="1">
        <f t="array" ref="BP45">IFERROR(IF(D45="","",INDEX('M04-S05'!$CS$18:$CS$199,2*(ROWS(BP$37:BP45)-1)+1)),"")</f>
        <v/>
      </c>
      <c r="BR45" t="str" cm="1">
        <f t="array" ref="BR45">IFERROR(IF(D45="","",LEFT(INDEX('M04-S05'!$C$18:$C$199,2*(ROWS(BR$37:BR45)-1)+1),150)),"")</f>
        <v/>
      </c>
      <c r="BS45" t="str" cm="1">
        <f t="array" ref="BS45">IFERROR(IF(D45="","",INDEX('M04-S05'!$CT$18:$CT$199,2*(ROWS(BS$37:BS45)-1)+1)),"")</f>
        <v/>
      </c>
      <c r="BT45" s="6" t="str" cm="1">
        <f t="array" ref="BT45">IFERROR(ROUND(IF(D45="","",INDEX('M04-S05'!$BB$18:$BB$199,2*(ROWS(BT$37:BT45)-1)+1)),2),"")</f>
        <v/>
      </c>
      <c r="BU45" s="6" t="str" cm="1">
        <f t="array" ref="BU45">IFERROR(IF(D45="","",INDEX('M04-S05'!$CX$18:$CX$199,2*(ROWS(BU$37:BU45)-1)+1)),"")</f>
        <v/>
      </c>
      <c r="BV45" s="6" t="str" cm="1">
        <f t="array" ref="BV45">IFERROR(IF(D45="","",INDEX('M04-S05'!$CY$18:$CY$199,2*(ROWS(BV$37:BV45)-1)+1)),"")</f>
        <v/>
      </c>
      <c r="BW45" t="str">
        <f t="shared" si="69"/>
        <v/>
      </c>
      <c r="BX45" t="str">
        <f t="shared" si="70"/>
        <v/>
      </c>
      <c r="BY45" s="6" t="str" cm="1">
        <f t="array" ref="BY45">IFERROR(IF(D45="","",INDEX('M04-S05'!$CI$18:$CI$199,2*(ROWS(BY$37:BY45)-1)+1)),"")</f>
        <v/>
      </c>
      <c r="BZ45" s="6" t="str">
        <f t="shared" si="17"/>
        <v/>
      </c>
      <c r="CA45" s="6" t="str">
        <f t="shared" si="18"/>
        <v/>
      </c>
      <c r="CB45" s="6" t="str">
        <f t="shared" si="3"/>
        <v/>
      </c>
      <c r="CC45" s="6" t="str">
        <f t="shared" si="59"/>
        <v/>
      </c>
      <c r="CD45" s="6" t="str">
        <f t="shared" si="60"/>
        <v/>
      </c>
      <c r="CS45" t="str" cm="1">
        <f t="array" ref="CS45">IFERROR(IF(D45="","",INDEX('M04-S05'!$F$18:$F$199,2*(ROWS(CS$37:CS45)-1)+1)),"")</f>
        <v/>
      </c>
      <c r="CT45" t="str" cm="1">
        <f t="array" ref="CT45">IFERROR(IF(D45="","",INDEX('M04-S05'!$L$18:$L$199,2*(ROWS(CT$37:CT45)-1)+1)),"")</f>
        <v/>
      </c>
      <c r="CU45" t="str" cm="1">
        <f t="array" ref="CU45">IFERROR(IF(D45="","",INDEX('M04-S05'!$AD$18:$AD$199,2*(ROWS(CU$37:CU45)-1)+1)),"")</f>
        <v/>
      </c>
      <c r="DE45" s="150"/>
      <c r="DF45" s="150" t="str">
        <f>IFERROR(ROUND(IF(OR(D45="",DE45=""),"",TEMPLATE!$V$13),2),"")</f>
        <v/>
      </c>
      <c r="DG45" s="150"/>
      <c r="DH45" s="150" t="str">
        <f>IFERROR(ROUND(IF(OR(D45="",DG45=""),"",TEMPLATE!$V$13),2),"")</f>
        <v/>
      </c>
      <c r="DI45" s="150"/>
      <c r="DJ45" s="150" t="str">
        <f>IFERROR(ROUND(IF(OR(D45="",DI45=""),"",TEMPLATE!$V$13),2),"")</f>
        <v/>
      </c>
      <c r="DK45" s="150"/>
      <c r="DL45" s="150" t="str">
        <f>IFERROR(ROUND(IF(OR(D45="",DK45=""),"",TEMPLATE!$V$13),2),"")</f>
        <v/>
      </c>
      <c r="DM45" s="150"/>
      <c r="DN45" s="150" t="str">
        <f>IFERROR(ROUND(IF(OR(D45="",DM45=""),"",TEMPLATE!$V$13),2),"")</f>
        <v/>
      </c>
      <c r="DO45" s="150"/>
      <c r="DP45" s="150" t="str">
        <f>IFERROR(ROUND(IF(OR(D45="",DO45=""),"",TEMPLATE!$V$13),2),"")</f>
        <v/>
      </c>
      <c r="DQ45" s="150"/>
      <c r="DR45" s="150" t="str">
        <f>IFERROR(ROUND(IF(OR(D45="",DQ45=""),"",TEMPLATE!$V$13),2),"")</f>
        <v/>
      </c>
      <c r="DS45" s="150"/>
      <c r="DT45" s="150" t="str">
        <f>IFERROR(ROUND(IF(OR(D45="",DS45=""),"",TEMPLATE!$V$13),2),"")</f>
        <v/>
      </c>
      <c r="DU45" s="150" t="str" cm="1">
        <f t="array" ref="DU45">IFERROR(ROUND(IF($D45="","",INDEX('M04-S05'!DD$18:DD$199,2*(ROWS(DU$37:DU45)-1)+1)),4),"")</f>
        <v/>
      </c>
      <c r="DV45" s="150" t="str" cm="1">
        <f t="array" ref="DV45">IFERROR(ROUND(IF($D45="","",INDEX('M04-S05'!DE$18:DE$199,2*(ROWS(DV$37:DV45)-1)+1)),4),"")</f>
        <v/>
      </c>
      <c r="DW45" s="150" t="str" cm="1">
        <f t="array" ref="DW45">IFERROR(ROUND(IF($D45="","",INDEX('M04-S05'!DF$18:DF$199,2*(ROWS(DW$37:DW45)-1)+1)),4),"")</f>
        <v/>
      </c>
      <c r="DX45" s="150" t="str" cm="1">
        <f t="array" ref="DX45">IFERROR(ROUND(IF($D45="","",INDEX('M04-S05'!DG$18:DG$199,2*(ROWS(DX$37:DX45)-1)+1)),4),"")</f>
        <v/>
      </c>
      <c r="DY45" s="150" t="str" cm="1">
        <f t="array" ref="DY45">IFERROR(ROUND(IF($D45="","",INDEX('M04-S05'!DH$18:DH$199,2*(ROWS(DY$37:DY45)-1)+1)),4),"")</f>
        <v/>
      </c>
      <c r="DZ45" s="150" t="str" cm="1">
        <f t="array" ref="DZ45">IFERROR(ROUND(IF($D45="","",INDEX('M04-S05'!DI$18:DI$199,2*(ROWS(DZ$37:DZ45)-1)+1)),4),"")</f>
        <v/>
      </c>
      <c r="EA45" s="150" t="str" cm="1">
        <f t="array" ref="EA45">IFERROR(ROUND(IF($D45="","",INDEX('M04-S05'!DJ$18:DJ$199,2*(ROWS(EA$37:EA45)-1)+1)),4),"")</f>
        <v/>
      </c>
      <c r="EB45" s="150" t="str" cm="1">
        <f t="array" ref="EB45">IFERROR(ROUND(IF($D45="","",INDEX('M04-S05'!DK$18:DK$199,2*(ROWS(EB$37:EB45)-1)+1)),6),"")</f>
        <v/>
      </c>
      <c r="EC45" s="150" t="str" cm="1">
        <f t="array" ref="EC45">IFERROR(ROUND(IF($D45="","",INDEX('M04-S05'!DL$18:DL$199,2*(ROWS(EC$37:EC45)-1)+1)),6),"")</f>
        <v/>
      </c>
      <c r="ED45" s="150" t="str" cm="1">
        <f t="array" ref="ED45">IFERROR(ROUND(IF($D45="","",INDEX('M04-S05'!DM$18:DM$199,2*(ROWS(ED$37:ED45)-1)+1)),6),"")</f>
        <v/>
      </c>
      <c r="EE45" s="150" t="str" cm="1">
        <f t="array" ref="EE45">IFERROR(ROUND(IF($D45="","",INDEX('M04-S05'!DN$18:DN$199,2*(ROWS(EE$37:EE45)-1)+1)),6),"")</f>
        <v/>
      </c>
      <c r="EF45" s="150" t="str" cm="1">
        <f t="array" ref="EF45">IFERROR(ROUND(IF($D45="","",INDEX('M04-S05'!DO$18:DO$199,2*(ROWS(EF$37:EF45)-1)+1)),6),"")</f>
        <v/>
      </c>
      <c r="EG45" s="150" t="str" cm="1">
        <f t="array" ref="EG45">IFERROR(ROUND(IF($D45="","",INDEX('M04-S05'!DP$18:DP$199,2*(ROWS(EG$37:EG45)-1)+1)),6),"")</f>
        <v/>
      </c>
      <c r="EH45" s="150" t="str" cm="1">
        <f t="array" ref="EH45">IFERROR(ROUND(IF($D45="","",INDEX('M04-S05'!DQ$18:DQ$199,2*(ROWS(EH$37:EH45)-1)+1)),6),"")</f>
        <v/>
      </c>
      <c r="EI45" s="150" t="str" cm="1">
        <f t="array" ref="EI45">IFERROR(ROUND(IF($D45="","",INDEX('M04-S05'!DR$18:DR$199,2*(ROWS(EI$37:EI45)-1)+1)),6),"")</f>
        <v/>
      </c>
      <c r="EJ45" s="150" t="str" cm="1">
        <f t="array" ref="EJ45">IFERROR(ROUND(IF($D45="","",INDEX('M04-S05'!DS$18:DS$199,2*(ROWS(EJ$37:EJ45)-1)+1)),6),"")</f>
        <v/>
      </c>
      <c r="EK45" s="150" t="str" cm="1">
        <f t="array" ref="EK45">IFERROR(ROUND(IF($D45="","",INDEX('M04-S05'!DT$18:DT$199,2*(ROWS(EK$37:EK45)-1)+1)),6),"")</f>
        <v/>
      </c>
      <c r="EL45" s="150" t="str" cm="1">
        <f t="array" ref="EL45">IFERROR(ROUND(IF($D45="","",INDEX('M04-S05'!DU$18:DU$199,2*(ROWS(EL$37:EL45)-1)+1)),6),"")</f>
        <v/>
      </c>
      <c r="EM45" s="150" t="str" cm="1">
        <f t="array" ref="EM45">IFERROR(ROUND(IF($D45="","",INDEX('M04-S05'!DV$18:DV$199,2*(ROWS(EM$37:EM45)-1)+1)),6),"")</f>
        <v/>
      </c>
      <c r="EN45" s="150" t="str" cm="1">
        <f t="array" ref="EN45">IFERROR(ROUND(IF($D45="","",INDEX('M04-S05'!DW$18:DW$199,2*(ROWS(EN$37:EN45)-1)+1)),6),"")</f>
        <v/>
      </c>
      <c r="EO45" s="150" t="str" cm="1">
        <f t="array" ref="EO45">IFERROR(ROUND(IF($D45="","",INDEX('M04-S05'!DX$18:DX$199,2*(ROWS(EO$37:EO45)-1)+1)),6),"")</f>
        <v/>
      </c>
      <c r="EP45" s="150" t="str" cm="1">
        <f t="array" ref="EP45">IFERROR(ROUND(IF($D45="","",INDEX('M04-S05'!DY$18:DY$199,2*(ROWS(EP$37:EP45)-1)+1)),6),"")</f>
        <v/>
      </c>
      <c r="EQ45" s="150" t="str" cm="1">
        <f t="array" ref="EQ45">IFERROR(ROUND(IF($D45="","",INDEX('M04-S05'!DZ$18:DZ$199,2*(ROWS(EQ$37:EQ45)-1)+1)),6),"")</f>
        <v/>
      </c>
      <c r="ER45" s="150" t="str">
        <f t="shared" si="21"/>
        <v/>
      </c>
      <c r="ES45" s="150" t="str">
        <f t="shared" si="37"/>
        <v/>
      </c>
      <c r="ET45" s="150" t="str">
        <f t="shared" si="38"/>
        <v/>
      </c>
      <c r="EU45" s="150" t="str">
        <f t="shared" si="39"/>
        <v/>
      </c>
      <c r="EV45" s="150" t="str">
        <f t="shared" si="40"/>
        <v/>
      </c>
      <c r="EW45" s="150" t="str">
        <f t="shared" si="41"/>
        <v/>
      </c>
      <c r="EX45" s="150" t="str">
        <f t="shared" si="42"/>
        <v/>
      </c>
      <c r="EY45" s="150" t="str">
        <f t="shared" si="22"/>
        <v/>
      </c>
      <c r="EZ45" s="150" t="str" cm="1">
        <f t="array" ref="EZ45">IFERROR(ROUND(IF($D45="","",INDEX('M04-S05'!EA$18:EA$199,2*(ROWS(EZ$37:EZ45)-1)+1)),6),"")</f>
        <v/>
      </c>
      <c r="FA45" s="150" t="str" cm="1">
        <f t="array" ref="FA45">IFERROR(ROUND(IF($D45="","",INDEX('M04-S05'!EB$18:EB$199,2*(ROWS(FA$37:FA45)-1)+1)),6),"")</f>
        <v/>
      </c>
      <c r="FB45" s="150" t="str" cm="1">
        <f t="array" ref="FB45">IFERROR(ROUND(IF($D45="","",INDEX('M04-S05'!EC$18:EC$199,2*(ROWS(FB$37:FB45)-1)+1)),6),"")</f>
        <v/>
      </c>
      <c r="FC45" s="150" t="str" cm="1">
        <f t="array" ref="FC45">IFERROR(ROUND(IF($D45="","",INDEX('M04-S05'!ED$18:ED$199,2*(ROWS(FC$37:FC45)-1)+1)),6),"")</f>
        <v/>
      </c>
      <c r="FD45" s="150" t="str" cm="1">
        <f t="array" ref="FD45">IFERROR(ROUND(IF($D45="","",INDEX('M04-S05'!EE$18:EE$199,2*(ROWS(FD$37:FD45)-1)+1)),6),"")</f>
        <v/>
      </c>
      <c r="FE45" s="150" t="str" cm="1">
        <f t="array" ref="FE45">IFERROR(ROUND(IF($D45="","",INDEX('M04-S05'!EF$18:EF$199,2*(ROWS(FE$37:FE45)-1)+1)),6),"")</f>
        <v/>
      </c>
      <c r="FF45" s="150" t="str" cm="1">
        <f t="array" ref="FF45">IFERROR(ROUND(IF($D45="","",INDEX('M04-S05'!EG$18:EG$199,2*(ROWS(FF$37:FF45)-1)+1)),6),"")</f>
        <v/>
      </c>
      <c r="FG45" s="150" t="str" cm="1">
        <f t="array" ref="FG45">IFERROR(ROUND(IF($D45="","",INDEX('M04-S05'!EH$18:EH$199,2*(ROWS(FG$37:FG45)-1)+1)),6),"")</f>
        <v/>
      </c>
      <c r="FH45" s="150" t="str" cm="1">
        <f t="array" ref="FH45">IFERROR(ROUND(IF($D45="","",INDEX('M04-S05'!EI$18:EI$199,2*(ROWS(FH$37:FH45)-1)+1)),6),"")</f>
        <v/>
      </c>
      <c r="FI45" s="150" t="str" cm="1">
        <f t="array" ref="FI45">IFERROR(ROUND(IF($D45="","",INDEX('M04-S05'!EJ$18:EJ$199,2*(ROWS(FI$37:FI45)-1)+1)),6),"")</f>
        <v/>
      </c>
      <c r="FJ45" s="150" t="str" cm="1">
        <f t="array" ref="FJ45">IFERROR(ROUND(IF($D45="","",INDEX('M04-S05'!EK$18:EK$199,2*(ROWS(FJ$37:FJ45)-1)+1)),6),"")</f>
        <v/>
      </c>
      <c r="FK45" s="150" t="str" cm="1">
        <f t="array" ref="FK45">IFERROR(ROUND(IF($D45="","",INDEX('M04-S05'!EL$18:EL$199,2*(ROWS(FK$37:FK45)-1)+1)),6),"")</f>
        <v/>
      </c>
      <c r="FL45" s="150" t="str" cm="1">
        <f t="array" ref="FL45">IFERROR(ROUND(IF($D45="","",INDEX('M04-S05'!EM$18:EM$199,2*(ROWS(FL$37:FL45)-1)+1)),6),"")</f>
        <v/>
      </c>
      <c r="FM45" s="150" t="str" cm="1">
        <f t="array" ref="FM45">IFERROR(ROUND(IF($D45="","",INDEX('M04-S05'!EN$18:EN$199,2*(ROWS(FM$37:FM45)-1)+1)),6),"")</f>
        <v/>
      </c>
    </row>
    <row r="46" spans="1:169">
      <c r="A46" t="str">
        <f t="shared" si="61"/>
        <v/>
      </c>
      <c r="B46" t="str">
        <f t="shared" si="62"/>
        <v/>
      </c>
      <c r="C46" t="str" cm="1">
        <f t="array" ref="C46">IFERROR(IF(D46="","",INDEX('M04-S05'!$B$18:$B$199,2*(ROWS(C$37:C46)-1)+1)),"")</f>
        <v/>
      </c>
      <c r="D46" t="str">
        <f t="shared" si="63"/>
        <v/>
      </c>
      <c r="E46" t="str" cm="1">
        <f t="array" ref="E46">IFERROR(IF(INDEX('M04-S05'!$CC$18:$CC$199,2*(ROWS(E$37:E46)-1)+1)="","",INDEX('M04-S05'!$CC$18:$CC$199,2*(ROWS(E$37:E46)-1)+1)),"")</f>
        <v/>
      </c>
      <c r="G46" t="str">
        <f t="shared" si="64"/>
        <v/>
      </c>
      <c r="H46" t="str">
        <f t="shared" si="65"/>
        <v/>
      </c>
      <c r="L46" t="str">
        <f t="shared" si="66"/>
        <v/>
      </c>
      <c r="O46" t="str">
        <f t="shared" si="67"/>
        <v/>
      </c>
      <c r="V46" t="str" cm="1">
        <f t="array" ref="V46">IFERROR(IF(D46="","",INDEX('M04-S05'!$AY$18:$AY$199,2*(ROWS(V$37:V46)-1)+1)),"")</f>
        <v/>
      </c>
      <c r="W46" t="str" cm="1">
        <f t="array" ref="W46">IFERROR(IF(D46="","",INDEX('M04-S05'!$AV$18:$AV$199,2*(ROWS(W$37:W46)-1)+1)),"")</f>
        <v/>
      </c>
      <c r="X46" t="str" cm="1">
        <f t="array" ref="X46">IFERROR(IF(D46="","",INDEX('M04-S05'!$AV$18:$AV$199,2*(ROWS(X$37:X46)-0)+0)),"")</f>
        <v/>
      </c>
      <c r="AG46" s="98" t="str" cm="1">
        <f t="array" ref="AG46">IFERROR(IF(INDEX('M04-S05'!$CB$18:$CB$199,(ROWS(AG$37:AG46)))="","",INDEX('M04-S05'!$CB$18:$CB$199,(ROWS(AG$37:AG46)))),"")</f>
        <v/>
      </c>
      <c r="AH46" s="98" t="str" cm="1">
        <f t="array" ref="AH46">IFERROR(IF(D46="","",IF(INDEX('M04-S05'!$CU$18:$CU$199,2*(ROWS(AH$37:AH46)-1)+1)="","",INDEX('M04-S05'!$CU$18:$CU$199,2*(ROWS(AH$37:AH46)-1)+1))),"")</f>
        <v/>
      </c>
      <c r="AI46" s="20" t="str" cm="1">
        <f t="array" ref="AI46">IFERROR(IF(D46="","",IF(INDEX('M04-S05'!$CM$18:$CM$199,2*(ROWS(AI$37:AI46)-1)+1)="",0,INDEX('M04-S05'!$CM$18:$CM$199,2*(ROWS(AI$37:AI46)-1)+1))),"")</f>
        <v/>
      </c>
      <c r="AJ46" s="20" t="str">
        <f t="shared" si="1"/>
        <v/>
      </c>
      <c r="AK46" s="487" t="str" cm="1">
        <f t="array" ref="AK46">IFERROR(IF(D46="","",IF(INDEX('M04-S05'!$CN$18:$CN$199,2*(ROWS(AK$37:AK46)-1)+1)="",0,INDEX('M04-S05'!$CN$18:$CN$199,2*(ROWS(AK$37:AK46)-1)+1))),"")</f>
        <v/>
      </c>
      <c r="AL46" s="20" t="str">
        <f t="shared" si="68"/>
        <v/>
      </c>
      <c r="AM46" s="20" t="str">
        <f t="shared" si="58"/>
        <v/>
      </c>
      <c r="AN46" s="20" t="str" cm="1">
        <f t="array" ref="AN46">IFERROR(IF(D46="","",IF(INDEX('M04-S05'!$CO$18:$CO$199,2*(ROWS(AN$37:AN46)-1)+1)="",0,INDEX('M04-S05'!$CO$18:$CO$199,2*(ROWS(AN$37:AN46)-1)+1))),"")</f>
        <v/>
      </c>
      <c r="AO46" s="20" t="str" cm="1">
        <f t="array" ref="AO46">IFERROR(IF(D46="","",INDEX('M04-S05'!$R$18:$R$199,2*(ROWS(AO$37:AO46)-1)+1)),"")</f>
        <v/>
      </c>
      <c r="AP46" s="20" t="str" cm="1">
        <f t="array" ref="AP46">IFERROR(IF(D46="","",INDEX('M04-S05'!$AJ$18:$AJ$199,2*(ROWS(AP$37:AP46)-1)+1)),"")</f>
        <v/>
      </c>
      <c r="AQ46" s="487" t="str" cm="1">
        <f t="array" ref="AQ46">IFERROR(IF(D46="","",INDEX('M04-S05'!$U$18:$U$199,2*(ROWS(AQ$37:AQ46)-1)+1)),"")</f>
        <v/>
      </c>
      <c r="AR46" s="487" t="str" cm="1">
        <f t="array" ref="AR46">IFERROR(IF(D46="","",INDEX('M04-S05'!$AM$18:$AM$199,2*(ROWS(AR$37:AR46)-1)+1)),"")</f>
        <v/>
      </c>
      <c r="AS46" s="20" t="str" cm="1">
        <f t="array" ref="AS46">IFERROR(IF(D46="","",INDEX('M04-S05'!$X$18:$X$199,2*(ROWS(AS$37:AS46)-1)+1)),"")</f>
        <v/>
      </c>
      <c r="AT46" s="20" t="str" cm="1">
        <f t="array" ref="AT46">IFERROR(IF(D46="","",INDEX('M04-S05'!$AP$18:$AP$199,2*(ROWS(AT$37:AT46)-1)+1)),"")</f>
        <v/>
      </c>
      <c r="BP46" t="str" cm="1">
        <f t="array" ref="BP46">IFERROR(IF(D46="","",INDEX('M04-S05'!$CS$18:$CS$199,2*(ROWS(BP$37:BP46)-1)+1)),"")</f>
        <v/>
      </c>
      <c r="BR46" t="str" cm="1">
        <f t="array" ref="BR46">IFERROR(IF(D46="","",LEFT(INDEX('M04-S05'!$C$18:$C$199,2*(ROWS(BR$37:BR46)-1)+1),150)),"")</f>
        <v/>
      </c>
      <c r="BS46" t="str" cm="1">
        <f t="array" ref="BS46">IFERROR(IF(D46="","",INDEX('M04-S05'!$CT$18:$CT$199,2*(ROWS(BS$37:BS46)-1)+1)),"")</f>
        <v/>
      </c>
      <c r="BT46" s="6" t="str" cm="1">
        <f t="array" ref="BT46">IFERROR(ROUND(IF(D46="","",INDEX('M04-S05'!$BB$18:$BB$199,2*(ROWS(BT$37:BT46)-1)+1)),2),"")</f>
        <v/>
      </c>
      <c r="BU46" s="6" t="str" cm="1">
        <f t="array" ref="BU46">IFERROR(IF(D46="","",INDEX('M04-S05'!$CX$18:$CX$199,2*(ROWS(BU$37:BU46)-1)+1)),"")</f>
        <v/>
      </c>
      <c r="BV46" s="6" t="str" cm="1">
        <f t="array" ref="BV46">IFERROR(IF(D46="","",INDEX('M04-S05'!$CY$18:$CY$199,2*(ROWS(BV$37:BV46)-1)+1)),"")</f>
        <v/>
      </c>
      <c r="BW46" t="str">
        <f t="shared" si="69"/>
        <v/>
      </c>
      <c r="BX46" t="str">
        <f t="shared" si="70"/>
        <v/>
      </c>
      <c r="BY46" s="6" t="str" cm="1">
        <f t="array" ref="BY46">IFERROR(IF(D46="","",INDEX('M04-S05'!$CI$18:$CI$199,2*(ROWS(BY$37:BY46)-1)+1)),"")</f>
        <v/>
      </c>
      <c r="BZ46" s="6" t="str">
        <f t="shared" si="17"/>
        <v/>
      </c>
      <c r="CA46" s="6" t="str">
        <f t="shared" si="18"/>
        <v/>
      </c>
      <c r="CB46" s="6" t="str">
        <f t="shared" si="3"/>
        <v/>
      </c>
      <c r="CC46" s="6" t="str">
        <f t="shared" si="59"/>
        <v/>
      </c>
      <c r="CD46" s="6" t="str">
        <f t="shared" si="60"/>
        <v/>
      </c>
      <c r="CS46" t="str" cm="1">
        <f t="array" ref="CS46">IFERROR(IF(D46="","",INDEX('M04-S05'!$F$18:$F$199,2*(ROWS(CS$37:CS46)-1)+1)),"")</f>
        <v/>
      </c>
      <c r="CT46" t="str" cm="1">
        <f t="array" ref="CT46">IFERROR(IF(D46="","",INDEX('M04-S05'!$L$18:$L$199,2*(ROWS(CT$37:CT46)-1)+1)),"")</f>
        <v/>
      </c>
      <c r="CU46" t="str" cm="1">
        <f t="array" ref="CU46">IFERROR(IF(D46="","",INDEX('M04-S05'!$AD$18:$AD$199,2*(ROWS(CU$37:CU46)-1)+1)),"")</f>
        <v/>
      </c>
      <c r="DE46" s="150"/>
      <c r="DF46" s="150" t="str">
        <f>IFERROR(ROUND(IF(OR(D46="",DE46=""),"",TEMPLATE!$V$13),2),"")</f>
        <v/>
      </c>
      <c r="DG46" s="150"/>
      <c r="DH46" s="150" t="str">
        <f>IFERROR(ROUND(IF(OR(D46="",DG46=""),"",TEMPLATE!$V$13),2),"")</f>
        <v/>
      </c>
      <c r="DI46" s="150"/>
      <c r="DJ46" s="150" t="str">
        <f>IFERROR(ROUND(IF(OR(D46="",DI46=""),"",TEMPLATE!$V$13),2),"")</f>
        <v/>
      </c>
      <c r="DK46" s="150"/>
      <c r="DL46" s="150" t="str">
        <f>IFERROR(ROUND(IF(OR(D46="",DK46=""),"",TEMPLATE!$V$13),2),"")</f>
        <v/>
      </c>
      <c r="DM46" s="150"/>
      <c r="DN46" s="150" t="str">
        <f>IFERROR(ROUND(IF(OR(D46="",DM46=""),"",TEMPLATE!$V$13),2),"")</f>
        <v/>
      </c>
      <c r="DO46" s="150"/>
      <c r="DP46" s="150" t="str">
        <f>IFERROR(ROUND(IF(OR(D46="",DO46=""),"",TEMPLATE!$V$13),2),"")</f>
        <v/>
      </c>
      <c r="DQ46" s="150"/>
      <c r="DR46" s="150" t="str">
        <f>IFERROR(ROUND(IF(OR(D46="",DQ46=""),"",TEMPLATE!$V$13),2),"")</f>
        <v/>
      </c>
      <c r="DS46" s="150"/>
      <c r="DT46" s="150" t="str">
        <f>IFERROR(ROUND(IF(OR(D46="",DS46=""),"",TEMPLATE!$V$13),2),"")</f>
        <v/>
      </c>
      <c r="DU46" s="150" t="str" cm="1">
        <f t="array" ref="DU46">IFERROR(ROUND(IF($D46="","",INDEX('M04-S05'!DD$18:DD$199,2*(ROWS(DU$37:DU46)-1)+1)),4),"")</f>
        <v/>
      </c>
      <c r="DV46" s="150" t="str" cm="1">
        <f t="array" ref="DV46">IFERROR(ROUND(IF($D46="","",INDEX('M04-S05'!DE$18:DE$199,2*(ROWS(DV$37:DV46)-1)+1)),4),"")</f>
        <v/>
      </c>
      <c r="DW46" s="150" t="str" cm="1">
        <f t="array" ref="DW46">IFERROR(ROUND(IF($D46="","",INDEX('M04-S05'!DF$18:DF$199,2*(ROWS(DW$37:DW46)-1)+1)),4),"")</f>
        <v/>
      </c>
      <c r="DX46" s="150" t="str" cm="1">
        <f t="array" ref="DX46">IFERROR(ROUND(IF($D46="","",INDEX('M04-S05'!DG$18:DG$199,2*(ROWS(DX$37:DX46)-1)+1)),4),"")</f>
        <v/>
      </c>
      <c r="DY46" s="150" t="str" cm="1">
        <f t="array" ref="DY46">IFERROR(ROUND(IF($D46="","",INDEX('M04-S05'!DH$18:DH$199,2*(ROWS(DY$37:DY46)-1)+1)),4),"")</f>
        <v/>
      </c>
      <c r="DZ46" s="150" t="str" cm="1">
        <f t="array" ref="DZ46">IFERROR(ROUND(IF($D46="","",INDEX('M04-S05'!DI$18:DI$199,2*(ROWS(DZ$37:DZ46)-1)+1)),4),"")</f>
        <v/>
      </c>
      <c r="EA46" s="150" t="str" cm="1">
        <f t="array" ref="EA46">IFERROR(ROUND(IF($D46="","",INDEX('M04-S05'!DJ$18:DJ$199,2*(ROWS(EA$37:EA46)-1)+1)),4),"")</f>
        <v/>
      </c>
      <c r="EB46" s="150" t="str" cm="1">
        <f t="array" ref="EB46">IFERROR(ROUND(IF($D46="","",INDEX('M04-S05'!DK$18:DK$199,2*(ROWS(EB$37:EB46)-1)+1)),6),"")</f>
        <v/>
      </c>
      <c r="EC46" s="150" t="str" cm="1">
        <f t="array" ref="EC46">IFERROR(ROUND(IF($D46="","",INDEX('M04-S05'!DL$18:DL$199,2*(ROWS(EC$37:EC46)-1)+1)),6),"")</f>
        <v/>
      </c>
      <c r="ED46" s="150" t="str" cm="1">
        <f t="array" ref="ED46">IFERROR(ROUND(IF($D46="","",INDEX('M04-S05'!DM$18:DM$199,2*(ROWS(ED$37:ED46)-1)+1)),6),"")</f>
        <v/>
      </c>
      <c r="EE46" s="150" t="str" cm="1">
        <f t="array" ref="EE46">IFERROR(ROUND(IF($D46="","",INDEX('M04-S05'!DN$18:DN$199,2*(ROWS(EE$37:EE46)-1)+1)),6),"")</f>
        <v/>
      </c>
      <c r="EF46" s="150" t="str" cm="1">
        <f t="array" ref="EF46">IFERROR(ROUND(IF($D46="","",INDEX('M04-S05'!DO$18:DO$199,2*(ROWS(EF$37:EF46)-1)+1)),6),"")</f>
        <v/>
      </c>
      <c r="EG46" s="150" t="str" cm="1">
        <f t="array" ref="EG46">IFERROR(ROUND(IF($D46="","",INDEX('M04-S05'!DP$18:DP$199,2*(ROWS(EG$37:EG46)-1)+1)),6),"")</f>
        <v/>
      </c>
      <c r="EH46" s="150" t="str" cm="1">
        <f t="array" ref="EH46">IFERROR(ROUND(IF($D46="","",INDEX('M04-S05'!DQ$18:DQ$199,2*(ROWS(EH$37:EH46)-1)+1)),6),"")</f>
        <v/>
      </c>
      <c r="EI46" s="150" t="str" cm="1">
        <f t="array" ref="EI46">IFERROR(ROUND(IF($D46="","",INDEX('M04-S05'!DR$18:DR$199,2*(ROWS(EI$37:EI46)-1)+1)),6),"")</f>
        <v/>
      </c>
      <c r="EJ46" s="150" t="str" cm="1">
        <f t="array" ref="EJ46">IFERROR(ROUND(IF($D46="","",INDEX('M04-S05'!DS$18:DS$199,2*(ROWS(EJ$37:EJ46)-1)+1)),6),"")</f>
        <v/>
      </c>
      <c r="EK46" s="150" t="str" cm="1">
        <f t="array" ref="EK46">IFERROR(ROUND(IF($D46="","",INDEX('M04-S05'!DT$18:DT$199,2*(ROWS(EK$37:EK46)-1)+1)),6),"")</f>
        <v/>
      </c>
      <c r="EL46" s="150" t="str" cm="1">
        <f t="array" ref="EL46">IFERROR(ROUND(IF($D46="","",INDEX('M04-S05'!DU$18:DU$199,2*(ROWS(EL$37:EL46)-1)+1)),6),"")</f>
        <v/>
      </c>
      <c r="EM46" s="150" t="str" cm="1">
        <f t="array" ref="EM46">IFERROR(ROUND(IF($D46="","",INDEX('M04-S05'!DV$18:DV$199,2*(ROWS(EM$37:EM46)-1)+1)),6),"")</f>
        <v/>
      </c>
      <c r="EN46" s="150" t="str" cm="1">
        <f t="array" ref="EN46">IFERROR(ROUND(IF($D46="","",INDEX('M04-S05'!DW$18:DW$199,2*(ROWS(EN$37:EN46)-1)+1)),6),"")</f>
        <v/>
      </c>
      <c r="EO46" s="150" t="str" cm="1">
        <f t="array" ref="EO46">IFERROR(ROUND(IF($D46="","",INDEX('M04-S05'!DX$18:DX$199,2*(ROWS(EO$37:EO46)-1)+1)),6),"")</f>
        <v/>
      </c>
      <c r="EP46" s="150" t="str" cm="1">
        <f t="array" ref="EP46">IFERROR(ROUND(IF($D46="","",INDEX('M04-S05'!DY$18:DY$199,2*(ROWS(EP$37:EP46)-1)+1)),6),"")</f>
        <v/>
      </c>
      <c r="EQ46" s="150" t="str" cm="1">
        <f t="array" ref="EQ46">IFERROR(ROUND(IF($D46="","",INDEX('M04-S05'!DZ$18:DZ$199,2*(ROWS(EQ$37:EQ46)-1)+1)),6),"")</f>
        <v/>
      </c>
      <c r="ER46" s="150" t="str">
        <f t="shared" si="21"/>
        <v/>
      </c>
      <c r="ES46" s="150" t="str">
        <f t="shared" si="37"/>
        <v/>
      </c>
      <c r="ET46" s="150" t="str">
        <f t="shared" si="38"/>
        <v/>
      </c>
      <c r="EU46" s="150" t="str">
        <f t="shared" si="39"/>
        <v/>
      </c>
      <c r="EV46" s="150" t="str">
        <f t="shared" si="40"/>
        <v/>
      </c>
      <c r="EW46" s="150" t="str">
        <f t="shared" si="41"/>
        <v/>
      </c>
      <c r="EX46" s="150" t="str">
        <f t="shared" si="42"/>
        <v/>
      </c>
      <c r="EY46" s="150" t="str">
        <f t="shared" si="22"/>
        <v/>
      </c>
      <c r="EZ46" s="150" t="str" cm="1">
        <f t="array" ref="EZ46">IFERROR(ROUND(IF($D46="","",INDEX('M04-S05'!EA$18:EA$199,2*(ROWS(EZ$37:EZ46)-1)+1)),6),"")</f>
        <v/>
      </c>
      <c r="FA46" s="150" t="str" cm="1">
        <f t="array" ref="FA46">IFERROR(ROUND(IF($D46="","",INDEX('M04-S05'!EB$18:EB$199,2*(ROWS(FA$37:FA46)-1)+1)),6),"")</f>
        <v/>
      </c>
      <c r="FB46" s="150" t="str" cm="1">
        <f t="array" ref="FB46">IFERROR(ROUND(IF($D46="","",INDEX('M04-S05'!EC$18:EC$199,2*(ROWS(FB$37:FB46)-1)+1)),6),"")</f>
        <v/>
      </c>
      <c r="FC46" s="150" t="str" cm="1">
        <f t="array" ref="FC46">IFERROR(ROUND(IF($D46="","",INDEX('M04-S05'!ED$18:ED$199,2*(ROWS(FC$37:FC46)-1)+1)),6),"")</f>
        <v/>
      </c>
      <c r="FD46" s="150" t="str" cm="1">
        <f t="array" ref="FD46">IFERROR(ROUND(IF($D46="","",INDEX('M04-S05'!EE$18:EE$199,2*(ROWS(FD$37:FD46)-1)+1)),6),"")</f>
        <v/>
      </c>
      <c r="FE46" s="150" t="str" cm="1">
        <f t="array" ref="FE46">IFERROR(ROUND(IF($D46="","",INDEX('M04-S05'!EF$18:EF$199,2*(ROWS(FE$37:FE46)-1)+1)),6),"")</f>
        <v/>
      </c>
      <c r="FF46" s="150" t="str" cm="1">
        <f t="array" ref="FF46">IFERROR(ROUND(IF($D46="","",INDEX('M04-S05'!EG$18:EG$199,2*(ROWS(FF$37:FF46)-1)+1)),6),"")</f>
        <v/>
      </c>
      <c r="FG46" s="150" t="str" cm="1">
        <f t="array" ref="FG46">IFERROR(ROUND(IF($D46="","",INDEX('M04-S05'!EH$18:EH$199,2*(ROWS(FG$37:FG46)-1)+1)),6),"")</f>
        <v/>
      </c>
      <c r="FH46" s="150" t="str" cm="1">
        <f t="array" ref="FH46">IFERROR(ROUND(IF($D46="","",INDEX('M04-S05'!EI$18:EI$199,2*(ROWS(FH$37:FH46)-1)+1)),6),"")</f>
        <v/>
      </c>
      <c r="FI46" s="150" t="str" cm="1">
        <f t="array" ref="FI46">IFERROR(ROUND(IF($D46="","",INDEX('M04-S05'!EJ$18:EJ$199,2*(ROWS(FI$37:FI46)-1)+1)),6),"")</f>
        <v/>
      </c>
      <c r="FJ46" s="150" t="str" cm="1">
        <f t="array" ref="FJ46">IFERROR(ROUND(IF($D46="","",INDEX('M04-S05'!EK$18:EK$199,2*(ROWS(FJ$37:FJ46)-1)+1)),6),"")</f>
        <v/>
      </c>
      <c r="FK46" s="150" t="str" cm="1">
        <f t="array" ref="FK46">IFERROR(ROUND(IF($D46="","",INDEX('M04-S05'!EL$18:EL$199,2*(ROWS(FK$37:FK46)-1)+1)),6),"")</f>
        <v/>
      </c>
      <c r="FL46" s="150" t="str" cm="1">
        <f t="array" ref="FL46">IFERROR(ROUND(IF($D46="","",INDEX('M04-S05'!EM$18:EM$199,2*(ROWS(FL$37:FL46)-1)+1)),6),"")</f>
        <v/>
      </c>
      <c r="FM46" s="150" t="str" cm="1">
        <f t="array" ref="FM46">IFERROR(ROUND(IF($D46="","",INDEX('M04-S05'!EN$18:EN$199,2*(ROWS(FM$37:FM46)-1)+1)),6),"")</f>
        <v/>
      </c>
    </row>
    <row r="47" spans="1:169">
      <c r="A47" s="218" t="str">
        <f>"Custom "&amp;M4S6</f>
        <v>Custom Refrigeration</v>
      </c>
      <c r="B47" s="218"/>
      <c r="C47" s="218"/>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c r="BQ47" s="218"/>
      <c r="BR47" s="218"/>
      <c r="BS47" s="218"/>
      <c r="BT47" s="218"/>
      <c r="BU47" s="218"/>
      <c r="BV47" s="218"/>
      <c r="BW47" s="218"/>
      <c r="BX47" s="218"/>
      <c r="BY47" s="218"/>
      <c r="BZ47" s="218"/>
      <c r="CA47" s="218"/>
      <c r="CB47" s="218"/>
      <c r="CC47" s="218"/>
      <c r="CD47" s="218"/>
      <c r="CE47" s="218"/>
      <c r="CF47" s="218"/>
      <c r="CG47" s="218"/>
      <c r="CH47" s="218"/>
      <c r="CI47" s="218"/>
      <c r="CJ47" s="218"/>
      <c r="CK47" s="218"/>
      <c r="CL47" s="218"/>
      <c r="CM47" s="218"/>
      <c r="CN47" s="218"/>
      <c r="CO47" s="218"/>
      <c r="CP47" s="218"/>
      <c r="CQ47" s="218"/>
      <c r="CR47" s="218"/>
      <c r="CS47" s="218"/>
      <c r="CT47" s="218"/>
      <c r="CU47" s="218"/>
      <c r="CV47" s="218"/>
      <c r="CW47" s="218"/>
      <c r="CX47" s="218"/>
      <c r="CY47" s="218"/>
      <c r="CZ47" s="218"/>
      <c r="DA47" s="218"/>
      <c r="DB47" s="218"/>
      <c r="DC47" s="218"/>
      <c r="DD47" s="218"/>
      <c r="DE47" s="218"/>
      <c r="DF47" s="218"/>
      <c r="DG47" s="218"/>
      <c r="DH47" s="218"/>
      <c r="DI47" s="218"/>
      <c r="DJ47" s="218"/>
      <c r="DK47" s="218"/>
      <c r="DL47" s="218"/>
      <c r="DM47" s="218"/>
      <c r="DN47" s="218"/>
      <c r="DO47" s="218"/>
      <c r="DP47" s="218"/>
      <c r="DQ47" s="218"/>
      <c r="DR47" s="218"/>
      <c r="DS47" s="218"/>
      <c r="DT47" s="218"/>
      <c r="DU47" s="218"/>
      <c r="DV47" s="218"/>
      <c r="DW47" s="218"/>
      <c r="DX47" s="218"/>
      <c r="DY47" s="218"/>
      <c r="DZ47" s="218"/>
      <c r="EA47" s="218"/>
      <c r="EB47" s="218"/>
      <c r="EC47" s="218"/>
      <c r="ED47" s="218"/>
      <c r="EE47" s="218"/>
      <c r="EF47" s="218"/>
      <c r="EG47" s="218"/>
      <c r="EH47" s="218"/>
      <c r="EI47" s="218"/>
      <c r="EJ47" s="218"/>
      <c r="EK47" s="218"/>
      <c r="EL47" s="218"/>
      <c r="EM47" s="218"/>
      <c r="EN47" s="218"/>
      <c r="EO47" s="218"/>
      <c r="EP47" s="218"/>
      <c r="EQ47" s="218"/>
      <c r="ER47" s="218"/>
      <c r="ES47" s="218"/>
      <c r="ET47" s="218"/>
      <c r="EU47" s="218"/>
      <c r="EV47" s="218"/>
      <c r="EW47" s="218"/>
      <c r="EX47" s="218"/>
      <c r="EY47" s="218"/>
      <c r="EZ47" s="218"/>
      <c r="FA47" s="218"/>
      <c r="FB47" s="218"/>
      <c r="FC47" s="218"/>
      <c r="FD47" s="218"/>
      <c r="FE47" s="218"/>
      <c r="FF47" s="218"/>
      <c r="FG47" s="218"/>
      <c r="FH47" s="218"/>
      <c r="FI47" s="218"/>
      <c r="FJ47" s="218"/>
      <c r="FK47" s="218"/>
      <c r="FL47" s="218"/>
      <c r="FM47" s="218"/>
    </row>
    <row r="48" spans="1:169">
      <c r="A48" t="str">
        <f t="shared" ref="A48" si="71">IFERROR(IF(D48="","",PROJID),"")</f>
        <v/>
      </c>
      <c r="B48" t="str">
        <f>IFERROR(IF(D48="","",CONCATENATE(ROW(),"-",D48)),"")</f>
        <v/>
      </c>
      <c r="C48" t="str" cm="1">
        <f t="array" ref="C48">IFERROR(IF(D48="","",INDEX('M04-S06'!$B$18:$B$199,2*(ROWS(C$48:C48)-1)+1)),"")</f>
        <v/>
      </c>
      <c r="D48" t="str">
        <f>IFERROR(IF(E48="","",E48),"")</f>
        <v/>
      </c>
      <c r="E48" t="str" cm="1">
        <f t="array" ref="E48">IFERROR(IF(INDEX('M04-S06'!$CC$18:$CC$199,2*(ROWS(E$48:E48)-1)+1)="","",INDEX('M04-S06'!$CC$18:$CC$199,2*(ROWS(E$48:E48)-1)+1)),"")</f>
        <v/>
      </c>
      <c r="G48" t="str">
        <f>IFERROR(IF(C48&lt;&gt;"","Custom",""),"")</f>
        <v/>
      </c>
      <c r="H48" t="str">
        <f t="shared" ref="H48" si="72">IFERROR(IF(C48&lt;&gt;"","Downstream",""),"")</f>
        <v/>
      </c>
      <c r="L48" t="str">
        <f>IF($C48="","",IF(AND(AI48&gt;0,AN48&gt;0),"Electric &amp; Gas",IF(AI48&gt;0,"Electric",IF(AN48&gt;0,"Gas",""))))</f>
        <v/>
      </c>
      <c r="O48" t="str">
        <f>IF($C48="","",TRUE)</f>
        <v/>
      </c>
      <c r="V48" t="str" cm="1">
        <f t="array" ref="V48">IFERROR(IF(D48="","",INDEX('M04-S06'!$AY$17:$AY$199,2*(ROWS(V$48:V48)-1)+1)),"")</f>
        <v/>
      </c>
      <c r="W48" t="str" cm="1">
        <f t="array" ref="W48">IFERROR(IF(D48="","",INDEX('M04-S06'!$AV$17:$AV$199,2*(ROWS(W$48:W48)-1)+1)),"")</f>
        <v/>
      </c>
      <c r="X48" t="str" cm="1">
        <f t="array" ref="X48">IFERROR(IF(D48="","",INDEX('M04-S06'!$AV$17:$AV$199,2*(ROWS(X$48:X48)-0)+0)),"")</f>
        <v/>
      </c>
      <c r="AG48" s="98" t="str" cm="1">
        <f t="array" ref="AG48">IFERROR(IF(D48="","",IF(INDEX('M04-S06'!$CB$18:$CB$199,2*(ROWS(AG$48:AG48)-1)+1)="","",INDEX('M04-S06'!$CB$18:$CB$199,2*(ROWS(AG$48:AG48)-1)+1))),"")</f>
        <v/>
      </c>
      <c r="AH48" s="98" t="str" cm="1">
        <f t="array" ref="AH48">IFERROR(IF(D48="","",IF(INDEX('M04-S06'!$CU$18:$CU$199,2*(ROWS(AH$48:AH48)-1)+1)="","",INDEX('M04-S06'!$CU$18:$CU$199,2*(ROWS(AH$48:AH48)-1)+1))),"")</f>
        <v/>
      </c>
      <c r="AI48" s="20" t="str" cm="1">
        <f t="array" ref="AI48">IFERROR(IF(D48="","",IF(INDEX('M04-S06'!$CM$18:$CM$199,2*(ROWS(AI$48:AI48)-1)+1)="",0,INDEX('M04-S06'!$CM$18:$CM$199,2*(ROWS(AI$48:AI48)-1)+1))),"")</f>
        <v/>
      </c>
      <c r="AJ48" s="20" t="str">
        <f t="shared" si="1"/>
        <v/>
      </c>
      <c r="AK48" s="487" t="str" cm="1">
        <f t="array" ref="AK48">IFERROR(IF(D48="","",IF(INDEX('M04-S06'!$CN$18:$CN$199,2*(ROWS(AK$48:AK48)-1)+1)="",0,INDEX('M04-S06'!$CN$18:$CN$199,2*(ROWS(AK$48:AK48)-1)+1))),"")</f>
        <v/>
      </c>
      <c r="AL48" s="20" t="str">
        <f>IF(AN48&gt;=0,AN48,0)</f>
        <v/>
      </c>
      <c r="AM48" s="20" t="str">
        <f t="shared" ref="AM48:AM57" si="73">IFERROR(ROUND(IF(D48="","",AL48/10),6),"")</f>
        <v/>
      </c>
      <c r="AN48" s="20" t="str" cm="1">
        <f t="array" ref="AN48">IFERROR(IF(D48="","",IF(INDEX('M04-S06'!$CO$18:$CO$199,2*(ROWS(AN$48:AN48)-1)+1)="",0,INDEX('M04-S06'!$CO$18:$CO$199,2*(ROWS(AN$48:AN48)-1)+1))),"")</f>
        <v/>
      </c>
      <c r="AO48" s="20" t="str" cm="1">
        <f t="array" ref="AO48">IFERROR(IF(D48="","",INDEX('M04-S06'!$R$18:$R$199,2*(ROWS(AO$48:AO48)-1)+1)),"")</f>
        <v/>
      </c>
      <c r="AP48" s="20" t="str" cm="1">
        <f t="array" ref="AP48">IFERROR(IF(D48="","",INDEX('M04-S06'!$AJ$17:$AJ$199,2*(ROWS(AP$48:AP48)-1)+1)),"")</f>
        <v/>
      </c>
      <c r="AQ48" s="487" t="str" cm="1">
        <f t="array" ref="AQ48">IFERROR(IF(D48="","",INDEX('M04-S06'!$U$18:$U$199,2*(ROWS(AQ$48:AQ48)-1)+1)),"")</f>
        <v/>
      </c>
      <c r="AR48" s="487" t="str" cm="1">
        <f t="array" ref="AR48">IFERROR(IF(D48="","",INDEX('M04-S06'!$AM$17:$AM$199,2*(ROWS(AR$48:AR48)-1)+1)),"")</f>
        <v/>
      </c>
      <c r="AS48" s="20" t="str" cm="1">
        <f t="array" ref="AS48">IFERROR(IF(D48="","",INDEX('M04-S06'!$X$18:$X$199,2*(ROWS(AS$48:AS48)-1)+1)),"")</f>
        <v/>
      </c>
      <c r="AT48" s="20" t="str" cm="1">
        <f t="array" ref="AT48">IFERROR(IF(D48="","",INDEX('M04-S06'!$AP$17:$AP$199,2*(ROWS(AT$48:AT48)-1)+1)),"")</f>
        <v/>
      </c>
      <c r="BP48" t="str" cm="1">
        <f t="array" ref="BP48">IFERROR(IF(D48="","",INDEX('M04-S06'!$CS$18:$CS$199,2*(ROWS(BP$48:BP48)-1)+1)),"")</f>
        <v/>
      </c>
      <c r="BR48" t="str" cm="1">
        <f t="array" ref="BR48">IFERROR(IF(D48="","",LEFT(INDEX('M04-S06'!$C$18:$C$199,2*(ROWS(BR$48:BR48)-1)+1),150)),"")</f>
        <v/>
      </c>
      <c r="BS48" t="str" cm="1">
        <f t="array" ref="BS48">IFERROR(IF(D48="","",INDEX('M04-S06'!$CT$18:$CT$199,2*(ROWS(BS$48:BS48)-1)+1)),"")</f>
        <v/>
      </c>
      <c r="BT48" s="6" t="str" cm="1">
        <f t="array" ref="BT48">IFERROR(ROUND(IF(D48="","",INDEX('M04-S06'!$BB$17:$BB$199,2*(ROWS(BT$48:BT48)-1)+1)),2),"")</f>
        <v/>
      </c>
      <c r="BU48" s="6" t="str" cm="1">
        <f t="array" ref="BU48">IFERROR(IF(D48="","",INDEX('M04-S06'!$CX$18:$CX$199,2*(ROWS(BU$48:BU48)-1)+1)),"")</f>
        <v/>
      </c>
      <c r="BV48" s="6" t="str" cm="1">
        <f t="array" ref="BV48">IFERROR(IF(D48="","",INDEX('M04-S06'!$CY$18:$CY$199,2*(ROWS(BV$48:BV48)-1)+1)),"")</f>
        <v/>
      </c>
      <c r="BW48" t="str">
        <f>IF(D48="","","Measure")</f>
        <v/>
      </c>
      <c r="BX48" t="str">
        <f>IF(D48="","",1)</f>
        <v/>
      </c>
      <c r="BY48" s="6" t="str" cm="1">
        <f t="array" ref="BY48">IFERROR(IF(D48="","",INDEX('M04-S06'!$CI$18:$CI$199,2*(ROWS(BY$48:BY48)-1)+1)),"")</f>
        <v/>
      </c>
      <c r="BZ48" s="6" t="str">
        <f t="shared" si="17"/>
        <v/>
      </c>
      <c r="CA48" s="6" t="str">
        <f t="shared" si="18"/>
        <v/>
      </c>
      <c r="CB48" s="6" t="str">
        <f t="shared" si="3"/>
        <v/>
      </c>
      <c r="CC48" s="6" t="str">
        <f t="shared" ref="CC48:CC57" si="74">IFERROR(IF(D48="","",AJ48/(AJ48+AM48)*CB48),"")</f>
        <v/>
      </c>
      <c r="CD48" s="6" t="str">
        <f t="shared" ref="CD48:CD57" si="75">IFERROR(IF(D48="","",AM48/(AJ48+AM48)*CB48),"")</f>
        <v/>
      </c>
      <c r="CS48" t="str" cm="1">
        <f t="array" ref="CS48">IFERROR(IF(D48="","",INDEX('M04-S06'!$F$18:$F$199,2*(ROWS(CS$48:CS48)-1)+1)),"")</f>
        <v/>
      </c>
      <c r="CT48" t="str" cm="1">
        <f t="array" ref="CT48">IFERROR(IF(D48="","",INDEX('M04-S06'!$L$18:$L$199,2*(ROWS(CT$48:CT48)-1)+1)),"")</f>
        <v/>
      </c>
      <c r="CU48" t="str" cm="1">
        <f t="array" ref="CU48">IFERROR(IF(D48="","",INDEX('M04-S06'!$AD$18:$AD$199,2*(ROWS(CU$48:CU48)-1)+1)),"")</f>
        <v/>
      </c>
      <c r="DE48" s="150"/>
      <c r="DF48" s="150" t="str">
        <f>IFERROR(ROUND(IF(OR(D48="",DE48=""),"",TEMPLATE!$V$14),2),"")</f>
        <v/>
      </c>
      <c r="DG48" s="150"/>
      <c r="DH48" s="150" t="str">
        <f>IFERROR(ROUND(IF(OR(D48="",DG48=""),"",TEMPLATE!$V$14),2),"")</f>
        <v/>
      </c>
      <c r="DI48" s="150"/>
      <c r="DJ48" s="150" t="str">
        <f>IFERROR(ROUND(IF(OR(D48="",DI48=""),"",TEMPLATE!$V$14),2),"")</f>
        <v/>
      </c>
      <c r="DK48" s="150"/>
      <c r="DL48" s="150" t="str">
        <f>IFERROR(ROUND(IF(OR(D48="",DK48=""),"",TEMPLATE!$V$14),2),"")</f>
        <v/>
      </c>
      <c r="DM48" s="150"/>
      <c r="DN48" s="150" t="str">
        <f>IFERROR(ROUND(IF(OR(D48="",DM48=""),"",TEMPLATE!$V$14),2),"")</f>
        <v/>
      </c>
      <c r="DO48" s="150"/>
      <c r="DP48" s="150" t="str">
        <f>IFERROR(ROUND(IF(OR(D48="",DO48=""),"",TEMPLATE!$V$14),2),"")</f>
        <v/>
      </c>
      <c r="DQ48" s="150"/>
      <c r="DR48" s="150" t="str">
        <f>IFERROR(ROUND(IF(OR(D48="",DQ48=""),"",TEMPLATE!$V$14),2),"")</f>
        <v/>
      </c>
      <c r="DS48" s="150"/>
      <c r="DT48" s="150" t="str">
        <f>IFERROR(ROUND(IF(OR(D48="",DS48=""),"",TEMPLATE!$V$14),2),"")</f>
        <v/>
      </c>
      <c r="DU48" s="150" t="str" cm="1">
        <f t="array" ref="DU48">IFERROR(ROUND(IF($D48="","",INDEX('M04-S06'!DD$18:DD$199,2*(ROWS(DU$48:DU48)-1)+1)),4),"")</f>
        <v/>
      </c>
      <c r="DV48" s="150" t="str" cm="1">
        <f t="array" ref="DV48">IFERROR(ROUND(IF($D48="","",INDEX('M04-S06'!DE$18:DE$199,2*(ROWS(DV$48:DV48)-1)+1)),4),"")</f>
        <v/>
      </c>
      <c r="DW48" s="150" t="str" cm="1">
        <f t="array" ref="DW48">IFERROR(ROUND(IF($D48="","",INDEX('M04-S06'!DF$18:DF$199,2*(ROWS(DW$48:DW48)-1)+1)),4),"")</f>
        <v/>
      </c>
      <c r="DX48" s="150" t="str" cm="1">
        <f t="array" ref="DX48">IFERROR(ROUND(IF($D48="","",INDEX('M04-S06'!DG$18:DG$199,2*(ROWS(DX$48:DX48)-1)+1)),4),"")</f>
        <v/>
      </c>
      <c r="DY48" s="150" t="str" cm="1">
        <f t="array" ref="DY48">IFERROR(ROUND(IF($D48="","",INDEX('M04-S06'!DH$18:DH$199,2*(ROWS(DY$48:DY48)-1)+1)),4),"")</f>
        <v/>
      </c>
      <c r="DZ48" s="150" t="str" cm="1">
        <f t="array" ref="DZ48">IFERROR(ROUND(IF($D48="","",INDEX('M04-S06'!DI$18:DI$199,2*(ROWS(DZ$48:DZ48)-1)+1)),4),"")</f>
        <v/>
      </c>
      <c r="EA48" s="150" t="str" cm="1">
        <f t="array" ref="EA48">IFERROR(ROUND(IF($D48="","",INDEX('M04-S06'!DJ$18:DJ$199,2*(ROWS(EA$48:EA48)-1)+1)),4),"")</f>
        <v/>
      </c>
      <c r="EB48" s="150" t="str" cm="1">
        <f t="array" ref="EB48">IFERROR(ROUND(IF($D48="","",INDEX('M04-S06'!DK$18:DK$199,2*(ROWS(EB$48:EB48)-1)+1)),6),"")</f>
        <v/>
      </c>
      <c r="EC48" s="150" t="str" cm="1">
        <f t="array" ref="EC48">IFERROR(ROUND(IF($D48="","",INDEX('M04-S06'!DL$18:DL$199,2*(ROWS(EC$48:EC48)-1)+1)),6),"")</f>
        <v/>
      </c>
      <c r="ED48" s="150" t="str" cm="1">
        <f t="array" ref="ED48">IFERROR(ROUND(IF($D48="","",INDEX('M04-S06'!DM$18:DM$199,2*(ROWS(ED$48:ED48)-1)+1)),6),"")</f>
        <v/>
      </c>
      <c r="EE48" s="150" t="str" cm="1">
        <f t="array" ref="EE48">IFERROR(ROUND(IF($D48="","",INDEX('M04-S06'!DN$18:DN$199,2*(ROWS(EE$48:EE48)-1)+1)),6),"")</f>
        <v/>
      </c>
      <c r="EF48" s="150" t="str" cm="1">
        <f t="array" ref="EF48">IFERROR(ROUND(IF($D48="","",INDEX('M04-S06'!DO$18:DO$199,2*(ROWS(EF$48:EF48)-1)+1)),6),"")</f>
        <v/>
      </c>
      <c r="EG48" s="150" t="str" cm="1">
        <f t="array" ref="EG48">IFERROR(ROUND(IF($D48="","",INDEX('M04-S06'!DP$18:DP$199,2*(ROWS(EG$48:EG48)-1)+1)),6),"")</f>
        <v/>
      </c>
      <c r="EH48" s="150" t="str" cm="1">
        <f t="array" ref="EH48">IFERROR(ROUND(IF($D48="","",INDEX('M04-S06'!DQ$18:DQ$199,2*(ROWS(EH$48:EH48)-1)+1)),6),"")</f>
        <v/>
      </c>
      <c r="EI48" s="150" t="str" cm="1">
        <f t="array" ref="EI48">IFERROR(ROUND(IF($D48="","",INDEX('M04-S06'!DR$18:DR$199,2*(ROWS(EI$48:EI48)-1)+1)),6),"")</f>
        <v/>
      </c>
      <c r="EJ48" s="150" t="str" cm="1">
        <f t="array" ref="EJ48">IFERROR(ROUND(IF($D48="","",INDEX('M04-S06'!DS$18:DS$199,2*(ROWS(EJ$48:EJ48)-1)+1)),6),"")</f>
        <v/>
      </c>
      <c r="EK48" s="150" t="str" cm="1">
        <f t="array" ref="EK48">IFERROR(ROUND(IF($D48="","",INDEX('M04-S06'!DT$18:DT$199,2*(ROWS(EK$48:EK48)-1)+1)),6),"")</f>
        <v/>
      </c>
      <c r="EL48" s="150" t="str" cm="1">
        <f t="array" ref="EL48">IFERROR(ROUND(IF($D48="","",INDEX('M04-S06'!DU$18:DU$199,2*(ROWS(EL$48:EL48)-1)+1)),6),"")</f>
        <v/>
      </c>
      <c r="EM48" s="150" t="str" cm="1">
        <f t="array" ref="EM48">IFERROR(ROUND(IF($D48="","",INDEX('M04-S06'!DV$18:DV$199,2*(ROWS(EM$48:EM48)-1)+1)),6),"")</f>
        <v/>
      </c>
      <c r="EN48" s="150" t="str" cm="1">
        <f t="array" ref="EN48">IFERROR(ROUND(IF($D48="","",INDEX('M04-S06'!DW$18:DW$199,2*(ROWS(EN$48:EN48)-1)+1)),6),"")</f>
        <v/>
      </c>
      <c r="EO48" s="150" t="str" cm="1">
        <f t="array" ref="EO48">IFERROR(ROUND(IF($D48="","",INDEX('M04-S06'!DX$18:DX$199,2*(ROWS(EO$48:EO48)-1)+1)),6),"")</f>
        <v/>
      </c>
      <c r="EP48" s="150" t="str" cm="1">
        <f t="array" ref="EP48">IFERROR(ROUND(IF($D48="","",INDEX('M04-S06'!DY$18:DY$199,2*(ROWS(EP$48:EP48)-1)+1)),6),"")</f>
        <v/>
      </c>
      <c r="EQ48" s="150" t="str" cm="1">
        <f t="array" ref="EQ48">IFERROR(ROUND(IF($D48="","",INDEX('M04-S06'!DZ$18:DZ$199,2*(ROWS(EQ$48:EQ48)-1)+1)),6),"")</f>
        <v/>
      </c>
      <c r="ER48" s="150" t="str">
        <f t="shared" si="21"/>
        <v/>
      </c>
      <c r="ES48" s="150" t="str">
        <f t="shared" si="37"/>
        <v/>
      </c>
      <c r="ET48" s="150" t="str">
        <f t="shared" si="38"/>
        <v/>
      </c>
      <c r="EU48" s="150" t="str">
        <f t="shared" si="39"/>
        <v/>
      </c>
      <c r="EV48" s="150" t="str">
        <f t="shared" si="40"/>
        <v/>
      </c>
      <c r="EW48" s="150" t="str">
        <f t="shared" si="41"/>
        <v/>
      </c>
      <c r="EX48" s="150" t="str">
        <f t="shared" si="42"/>
        <v/>
      </c>
      <c r="EY48" s="150" t="str">
        <f t="shared" si="22"/>
        <v/>
      </c>
      <c r="EZ48" s="150" t="str" cm="1">
        <f t="array" ref="EZ48">IFERROR(ROUND(IF($D48="","",INDEX('M04-S06'!EA$18:EA$199,2*(ROWS(EZ$48:EZ48)-1)+1)),6),"")</f>
        <v/>
      </c>
      <c r="FA48" s="150" t="str" cm="1">
        <f t="array" ref="FA48">IFERROR(ROUND(IF($D48="","",INDEX('M04-S06'!EB$18:EB$199,2*(ROWS(FA$48:FA48)-1)+1)),6),"")</f>
        <v/>
      </c>
      <c r="FB48" s="150" t="str" cm="1">
        <f t="array" ref="FB48">IFERROR(ROUND(IF($D48="","",INDEX('M04-S06'!EC$18:EC$199,2*(ROWS(FB$48:FB48)-1)+1)),6),"")</f>
        <v/>
      </c>
      <c r="FC48" s="150" t="str" cm="1">
        <f t="array" ref="FC48">IFERROR(ROUND(IF($D48="","",INDEX('M04-S06'!ED$18:ED$199,2*(ROWS(FC$48:FC48)-1)+1)),6),"")</f>
        <v/>
      </c>
      <c r="FD48" s="150" t="str" cm="1">
        <f t="array" ref="FD48">IFERROR(ROUND(IF($D48="","",INDEX('M04-S06'!EE$18:EE$199,2*(ROWS(FD$48:FD48)-1)+1)),6),"")</f>
        <v/>
      </c>
      <c r="FE48" s="150" t="str" cm="1">
        <f t="array" ref="FE48">IFERROR(ROUND(IF($D48="","",INDEX('M04-S06'!EF$18:EF$199,2*(ROWS(FE$48:FE48)-1)+1)),6),"")</f>
        <v/>
      </c>
      <c r="FF48" s="150" t="str" cm="1">
        <f t="array" ref="FF48">IFERROR(ROUND(IF($D48="","",INDEX('M04-S06'!EG$18:EG$199,2*(ROWS(FF$48:FF48)-1)+1)),6),"")</f>
        <v/>
      </c>
      <c r="FG48" s="150" t="str" cm="1">
        <f t="array" ref="FG48">IFERROR(ROUND(IF($D48="","",INDEX('M04-S06'!EH$18:EH$199,2*(ROWS(FG$48:FG48)-1)+1)),6),"")</f>
        <v/>
      </c>
      <c r="FH48" s="150" t="str" cm="1">
        <f t="array" ref="FH48">IFERROR(ROUND(IF($D48="","",INDEX('M04-S06'!EI$18:EI$199,2*(ROWS(FH$48:FH48)-1)+1)),6),"")</f>
        <v/>
      </c>
      <c r="FI48" s="150" t="str" cm="1">
        <f t="array" ref="FI48">IFERROR(ROUND(IF($D48="","",INDEX('M04-S06'!EJ$18:EJ$199,2*(ROWS(FI$48:FI48)-1)+1)),6),"")</f>
        <v/>
      </c>
      <c r="FJ48" s="150" t="str" cm="1">
        <f t="array" ref="FJ48">IFERROR(ROUND(IF($D48="","",INDEX('M04-S06'!EK$18:EK$199,2*(ROWS(FJ$48:FJ48)-1)+1)),6),"")</f>
        <v/>
      </c>
      <c r="FK48" s="150" t="str" cm="1">
        <f t="array" ref="FK48">IFERROR(ROUND(IF($D48="","",INDEX('M04-S06'!EL$18:EL$199,2*(ROWS(FK$48:FK48)-1)+1)),6),"")</f>
        <v/>
      </c>
      <c r="FL48" s="150" t="str" cm="1">
        <f t="array" ref="FL48">IFERROR(ROUND(IF($D48="","",INDEX('M04-S06'!EM$18:EM$199,2*(ROWS(FL$48:FL48)-1)+1)),6),"")</f>
        <v/>
      </c>
      <c r="FM48" s="150" t="str" cm="1">
        <f t="array" ref="FM48">IFERROR(ROUND(IF($D48="","",INDEX('M04-S06'!EN$18:EN$199,2*(ROWS(FM$48:FM48)-1)+1)),6),"")</f>
        <v/>
      </c>
    </row>
    <row r="49" spans="1:169">
      <c r="A49" t="str">
        <f t="shared" ref="A49:A57" si="76">IFERROR(IF(D49="","",PROJID),"")</f>
        <v/>
      </c>
      <c r="B49" t="str">
        <f t="shared" ref="B49:B57" si="77">IFERROR(IF(D49="","",CONCATENATE(ROW(),"-",D49)),"")</f>
        <v/>
      </c>
      <c r="C49" t="str" cm="1">
        <f t="array" ref="C49">IFERROR(IF(D49="","",INDEX('M04-S06'!$B$18:$B$199,2*(ROWS(C$48:C49)-1)+1)),"")</f>
        <v/>
      </c>
      <c r="D49" t="str">
        <f t="shared" ref="D49:D57" si="78">IFERROR(IF(E49="","",E49),"")</f>
        <v/>
      </c>
      <c r="E49" t="str" cm="1">
        <f t="array" ref="E49">IFERROR(IF(INDEX('M04-S06'!$CC$18:$CC$199,2*(ROWS(E$48:E49)-1)+1)="","",INDEX('M04-S06'!$CC$18:$CC$199,2*(ROWS(E$48:E49)-1)+1)),"")</f>
        <v/>
      </c>
      <c r="G49" t="str">
        <f t="shared" ref="G49:G57" si="79">IFERROR(IF(C49&lt;&gt;"","Custom",""),"")</f>
        <v/>
      </c>
      <c r="H49" t="str">
        <f t="shared" ref="H49:H57" si="80">IFERROR(IF(C49&lt;&gt;"","Downstream",""),"")</f>
        <v/>
      </c>
      <c r="L49" t="str">
        <f t="shared" ref="L49:L57" si="81">IF($C49="","",IF(AND(AI49&gt;0,AN49&gt;0),"Electric &amp; Gas",IF(AI49&gt;0,"Electric",IF(AN49&gt;0,"Gas",""))))</f>
        <v/>
      </c>
      <c r="O49" t="str">
        <f t="shared" ref="O49:O57" si="82">IF($C49="","",TRUE)</f>
        <v/>
      </c>
      <c r="V49" t="str" cm="1">
        <f t="array" ref="V49">IFERROR(IF(D49="","",INDEX('M04-S06'!$AY$17:$AY$199,2*(ROWS(V$48:V49)-1)+1)),"")</f>
        <v/>
      </c>
      <c r="W49" t="str" cm="1">
        <f t="array" ref="W49">IFERROR(IF(D49="","",INDEX('M04-S06'!$AV$17:$AV$199,2*(ROWS(W$48:W49)-1)+1)),"")</f>
        <v/>
      </c>
      <c r="X49" t="str" cm="1">
        <f t="array" ref="X49">IFERROR(IF(D49="","",INDEX('M04-S06'!$AV$17:$AV$199,2*(ROWS(X$48:X49)-0)+0)),"")</f>
        <v/>
      </c>
      <c r="AG49" s="98" t="str" cm="1">
        <f t="array" ref="AG49">IFERROR(IF(D49="","",IF(INDEX('M04-S06'!$CB$18:$CB$199,2*(ROWS(AG$48:AG49)-1)+1)="","",INDEX('M04-S06'!$CB$18:$CB$199,2*(ROWS(AG$48:AG49)-1)+1))),"")</f>
        <v/>
      </c>
      <c r="AH49" s="98" t="str" cm="1">
        <f t="array" ref="AH49">IFERROR(IF(D49="","",IF(INDEX('M04-S06'!$CU$18:$CU$199,2*(ROWS(AH$48:AH49)-1)+1)="","",INDEX('M04-S06'!$CU$18:$CU$199,2*(ROWS(AH$48:AH49)-1)+1))),"")</f>
        <v/>
      </c>
      <c r="AI49" s="20" t="str" cm="1">
        <f t="array" ref="AI49">IFERROR(IF(D49="","",IF(INDEX('M04-S06'!$CM$18:$CM$199,2*(ROWS(AI$48:AI49)-1)+1)="",0,INDEX('M04-S06'!$CM$18:$CM$199,2*(ROWS(AI$48:AI49)-1)+1))),"")</f>
        <v/>
      </c>
      <c r="AJ49" s="20" t="str">
        <f t="shared" si="1"/>
        <v/>
      </c>
      <c r="AK49" s="487" t="str" cm="1">
        <f t="array" ref="AK49">IFERROR(IF(D49="","",IF(INDEX('M04-S06'!$CN$18:$CN$199,2*(ROWS(AK$48:AK49)-1)+1)="",0,INDEX('M04-S06'!$CN$18:$CN$199,2*(ROWS(AK$48:AK49)-1)+1))),"")</f>
        <v/>
      </c>
      <c r="AL49" s="20" t="str">
        <f t="shared" ref="AL49:AL57" si="83">IF(AN49&gt;=0,AN49,0)</f>
        <v/>
      </c>
      <c r="AM49" s="20" t="str">
        <f t="shared" si="73"/>
        <v/>
      </c>
      <c r="AN49" s="20" t="str" cm="1">
        <f t="array" ref="AN49">IFERROR(IF(D49="","",IF(INDEX('M04-S06'!$CO$18:$CO$199,2*(ROWS(AN$48:AN49)-1)+1)="",0,INDEX('M04-S06'!$CO$18:$CO$199,2*(ROWS(AN$48:AN49)-1)+1))),"")</f>
        <v/>
      </c>
      <c r="AO49" s="20" t="str" cm="1">
        <f t="array" ref="AO49">IFERROR(IF(D49="","",INDEX('M04-S06'!$R$18:$R$199,2*(ROWS(AO$48:AO49)-1)+1)),"")</f>
        <v/>
      </c>
      <c r="AP49" s="20" t="str" cm="1">
        <f t="array" ref="AP49">IFERROR(IF(D49="","",INDEX('M04-S06'!$AJ$17:$AJ$199,2*(ROWS(AP$48:AP49)-1)+1)),"")</f>
        <v/>
      </c>
      <c r="AQ49" s="487" t="str" cm="1">
        <f t="array" ref="AQ49">IFERROR(IF(D49="","",INDEX('M04-S06'!$U$18:$U$199,2*(ROWS(AQ$48:AQ49)-1)+1)),"")</f>
        <v/>
      </c>
      <c r="AR49" s="487" t="str" cm="1">
        <f t="array" ref="AR49">IFERROR(IF(D49="","",INDEX('M04-S06'!$AM$17:$AM$199,2*(ROWS(AR$48:AR49)-1)+1)),"")</f>
        <v/>
      </c>
      <c r="AS49" s="20" t="str" cm="1">
        <f t="array" ref="AS49">IFERROR(IF(D49="","",INDEX('M04-S06'!$X$18:$X$199,2*(ROWS(AS$48:AS49)-1)+1)),"")</f>
        <v/>
      </c>
      <c r="AT49" s="20" t="str" cm="1">
        <f t="array" ref="AT49">IFERROR(IF(D49="","",INDEX('M04-S06'!$AP$17:$AP$199,2*(ROWS(AT$48:AT49)-1)+1)),"")</f>
        <v/>
      </c>
      <c r="BP49" t="str" cm="1">
        <f t="array" ref="BP49">IFERROR(IF(D49="","",INDEX('M04-S06'!$CS$18:$CS$199,2*(ROWS(BP$48:BP49)-1)+1)),"")</f>
        <v/>
      </c>
      <c r="BR49" t="str" cm="1">
        <f t="array" ref="BR49">IFERROR(IF(D49="","",LEFT(INDEX('M04-S06'!$C$18:$C$199,2*(ROWS(BR$48:BR49)-1)+1),150)),"")</f>
        <v/>
      </c>
      <c r="BS49" t="str" cm="1">
        <f t="array" ref="BS49">IFERROR(IF(D49="","",INDEX('M04-S06'!$CT$18:$CT$199,2*(ROWS(BS$48:BS49)-1)+1)),"")</f>
        <v/>
      </c>
      <c r="BT49" s="6" t="str" cm="1">
        <f t="array" ref="BT49">IFERROR(ROUND(IF(D49="","",INDEX('M04-S06'!$BB$17:$BB$199,2*(ROWS(BT$48:BT49)-1)+1)),2),"")</f>
        <v/>
      </c>
      <c r="BU49" s="6" t="str" cm="1">
        <f t="array" ref="BU49">IFERROR(IF(D49="","",INDEX('M04-S06'!$CX$18:$CX$199,2*(ROWS(BU$48:BU49)-1)+1)),"")</f>
        <v/>
      </c>
      <c r="BV49" s="6" t="str" cm="1">
        <f t="array" ref="BV49">IFERROR(IF(D49="","",INDEX('M04-S06'!$CY$18:$CY$199,2*(ROWS(BV$48:BV49)-1)+1)),"")</f>
        <v/>
      </c>
      <c r="BW49" t="str">
        <f t="shared" ref="BW49:BW57" si="84">IF(D49="","","Measure")</f>
        <v/>
      </c>
      <c r="BX49" t="str">
        <f t="shared" ref="BX49:BX57" si="85">IF(D49="","",1)</f>
        <v/>
      </c>
      <c r="BY49" s="6" t="str" cm="1">
        <f t="array" ref="BY49">IFERROR(IF(D49="","",INDEX('M04-S06'!$CI$18:$CI$199,2*(ROWS(BY$48:BY49)-1)+1)),"")</f>
        <v/>
      </c>
      <c r="BZ49" s="6" t="str">
        <f t="shared" si="17"/>
        <v/>
      </c>
      <c r="CA49" s="6" t="str">
        <f t="shared" si="18"/>
        <v/>
      </c>
      <c r="CB49" s="6" t="str">
        <f t="shared" si="3"/>
        <v/>
      </c>
      <c r="CC49" s="6" t="str">
        <f t="shared" si="74"/>
        <v/>
      </c>
      <c r="CD49" s="6" t="str">
        <f t="shared" si="75"/>
        <v/>
      </c>
      <c r="CS49" t="str" cm="1">
        <f t="array" ref="CS49">IFERROR(IF(D49="","",INDEX('M04-S06'!$F$18:$F$199,2*(ROWS(CS$48:CS49)-1)+1)),"")</f>
        <v/>
      </c>
      <c r="CT49" t="str" cm="1">
        <f t="array" ref="CT49">IFERROR(IF(D49="","",INDEX('M04-S06'!$L$18:$L$199,2*(ROWS(CT$48:CT49)-1)+1)),"")</f>
        <v/>
      </c>
      <c r="CU49" t="str" cm="1">
        <f t="array" ref="CU49">IFERROR(IF(D49="","",INDEX('M04-S06'!$AD$18:$AD$199,2*(ROWS(CU$48:CU49)-1)+1)),"")</f>
        <v/>
      </c>
      <c r="DE49" s="150"/>
      <c r="DF49" s="150" t="str">
        <f>IFERROR(ROUND(IF(OR(D49="",DE49=""),"",TEMPLATE!$V$14),2),"")</f>
        <v/>
      </c>
      <c r="DG49" s="150"/>
      <c r="DH49" s="150" t="str">
        <f>IFERROR(ROUND(IF(OR(D49="",DG49=""),"",TEMPLATE!$V$14),2),"")</f>
        <v/>
      </c>
      <c r="DI49" s="150"/>
      <c r="DJ49" s="150" t="str">
        <f>IFERROR(ROUND(IF(OR(D49="",DI49=""),"",TEMPLATE!$V$14),2),"")</f>
        <v/>
      </c>
      <c r="DK49" s="150"/>
      <c r="DL49" s="150" t="str">
        <f>IFERROR(ROUND(IF(OR(D49="",DK49=""),"",TEMPLATE!$V$14),2),"")</f>
        <v/>
      </c>
      <c r="DM49" s="150"/>
      <c r="DN49" s="150" t="str">
        <f>IFERROR(ROUND(IF(OR(D49="",DM49=""),"",TEMPLATE!$V$14),2),"")</f>
        <v/>
      </c>
      <c r="DO49" s="150"/>
      <c r="DP49" s="150" t="str">
        <f>IFERROR(ROUND(IF(OR(D49="",DO49=""),"",TEMPLATE!$V$14),2),"")</f>
        <v/>
      </c>
      <c r="DQ49" s="150"/>
      <c r="DR49" s="150" t="str">
        <f>IFERROR(ROUND(IF(OR(D49="",DQ49=""),"",TEMPLATE!$V$14),2),"")</f>
        <v/>
      </c>
      <c r="DS49" s="150"/>
      <c r="DT49" s="150" t="str">
        <f>IFERROR(ROUND(IF(OR(D49="",DS49=""),"",TEMPLATE!$V$14),2),"")</f>
        <v/>
      </c>
      <c r="DU49" s="150" t="str" cm="1">
        <f t="array" ref="DU49">IFERROR(ROUND(IF($D49="","",INDEX('M04-S06'!DD$18:DD$199,2*(ROWS(DU$48:DU49)-1)+1)),4),"")</f>
        <v/>
      </c>
      <c r="DV49" s="150" t="str" cm="1">
        <f t="array" ref="DV49">IFERROR(ROUND(IF($D49="","",INDEX('M04-S06'!DE$18:DE$199,2*(ROWS(DV$48:DV49)-1)+1)),4),"")</f>
        <v/>
      </c>
      <c r="DW49" s="150" t="str" cm="1">
        <f t="array" ref="DW49">IFERROR(ROUND(IF($D49="","",INDEX('M04-S06'!DF$18:DF$199,2*(ROWS(DW$48:DW49)-1)+1)),4),"")</f>
        <v/>
      </c>
      <c r="DX49" s="150" t="str" cm="1">
        <f t="array" ref="DX49">IFERROR(ROUND(IF($D49="","",INDEX('M04-S06'!DG$18:DG$199,2*(ROWS(DX$48:DX49)-1)+1)),4),"")</f>
        <v/>
      </c>
      <c r="DY49" s="150" t="str" cm="1">
        <f t="array" ref="DY49">IFERROR(ROUND(IF($D49="","",INDEX('M04-S06'!DH$18:DH$199,2*(ROWS(DY$48:DY49)-1)+1)),4),"")</f>
        <v/>
      </c>
      <c r="DZ49" s="150" t="str" cm="1">
        <f t="array" ref="DZ49">IFERROR(ROUND(IF($D49="","",INDEX('M04-S06'!DI$18:DI$199,2*(ROWS(DZ$48:DZ49)-1)+1)),4),"")</f>
        <v/>
      </c>
      <c r="EA49" s="150" t="str" cm="1">
        <f t="array" ref="EA49">IFERROR(ROUND(IF($D49="","",INDEX('M04-S06'!DJ$18:DJ$199,2*(ROWS(EA$48:EA49)-1)+1)),4),"")</f>
        <v/>
      </c>
      <c r="EB49" s="150" t="str" cm="1">
        <f t="array" ref="EB49">IFERROR(ROUND(IF($D49="","",INDEX('M04-S06'!DK$18:DK$199,2*(ROWS(EB$48:EB49)-1)+1)),6),"")</f>
        <v/>
      </c>
      <c r="EC49" s="150" t="str" cm="1">
        <f t="array" ref="EC49">IFERROR(ROUND(IF($D49="","",INDEX('M04-S06'!DL$18:DL$199,2*(ROWS(EC$48:EC49)-1)+1)),6),"")</f>
        <v/>
      </c>
      <c r="ED49" s="150" t="str" cm="1">
        <f t="array" ref="ED49">IFERROR(ROUND(IF($D49="","",INDEX('M04-S06'!DM$18:DM$199,2*(ROWS(ED$48:ED49)-1)+1)),6),"")</f>
        <v/>
      </c>
      <c r="EE49" s="150" t="str" cm="1">
        <f t="array" ref="EE49">IFERROR(ROUND(IF($D49="","",INDEX('M04-S06'!DN$18:DN$199,2*(ROWS(EE$48:EE49)-1)+1)),6),"")</f>
        <v/>
      </c>
      <c r="EF49" s="150" t="str" cm="1">
        <f t="array" ref="EF49">IFERROR(ROUND(IF($D49="","",INDEX('M04-S06'!DO$18:DO$199,2*(ROWS(EF$48:EF49)-1)+1)),6),"")</f>
        <v/>
      </c>
      <c r="EG49" s="150" t="str" cm="1">
        <f t="array" ref="EG49">IFERROR(ROUND(IF($D49="","",INDEX('M04-S06'!DP$18:DP$199,2*(ROWS(EG$48:EG49)-1)+1)),6),"")</f>
        <v/>
      </c>
      <c r="EH49" s="150" t="str" cm="1">
        <f t="array" ref="EH49">IFERROR(ROUND(IF($D49="","",INDEX('M04-S06'!DQ$18:DQ$199,2*(ROWS(EH$48:EH49)-1)+1)),6),"")</f>
        <v/>
      </c>
      <c r="EI49" s="150" t="str" cm="1">
        <f t="array" ref="EI49">IFERROR(ROUND(IF($D49="","",INDEX('M04-S06'!DR$18:DR$199,2*(ROWS(EI$48:EI49)-1)+1)),6),"")</f>
        <v/>
      </c>
      <c r="EJ49" s="150" t="str" cm="1">
        <f t="array" ref="EJ49">IFERROR(ROUND(IF($D49="","",INDEX('M04-S06'!DS$18:DS$199,2*(ROWS(EJ$48:EJ49)-1)+1)),6),"")</f>
        <v/>
      </c>
      <c r="EK49" s="150" t="str" cm="1">
        <f t="array" ref="EK49">IFERROR(ROUND(IF($D49="","",INDEX('M04-S06'!DT$18:DT$199,2*(ROWS(EK$48:EK49)-1)+1)),6),"")</f>
        <v/>
      </c>
      <c r="EL49" s="150" t="str" cm="1">
        <f t="array" ref="EL49">IFERROR(ROUND(IF($D49="","",INDEX('M04-S06'!DU$18:DU$199,2*(ROWS(EL$48:EL49)-1)+1)),6),"")</f>
        <v/>
      </c>
      <c r="EM49" s="150" t="str" cm="1">
        <f t="array" ref="EM49">IFERROR(ROUND(IF($D49="","",INDEX('M04-S06'!DV$18:DV$199,2*(ROWS(EM$48:EM49)-1)+1)),6),"")</f>
        <v/>
      </c>
      <c r="EN49" s="150" t="str" cm="1">
        <f t="array" ref="EN49">IFERROR(ROUND(IF($D49="","",INDEX('M04-S06'!DW$18:DW$199,2*(ROWS(EN$48:EN49)-1)+1)),6),"")</f>
        <v/>
      </c>
      <c r="EO49" s="150" t="str" cm="1">
        <f t="array" ref="EO49">IFERROR(ROUND(IF($D49="","",INDEX('M04-S06'!DX$18:DX$199,2*(ROWS(EO$48:EO49)-1)+1)),6),"")</f>
        <v/>
      </c>
      <c r="EP49" s="150" t="str" cm="1">
        <f t="array" ref="EP49">IFERROR(ROUND(IF($D49="","",INDEX('M04-S06'!DY$18:DY$199,2*(ROWS(EP$48:EP49)-1)+1)),6),"")</f>
        <v/>
      </c>
      <c r="EQ49" s="150" t="str" cm="1">
        <f t="array" ref="EQ49">IFERROR(ROUND(IF($D49="","",INDEX('M04-S06'!DZ$18:DZ$199,2*(ROWS(EQ$48:EQ49)-1)+1)),6),"")</f>
        <v/>
      </c>
      <c r="ER49" s="150" t="str">
        <f t="shared" si="21"/>
        <v/>
      </c>
      <c r="ES49" s="150" t="str">
        <f t="shared" si="37"/>
        <v/>
      </c>
      <c r="ET49" s="150" t="str">
        <f t="shared" si="38"/>
        <v/>
      </c>
      <c r="EU49" s="150" t="str">
        <f t="shared" si="39"/>
        <v/>
      </c>
      <c r="EV49" s="150" t="str">
        <f t="shared" si="40"/>
        <v/>
      </c>
      <c r="EW49" s="150" t="str">
        <f t="shared" si="41"/>
        <v/>
      </c>
      <c r="EX49" s="150" t="str">
        <f t="shared" si="42"/>
        <v/>
      </c>
      <c r="EY49" s="150" t="str">
        <f t="shared" si="22"/>
        <v/>
      </c>
      <c r="EZ49" s="150" t="str" cm="1">
        <f t="array" ref="EZ49">IFERROR(ROUND(IF($D49="","",INDEX('M04-S06'!EA$18:EA$199,2*(ROWS(EZ$48:EZ49)-1)+1)),6),"")</f>
        <v/>
      </c>
      <c r="FA49" s="150" t="str" cm="1">
        <f t="array" ref="FA49">IFERROR(ROUND(IF($D49="","",INDEX('M04-S06'!EB$18:EB$199,2*(ROWS(FA$48:FA49)-1)+1)),6),"")</f>
        <v/>
      </c>
      <c r="FB49" s="150" t="str" cm="1">
        <f t="array" ref="FB49">IFERROR(ROUND(IF($D49="","",INDEX('M04-S06'!EC$18:EC$199,2*(ROWS(FB$48:FB49)-1)+1)),6),"")</f>
        <v/>
      </c>
      <c r="FC49" s="150" t="str" cm="1">
        <f t="array" ref="FC49">IFERROR(ROUND(IF($D49="","",INDEX('M04-S06'!ED$18:ED$199,2*(ROWS(FC$48:FC49)-1)+1)),6),"")</f>
        <v/>
      </c>
      <c r="FD49" s="150" t="str" cm="1">
        <f t="array" ref="FD49">IFERROR(ROUND(IF($D49="","",INDEX('M04-S06'!EE$18:EE$199,2*(ROWS(FD$48:FD49)-1)+1)),6),"")</f>
        <v/>
      </c>
      <c r="FE49" s="150" t="str" cm="1">
        <f t="array" ref="FE49">IFERROR(ROUND(IF($D49="","",INDEX('M04-S06'!EF$18:EF$199,2*(ROWS(FE$48:FE49)-1)+1)),6),"")</f>
        <v/>
      </c>
      <c r="FF49" s="150" t="str" cm="1">
        <f t="array" ref="FF49">IFERROR(ROUND(IF($D49="","",INDEX('M04-S06'!EG$18:EG$199,2*(ROWS(FF$48:FF49)-1)+1)),6),"")</f>
        <v/>
      </c>
      <c r="FG49" s="150" t="str" cm="1">
        <f t="array" ref="FG49">IFERROR(ROUND(IF($D49="","",INDEX('M04-S06'!EH$18:EH$199,2*(ROWS(FG$48:FG49)-1)+1)),6),"")</f>
        <v/>
      </c>
      <c r="FH49" s="150" t="str" cm="1">
        <f t="array" ref="FH49">IFERROR(ROUND(IF($D49="","",INDEX('M04-S06'!EI$18:EI$199,2*(ROWS(FH$48:FH49)-1)+1)),6),"")</f>
        <v/>
      </c>
      <c r="FI49" s="150" t="str" cm="1">
        <f t="array" ref="FI49">IFERROR(ROUND(IF($D49="","",INDEX('M04-S06'!EJ$18:EJ$199,2*(ROWS(FI$48:FI49)-1)+1)),6),"")</f>
        <v/>
      </c>
      <c r="FJ49" s="150" t="str" cm="1">
        <f t="array" ref="FJ49">IFERROR(ROUND(IF($D49="","",INDEX('M04-S06'!EK$18:EK$199,2*(ROWS(FJ$48:FJ49)-1)+1)),6),"")</f>
        <v/>
      </c>
      <c r="FK49" s="150" t="str" cm="1">
        <f t="array" ref="FK49">IFERROR(ROUND(IF($D49="","",INDEX('M04-S06'!EL$18:EL$199,2*(ROWS(FK$48:FK49)-1)+1)),6),"")</f>
        <v/>
      </c>
      <c r="FL49" s="150" t="str" cm="1">
        <f t="array" ref="FL49">IFERROR(ROUND(IF($D49="","",INDEX('M04-S06'!EM$18:EM$199,2*(ROWS(FL$48:FL49)-1)+1)),6),"")</f>
        <v/>
      </c>
      <c r="FM49" s="150" t="str" cm="1">
        <f t="array" ref="FM49">IFERROR(ROUND(IF($D49="","",INDEX('M04-S06'!EN$18:EN$199,2*(ROWS(FM$48:FM49)-1)+1)),6),"")</f>
        <v/>
      </c>
    </row>
    <row r="50" spans="1:169">
      <c r="A50" t="str">
        <f t="shared" si="76"/>
        <v/>
      </c>
      <c r="B50" t="str">
        <f t="shared" si="77"/>
        <v/>
      </c>
      <c r="C50" t="str" cm="1">
        <f t="array" ref="C50">IFERROR(IF(D50="","",INDEX('M04-S06'!$B$18:$B$199,2*(ROWS(C$48:C50)-1)+1)),"")</f>
        <v/>
      </c>
      <c r="D50" t="str">
        <f t="shared" si="78"/>
        <v/>
      </c>
      <c r="E50" t="str" cm="1">
        <f t="array" ref="E50">IFERROR(IF(INDEX('M04-S06'!$CC$18:$CC$199,2*(ROWS(E$48:E50)-1)+1)="","",INDEX('M04-S06'!$CC$18:$CC$199,2*(ROWS(E$48:E50)-1)+1)),"")</f>
        <v/>
      </c>
      <c r="G50" t="str">
        <f t="shared" si="79"/>
        <v/>
      </c>
      <c r="H50" t="str">
        <f t="shared" si="80"/>
        <v/>
      </c>
      <c r="L50" t="str">
        <f t="shared" si="81"/>
        <v/>
      </c>
      <c r="O50" t="str">
        <f t="shared" si="82"/>
        <v/>
      </c>
      <c r="V50" t="str" cm="1">
        <f t="array" ref="V50">IFERROR(IF(D50="","",INDEX('M04-S06'!$AY$17:$AY$199,2*(ROWS(V$48:V50)-1)+1)),"")</f>
        <v/>
      </c>
      <c r="W50" t="str" cm="1">
        <f t="array" ref="W50">IFERROR(IF(D50="","",INDEX('M04-S06'!$AV$17:$AV$199,2*(ROWS(W$48:W50)-1)+1)),"")</f>
        <v/>
      </c>
      <c r="X50" t="str" cm="1">
        <f t="array" ref="X50">IFERROR(IF(D50="","",INDEX('M04-S06'!$AV$17:$AV$199,2*(ROWS(X$48:X50)-0)+0)),"")</f>
        <v/>
      </c>
      <c r="AG50" s="98" t="str" cm="1">
        <f t="array" ref="AG50">IFERROR(IF(D50="","",IF(INDEX('M04-S06'!$CB$18:$CB$199,2*(ROWS(AG$48:AG50)-1)+1)="","",INDEX('M04-S06'!$CB$18:$CB$199,2*(ROWS(AG$48:AG50)-1)+1))),"")</f>
        <v/>
      </c>
      <c r="AH50" s="98" t="str" cm="1">
        <f t="array" ref="AH50">IFERROR(IF(D50="","",IF(INDEX('M04-S06'!$CU$18:$CU$199,2*(ROWS(AH$48:AH50)-1)+1)="","",INDEX('M04-S06'!$CU$18:$CU$199,2*(ROWS(AH$48:AH50)-1)+1))),"")</f>
        <v/>
      </c>
      <c r="AI50" s="20" t="str" cm="1">
        <f t="array" ref="AI50">IFERROR(IF(D50="","",IF(INDEX('M04-S06'!$CM$18:$CM$199,2*(ROWS(AI$48:AI50)-1)+1)="",0,INDEX('M04-S06'!$CM$18:$CM$199,2*(ROWS(AI$48:AI50)-1)+1))),"")</f>
        <v/>
      </c>
      <c r="AJ50" s="20" t="str">
        <f t="shared" si="1"/>
        <v/>
      </c>
      <c r="AK50" s="487" t="str" cm="1">
        <f t="array" ref="AK50">IFERROR(IF(D50="","",IF(INDEX('M04-S06'!$CN$18:$CN$199,2*(ROWS(AK$48:AK50)-1)+1)="",0,INDEX('M04-S06'!$CN$18:$CN$199,2*(ROWS(AK$48:AK50)-1)+1))),"")</f>
        <v/>
      </c>
      <c r="AL50" s="20" t="str">
        <f t="shared" si="83"/>
        <v/>
      </c>
      <c r="AM50" s="20" t="str">
        <f t="shared" si="73"/>
        <v/>
      </c>
      <c r="AN50" s="20" t="str" cm="1">
        <f t="array" ref="AN50">IFERROR(IF(D50="","",IF(INDEX('M04-S06'!$CO$18:$CO$199,2*(ROWS(AN$48:AN50)-1)+1)="",0,INDEX('M04-S06'!$CO$18:$CO$199,2*(ROWS(AN$48:AN50)-1)+1))),"")</f>
        <v/>
      </c>
      <c r="AO50" s="20" t="str" cm="1">
        <f t="array" ref="AO50">IFERROR(IF(D50="","",INDEX('M04-S06'!$R$18:$R$199,2*(ROWS(AO$48:AO50)-1)+1)),"")</f>
        <v/>
      </c>
      <c r="AP50" s="20" t="str" cm="1">
        <f t="array" ref="AP50">IFERROR(IF(D50="","",INDEX('M04-S06'!$AJ$17:$AJ$199,2*(ROWS(AP$48:AP50)-1)+1)),"")</f>
        <v/>
      </c>
      <c r="AQ50" s="487" t="str" cm="1">
        <f t="array" ref="AQ50">IFERROR(IF(D50="","",INDEX('M04-S06'!$U$18:$U$199,2*(ROWS(AQ$48:AQ50)-1)+1)),"")</f>
        <v/>
      </c>
      <c r="AR50" s="487" t="str" cm="1">
        <f t="array" ref="AR50">IFERROR(IF(D50="","",INDEX('M04-S06'!$AM$17:$AM$199,2*(ROWS(AR$48:AR50)-1)+1)),"")</f>
        <v/>
      </c>
      <c r="AS50" s="20" t="str" cm="1">
        <f t="array" ref="AS50">IFERROR(IF(D50="","",INDEX('M04-S06'!$X$18:$X$199,2*(ROWS(AS$48:AS50)-1)+1)),"")</f>
        <v/>
      </c>
      <c r="AT50" s="20" t="str" cm="1">
        <f t="array" ref="AT50">IFERROR(IF(D50="","",INDEX('M04-S06'!$AP$17:$AP$199,2*(ROWS(AT$48:AT50)-1)+1)),"")</f>
        <v/>
      </c>
      <c r="BP50" t="str" cm="1">
        <f t="array" ref="BP50">IFERROR(IF(D50="","",INDEX('M04-S06'!$CS$18:$CS$199,2*(ROWS(BP$48:BP50)-1)+1)),"")</f>
        <v/>
      </c>
      <c r="BR50" t="str" cm="1">
        <f t="array" ref="BR50">IFERROR(IF(D50="","",LEFT(INDEX('M04-S06'!$C$18:$C$199,2*(ROWS(BR$48:BR50)-1)+1),150)),"")</f>
        <v/>
      </c>
      <c r="BS50" t="str" cm="1">
        <f t="array" ref="BS50">IFERROR(IF(D50="","",INDEX('M04-S06'!$CT$18:$CT$199,2*(ROWS(BS$48:BS50)-1)+1)),"")</f>
        <v/>
      </c>
      <c r="BT50" s="6" t="str" cm="1">
        <f t="array" ref="BT50">IFERROR(ROUND(IF(D50="","",INDEX('M04-S06'!$BB$17:$BB$199,2*(ROWS(BT$48:BT50)-1)+1)),2),"")</f>
        <v/>
      </c>
      <c r="BU50" s="6" t="str" cm="1">
        <f t="array" ref="BU50">IFERROR(IF(D50="","",INDEX('M04-S06'!$CX$18:$CX$199,2*(ROWS(BU$48:BU50)-1)+1)),"")</f>
        <v/>
      </c>
      <c r="BV50" s="6" t="str" cm="1">
        <f t="array" ref="BV50">IFERROR(IF(D50="","",INDEX('M04-S06'!$CY$18:$CY$199,2*(ROWS(BV$48:BV50)-1)+1)),"")</f>
        <v/>
      </c>
      <c r="BW50" t="str">
        <f t="shared" si="84"/>
        <v/>
      </c>
      <c r="BX50" t="str">
        <f t="shared" si="85"/>
        <v/>
      </c>
      <c r="BY50" s="6" t="str" cm="1">
        <f t="array" ref="BY50">IFERROR(IF(D50="","",INDEX('M04-S06'!$CI$18:$CI$199,2*(ROWS(BY$48:BY50)-1)+1)),"")</f>
        <v/>
      </c>
      <c r="BZ50" s="6" t="str">
        <f t="shared" si="17"/>
        <v/>
      </c>
      <c r="CA50" s="6" t="str">
        <f t="shared" si="18"/>
        <v/>
      </c>
      <c r="CB50" s="6" t="str">
        <f t="shared" si="3"/>
        <v/>
      </c>
      <c r="CC50" s="6" t="str">
        <f t="shared" si="74"/>
        <v/>
      </c>
      <c r="CD50" s="6" t="str">
        <f t="shared" si="75"/>
        <v/>
      </c>
      <c r="CS50" t="str" cm="1">
        <f t="array" ref="CS50">IFERROR(IF(D50="","",INDEX('M04-S06'!$F$18:$F$199,2*(ROWS(CS$48:CS50)-1)+1)),"")</f>
        <v/>
      </c>
      <c r="CT50" t="str" cm="1">
        <f t="array" ref="CT50">IFERROR(IF(D50="","",INDEX('M04-S06'!$L$18:$L$199,2*(ROWS(CT$48:CT50)-1)+1)),"")</f>
        <v/>
      </c>
      <c r="CU50" t="str" cm="1">
        <f t="array" ref="CU50">IFERROR(IF(D50="","",INDEX('M04-S06'!$AD$18:$AD$199,2*(ROWS(CU$48:CU50)-1)+1)),"")</f>
        <v/>
      </c>
      <c r="DE50" s="150"/>
      <c r="DF50" s="150" t="str">
        <f>IFERROR(ROUND(IF(OR(D50="",DE50=""),"",TEMPLATE!$V$14),2),"")</f>
        <v/>
      </c>
      <c r="DG50" s="150"/>
      <c r="DH50" s="150" t="str">
        <f>IFERROR(ROUND(IF(OR(D50="",DG50=""),"",TEMPLATE!$V$14),2),"")</f>
        <v/>
      </c>
      <c r="DI50" s="150"/>
      <c r="DJ50" s="150" t="str">
        <f>IFERROR(ROUND(IF(OR(D50="",DI50=""),"",TEMPLATE!$V$14),2),"")</f>
        <v/>
      </c>
      <c r="DK50" s="150"/>
      <c r="DL50" s="150" t="str">
        <f>IFERROR(ROUND(IF(OR(D50="",DK50=""),"",TEMPLATE!$V$14),2),"")</f>
        <v/>
      </c>
      <c r="DM50" s="150"/>
      <c r="DN50" s="150" t="str">
        <f>IFERROR(ROUND(IF(OR(D50="",DM50=""),"",TEMPLATE!$V$14),2),"")</f>
        <v/>
      </c>
      <c r="DO50" s="150"/>
      <c r="DP50" s="150" t="str">
        <f>IFERROR(ROUND(IF(OR(D50="",DO50=""),"",TEMPLATE!$V$14),2),"")</f>
        <v/>
      </c>
      <c r="DQ50" s="150"/>
      <c r="DR50" s="150" t="str">
        <f>IFERROR(ROUND(IF(OR(D50="",DQ50=""),"",TEMPLATE!$V$14),2),"")</f>
        <v/>
      </c>
      <c r="DS50" s="150"/>
      <c r="DT50" s="150" t="str">
        <f>IFERROR(ROUND(IF(OR(D50="",DS50=""),"",TEMPLATE!$V$14),2),"")</f>
        <v/>
      </c>
      <c r="DU50" s="150" t="str" cm="1">
        <f t="array" ref="DU50">IFERROR(ROUND(IF($D50="","",INDEX('M04-S06'!DD$18:DD$199,2*(ROWS(DU$48:DU50)-1)+1)),4),"")</f>
        <v/>
      </c>
      <c r="DV50" s="150" t="str" cm="1">
        <f t="array" ref="DV50">IFERROR(ROUND(IF($D50="","",INDEX('M04-S06'!DE$18:DE$199,2*(ROWS(DV$48:DV50)-1)+1)),4),"")</f>
        <v/>
      </c>
      <c r="DW50" s="150" t="str" cm="1">
        <f t="array" ref="DW50">IFERROR(ROUND(IF($D50="","",INDEX('M04-S06'!DF$18:DF$199,2*(ROWS(DW$48:DW50)-1)+1)),4),"")</f>
        <v/>
      </c>
      <c r="DX50" s="150" t="str" cm="1">
        <f t="array" ref="DX50">IFERROR(ROUND(IF($D50="","",INDEX('M04-S06'!DG$18:DG$199,2*(ROWS(DX$48:DX50)-1)+1)),4),"")</f>
        <v/>
      </c>
      <c r="DY50" s="150" t="str" cm="1">
        <f t="array" ref="DY50">IFERROR(ROUND(IF($D50="","",INDEX('M04-S06'!DH$18:DH$199,2*(ROWS(DY$48:DY50)-1)+1)),4),"")</f>
        <v/>
      </c>
      <c r="DZ50" s="150" t="str" cm="1">
        <f t="array" ref="DZ50">IFERROR(ROUND(IF($D50="","",INDEX('M04-S06'!DI$18:DI$199,2*(ROWS(DZ$48:DZ50)-1)+1)),4),"")</f>
        <v/>
      </c>
      <c r="EA50" s="150" t="str" cm="1">
        <f t="array" ref="EA50">IFERROR(ROUND(IF($D50="","",INDEX('M04-S06'!DJ$18:DJ$199,2*(ROWS(EA$48:EA50)-1)+1)),4),"")</f>
        <v/>
      </c>
      <c r="EB50" s="150" t="str" cm="1">
        <f t="array" ref="EB50">IFERROR(ROUND(IF($D50="","",INDEX('M04-S06'!DK$18:DK$199,2*(ROWS(EB$48:EB50)-1)+1)),6),"")</f>
        <v/>
      </c>
      <c r="EC50" s="150" t="str" cm="1">
        <f t="array" ref="EC50">IFERROR(ROUND(IF($D50="","",INDEX('M04-S06'!DL$18:DL$199,2*(ROWS(EC$48:EC50)-1)+1)),6),"")</f>
        <v/>
      </c>
      <c r="ED50" s="150" t="str" cm="1">
        <f t="array" ref="ED50">IFERROR(ROUND(IF($D50="","",INDEX('M04-S06'!DM$18:DM$199,2*(ROWS(ED$48:ED50)-1)+1)),6),"")</f>
        <v/>
      </c>
      <c r="EE50" s="150" t="str" cm="1">
        <f t="array" ref="EE50">IFERROR(ROUND(IF($D50="","",INDEX('M04-S06'!DN$18:DN$199,2*(ROWS(EE$48:EE50)-1)+1)),6),"")</f>
        <v/>
      </c>
      <c r="EF50" s="150" t="str" cm="1">
        <f t="array" ref="EF50">IFERROR(ROUND(IF($D50="","",INDEX('M04-S06'!DO$18:DO$199,2*(ROWS(EF$48:EF50)-1)+1)),6),"")</f>
        <v/>
      </c>
      <c r="EG50" s="150" t="str" cm="1">
        <f t="array" ref="EG50">IFERROR(ROUND(IF($D50="","",INDEX('M04-S06'!DP$18:DP$199,2*(ROWS(EG$48:EG50)-1)+1)),6),"")</f>
        <v/>
      </c>
      <c r="EH50" s="150" t="str" cm="1">
        <f t="array" ref="EH50">IFERROR(ROUND(IF($D50="","",INDEX('M04-S06'!DQ$18:DQ$199,2*(ROWS(EH$48:EH50)-1)+1)),6),"")</f>
        <v/>
      </c>
      <c r="EI50" s="150" t="str" cm="1">
        <f t="array" ref="EI50">IFERROR(ROUND(IF($D50="","",INDEX('M04-S06'!DR$18:DR$199,2*(ROWS(EI$48:EI50)-1)+1)),6),"")</f>
        <v/>
      </c>
      <c r="EJ50" s="150" t="str" cm="1">
        <f t="array" ref="EJ50">IFERROR(ROUND(IF($D50="","",INDEX('M04-S06'!DS$18:DS$199,2*(ROWS(EJ$48:EJ50)-1)+1)),6),"")</f>
        <v/>
      </c>
      <c r="EK50" s="150" t="str" cm="1">
        <f t="array" ref="EK50">IFERROR(ROUND(IF($D50="","",INDEX('M04-S06'!DT$18:DT$199,2*(ROWS(EK$48:EK50)-1)+1)),6),"")</f>
        <v/>
      </c>
      <c r="EL50" s="150" t="str" cm="1">
        <f t="array" ref="EL50">IFERROR(ROUND(IF($D50="","",INDEX('M04-S06'!DU$18:DU$199,2*(ROWS(EL$48:EL50)-1)+1)),6),"")</f>
        <v/>
      </c>
      <c r="EM50" s="150" t="str" cm="1">
        <f t="array" ref="EM50">IFERROR(ROUND(IF($D50="","",INDEX('M04-S06'!DV$18:DV$199,2*(ROWS(EM$48:EM50)-1)+1)),6),"")</f>
        <v/>
      </c>
      <c r="EN50" s="150" t="str" cm="1">
        <f t="array" ref="EN50">IFERROR(ROUND(IF($D50="","",INDEX('M04-S06'!DW$18:DW$199,2*(ROWS(EN$48:EN50)-1)+1)),6),"")</f>
        <v/>
      </c>
      <c r="EO50" s="150" t="str" cm="1">
        <f t="array" ref="EO50">IFERROR(ROUND(IF($D50="","",INDEX('M04-S06'!DX$18:DX$199,2*(ROWS(EO$48:EO50)-1)+1)),6),"")</f>
        <v/>
      </c>
      <c r="EP50" s="150" t="str" cm="1">
        <f t="array" ref="EP50">IFERROR(ROUND(IF($D50="","",INDEX('M04-S06'!DY$18:DY$199,2*(ROWS(EP$48:EP50)-1)+1)),6),"")</f>
        <v/>
      </c>
      <c r="EQ50" s="150" t="str" cm="1">
        <f t="array" ref="EQ50">IFERROR(ROUND(IF($D50="","",INDEX('M04-S06'!DZ$18:DZ$199,2*(ROWS(EQ$48:EQ50)-1)+1)),6),"")</f>
        <v/>
      </c>
      <c r="ER50" s="150" t="str">
        <f t="shared" si="21"/>
        <v/>
      </c>
      <c r="ES50" s="150" t="str">
        <f t="shared" si="37"/>
        <v/>
      </c>
      <c r="ET50" s="150" t="str">
        <f t="shared" si="38"/>
        <v/>
      </c>
      <c r="EU50" s="150" t="str">
        <f t="shared" si="39"/>
        <v/>
      </c>
      <c r="EV50" s="150" t="str">
        <f t="shared" si="40"/>
        <v/>
      </c>
      <c r="EW50" s="150" t="str">
        <f t="shared" si="41"/>
        <v/>
      </c>
      <c r="EX50" s="150" t="str">
        <f t="shared" si="42"/>
        <v/>
      </c>
      <c r="EY50" s="150" t="str">
        <f t="shared" si="22"/>
        <v/>
      </c>
      <c r="EZ50" s="150" t="str" cm="1">
        <f t="array" ref="EZ50">IFERROR(ROUND(IF($D50="","",INDEX('M04-S06'!EA$18:EA$199,2*(ROWS(EZ$48:EZ50)-1)+1)),6),"")</f>
        <v/>
      </c>
      <c r="FA50" s="150" t="str" cm="1">
        <f t="array" ref="FA50">IFERROR(ROUND(IF($D50="","",INDEX('M04-S06'!EB$18:EB$199,2*(ROWS(FA$48:FA50)-1)+1)),6),"")</f>
        <v/>
      </c>
      <c r="FB50" s="150" t="str" cm="1">
        <f t="array" ref="FB50">IFERROR(ROUND(IF($D50="","",INDEX('M04-S06'!EC$18:EC$199,2*(ROWS(FB$48:FB50)-1)+1)),6),"")</f>
        <v/>
      </c>
      <c r="FC50" s="150" t="str" cm="1">
        <f t="array" ref="FC50">IFERROR(ROUND(IF($D50="","",INDEX('M04-S06'!ED$18:ED$199,2*(ROWS(FC$48:FC50)-1)+1)),6),"")</f>
        <v/>
      </c>
      <c r="FD50" s="150" t="str" cm="1">
        <f t="array" ref="FD50">IFERROR(ROUND(IF($D50="","",INDEX('M04-S06'!EE$18:EE$199,2*(ROWS(FD$48:FD50)-1)+1)),6),"")</f>
        <v/>
      </c>
      <c r="FE50" s="150" t="str" cm="1">
        <f t="array" ref="FE50">IFERROR(ROUND(IF($D50="","",INDEX('M04-S06'!EF$18:EF$199,2*(ROWS(FE$48:FE50)-1)+1)),6),"")</f>
        <v/>
      </c>
      <c r="FF50" s="150" t="str" cm="1">
        <f t="array" ref="FF50">IFERROR(ROUND(IF($D50="","",INDEX('M04-S06'!EG$18:EG$199,2*(ROWS(FF$48:FF50)-1)+1)),6),"")</f>
        <v/>
      </c>
      <c r="FG50" s="150" t="str" cm="1">
        <f t="array" ref="FG50">IFERROR(ROUND(IF($D50="","",INDEX('M04-S06'!EH$18:EH$199,2*(ROWS(FG$48:FG50)-1)+1)),6),"")</f>
        <v/>
      </c>
      <c r="FH50" s="150" t="str" cm="1">
        <f t="array" ref="FH50">IFERROR(ROUND(IF($D50="","",INDEX('M04-S06'!EI$18:EI$199,2*(ROWS(FH$48:FH50)-1)+1)),6),"")</f>
        <v/>
      </c>
      <c r="FI50" s="150" t="str" cm="1">
        <f t="array" ref="FI50">IFERROR(ROUND(IF($D50="","",INDEX('M04-S06'!EJ$18:EJ$199,2*(ROWS(FI$48:FI50)-1)+1)),6),"")</f>
        <v/>
      </c>
      <c r="FJ50" s="150" t="str" cm="1">
        <f t="array" ref="FJ50">IFERROR(ROUND(IF($D50="","",INDEX('M04-S06'!EK$18:EK$199,2*(ROWS(FJ$48:FJ50)-1)+1)),6),"")</f>
        <v/>
      </c>
      <c r="FK50" s="150" t="str" cm="1">
        <f t="array" ref="FK50">IFERROR(ROUND(IF($D50="","",INDEX('M04-S06'!EL$18:EL$199,2*(ROWS(FK$48:FK50)-1)+1)),6),"")</f>
        <v/>
      </c>
      <c r="FL50" s="150" t="str" cm="1">
        <f t="array" ref="FL50">IFERROR(ROUND(IF($D50="","",INDEX('M04-S06'!EM$18:EM$199,2*(ROWS(FL$48:FL50)-1)+1)),6),"")</f>
        <v/>
      </c>
      <c r="FM50" s="150" t="str" cm="1">
        <f t="array" ref="FM50">IFERROR(ROUND(IF($D50="","",INDEX('M04-S06'!EN$18:EN$199,2*(ROWS(FM$48:FM50)-1)+1)),6),"")</f>
        <v/>
      </c>
    </row>
    <row r="51" spans="1:169">
      <c r="A51" t="str">
        <f t="shared" si="76"/>
        <v/>
      </c>
      <c r="B51" t="str">
        <f t="shared" si="77"/>
        <v/>
      </c>
      <c r="C51" t="str" cm="1">
        <f t="array" ref="C51">IFERROR(IF(D51="","",INDEX('M04-S06'!$B$18:$B$199,2*(ROWS(C$48:C51)-1)+1)),"")</f>
        <v/>
      </c>
      <c r="D51" t="str">
        <f t="shared" si="78"/>
        <v/>
      </c>
      <c r="E51" t="str" cm="1">
        <f t="array" ref="E51">IFERROR(IF(INDEX('M04-S06'!$CC$18:$CC$199,2*(ROWS(E$48:E51)-1)+1)="","",INDEX('M04-S06'!$CC$18:$CC$199,2*(ROWS(E$48:E51)-1)+1)),"")</f>
        <v/>
      </c>
      <c r="G51" t="str">
        <f t="shared" si="79"/>
        <v/>
      </c>
      <c r="H51" t="str">
        <f t="shared" si="80"/>
        <v/>
      </c>
      <c r="L51" t="str">
        <f t="shared" si="81"/>
        <v/>
      </c>
      <c r="O51" t="str">
        <f t="shared" si="82"/>
        <v/>
      </c>
      <c r="V51" t="str" cm="1">
        <f t="array" ref="V51">IFERROR(IF(D51="","",INDEX('M04-S06'!$AY$17:$AY$199,2*(ROWS(V$48:V51)-1)+1)),"")</f>
        <v/>
      </c>
      <c r="W51" t="str" cm="1">
        <f t="array" ref="W51">IFERROR(IF(D51="","",INDEX('M04-S06'!$AV$17:$AV$199,2*(ROWS(W$48:W51)-1)+1)),"")</f>
        <v/>
      </c>
      <c r="X51" t="str" cm="1">
        <f t="array" ref="X51">IFERROR(IF(D51="","",INDEX('M04-S06'!$AV$17:$AV$199,2*(ROWS(X$48:X51)-0)+0)),"")</f>
        <v/>
      </c>
      <c r="AG51" s="98" t="str" cm="1">
        <f t="array" ref="AG51">IFERROR(IF(D51="","",IF(INDEX('M04-S06'!$CB$18:$CB$199,2*(ROWS(AG$48:AG51)-1)+1)="","",INDEX('M04-S06'!$CB$18:$CB$199,2*(ROWS(AG$48:AG51)-1)+1))),"")</f>
        <v/>
      </c>
      <c r="AH51" s="98" t="str" cm="1">
        <f t="array" ref="AH51">IFERROR(IF(D51="","",IF(INDEX('M04-S06'!$CU$18:$CU$199,2*(ROWS(AH$48:AH51)-1)+1)="","",INDEX('M04-S06'!$CU$18:$CU$199,2*(ROWS(AH$48:AH51)-1)+1))),"")</f>
        <v/>
      </c>
      <c r="AI51" s="20" t="str" cm="1">
        <f t="array" ref="AI51">IFERROR(IF(D51="","",IF(INDEX('M04-S06'!$CM$18:$CM$199,2*(ROWS(AI$48:AI51)-1)+1)="",0,INDEX('M04-S06'!$CM$18:$CM$199,2*(ROWS(AI$48:AI51)-1)+1))),"")</f>
        <v/>
      </c>
      <c r="AJ51" s="20" t="str">
        <f t="shared" si="1"/>
        <v/>
      </c>
      <c r="AK51" s="487" t="str" cm="1">
        <f t="array" ref="AK51">IFERROR(IF(D51="","",IF(INDEX('M04-S06'!$CN$18:$CN$199,2*(ROWS(AK$48:AK51)-1)+1)="",0,INDEX('M04-S06'!$CN$18:$CN$199,2*(ROWS(AK$48:AK51)-1)+1))),"")</f>
        <v/>
      </c>
      <c r="AL51" s="20" t="str">
        <f t="shared" si="83"/>
        <v/>
      </c>
      <c r="AM51" s="20" t="str">
        <f t="shared" si="73"/>
        <v/>
      </c>
      <c r="AN51" s="20" t="str" cm="1">
        <f t="array" ref="AN51">IFERROR(IF(D51="","",IF(INDEX('M04-S06'!$CO$18:$CO$199,2*(ROWS(AN$48:AN51)-1)+1)="",0,INDEX('M04-S06'!$CO$18:$CO$199,2*(ROWS(AN$48:AN51)-1)+1))),"")</f>
        <v/>
      </c>
      <c r="AO51" s="20" t="str" cm="1">
        <f t="array" ref="AO51">IFERROR(IF(D51="","",INDEX('M04-S06'!$R$18:$R$199,2*(ROWS(AO$48:AO51)-1)+1)),"")</f>
        <v/>
      </c>
      <c r="AP51" s="20" t="str" cm="1">
        <f t="array" ref="AP51">IFERROR(IF(D51="","",INDEX('M04-S06'!$AJ$17:$AJ$199,2*(ROWS(AP$48:AP51)-1)+1)),"")</f>
        <v/>
      </c>
      <c r="AQ51" s="487" t="str" cm="1">
        <f t="array" ref="AQ51">IFERROR(IF(D51="","",INDEX('M04-S06'!$U$18:$U$199,2*(ROWS(AQ$48:AQ51)-1)+1)),"")</f>
        <v/>
      </c>
      <c r="AR51" s="487" t="str" cm="1">
        <f t="array" ref="AR51">IFERROR(IF(D51="","",INDEX('M04-S06'!$AM$17:$AM$199,2*(ROWS(AR$48:AR51)-1)+1)),"")</f>
        <v/>
      </c>
      <c r="AS51" s="20" t="str" cm="1">
        <f t="array" ref="AS51">IFERROR(IF(D51="","",INDEX('M04-S06'!$X$18:$X$199,2*(ROWS(AS$48:AS51)-1)+1)),"")</f>
        <v/>
      </c>
      <c r="AT51" s="20" t="str" cm="1">
        <f t="array" ref="AT51">IFERROR(IF(D51="","",INDEX('M04-S06'!$AP$17:$AP$199,2*(ROWS(AT$48:AT51)-1)+1)),"")</f>
        <v/>
      </c>
      <c r="BP51" t="str" cm="1">
        <f t="array" ref="BP51">IFERROR(IF(D51="","",INDEX('M04-S06'!$CS$18:$CS$199,2*(ROWS(BP$48:BP51)-1)+1)),"")</f>
        <v/>
      </c>
      <c r="BR51" t="str" cm="1">
        <f t="array" ref="BR51">IFERROR(IF(D51="","",LEFT(INDEX('M04-S06'!$C$18:$C$199,2*(ROWS(BR$48:BR51)-1)+1),150)),"")</f>
        <v/>
      </c>
      <c r="BS51" t="str" cm="1">
        <f t="array" ref="BS51">IFERROR(IF(D51="","",INDEX('M04-S06'!$CT$18:$CT$199,2*(ROWS(BS$48:BS51)-1)+1)),"")</f>
        <v/>
      </c>
      <c r="BT51" s="6" t="str" cm="1">
        <f t="array" ref="BT51">IFERROR(ROUND(IF(D51="","",INDEX('M04-S06'!$BB$17:$BB$199,2*(ROWS(BT$48:BT51)-1)+1)),2),"")</f>
        <v/>
      </c>
      <c r="BU51" s="6" t="str" cm="1">
        <f t="array" ref="BU51">IFERROR(IF(D51="","",INDEX('M04-S06'!$CX$18:$CX$199,2*(ROWS(BU$48:BU51)-1)+1)),"")</f>
        <v/>
      </c>
      <c r="BV51" s="6" t="str" cm="1">
        <f t="array" ref="BV51">IFERROR(IF(D51="","",INDEX('M04-S06'!$CY$18:$CY$199,2*(ROWS(BV$48:BV51)-1)+1)),"")</f>
        <v/>
      </c>
      <c r="BW51" t="str">
        <f t="shared" si="84"/>
        <v/>
      </c>
      <c r="BX51" t="str">
        <f t="shared" si="85"/>
        <v/>
      </c>
      <c r="BY51" s="6" t="str" cm="1">
        <f t="array" ref="BY51">IFERROR(IF(D51="","",INDEX('M04-S06'!$CI$18:$CI$199,2*(ROWS(BY$48:BY51)-1)+1)),"")</f>
        <v/>
      </c>
      <c r="BZ51" s="6" t="str">
        <f t="shared" si="17"/>
        <v/>
      </c>
      <c r="CA51" s="6" t="str">
        <f t="shared" si="18"/>
        <v/>
      </c>
      <c r="CB51" s="6" t="str">
        <f t="shared" si="3"/>
        <v/>
      </c>
      <c r="CC51" s="6" t="str">
        <f t="shared" si="74"/>
        <v/>
      </c>
      <c r="CD51" s="6" t="str">
        <f t="shared" si="75"/>
        <v/>
      </c>
      <c r="CS51" t="str" cm="1">
        <f t="array" ref="CS51">IFERROR(IF(D51="","",INDEX('M04-S06'!$F$18:$F$199,2*(ROWS(CS$48:CS51)-1)+1)),"")</f>
        <v/>
      </c>
      <c r="CT51" t="str" cm="1">
        <f t="array" ref="CT51">IFERROR(IF(D51="","",INDEX('M04-S06'!$L$18:$L$199,2*(ROWS(CT$48:CT51)-1)+1)),"")</f>
        <v/>
      </c>
      <c r="CU51" t="str" cm="1">
        <f t="array" ref="CU51">IFERROR(IF(D51="","",INDEX('M04-S06'!$AD$18:$AD$199,2*(ROWS(CU$48:CU51)-1)+1)),"")</f>
        <v/>
      </c>
      <c r="DE51" s="150"/>
      <c r="DF51" s="150" t="str">
        <f>IFERROR(ROUND(IF(OR(D51="",DE51=""),"",TEMPLATE!$V$14),2),"")</f>
        <v/>
      </c>
      <c r="DG51" s="150"/>
      <c r="DH51" s="150" t="str">
        <f>IFERROR(ROUND(IF(OR(D51="",DG51=""),"",TEMPLATE!$V$14),2),"")</f>
        <v/>
      </c>
      <c r="DI51" s="150"/>
      <c r="DJ51" s="150" t="str">
        <f>IFERROR(ROUND(IF(OR(D51="",DI51=""),"",TEMPLATE!$V$14),2),"")</f>
        <v/>
      </c>
      <c r="DK51" s="150"/>
      <c r="DL51" s="150" t="str">
        <f>IFERROR(ROUND(IF(OR(D51="",DK51=""),"",TEMPLATE!$V$14),2),"")</f>
        <v/>
      </c>
      <c r="DM51" s="150"/>
      <c r="DN51" s="150" t="str">
        <f>IFERROR(ROUND(IF(OR(D51="",DM51=""),"",TEMPLATE!$V$14),2),"")</f>
        <v/>
      </c>
      <c r="DO51" s="150"/>
      <c r="DP51" s="150" t="str">
        <f>IFERROR(ROUND(IF(OR(D51="",DO51=""),"",TEMPLATE!$V$14),2),"")</f>
        <v/>
      </c>
      <c r="DQ51" s="150"/>
      <c r="DR51" s="150" t="str">
        <f>IFERROR(ROUND(IF(OR(D51="",DQ51=""),"",TEMPLATE!$V$14),2),"")</f>
        <v/>
      </c>
      <c r="DS51" s="150"/>
      <c r="DT51" s="150" t="str">
        <f>IFERROR(ROUND(IF(OR(D51="",DS51=""),"",TEMPLATE!$V$14),2),"")</f>
        <v/>
      </c>
      <c r="DU51" s="150" t="str" cm="1">
        <f t="array" ref="DU51">IFERROR(ROUND(IF($D51="","",INDEX('M04-S06'!DD$18:DD$199,2*(ROWS(DU$48:DU51)-1)+1)),4),"")</f>
        <v/>
      </c>
      <c r="DV51" s="150" t="str" cm="1">
        <f t="array" ref="DV51">IFERROR(ROUND(IF($D51="","",INDEX('M04-S06'!DE$18:DE$199,2*(ROWS(DV$48:DV51)-1)+1)),4),"")</f>
        <v/>
      </c>
      <c r="DW51" s="150" t="str" cm="1">
        <f t="array" ref="DW51">IFERROR(ROUND(IF($D51="","",INDEX('M04-S06'!DF$18:DF$199,2*(ROWS(DW$48:DW51)-1)+1)),4),"")</f>
        <v/>
      </c>
      <c r="DX51" s="150" t="str" cm="1">
        <f t="array" ref="DX51">IFERROR(ROUND(IF($D51="","",INDEX('M04-S06'!DG$18:DG$199,2*(ROWS(DX$48:DX51)-1)+1)),4),"")</f>
        <v/>
      </c>
      <c r="DY51" s="150" t="str" cm="1">
        <f t="array" ref="DY51">IFERROR(ROUND(IF($D51="","",INDEX('M04-S06'!DH$18:DH$199,2*(ROWS(DY$48:DY51)-1)+1)),4),"")</f>
        <v/>
      </c>
      <c r="DZ51" s="150" t="str" cm="1">
        <f t="array" ref="DZ51">IFERROR(ROUND(IF($D51="","",INDEX('M04-S06'!DI$18:DI$199,2*(ROWS(DZ$48:DZ51)-1)+1)),4),"")</f>
        <v/>
      </c>
      <c r="EA51" s="150" t="str" cm="1">
        <f t="array" ref="EA51">IFERROR(ROUND(IF($D51="","",INDEX('M04-S06'!DJ$18:DJ$199,2*(ROWS(EA$48:EA51)-1)+1)),4),"")</f>
        <v/>
      </c>
      <c r="EB51" s="150" t="str" cm="1">
        <f t="array" ref="EB51">IFERROR(ROUND(IF($D51="","",INDEX('M04-S06'!DK$18:DK$199,2*(ROWS(EB$48:EB51)-1)+1)),6),"")</f>
        <v/>
      </c>
      <c r="EC51" s="150" t="str" cm="1">
        <f t="array" ref="EC51">IFERROR(ROUND(IF($D51="","",INDEX('M04-S06'!DL$18:DL$199,2*(ROWS(EC$48:EC51)-1)+1)),6),"")</f>
        <v/>
      </c>
      <c r="ED51" s="150" t="str" cm="1">
        <f t="array" ref="ED51">IFERROR(ROUND(IF($D51="","",INDEX('M04-S06'!DM$18:DM$199,2*(ROWS(ED$48:ED51)-1)+1)),6),"")</f>
        <v/>
      </c>
      <c r="EE51" s="150" t="str" cm="1">
        <f t="array" ref="EE51">IFERROR(ROUND(IF($D51="","",INDEX('M04-S06'!DN$18:DN$199,2*(ROWS(EE$48:EE51)-1)+1)),6),"")</f>
        <v/>
      </c>
      <c r="EF51" s="150" t="str" cm="1">
        <f t="array" ref="EF51">IFERROR(ROUND(IF($D51="","",INDEX('M04-S06'!DO$18:DO$199,2*(ROWS(EF$48:EF51)-1)+1)),6),"")</f>
        <v/>
      </c>
      <c r="EG51" s="150" t="str" cm="1">
        <f t="array" ref="EG51">IFERROR(ROUND(IF($D51="","",INDEX('M04-S06'!DP$18:DP$199,2*(ROWS(EG$48:EG51)-1)+1)),6),"")</f>
        <v/>
      </c>
      <c r="EH51" s="150" t="str" cm="1">
        <f t="array" ref="EH51">IFERROR(ROUND(IF($D51="","",INDEX('M04-S06'!DQ$18:DQ$199,2*(ROWS(EH$48:EH51)-1)+1)),6),"")</f>
        <v/>
      </c>
      <c r="EI51" s="150" t="str" cm="1">
        <f t="array" ref="EI51">IFERROR(ROUND(IF($D51="","",INDEX('M04-S06'!DR$18:DR$199,2*(ROWS(EI$48:EI51)-1)+1)),6),"")</f>
        <v/>
      </c>
      <c r="EJ51" s="150" t="str" cm="1">
        <f t="array" ref="EJ51">IFERROR(ROUND(IF($D51="","",INDEX('M04-S06'!DS$18:DS$199,2*(ROWS(EJ$48:EJ51)-1)+1)),6),"")</f>
        <v/>
      </c>
      <c r="EK51" s="150" t="str" cm="1">
        <f t="array" ref="EK51">IFERROR(ROUND(IF($D51="","",INDEX('M04-S06'!DT$18:DT$199,2*(ROWS(EK$48:EK51)-1)+1)),6),"")</f>
        <v/>
      </c>
      <c r="EL51" s="150" t="str" cm="1">
        <f t="array" ref="EL51">IFERROR(ROUND(IF($D51="","",INDEX('M04-S06'!DU$18:DU$199,2*(ROWS(EL$48:EL51)-1)+1)),6),"")</f>
        <v/>
      </c>
      <c r="EM51" s="150" t="str" cm="1">
        <f t="array" ref="EM51">IFERROR(ROUND(IF($D51="","",INDEX('M04-S06'!DV$18:DV$199,2*(ROWS(EM$48:EM51)-1)+1)),6),"")</f>
        <v/>
      </c>
      <c r="EN51" s="150" t="str" cm="1">
        <f t="array" ref="EN51">IFERROR(ROUND(IF($D51="","",INDEX('M04-S06'!DW$18:DW$199,2*(ROWS(EN$48:EN51)-1)+1)),6),"")</f>
        <v/>
      </c>
      <c r="EO51" s="150" t="str" cm="1">
        <f t="array" ref="EO51">IFERROR(ROUND(IF($D51="","",INDEX('M04-S06'!DX$18:DX$199,2*(ROWS(EO$48:EO51)-1)+1)),6),"")</f>
        <v/>
      </c>
      <c r="EP51" s="150" t="str" cm="1">
        <f t="array" ref="EP51">IFERROR(ROUND(IF($D51="","",INDEX('M04-S06'!DY$18:DY$199,2*(ROWS(EP$48:EP51)-1)+1)),6),"")</f>
        <v/>
      </c>
      <c r="EQ51" s="150" t="str" cm="1">
        <f t="array" ref="EQ51">IFERROR(ROUND(IF($D51="","",INDEX('M04-S06'!DZ$18:DZ$199,2*(ROWS(EQ$48:EQ51)-1)+1)),6),"")</f>
        <v/>
      </c>
      <c r="ER51" s="150" t="str">
        <f t="shared" si="21"/>
        <v/>
      </c>
      <c r="ES51" s="150" t="str">
        <f t="shared" si="37"/>
        <v/>
      </c>
      <c r="ET51" s="150" t="str">
        <f t="shared" si="38"/>
        <v/>
      </c>
      <c r="EU51" s="150" t="str">
        <f t="shared" si="39"/>
        <v/>
      </c>
      <c r="EV51" s="150" t="str">
        <f t="shared" si="40"/>
        <v/>
      </c>
      <c r="EW51" s="150" t="str">
        <f t="shared" si="41"/>
        <v/>
      </c>
      <c r="EX51" s="150" t="str">
        <f t="shared" si="42"/>
        <v/>
      </c>
      <c r="EY51" s="150" t="str">
        <f t="shared" si="22"/>
        <v/>
      </c>
      <c r="EZ51" s="150" t="str" cm="1">
        <f t="array" ref="EZ51">IFERROR(ROUND(IF($D51="","",INDEX('M04-S06'!EA$18:EA$199,2*(ROWS(EZ$48:EZ51)-1)+1)),6),"")</f>
        <v/>
      </c>
      <c r="FA51" s="150" t="str" cm="1">
        <f t="array" ref="FA51">IFERROR(ROUND(IF($D51="","",INDEX('M04-S06'!EB$18:EB$199,2*(ROWS(FA$48:FA51)-1)+1)),6),"")</f>
        <v/>
      </c>
      <c r="FB51" s="150" t="str" cm="1">
        <f t="array" ref="FB51">IFERROR(ROUND(IF($D51="","",INDEX('M04-S06'!EC$18:EC$199,2*(ROWS(FB$48:FB51)-1)+1)),6),"")</f>
        <v/>
      </c>
      <c r="FC51" s="150" t="str" cm="1">
        <f t="array" ref="FC51">IFERROR(ROUND(IF($D51="","",INDEX('M04-S06'!ED$18:ED$199,2*(ROWS(FC$48:FC51)-1)+1)),6),"")</f>
        <v/>
      </c>
      <c r="FD51" s="150" t="str" cm="1">
        <f t="array" ref="FD51">IFERROR(ROUND(IF($D51="","",INDEX('M04-S06'!EE$18:EE$199,2*(ROWS(FD$48:FD51)-1)+1)),6),"")</f>
        <v/>
      </c>
      <c r="FE51" s="150" t="str" cm="1">
        <f t="array" ref="FE51">IFERROR(ROUND(IF($D51="","",INDEX('M04-S06'!EF$18:EF$199,2*(ROWS(FE$48:FE51)-1)+1)),6),"")</f>
        <v/>
      </c>
      <c r="FF51" s="150" t="str" cm="1">
        <f t="array" ref="FF51">IFERROR(ROUND(IF($D51="","",INDEX('M04-S06'!EG$18:EG$199,2*(ROWS(FF$48:FF51)-1)+1)),6),"")</f>
        <v/>
      </c>
      <c r="FG51" s="150" t="str" cm="1">
        <f t="array" ref="FG51">IFERROR(ROUND(IF($D51="","",INDEX('M04-S06'!EH$18:EH$199,2*(ROWS(FG$48:FG51)-1)+1)),6),"")</f>
        <v/>
      </c>
      <c r="FH51" s="150" t="str" cm="1">
        <f t="array" ref="FH51">IFERROR(ROUND(IF($D51="","",INDEX('M04-S06'!EI$18:EI$199,2*(ROWS(FH$48:FH51)-1)+1)),6),"")</f>
        <v/>
      </c>
      <c r="FI51" s="150" t="str" cm="1">
        <f t="array" ref="FI51">IFERROR(ROUND(IF($D51="","",INDEX('M04-S06'!EJ$18:EJ$199,2*(ROWS(FI$48:FI51)-1)+1)),6),"")</f>
        <v/>
      </c>
      <c r="FJ51" s="150" t="str" cm="1">
        <f t="array" ref="FJ51">IFERROR(ROUND(IF($D51="","",INDEX('M04-S06'!EK$18:EK$199,2*(ROWS(FJ$48:FJ51)-1)+1)),6),"")</f>
        <v/>
      </c>
      <c r="FK51" s="150" t="str" cm="1">
        <f t="array" ref="FK51">IFERROR(ROUND(IF($D51="","",INDEX('M04-S06'!EL$18:EL$199,2*(ROWS(FK$48:FK51)-1)+1)),6),"")</f>
        <v/>
      </c>
      <c r="FL51" s="150" t="str" cm="1">
        <f t="array" ref="FL51">IFERROR(ROUND(IF($D51="","",INDEX('M04-S06'!EM$18:EM$199,2*(ROWS(FL$48:FL51)-1)+1)),6),"")</f>
        <v/>
      </c>
      <c r="FM51" s="150" t="str" cm="1">
        <f t="array" ref="FM51">IFERROR(ROUND(IF($D51="","",INDEX('M04-S06'!EN$18:EN$199,2*(ROWS(FM$48:FM51)-1)+1)),6),"")</f>
        <v/>
      </c>
    </row>
    <row r="52" spans="1:169">
      <c r="A52" t="str">
        <f t="shared" si="76"/>
        <v/>
      </c>
      <c r="B52" t="str">
        <f t="shared" si="77"/>
        <v/>
      </c>
      <c r="C52" t="str" cm="1">
        <f t="array" ref="C52">IFERROR(IF(D52="","",INDEX('M04-S06'!$B$18:$B$199,2*(ROWS(C$48:C52)-1)+1)),"")</f>
        <v/>
      </c>
      <c r="D52" t="str">
        <f t="shared" si="78"/>
        <v/>
      </c>
      <c r="E52" t="str" cm="1">
        <f t="array" ref="E52">IFERROR(IF(INDEX('M04-S06'!$CC$18:$CC$199,2*(ROWS(E$48:E52)-1)+1)="","",INDEX('M04-S06'!$CC$18:$CC$199,2*(ROWS(E$48:E52)-1)+1)),"")</f>
        <v/>
      </c>
      <c r="G52" t="str">
        <f t="shared" si="79"/>
        <v/>
      </c>
      <c r="H52" t="str">
        <f t="shared" si="80"/>
        <v/>
      </c>
      <c r="L52" t="str">
        <f t="shared" si="81"/>
        <v/>
      </c>
      <c r="O52" t="str">
        <f t="shared" si="82"/>
        <v/>
      </c>
      <c r="V52" t="str" cm="1">
        <f t="array" ref="V52">IFERROR(IF(D52="","",INDEX('M04-S06'!$AY$17:$AY$199,2*(ROWS(V$48:V52)-1)+1)),"")</f>
        <v/>
      </c>
      <c r="W52" t="str" cm="1">
        <f t="array" ref="W52">IFERROR(IF(D52="","",INDEX('M04-S06'!$AV$17:$AV$199,2*(ROWS(W$48:W52)-1)+1)),"")</f>
        <v/>
      </c>
      <c r="X52" t="str" cm="1">
        <f t="array" ref="X52">IFERROR(IF(D52="","",INDEX('M04-S06'!$AV$17:$AV$199,2*(ROWS(X$48:X52)-0)+0)),"")</f>
        <v/>
      </c>
      <c r="AG52" s="98" t="str" cm="1">
        <f t="array" ref="AG52">IFERROR(IF(D52="","",IF(INDEX('M04-S06'!$CB$18:$CB$199,2*(ROWS(AG$48:AG52)-1)+1)="","",INDEX('M04-S06'!$CB$18:$CB$199,2*(ROWS(AG$48:AG52)-1)+1))),"")</f>
        <v/>
      </c>
      <c r="AH52" s="98" t="str" cm="1">
        <f t="array" ref="AH52">IFERROR(IF(D52="","",IF(INDEX('M04-S06'!$CU$18:$CU$199,2*(ROWS(AH$48:AH52)-1)+1)="","",INDEX('M04-S06'!$CU$18:$CU$199,2*(ROWS(AH$48:AH52)-1)+1))),"")</f>
        <v/>
      </c>
      <c r="AI52" s="20" t="str" cm="1">
        <f t="array" ref="AI52">IFERROR(IF(D52="","",IF(INDEX('M04-S06'!$CM$18:$CM$199,2*(ROWS(AI$48:AI52)-1)+1)="",0,INDEX('M04-S06'!$CM$18:$CM$199,2*(ROWS(AI$48:AI52)-1)+1))),"")</f>
        <v/>
      </c>
      <c r="AJ52" s="20" t="str">
        <f t="shared" si="1"/>
        <v/>
      </c>
      <c r="AK52" s="487" t="str" cm="1">
        <f t="array" ref="AK52">IFERROR(IF(D52="","",IF(INDEX('M04-S06'!$CN$18:$CN$199,2*(ROWS(AK$48:AK52)-1)+1)="",0,INDEX('M04-S06'!$CN$18:$CN$199,2*(ROWS(AK$48:AK52)-1)+1))),"")</f>
        <v/>
      </c>
      <c r="AL52" s="20" t="str">
        <f t="shared" si="83"/>
        <v/>
      </c>
      <c r="AM52" s="20" t="str">
        <f t="shared" si="73"/>
        <v/>
      </c>
      <c r="AN52" s="20" t="str" cm="1">
        <f t="array" ref="AN52">IFERROR(IF(D52="","",IF(INDEX('M04-S06'!$CO$18:$CO$199,2*(ROWS(AN$48:AN52)-1)+1)="",0,INDEX('M04-S06'!$CO$18:$CO$199,2*(ROWS(AN$48:AN52)-1)+1))),"")</f>
        <v/>
      </c>
      <c r="AO52" s="20" t="str" cm="1">
        <f t="array" ref="AO52">IFERROR(IF(D52="","",INDEX('M04-S06'!$R$18:$R$199,2*(ROWS(AO$48:AO52)-1)+1)),"")</f>
        <v/>
      </c>
      <c r="AP52" s="20" t="str" cm="1">
        <f t="array" ref="AP52">IFERROR(IF(D52="","",INDEX('M04-S06'!$AJ$17:$AJ$199,2*(ROWS(AP$48:AP52)-1)+1)),"")</f>
        <v/>
      </c>
      <c r="AQ52" s="487" t="str" cm="1">
        <f t="array" ref="AQ52">IFERROR(IF(D52="","",INDEX('M04-S06'!$U$18:$U$199,2*(ROWS(AQ$48:AQ52)-1)+1)),"")</f>
        <v/>
      </c>
      <c r="AR52" s="487" t="str" cm="1">
        <f t="array" ref="AR52">IFERROR(IF(D52="","",INDEX('M04-S06'!$AM$17:$AM$199,2*(ROWS(AR$48:AR52)-1)+1)),"")</f>
        <v/>
      </c>
      <c r="AS52" s="20" t="str" cm="1">
        <f t="array" ref="AS52">IFERROR(IF(D52="","",INDEX('M04-S06'!$X$18:$X$199,2*(ROWS(AS$48:AS52)-1)+1)),"")</f>
        <v/>
      </c>
      <c r="AT52" s="20" t="str" cm="1">
        <f t="array" ref="AT52">IFERROR(IF(D52="","",INDEX('M04-S06'!$AP$17:$AP$199,2*(ROWS(AT$48:AT52)-1)+1)),"")</f>
        <v/>
      </c>
      <c r="BP52" t="str" cm="1">
        <f t="array" ref="BP52">IFERROR(IF(D52="","",INDEX('M04-S06'!$CS$18:$CS$199,2*(ROWS(BP$48:BP52)-1)+1)),"")</f>
        <v/>
      </c>
      <c r="BR52" t="str" cm="1">
        <f t="array" ref="BR52">IFERROR(IF(D52="","",LEFT(INDEX('M04-S06'!$C$18:$C$199,2*(ROWS(BR$48:BR52)-1)+1),150)),"")</f>
        <v/>
      </c>
      <c r="BS52" t="str" cm="1">
        <f t="array" ref="BS52">IFERROR(IF(D52="","",INDEX('M04-S06'!$CT$18:$CT$199,2*(ROWS(BS$48:BS52)-1)+1)),"")</f>
        <v/>
      </c>
      <c r="BT52" s="6" t="str" cm="1">
        <f t="array" ref="BT52">IFERROR(ROUND(IF(D52="","",INDEX('M04-S06'!$BB$17:$BB$199,2*(ROWS(BT$48:BT52)-1)+1)),2),"")</f>
        <v/>
      </c>
      <c r="BU52" s="6" t="str" cm="1">
        <f t="array" ref="BU52">IFERROR(IF(D52="","",INDEX('M04-S06'!$CX$18:$CX$199,2*(ROWS(BU$48:BU52)-1)+1)),"")</f>
        <v/>
      </c>
      <c r="BV52" s="6" t="str" cm="1">
        <f t="array" ref="BV52">IFERROR(IF(D52="","",INDEX('M04-S06'!$CY$18:$CY$199,2*(ROWS(BV$48:BV52)-1)+1)),"")</f>
        <v/>
      </c>
      <c r="BW52" t="str">
        <f t="shared" si="84"/>
        <v/>
      </c>
      <c r="BX52" t="str">
        <f t="shared" si="85"/>
        <v/>
      </c>
      <c r="BY52" s="6" t="str" cm="1">
        <f t="array" ref="BY52">IFERROR(IF(D52="","",INDEX('M04-S06'!$CI$18:$CI$199,2*(ROWS(BY$48:BY52)-1)+1)),"")</f>
        <v/>
      </c>
      <c r="BZ52" s="6" t="str">
        <f t="shared" si="17"/>
        <v/>
      </c>
      <c r="CA52" s="6" t="str">
        <f t="shared" si="18"/>
        <v/>
      </c>
      <c r="CB52" s="6" t="str">
        <f t="shared" si="3"/>
        <v/>
      </c>
      <c r="CC52" s="6" t="str">
        <f t="shared" si="74"/>
        <v/>
      </c>
      <c r="CD52" s="6" t="str">
        <f t="shared" si="75"/>
        <v/>
      </c>
      <c r="CS52" t="str" cm="1">
        <f t="array" ref="CS52">IFERROR(IF(D52="","",INDEX('M04-S06'!$F$18:$F$199,2*(ROWS(CS$48:CS52)-1)+1)),"")</f>
        <v/>
      </c>
      <c r="CT52" t="str" cm="1">
        <f t="array" ref="CT52">IFERROR(IF(D52="","",INDEX('M04-S06'!$L$18:$L$199,2*(ROWS(CT$48:CT52)-1)+1)),"")</f>
        <v/>
      </c>
      <c r="CU52" t="str" cm="1">
        <f t="array" ref="CU52">IFERROR(IF(D52="","",INDEX('M04-S06'!$AD$18:$AD$199,2*(ROWS(CU$48:CU52)-1)+1)),"")</f>
        <v/>
      </c>
      <c r="DE52" s="150"/>
      <c r="DF52" s="150" t="str">
        <f>IFERROR(ROUND(IF(OR(D52="",DE52=""),"",TEMPLATE!$V$14),2),"")</f>
        <v/>
      </c>
      <c r="DG52" s="150"/>
      <c r="DH52" s="150" t="str">
        <f>IFERROR(ROUND(IF(OR(D52="",DG52=""),"",TEMPLATE!$V$14),2),"")</f>
        <v/>
      </c>
      <c r="DI52" s="150"/>
      <c r="DJ52" s="150" t="str">
        <f>IFERROR(ROUND(IF(OR(D52="",DI52=""),"",TEMPLATE!$V$14),2),"")</f>
        <v/>
      </c>
      <c r="DK52" s="150"/>
      <c r="DL52" s="150" t="str">
        <f>IFERROR(ROUND(IF(OR(D52="",DK52=""),"",TEMPLATE!$V$14),2),"")</f>
        <v/>
      </c>
      <c r="DM52" s="150"/>
      <c r="DN52" s="150" t="str">
        <f>IFERROR(ROUND(IF(OR(D52="",DM52=""),"",TEMPLATE!$V$14),2),"")</f>
        <v/>
      </c>
      <c r="DO52" s="150"/>
      <c r="DP52" s="150" t="str">
        <f>IFERROR(ROUND(IF(OR(D52="",DO52=""),"",TEMPLATE!$V$14),2),"")</f>
        <v/>
      </c>
      <c r="DQ52" s="150"/>
      <c r="DR52" s="150" t="str">
        <f>IFERROR(ROUND(IF(OR(D52="",DQ52=""),"",TEMPLATE!$V$14),2),"")</f>
        <v/>
      </c>
      <c r="DS52" s="150"/>
      <c r="DT52" s="150" t="str">
        <f>IFERROR(ROUND(IF(OR(D52="",DS52=""),"",TEMPLATE!$V$14),2),"")</f>
        <v/>
      </c>
      <c r="DU52" s="150" t="str" cm="1">
        <f t="array" ref="DU52">IFERROR(ROUND(IF($D52="","",INDEX('M04-S06'!DD$18:DD$199,2*(ROWS(DU$48:DU52)-1)+1)),4),"")</f>
        <v/>
      </c>
      <c r="DV52" s="150" t="str" cm="1">
        <f t="array" ref="DV52">IFERROR(ROUND(IF($D52="","",INDEX('M04-S06'!DE$18:DE$199,2*(ROWS(DV$48:DV52)-1)+1)),4),"")</f>
        <v/>
      </c>
      <c r="DW52" s="150" t="str" cm="1">
        <f t="array" ref="DW52">IFERROR(ROUND(IF($D52="","",INDEX('M04-S06'!DF$18:DF$199,2*(ROWS(DW$48:DW52)-1)+1)),4),"")</f>
        <v/>
      </c>
      <c r="DX52" s="150" t="str" cm="1">
        <f t="array" ref="DX52">IFERROR(ROUND(IF($D52="","",INDEX('M04-S06'!DG$18:DG$199,2*(ROWS(DX$48:DX52)-1)+1)),4),"")</f>
        <v/>
      </c>
      <c r="DY52" s="150" t="str" cm="1">
        <f t="array" ref="DY52">IFERROR(ROUND(IF($D52="","",INDEX('M04-S06'!DH$18:DH$199,2*(ROWS(DY$48:DY52)-1)+1)),4),"")</f>
        <v/>
      </c>
      <c r="DZ52" s="150" t="str" cm="1">
        <f t="array" ref="DZ52">IFERROR(ROUND(IF($D52="","",INDEX('M04-S06'!DI$18:DI$199,2*(ROWS(DZ$48:DZ52)-1)+1)),4),"")</f>
        <v/>
      </c>
      <c r="EA52" s="150" t="str" cm="1">
        <f t="array" ref="EA52">IFERROR(ROUND(IF($D52="","",INDEX('M04-S06'!DJ$18:DJ$199,2*(ROWS(EA$48:EA52)-1)+1)),4),"")</f>
        <v/>
      </c>
      <c r="EB52" s="150" t="str" cm="1">
        <f t="array" ref="EB52">IFERROR(ROUND(IF($D52="","",INDEX('M04-S06'!DK$18:DK$199,2*(ROWS(EB$48:EB52)-1)+1)),6),"")</f>
        <v/>
      </c>
      <c r="EC52" s="150" t="str" cm="1">
        <f t="array" ref="EC52">IFERROR(ROUND(IF($D52="","",INDEX('M04-S06'!DL$18:DL$199,2*(ROWS(EC$48:EC52)-1)+1)),6),"")</f>
        <v/>
      </c>
      <c r="ED52" s="150" t="str" cm="1">
        <f t="array" ref="ED52">IFERROR(ROUND(IF($D52="","",INDEX('M04-S06'!DM$18:DM$199,2*(ROWS(ED$48:ED52)-1)+1)),6),"")</f>
        <v/>
      </c>
      <c r="EE52" s="150" t="str" cm="1">
        <f t="array" ref="EE52">IFERROR(ROUND(IF($D52="","",INDEX('M04-S06'!DN$18:DN$199,2*(ROWS(EE$48:EE52)-1)+1)),6),"")</f>
        <v/>
      </c>
      <c r="EF52" s="150" t="str" cm="1">
        <f t="array" ref="EF52">IFERROR(ROUND(IF($D52="","",INDEX('M04-S06'!DO$18:DO$199,2*(ROWS(EF$48:EF52)-1)+1)),6),"")</f>
        <v/>
      </c>
      <c r="EG52" s="150" t="str" cm="1">
        <f t="array" ref="EG52">IFERROR(ROUND(IF($D52="","",INDEX('M04-S06'!DP$18:DP$199,2*(ROWS(EG$48:EG52)-1)+1)),6),"")</f>
        <v/>
      </c>
      <c r="EH52" s="150" t="str" cm="1">
        <f t="array" ref="EH52">IFERROR(ROUND(IF($D52="","",INDEX('M04-S06'!DQ$18:DQ$199,2*(ROWS(EH$48:EH52)-1)+1)),6),"")</f>
        <v/>
      </c>
      <c r="EI52" s="150" t="str" cm="1">
        <f t="array" ref="EI52">IFERROR(ROUND(IF($D52="","",INDEX('M04-S06'!DR$18:DR$199,2*(ROWS(EI$48:EI52)-1)+1)),6),"")</f>
        <v/>
      </c>
      <c r="EJ52" s="150" t="str" cm="1">
        <f t="array" ref="EJ52">IFERROR(ROUND(IF($D52="","",INDEX('M04-S06'!DS$18:DS$199,2*(ROWS(EJ$48:EJ52)-1)+1)),6),"")</f>
        <v/>
      </c>
      <c r="EK52" s="150" t="str" cm="1">
        <f t="array" ref="EK52">IFERROR(ROUND(IF($D52="","",INDEX('M04-S06'!DT$18:DT$199,2*(ROWS(EK$48:EK52)-1)+1)),6),"")</f>
        <v/>
      </c>
      <c r="EL52" s="150" t="str" cm="1">
        <f t="array" ref="EL52">IFERROR(ROUND(IF($D52="","",INDEX('M04-S06'!DU$18:DU$199,2*(ROWS(EL$48:EL52)-1)+1)),6),"")</f>
        <v/>
      </c>
      <c r="EM52" s="150" t="str" cm="1">
        <f t="array" ref="EM52">IFERROR(ROUND(IF($D52="","",INDEX('M04-S06'!DV$18:DV$199,2*(ROWS(EM$48:EM52)-1)+1)),6),"")</f>
        <v/>
      </c>
      <c r="EN52" s="150" t="str" cm="1">
        <f t="array" ref="EN52">IFERROR(ROUND(IF($D52="","",INDEX('M04-S06'!DW$18:DW$199,2*(ROWS(EN$48:EN52)-1)+1)),6),"")</f>
        <v/>
      </c>
      <c r="EO52" s="150" t="str" cm="1">
        <f t="array" ref="EO52">IFERROR(ROUND(IF($D52="","",INDEX('M04-S06'!DX$18:DX$199,2*(ROWS(EO$48:EO52)-1)+1)),6),"")</f>
        <v/>
      </c>
      <c r="EP52" s="150" t="str" cm="1">
        <f t="array" ref="EP52">IFERROR(ROUND(IF($D52="","",INDEX('M04-S06'!DY$18:DY$199,2*(ROWS(EP$48:EP52)-1)+1)),6),"")</f>
        <v/>
      </c>
      <c r="EQ52" s="150" t="str" cm="1">
        <f t="array" ref="EQ52">IFERROR(ROUND(IF($D52="","",INDEX('M04-S06'!DZ$18:DZ$199,2*(ROWS(EQ$48:EQ52)-1)+1)),6),"")</f>
        <v/>
      </c>
      <c r="ER52" s="150" t="str">
        <f t="shared" si="21"/>
        <v/>
      </c>
      <c r="ES52" s="150" t="str">
        <f t="shared" si="37"/>
        <v/>
      </c>
      <c r="ET52" s="150" t="str">
        <f t="shared" si="38"/>
        <v/>
      </c>
      <c r="EU52" s="150" t="str">
        <f t="shared" si="39"/>
        <v/>
      </c>
      <c r="EV52" s="150" t="str">
        <f t="shared" si="40"/>
        <v/>
      </c>
      <c r="EW52" s="150" t="str">
        <f t="shared" si="41"/>
        <v/>
      </c>
      <c r="EX52" s="150" t="str">
        <f t="shared" si="42"/>
        <v/>
      </c>
      <c r="EY52" s="150" t="str">
        <f t="shared" si="22"/>
        <v/>
      </c>
      <c r="EZ52" s="150" t="str" cm="1">
        <f t="array" ref="EZ52">IFERROR(ROUND(IF($D52="","",INDEX('M04-S06'!EA$18:EA$199,2*(ROWS(EZ$48:EZ52)-1)+1)),6),"")</f>
        <v/>
      </c>
      <c r="FA52" s="150" t="str" cm="1">
        <f t="array" ref="FA52">IFERROR(ROUND(IF($D52="","",INDEX('M04-S06'!EB$18:EB$199,2*(ROWS(FA$48:FA52)-1)+1)),6),"")</f>
        <v/>
      </c>
      <c r="FB52" s="150" t="str" cm="1">
        <f t="array" ref="FB52">IFERROR(ROUND(IF($D52="","",INDEX('M04-S06'!EC$18:EC$199,2*(ROWS(FB$48:FB52)-1)+1)),6),"")</f>
        <v/>
      </c>
      <c r="FC52" s="150" t="str" cm="1">
        <f t="array" ref="FC52">IFERROR(ROUND(IF($D52="","",INDEX('M04-S06'!ED$18:ED$199,2*(ROWS(FC$48:FC52)-1)+1)),6),"")</f>
        <v/>
      </c>
      <c r="FD52" s="150" t="str" cm="1">
        <f t="array" ref="FD52">IFERROR(ROUND(IF($D52="","",INDEX('M04-S06'!EE$18:EE$199,2*(ROWS(FD$48:FD52)-1)+1)),6),"")</f>
        <v/>
      </c>
      <c r="FE52" s="150" t="str" cm="1">
        <f t="array" ref="FE52">IFERROR(ROUND(IF($D52="","",INDEX('M04-S06'!EF$18:EF$199,2*(ROWS(FE$48:FE52)-1)+1)),6),"")</f>
        <v/>
      </c>
      <c r="FF52" s="150" t="str" cm="1">
        <f t="array" ref="FF52">IFERROR(ROUND(IF($D52="","",INDEX('M04-S06'!EG$18:EG$199,2*(ROWS(FF$48:FF52)-1)+1)),6),"")</f>
        <v/>
      </c>
      <c r="FG52" s="150" t="str" cm="1">
        <f t="array" ref="FG52">IFERROR(ROUND(IF($D52="","",INDEX('M04-S06'!EH$18:EH$199,2*(ROWS(FG$48:FG52)-1)+1)),6),"")</f>
        <v/>
      </c>
      <c r="FH52" s="150" t="str" cm="1">
        <f t="array" ref="FH52">IFERROR(ROUND(IF($D52="","",INDEX('M04-S06'!EI$18:EI$199,2*(ROWS(FH$48:FH52)-1)+1)),6),"")</f>
        <v/>
      </c>
      <c r="FI52" s="150" t="str" cm="1">
        <f t="array" ref="FI52">IFERROR(ROUND(IF($D52="","",INDEX('M04-S06'!EJ$18:EJ$199,2*(ROWS(FI$48:FI52)-1)+1)),6),"")</f>
        <v/>
      </c>
      <c r="FJ52" s="150" t="str" cm="1">
        <f t="array" ref="FJ52">IFERROR(ROUND(IF($D52="","",INDEX('M04-S06'!EK$18:EK$199,2*(ROWS(FJ$48:FJ52)-1)+1)),6),"")</f>
        <v/>
      </c>
      <c r="FK52" s="150" t="str" cm="1">
        <f t="array" ref="FK52">IFERROR(ROUND(IF($D52="","",INDEX('M04-S06'!EL$18:EL$199,2*(ROWS(FK$48:FK52)-1)+1)),6),"")</f>
        <v/>
      </c>
      <c r="FL52" s="150" t="str" cm="1">
        <f t="array" ref="FL52">IFERROR(ROUND(IF($D52="","",INDEX('M04-S06'!EM$18:EM$199,2*(ROWS(FL$48:FL52)-1)+1)),6),"")</f>
        <v/>
      </c>
      <c r="FM52" s="150" t="str" cm="1">
        <f t="array" ref="FM52">IFERROR(ROUND(IF($D52="","",INDEX('M04-S06'!EN$18:EN$199,2*(ROWS(FM$48:FM52)-1)+1)),6),"")</f>
        <v/>
      </c>
    </row>
    <row r="53" spans="1:169">
      <c r="A53" t="str">
        <f t="shared" si="76"/>
        <v/>
      </c>
      <c r="B53" t="str">
        <f t="shared" si="77"/>
        <v/>
      </c>
      <c r="C53" t="str" cm="1">
        <f t="array" ref="C53">IFERROR(IF(D53="","",INDEX('M04-S06'!$B$18:$B$199,2*(ROWS(C$48:C53)-1)+1)),"")</f>
        <v/>
      </c>
      <c r="D53" t="str">
        <f t="shared" si="78"/>
        <v/>
      </c>
      <c r="E53" t="str" cm="1">
        <f t="array" ref="E53">IFERROR(IF(INDEX('M04-S06'!$CC$18:$CC$199,2*(ROWS(E$48:E53)-1)+1)="","",INDEX('M04-S06'!$CC$18:$CC$199,2*(ROWS(E$48:E53)-1)+1)),"")</f>
        <v/>
      </c>
      <c r="G53" t="str">
        <f t="shared" si="79"/>
        <v/>
      </c>
      <c r="H53" t="str">
        <f t="shared" si="80"/>
        <v/>
      </c>
      <c r="L53" t="str">
        <f t="shared" si="81"/>
        <v/>
      </c>
      <c r="O53" t="str">
        <f t="shared" si="82"/>
        <v/>
      </c>
      <c r="V53" t="str" cm="1">
        <f t="array" ref="V53">IFERROR(IF(D53="","",INDEX('M04-S06'!$AY$17:$AY$199,2*(ROWS(V$48:V53)-1)+1)),"")</f>
        <v/>
      </c>
      <c r="W53" t="str" cm="1">
        <f t="array" ref="W53">IFERROR(IF(D53="","",INDEX('M04-S06'!$AV$17:$AV$199,2*(ROWS(W$48:W53)-1)+1)),"")</f>
        <v/>
      </c>
      <c r="X53" t="str" cm="1">
        <f t="array" ref="X53">IFERROR(IF(D53="","",INDEX('M04-S06'!$AV$17:$AV$199,2*(ROWS(X$48:X53)-0)+0)),"")</f>
        <v/>
      </c>
      <c r="AG53" s="98" t="str" cm="1">
        <f t="array" ref="AG53">IFERROR(IF(D53="","",IF(INDEX('M04-S06'!$CB$18:$CB$199,2*(ROWS(AG$48:AG53)-1)+1)="","",INDEX('M04-S06'!$CB$18:$CB$199,2*(ROWS(AG$48:AG53)-1)+1))),"")</f>
        <v/>
      </c>
      <c r="AH53" s="98" t="str" cm="1">
        <f t="array" ref="AH53">IFERROR(IF(D53="","",IF(INDEX('M04-S06'!$CU$18:$CU$199,2*(ROWS(AH$48:AH53)-1)+1)="","",INDEX('M04-S06'!$CU$18:$CU$199,2*(ROWS(AH$48:AH53)-1)+1))),"")</f>
        <v/>
      </c>
      <c r="AI53" s="20" t="str" cm="1">
        <f t="array" ref="AI53">IFERROR(IF(D53="","",IF(INDEX('M04-S06'!$CM$18:$CM$199,2*(ROWS(AI$48:AI53)-1)+1)="",0,INDEX('M04-S06'!$CM$18:$CM$199,2*(ROWS(AI$48:AI53)-1)+1))),"")</f>
        <v/>
      </c>
      <c r="AJ53" s="20" t="str">
        <f t="shared" si="1"/>
        <v/>
      </c>
      <c r="AK53" s="487" t="str" cm="1">
        <f t="array" ref="AK53">IFERROR(IF(D53="","",IF(INDEX('M04-S06'!$CN$18:$CN$199,2*(ROWS(AK$48:AK53)-1)+1)="",0,INDEX('M04-S06'!$CN$18:$CN$199,2*(ROWS(AK$48:AK53)-1)+1))),"")</f>
        <v/>
      </c>
      <c r="AL53" s="20" t="str">
        <f t="shared" si="83"/>
        <v/>
      </c>
      <c r="AM53" s="20" t="str">
        <f t="shared" si="73"/>
        <v/>
      </c>
      <c r="AN53" s="20" t="str" cm="1">
        <f t="array" ref="AN53">IFERROR(IF(D53="","",IF(INDEX('M04-S06'!$CO$18:$CO$199,2*(ROWS(AN$48:AN53)-1)+1)="",0,INDEX('M04-S06'!$CO$18:$CO$199,2*(ROWS(AN$48:AN53)-1)+1))),"")</f>
        <v/>
      </c>
      <c r="AO53" s="20" t="str" cm="1">
        <f t="array" ref="AO53">IFERROR(IF(D53="","",INDEX('M04-S06'!$R$18:$R$199,2*(ROWS(AO$48:AO53)-1)+1)),"")</f>
        <v/>
      </c>
      <c r="AP53" s="20" t="str" cm="1">
        <f t="array" ref="AP53">IFERROR(IF(D53="","",INDEX('M04-S06'!$AJ$17:$AJ$199,2*(ROWS(AP$48:AP53)-1)+1)),"")</f>
        <v/>
      </c>
      <c r="AQ53" s="487" t="str" cm="1">
        <f t="array" ref="AQ53">IFERROR(IF(D53="","",INDEX('M04-S06'!$U$18:$U$199,2*(ROWS(AQ$48:AQ53)-1)+1)),"")</f>
        <v/>
      </c>
      <c r="AR53" s="487" t="str" cm="1">
        <f t="array" ref="AR53">IFERROR(IF(D53="","",INDEX('M04-S06'!$AM$17:$AM$199,2*(ROWS(AR$48:AR53)-1)+1)),"")</f>
        <v/>
      </c>
      <c r="AS53" s="20" t="str" cm="1">
        <f t="array" ref="AS53">IFERROR(IF(D53="","",INDEX('M04-S06'!$X$18:$X$199,2*(ROWS(AS$48:AS53)-1)+1)),"")</f>
        <v/>
      </c>
      <c r="AT53" s="20" t="str" cm="1">
        <f t="array" ref="AT53">IFERROR(IF(D53="","",INDEX('M04-S06'!$AP$17:$AP$199,2*(ROWS(AT$48:AT53)-1)+1)),"")</f>
        <v/>
      </c>
      <c r="BP53" t="str" cm="1">
        <f t="array" ref="BP53">IFERROR(IF(D53="","",INDEX('M04-S06'!$CS$18:$CS$199,2*(ROWS(BP$48:BP53)-1)+1)),"")</f>
        <v/>
      </c>
      <c r="BR53" t="str" cm="1">
        <f t="array" ref="BR53">IFERROR(IF(D53="","",LEFT(INDEX('M04-S06'!$C$18:$C$199,2*(ROWS(BR$48:BR53)-1)+1),150)),"")</f>
        <v/>
      </c>
      <c r="BS53" t="str" cm="1">
        <f t="array" ref="BS53">IFERROR(IF(D53="","",INDEX('M04-S06'!$CT$18:$CT$199,2*(ROWS(BS$48:BS53)-1)+1)),"")</f>
        <v/>
      </c>
      <c r="BT53" s="6" t="str" cm="1">
        <f t="array" ref="BT53">IFERROR(ROUND(IF(D53="","",INDEX('M04-S06'!$BB$17:$BB$199,2*(ROWS(BT$48:BT53)-1)+1)),2),"")</f>
        <v/>
      </c>
      <c r="BU53" s="6" t="str" cm="1">
        <f t="array" ref="BU53">IFERROR(IF(D53="","",INDEX('M04-S06'!$CX$18:$CX$199,2*(ROWS(BU$48:BU53)-1)+1)),"")</f>
        <v/>
      </c>
      <c r="BV53" s="6" t="str" cm="1">
        <f t="array" ref="BV53">IFERROR(IF(D53="","",INDEX('M04-S06'!$CY$18:$CY$199,2*(ROWS(BV$48:BV53)-1)+1)),"")</f>
        <v/>
      </c>
      <c r="BW53" t="str">
        <f t="shared" si="84"/>
        <v/>
      </c>
      <c r="BX53" t="str">
        <f t="shared" si="85"/>
        <v/>
      </c>
      <c r="BY53" s="6" t="str" cm="1">
        <f t="array" ref="BY53">IFERROR(IF(D53="","",INDEX('M04-S06'!$CI$18:$CI$199,2*(ROWS(BY$48:BY53)-1)+1)),"")</f>
        <v/>
      </c>
      <c r="BZ53" s="6" t="str">
        <f t="shared" si="17"/>
        <v/>
      </c>
      <c r="CA53" s="6" t="str">
        <f t="shared" si="18"/>
        <v/>
      </c>
      <c r="CB53" s="6" t="str">
        <f t="shared" si="3"/>
        <v/>
      </c>
      <c r="CC53" s="6" t="str">
        <f t="shared" si="74"/>
        <v/>
      </c>
      <c r="CD53" s="6" t="str">
        <f t="shared" si="75"/>
        <v/>
      </c>
      <c r="CS53" t="str" cm="1">
        <f t="array" ref="CS53">IFERROR(IF(D53="","",INDEX('M04-S06'!$F$18:$F$199,2*(ROWS(CS$48:CS53)-1)+1)),"")</f>
        <v/>
      </c>
      <c r="CT53" t="str" cm="1">
        <f t="array" ref="CT53">IFERROR(IF(D53="","",INDEX('M04-S06'!$L$18:$L$199,2*(ROWS(CT$48:CT53)-1)+1)),"")</f>
        <v/>
      </c>
      <c r="CU53" t="str" cm="1">
        <f t="array" ref="CU53">IFERROR(IF(D53="","",INDEX('M04-S06'!$AD$18:$AD$199,2*(ROWS(CU$48:CU53)-1)+1)),"")</f>
        <v/>
      </c>
      <c r="DE53" s="150"/>
      <c r="DF53" s="150" t="str">
        <f>IFERROR(ROUND(IF(OR(D53="",DE53=""),"",TEMPLATE!$V$14),2),"")</f>
        <v/>
      </c>
      <c r="DG53" s="150"/>
      <c r="DH53" s="150" t="str">
        <f>IFERROR(ROUND(IF(OR(D53="",DG53=""),"",TEMPLATE!$V$14),2),"")</f>
        <v/>
      </c>
      <c r="DI53" s="150"/>
      <c r="DJ53" s="150" t="str">
        <f>IFERROR(ROUND(IF(OR(D53="",DI53=""),"",TEMPLATE!$V$14),2),"")</f>
        <v/>
      </c>
      <c r="DK53" s="150"/>
      <c r="DL53" s="150" t="str">
        <f>IFERROR(ROUND(IF(OR(D53="",DK53=""),"",TEMPLATE!$V$14),2),"")</f>
        <v/>
      </c>
      <c r="DM53" s="150"/>
      <c r="DN53" s="150" t="str">
        <f>IFERROR(ROUND(IF(OR(D53="",DM53=""),"",TEMPLATE!$V$14),2),"")</f>
        <v/>
      </c>
      <c r="DO53" s="150"/>
      <c r="DP53" s="150" t="str">
        <f>IFERROR(ROUND(IF(OR(D53="",DO53=""),"",TEMPLATE!$V$14),2),"")</f>
        <v/>
      </c>
      <c r="DQ53" s="150"/>
      <c r="DR53" s="150" t="str">
        <f>IFERROR(ROUND(IF(OR(D53="",DQ53=""),"",TEMPLATE!$V$14),2),"")</f>
        <v/>
      </c>
      <c r="DS53" s="150"/>
      <c r="DT53" s="150" t="str">
        <f>IFERROR(ROUND(IF(OR(D53="",DS53=""),"",TEMPLATE!$V$14),2),"")</f>
        <v/>
      </c>
      <c r="DU53" s="150" t="str" cm="1">
        <f t="array" ref="DU53">IFERROR(ROUND(IF($D53="","",INDEX('M04-S06'!DD$18:DD$199,2*(ROWS(DU$48:DU53)-1)+1)),4),"")</f>
        <v/>
      </c>
      <c r="DV53" s="150" t="str" cm="1">
        <f t="array" ref="DV53">IFERROR(ROUND(IF($D53="","",INDEX('M04-S06'!DE$18:DE$199,2*(ROWS(DV$48:DV53)-1)+1)),4),"")</f>
        <v/>
      </c>
      <c r="DW53" s="150" t="str" cm="1">
        <f t="array" ref="DW53">IFERROR(ROUND(IF($D53="","",INDEX('M04-S06'!DF$18:DF$199,2*(ROWS(DW$48:DW53)-1)+1)),4),"")</f>
        <v/>
      </c>
      <c r="DX53" s="150" t="str" cm="1">
        <f t="array" ref="DX53">IFERROR(ROUND(IF($D53="","",INDEX('M04-S06'!DG$18:DG$199,2*(ROWS(DX$48:DX53)-1)+1)),4),"")</f>
        <v/>
      </c>
      <c r="DY53" s="150" t="str" cm="1">
        <f t="array" ref="DY53">IFERROR(ROUND(IF($D53="","",INDEX('M04-S06'!DH$18:DH$199,2*(ROWS(DY$48:DY53)-1)+1)),4),"")</f>
        <v/>
      </c>
      <c r="DZ53" s="150" t="str" cm="1">
        <f t="array" ref="DZ53">IFERROR(ROUND(IF($D53="","",INDEX('M04-S06'!DI$18:DI$199,2*(ROWS(DZ$48:DZ53)-1)+1)),4),"")</f>
        <v/>
      </c>
      <c r="EA53" s="150" t="str" cm="1">
        <f t="array" ref="EA53">IFERROR(ROUND(IF($D53="","",INDEX('M04-S06'!DJ$18:DJ$199,2*(ROWS(EA$48:EA53)-1)+1)),4),"")</f>
        <v/>
      </c>
      <c r="EB53" s="150" t="str" cm="1">
        <f t="array" ref="EB53">IFERROR(ROUND(IF($D53="","",INDEX('M04-S06'!DK$18:DK$199,2*(ROWS(EB$48:EB53)-1)+1)),6),"")</f>
        <v/>
      </c>
      <c r="EC53" s="150" t="str" cm="1">
        <f t="array" ref="EC53">IFERROR(ROUND(IF($D53="","",INDEX('M04-S06'!DL$18:DL$199,2*(ROWS(EC$48:EC53)-1)+1)),6),"")</f>
        <v/>
      </c>
      <c r="ED53" s="150" t="str" cm="1">
        <f t="array" ref="ED53">IFERROR(ROUND(IF($D53="","",INDEX('M04-S06'!DM$18:DM$199,2*(ROWS(ED$48:ED53)-1)+1)),6),"")</f>
        <v/>
      </c>
      <c r="EE53" s="150" t="str" cm="1">
        <f t="array" ref="EE53">IFERROR(ROUND(IF($D53="","",INDEX('M04-S06'!DN$18:DN$199,2*(ROWS(EE$48:EE53)-1)+1)),6),"")</f>
        <v/>
      </c>
      <c r="EF53" s="150" t="str" cm="1">
        <f t="array" ref="EF53">IFERROR(ROUND(IF($D53="","",INDEX('M04-S06'!DO$18:DO$199,2*(ROWS(EF$48:EF53)-1)+1)),6),"")</f>
        <v/>
      </c>
      <c r="EG53" s="150" t="str" cm="1">
        <f t="array" ref="EG53">IFERROR(ROUND(IF($D53="","",INDEX('M04-S06'!DP$18:DP$199,2*(ROWS(EG$48:EG53)-1)+1)),6),"")</f>
        <v/>
      </c>
      <c r="EH53" s="150" t="str" cm="1">
        <f t="array" ref="EH53">IFERROR(ROUND(IF($D53="","",INDEX('M04-S06'!DQ$18:DQ$199,2*(ROWS(EH$48:EH53)-1)+1)),6),"")</f>
        <v/>
      </c>
      <c r="EI53" s="150" t="str" cm="1">
        <f t="array" ref="EI53">IFERROR(ROUND(IF($D53="","",INDEX('M04-S06'!DR$18:DR$199,2*(ROWS(EI$48:EI53)-1)+1)),6),"")</f>
        <v/>
      </c>
      <c r="EJ53" s="150" t="str" cm="1">
        <f t="array" ref="EJ53">IFERROR(ROUND(IF($D53="","",INDEX('M04-S06'!DS$18:DS$199,2*(ROWS(EJ$48:EJ53)-1)+1)),6),"")</f>
        <v/>
      </c>
      <c r="EK53" s="150" t="str" cm="1">
        <f t="array" ref="EK53">IFERROR(ROUND(IF($D53="","",INDEX('M04-S06'!DT$18:DT$199,2*(ROWS(EK$48:EK53)-1)+1)),6),"")</f>
        <v/>
      </c>
      <c r="EL53" s="150" t="str" cm="1">
        <f t="array" ref="EL53">IFERROR(ROUND(IF($D53="","",INDEX('M04-S06'!DU$18:DU$199,2*(ROWS(EL$48:EL53)-1)+1)),6),"")</f>
        <v/>
      </c>
      <c r="EM53" s="150" t="str" cm="1">
        <f t="array" ref="EM53">IFERROR(ROUND(IF($D53="","",INDEX('M04-S06'!DV$18:DV$199,2*(ROWS(EM$48:EM53)-1)+1)),6),"")</f>
        <v/>
      </c>
      <c r="EN53" s="150" t="str" cm="1">
        <f t="array" ref="EN53">IFERROR(ROUND(IF($D53="","",INDEX('M04-S06'!DW$18:DW$199,2*(ROWS(EN$48:EN53)-1)+1)),6),"")</f>
        <v/>
      </c>
      <c r="EO53" s="150" t="str" cm="1">
        <f t="array" ref="EO53">IFERROR(ROUND(IF($D53="","",INDEX('M04-S06'!DX$18:DX$199,2*(ROWS(EO$48:EO53)-1)+1)),6),"")</f>
        <v/>
      </c>
      <c r="EP53" s="150" t="str" cm="1">
        <f t="array" ref="EP53">IFERROR(ROUND(IF($D53="","",INDEX('M04-S06'!DY$18:DY$199,2*(ROWS(EP$48:EP53)-1)+1)),6),"")</f>
        <v/>
      </c>
      <c r="EQ53" s="150" t="str" cm="1">
        <f t="array" ref="EQ53">IFERROR(ROUND(IF($D53="","",INDEX('M04-S06'!DZ$18:DZ$199,2*(ROWS(EQ$48:EQ53)-1)+1)),6),"")</f>
        <v/>
      </c>
      <c r="ER53" s="150" t="str">
        <f t="shared" si="21"/>
        <v/>
      </c>
      <c r="ES53" s="150" t="str">
        <f t="shared" si="37"/>
        <v/>
      </c>
      <c r="ET53" s="150" t="str">
        <f t="shared" si="38"/>
        <v/>
      </c>
      <c r="EU53" s="150" t="str">
        <f t="shared" si="39"/>
        <v/>
      </c>
      <c r="EV53" s="150" t="str">
        <f t="shared" si="40"/>
        <v/>
      </c>
      <c r="EW53" s="150" t="str">
        <f t="shared" si="41"/>
        <v/>
      </c>
      <c r="EX53" s="150" t="str">
        <f t="shared" si="42"/>
        <v/>
      </c>
      <c r="EY53" s="150" t="str">
        <f t="shared" si="22"/>
        <v/>
      </c>
      <c r="EZ53" s="150" t="str" cm="1">
        <f t="array" ref="EZ53">IFERROR(ROUND(IF($D53="","",INDEX('M04-S06'!EA$18:EA$199,2*(ROWS(EZ$48:EZ53)-1)+1)),6),"")</f>
        <v/>
      </c>
      <c r="FA53" s="150" t="str" cm="1">
        <f t="array" ref="FA53">IFERROR(ROUND(IF($D53="","",INDEX('M04-S06'!EB$18:EB$199,2*(ROWS(FA$48:FA53)-1)+1)),6),"")</f>
        <v/>
      </c>
      <c r="FB53" s="150" t="str" cm="1">
        <f t="array" ref="FB53">IFERROR(ROUND(IF($D53="","",INDEX('M04-S06'!EC$18:EC$199,2*(ROWS(FB$48:FB53)-1)+1)),6),"")</f>
        <v/>
      </c>
      <c r="FC53" s="150" t="str" cm="1">
        <f t="array" ref="FC53">IFERROR(ROUND(IF($D53="","",INDEX('M04-S06'!ED$18:ED$199,2*(ROWS(FC$48:FC53)-1)+1)),6),"")</f>
        <v/>
      </c>
      <c r="FD53" s="150" t="str" cm="1">
        <f t="array" ref="FD53">IFERROR(ROUND(IF($D53="","",INDEX('M04-S06'!EE$18:EE$199,2*(ROWS(FD$48:FD53)-1)+1)),6),"")</f>
        <v/>
      </c>
      <c r="FE53" s="150" t="str" cm="1">
        <f t="array" ref="FE53">IFERROR(ROUND(IF($D53="","",INDEX('M04-S06'!EF$18:EF$199,2*(ROWS(FE$48:FE53)-1)+1)),6),"")</f>
        <v/>
      </c>
      <c r="FF53" s="150" t="str" cm="1">
        <f t="array" ref="FF53">IFERROR(ROUND(IF($D53="","",INDEX('M04-S06'!EG$18:EG$199,2*(ROWS(FF$48:FF53)-1)+1)),6),"")</f>
        <v/>
      </c>
      <c r="FG53" s="150" t="str" cm="1">
        <f t="array" ref="FG53">IFERROR(ROUND(IF($D53="","",INDEX('M04-S06'!EH$18:EH$199,2*(ROWS(FG$48:FG53)-1)+1)),6),"")</f>
        <v/>
      </c>
      <c r="FH53" s="150" t="str" cm="1">
        <f t="array" ref="FH53">IFERROR(ROUND(IF($D53="","",INDEX('M04-S06'!EI$18:EI$199,2*(ROWS(FH$48:FH53)-1)+1)),6),"")</f>
        <v/>
      </c>
      <c r="FI53" s="150" t="str" cm="1">
        <f t="array" ref="FI53">IFERROR(ROUND(IF($D53="","",INDEX('M04-S06'!EJ$18:EJ$199,2*(ROWS(FI$48:FI53)-1)+1)),6),"")</f>
        <v/>
      </c>
      <c r="FJ53" s="150" t="str" cm="1">
        <f t="array" ref="FJ53">IFERROR(ROUND(IF($D53="","",INDEX('M04-S06'!EK$18:EK$199,2*(ROWS(FJ$48:FJ53)-1)+1)),6),"")</f>
        <v/>
      </c>
      <c r="FK53" s="150" t="str" cm="1">
        <f t="array" ref="FK53">IFERROR(ROUND(IF($D53="","",INDEX('M04-S06'!EL$18:EL$199,2*(ROWS(FK$48:FK53)-1)+1)),6),"")</f>
        <v/>
      </c>
      <c r="FL53" s="150" t="str" cm="1">
        <f t="array" ref="FL53">IFERROR(ROUND(IF($D53="","",INDEX('M04-S06'!EM$18:EM$199,2*(ROWS(FL$48:FL53)-1)+1)),6),"")</f>
        <v/>
      </c>
      <c r="FM53" s="150" t="str" cm="1">
        <f t="array" ref="FM53">IFERROR(ROUND(IF($D53="","",INDEX('M04-S06'!EN$18:EN$199,2*(ROWS(FM$48:FM53)-1)+1)),6),"")</f>
        <v/>
      </c>
    </row>
    <row r="54" spans="1:169">
      <c r="A54" t="str">
        <f t="shared" si="76"/>
        <v/>
      </c>
      <c r="B54" t="str">
        <f t="shared" si="77"/>
        <v/>
      </c>
      <c r="C54" t="str" cm="1">
        <f t="array" ref="C54">IFERROR(IF(D54="","",INDEX('M04-S06'!$B$18:$B$199,2*(ROWS(C$48:C54)-1)+1)),"")</f>
        <v/>
      </c>
      <c r="D54" t="str">
        <f t="shared" si="78"/>
        <v/>
      </c>
      <c r="E54" t="str" cm="1">
        <f t="array" ref="E54">IFERROR(IF(INDEX('M04-S06'!$CC$18:$CC$199,2*(ROWS(E$48:E54)-1)+1)="","",INDEX('M04-S06'!$CC$18:$CC$199,2*(ROWS(E$48:E54)-1)+1)),"")</f>
        <v/>
      </c>
      <c r="G54" t="str">
        <f t="shared" si="79"/>
        <v/>
      </c>
      <c r="H54" t="str">
        <f t="shared" si="80"/>
        <v/>
      </c>
      <c r="L54" t="str">
        <f t="shared" si="81"/>
        <v/>
      </c>
      <c r="O54" t="str">
        <f t="shared" si="82"/>
        <v/>
      </c>
      <c r="V54" t="str" cm="1">
        <f t="array" ref="V54">IFERROR(IF(D54="","",INDEX('M04-S06'!$AY$17:$AY$199,2*(ROWS(V$48:V54)-1)+1)),"")</f>
        <v/>
      </c>
      <c r="W54" t="str" cm="1">
        <f t="array" ref="W54">IFERROR(IF(D54="","",INDEX('M04-S06'!$AV$17:$AV$199,2*(ROWS(W$48:W54)-1)+1)),"")</f>
        <v/>
      </c>
      <c r="X54" t="str" cm="1">
        <f t="array" ref="X54">IFERROR(IF(D54="","",INDEX('M04-S06'!$AV$17:$AV$199,2*(ROWS(X$48:X54)-0)+0)),"")</f>
        <v/>
      </c>
      <c r="AG54" s="98" t="str" cm="1">
        <f t="array" ref="AG54">IFERROR(IF(D54="","",IF(INDEX('M04-S06'!$CB$18:$CB$199,2*(ROWS(AG$48:AG54)-1)+1)="","",INDEX('M04-S06'!$CB$18:$CB$199,2*(ROWS(AG$48:AG54)-1)+1))),"")</f>
        <v/>
      </c>
      <c r="AH54" s="98" t="str" cm="1">
        <f t="array" ref="AH54">IFERROR(IF(D54="","",IF(INDEX('M04-S06'!$CU$18:$CU$199,2*(ROWS(AH$48:AH54)-1)+1)="","",INDEX('M04-S06'!$CU$18:$CU$199,2*(ROWS(AH$48:AH54)-1)+1))),"")</f>
        <v/>
      </c>
      <c r="AI54" s="20" t="str" cm="1">
        <f t="array" ref="AI54">IFERROR(IF(D54="","",IF(INDEX('M04-S06'!$CM$18:$CM$199,2*(ROWS(AI$48:AI54)-1)+1)="",0,INDEX('M04-S06'!$CM$18:$CM$199,2*(ROWS(AI$48:AI54)-1)+1))),"")</f>
        <v/>
      </c>
      <c r="AJ54" s="20" t="str">
        <f t="shared" ref="AJ54:AJ112" si="86">IFERROR(ROUND(IF(D54="","",AI54*(3412/1000000)),4),"")</f>
        <v/>
      </c>
      <c r="AK54" s="487" t="str" cm="1">
        <f t="array" ref="AK54">IFERROR(IF(D54="","",IF(INDEX('M04-S06'!$CN$18:$CN$199,2*(ROWS(AK$48:AK54)-1)+1)="",0,INDEX('M04-S06'!$CN$18:$CN$199,2*(ROWS(AK$48:AK54)-1)+1))),"")</f>
        <v/>
      </c>
      <c r="AL54" s="20" t="str">
        <f t="shared" si="83"/>
        <v/>
      </c>
      <c r="AM54" s="20" t="str">
        <f t="shared" si="73"/>
        <v/>
      </c>
      <c r="AN54" s="20" t="str" cm="1">
        <f t="array" ref="AN54">IFERROR(IF(D54="","",IF(INDEX('M04-S06'!$CO$18:$CO$199,2*(ROWS(AN$48:AN54)-1)+1)="",0,INDEX('M04-S06'!$CO$18:$CO$199,2*(ROWS(AN$48:AN54)-1)+1))),"")</f>
        <v/>
      </c>
      <c r="AO54" s="20" t="str" cm="1">
        <f t="array" ref="AO54">IFERROR(IF(D54="","",INDEX('M04-S06'!$R$18:$R$199,2*(ROWS(AO$48:AO54)-1)+1)),"")</f>
        <v/>
      </c>
      <c r="AP54" s="20" t="str" cm="1">
        <f t="array" ref="AP54">IFERROR(IF(D54="","",INDEX('M04-S06'!$AJ$17:$AJ$199,2*(ROWS(AP$48:AP54)-1)+1)),"")</f>
        <v/>
      </c>
      <c r="AQ54" s="487" t="str" cm="1">
        <f t="array" ref="AQ54">IFERROR(IF(D54="","",INDEX('M04-S06'!$U$18:$U$199,2*(ROWS(AQ$48:AQ54)-1)+1)),"")</f>
        <v/>
      </c>
      <c r="AR54" s="487" t="str" cm="1">
        <f t="array" ref="AR54">IFERROR(IF(D54="","",INDEX('M04-S06'!$AM$17:$AM$199,2*(ROWS(AR$48:AR54)-1)+1)),"")</f>
        <v/>
      </c>
      <c r="AS54" s="20" t="str" cm="1">
        <f t="array" ref="AS54">IFERROR(IF(D54="","",INDEX('M04-S06'!$X$18:$X$199,2*(ROWS(AS$48:AS54)-1)+1)),"")</f>
        <v/>
      </c>
      <c r="AT54" s="20" t="str" cm="1">
        <f t="array" ref="AT54">IFERROR(IF(D54="","",INDEX('M04-S06'!$AP$17:$AP$199,2*(ROWS(AT$48:AT54)-1)+1)),"")</f>
        <v/>
      </c>
      <c r="BP54" t="str" cm="1">
        <f t="array" ref="BP54">IFERROR(IF(D54="","",INDEX('M04-S06'!$CS$18:$CS$199,2*(ROWS(BP$48:BP54)-1)+1)),"")</f>
        <v/>
      </c>
      <c r="BR54" t="str" cm="1">
        <f t="array" ref="BR54">IFERROR(IF(D54="","",LEFT(INDEX('M04-S06'!$C$18:$C$199,2*(ROWS(BR$48:BR54)-1)+1),150)),"")</f>
        <v/>
      </c>
      <c r="BS54" t="str" cm="1">
        <f t="array" ref="BS54">IFERROR(IF(D54="","",INDEX('M04-S06'!$CT$18:$CT$199,2*(ROWS(BS$48:BS54)-1)+1)),"")</f>
        <v/>
      </c>
      <c r="BT54" s="6" t="str" cm="1">
        <f t="array" ref="BT54">IFERROR(ROUND(IF(D54="","",INDEX('M04-S06'!$BB$17:$BB$199,2*(ROWS(BT$48:BT54)-1)+1)),2),"")</f>
        <v/>
      </c>
      <c r="BU54" s="6" t="str" cm="1">
        <f t="array" ref="BU54">IFERROR(IF(D54="","",INDEX('M04-S06'!$CX$18:$CX$199,2*(ROWS(BU$48:BU54)-1)+1)),"")</f>
        <v/>
      </c>
      <c r="BV54" s="6" t="str" cm="1">
        <f t="array" ref="BV54">IFERROR(IF(D54="","",INDEX('M04-S06'!$CY$18:$CY$199,2*(ROWS(BV$48:BV54)-1)+1)),"")</f>
        <v/>
      </c>
      <c r="BW54" t="str">
        <f t="shared" si="84"/>
        <v/>
      </c>
      <c r="BX54" t="str">
        <f t="shared" si="85"/>
        <v/>
      </c>
      <c r="BY54" s="6" t="str" cm="1">
        <f t="array" ref="BY54">IFERROR(IF(D54="","",INDEX('M04-S06'!$CI$18:$CI$199,2*(ROWS(BY$48:BY54)-1)+1)),"")</f>
        <v/>
      </c>
      <c r="BZ54" s="6" t="str">
        <f t="shared" si="17"/>
        <v/>
      </c>
      <c r="CA54" s="6" t="str">
        <f t="shared" si="18"/>
        <v/>
      </c>
      <c r="CB54" s="6" t="str">
        <f t="shared" ref="CB54:CB112" si="87">IFERROR(ROUND(IF(D54="","",BV54-BY54),2),"")</f>
        <v/>
      </c>
      <c r="CC54" s="6" t="str">
        <f t="shared" si="74"/>
        <v/>
      </c>
      <c r="CD54" s="6" t="str">
        <f t="shared" si="75"/>
        <v/>
      </c>
      <c r="CS54" t="str" cm="1">
        <f t="array" ref="CS54">IFERROR(IF(D54="","",INDEX('M04-S06'!$F$18:$F$199,2*(ROWS(CS$48:CS54)-1)+1)),"")</f>
        <v/>
      </c>
      <c r="CT54" t="str" cm="1">
        <f t="array" ref="CT54">IFERROR(IF(D54="","",INDEX('M04-S06'!$L$18:$L$199,2*(ROWS(CT$48:CT54)-1)+1)),"")</f>
        <v/>
      </c>
      <c r="CU54" t="str" cm="1">
        <f t="array" ref="CU54">IFERROR(IF(D54="","",INDEX('M04-S06'!$AD$18:$AD$199,2*(ROWS(CU$48:CU54)-1)+1)),"")</f>
        <v/>
      </c>
      <c r="DE54" s="150"/>
      <c r="DF54" s="150" t="str">
        <f>IFERROR(ROUND(IF(OR(D54="",DE54=""),"",TEMPLATE!$V$14),2),"")</f>
        <v/>
      </c>
      <c r="DG54" s="150"/>
      <c r="DH54" s="150" t="str">
        <f>IFERROR(ROUND(IF(OR(D54="",DG54=""),"",TEMPLATE!$V$14),2),"")</f>
        <v/>
      </c>
      <c r="DI54" s="150"/>
      <c r="DJ54" s="150" t="str">
        <f>IFERROR(ROUND(IF(OR(D54="",DI54=""),"",TEMPLATE!$V$14),2),"")</f>
        <v/>
      </c>
      <c r="DK54" s="150"/>
      <c r="DL54" s="150" t="str">
        <f>IFERROR(ROUND(IF(OR(D54="",DK54=""),"",TEMPLATE!$V$14),2),"")</f>
        <v/>
      </c>
      <c r="DM54" s="150"/>
      <c r="DN54" s="150" t="str">
        <f>IFERROR(ROUND(IF(OR(D54="",DM54=""),"",TEMPLATE!$V$14),2),"")</f>
        <v/>
      </c>
      <c r="DO54" s="150"/>
      <c r="DP54" s="150" t="str">
        <f>IFERROR(ROUND(IF(OR(D54="",DO54=""),"",TEMPLATE!$V$14),2),"")</f>
        <v/>
      </c>
      <c r="DQ54" s="150"/>
      <c r="DR54" s="150" t="str">
        <f>IFERROR(ROUND(IF(OR(D54="",DQ54=""),"",TEMPLATE!$V$14),2),"")</f>
        <v/>
      </c>
      <c r="DS54" s="150"/>
      <c r="DT54" s="150" t="str">
        <f>IFERROR(ROUND(IF(OR(D54="",DS54=""),"",TEMPLATE!$V$14),2),"")</f>
        <v/>
      </c>
      <c r="DU54" s="150" t="str" cm="1">
        <f t="array" ref="DU54">IFERROR(ROUND(IF($D54="","",INDEX('M04-S06'!DD$18:DD$199,2*(ROWS(DU$48:DU54)-1)+1)),4),"")</f>
        <v/>
      </c>
      <c r="DV54" s="150" t="str" cm="1">
        <f t="array" ref="DV54">IFERROR(ROUND(IF($D54="","",INDEX('M04-S06'!DE$18:DE$199,2*(ROWS(DV$48:DV54)-1)+1)),4),"")</f>
        <v/>
      </c>
      <c r="DW54" s="150" t="str" cm="1">
        <f t="array" ref="DW54">IFERROR(ROUND(IF($D54="","",INDEX('M04-S06'!DF$18:DF$199,2*(ROWS(DW$48:DW54)-1)+1)),4),"")</f>
        <v/>
      </c>
      <c r="DX54" s="150" t="str" cm="1">
        <f t="array" ref="DX54">IFERROR(ROUND(IF($D54="","",INDEX('M04-S06'!DG$18:DG$199,2*(ROWS(DX$48:DX54)-1)+1)),4),"")</f>
        <v/>
      </c>
      <c r="DY54" s="150" t="str" cm="1">
        <f t="array" ref="DY54">IFERROR(ROUND(IF($D54="","",INDEX('M04-S06'!DH$18:DH$199,2*(ROWS(DY$48:DY54)-1)+1)),4),"")</f>
        <v/>
      </c>
      <c r="DZ54" s="150" t="str" cm="1">
        <f t="array" ref="DZ54">IFERROR(ROUND(IF($D54="","",INDEX('M04-S06'!DI$18:DI$199,2*(ROWS(DZ$48:DZ54)-1)+1)),4),"")</f>
        <v/>
      </c>
      <c r="EA54" s="150" t="str" cm="1">
        <f t="array" ref="EA54">IFERROR(ROUND(IF($D54="","",INDEX('M04-S06'!DJ$18:DJ$199,2*(ROWS(EA$48:EA54)-1)+1)),4),"")</f>
        <v/>
      </c>
      <c r="EB54" s="150" t="str" cm="1">
        <f t="array" ref="EB54">IFERROR(ROUND(IF($D54="","",INDEX('M04-S06'!DK$18:DK$199,2*(ROWS(EB$48:EB54)-1)+1)),6),"")</f>
        <v/>
      </c>
      <c r="EC54" s="150" t="str" cm="1">
        <f t="array" ref="EC54">IFERROR(ROUND(IF($D54="","",INDEX('M04-S06'!DL$18:DL$199,2*(ROWS(EC$48:EC54)-1)+1)),6),"")</f>
        <v/>
      </c>
      <c r="ED54" s="150" t="str" cm="1">
        <f t="array" ref="ED54">IFERROR(ROUND(IF($D54="","",INDEX('M04-S06'!DM$18:DM$199,2*(ROWS(ED$48:ED54)-1)+1)),6),"")</f>
        <v/>
      </c>
      <c r="EE54" s="150" t="str" cm="1">
        <f t="array" ref="EE54">IFERROR(ROUND(IF($D54="","",INDEX('M04-S06'!DN$18:DN$199,2*(ROWS(EE$48:EE54)-1)+1)),6),"")</f>
        <v/>
      </c>
      <c r="EF54" s="150" t="str" cm="1">
        <f t="array" ref="EF54">IFERROR(ROUND(IF($D54="","",INDEX('M04-S06'!DO$18:DO$199,2*(ROWS(EF$48:EF54)-1)+1)),6),"")</f>
        <v/>
      </c>
      <c r="EG54" s="150" t="str" cm="1">
        <f t="array" ref="EG54">IFERROR(ROUND(IF($D54="","",INDEX('M04-S06'!DP$18:DP$199,2*(ROWS(EG$48:EG54)-1)+1)),6),"")</f>
        <v/>
      </c>
      <c r="EH54" s="150" t="str" cm="1">
        <f t="array" ref="EH54">IFERROR(ROUND(IF($D54="","",INDEX('M04-S06'!DQ$18:DQ$199,2*(ROWS(EH$48:EH54)-1)+1)),6),"")</f>
        <v/>
      </c>
      <c r="EI54" s="150" t="str" cm="1">
        <f t="array" ref="EI54">IFERROR(ROUND(IF($D54="","",INDEX('M04-S06'!DR$18:DR$199,2*(ROWS(EI$48:EI54)-1)+1)),6),"")</f>
        <v/>
      </c>
      <c r="EJ54" s="150" t="str" cm="1">
        <f t="array" ref="EJ54">IFERROR(ROUND(IF($D54="","",INDEX('M04-S06'!DS$18:DS$199,2*(ROWS(EJ$48:EJ54)-1)+1)),6),"")</f>
        <v/>
      </c>
      <c r="EK54" s="150" t="str" cm="1">
        <f t="array" ref="EK54">IFERROR(ROUND(IF($D54="","",INDEX('M04-S06'!DT$18:DT$199,2*(ROWS(EK$48:EK54)-1)+1)),6),"")</f>
        <v/>
      </c>
      <c r="EL54" s="150" t="str" cm="1">
        <f t="array" ref="EL54">IFERROR(ROUND(IF($D54="","",INDEX('M04-S06'!DU$18:DU$199,2*(ROWS(EL$48:EL54)-1)+1)),6),"")</f>
        <v/>
      </c>
      <c r="EM54" s="150" t="str" cm="1">
        <f t="array" ref="EM54">IFERROR(ROUND(IF($D54="","",INDEX('M04-S06'!DV$18:DV$199,2*(ROWS(EM$48:EM54)-1)+1)),6),"")</f>
        <v/>
      </c>
      <c r="EN54" s="150" t="str" cm="1">
        <f t="array" ref="EN54">IFERROR(ROUND(IF($D54="","",INDEX('M04-S06'!DW$18:DW$199,2*(ROWS(EN$48:EN54)-1)+1)),6),"")</f>
        <v/>
      </c>
      <c r="EO54" s="150" t="str" cm="1">
        <f t="array" ref="EO54">IFERROR(ROUND(IF($D54="","",INDEX('M04-S06'!DX$18:DX$199,2*(ROWS(EO$48:EO54)-1)+1)),6),"")</f>
        <v/>
      </c>
      <c r="EP54" s="150" t="str" cm="1">
        <f t="array" ref="EP54">IFERROR(ROUND(IF($D54="","",INDEX('M04-S06'!DY$18:DY$199,2*(ROWS(EP$48:EP54)-1)+1)),6),"")</f>
        <v/>
      </c>
      <c r="EQ54" s="150" t="str" cm="1">
        <f t="array" ref="EQ54">IFERROR(ROUND(IF($D54="","",INDEX('M04-S06'!DZ$18:DZ$199,2*(ROWS(EQ$48:EQ54)-1)+1)),6),"")</f>
        <v/>
      </c>
      <c r="ER54" s="150" t="str">
        <f t="shared" si="21"/>
        <v/>
      </c>
      <c r="ES54" s="150" t="str">
        <f t="shared" si="37"/>
        <v/>
      </c>
      <c r="ET54" s="150" t="str">
        <f t="shared" si="38"/>
        <v/>
      </c>
      <c r="EU54" s="150" t="str">
        <f t="shared" si="39"/>
        <v/>
      </c>
      <c r="EV54" s="150" t="str">
        <f t="shared" si="40"/>
        <v/>
      </c>
      <c r="EW54" s="150" t="str">
        <f t="shared" si="41"/>
        <v/>
      </c>
      <c r="EX54" s="150" t="str">
        <f t="shared" si="42"/>
        <v/>
      </c>
      <c r="EY54" s="150" t="str">
        <f t="shared" si="22"/>
        <v/>
      </c>
      <c r="EZ54" s="150" t="str" cm="1">
        <f t="array" ref="EZ54">IFERROR(ROUND(IF($D54="","",INDEX('M04-S06'!EA$18:EA$199,2*(ROWS(EZ$48:EZ54)-1)+1)),6),"")</f>
        <v/>
      </c>
      <c r="FA54" s="150" t="str" cm="1">
        <f t="array" ref="FA54">IFERROR(ROUND(IF($D54="","",INDEX('M04-S06'!EB$18:EB$199,2*(ROWS(FA$48:FA54)-1)+1)),6),"")</f>
        <v/>
      </c>
      <c r="FB54" s="150" t="str" cm="1">
        <f t="array" ref="FB54">IFERROR(ROUND(IF($D54="","",INDEX('M04-S06'!EC$18:EC$199,2*(ROWS(FB$48:FB54)-1)+1)),6),"")</f>
        <v/>
      </c>
      <c r="FC54" s="150" t="str" cm="1">
        <f t="array" ref="FC54">IFERROR(ROUND(IF($D54="","",INDEX('M04-S06'!ED$18:ED$199,2*(ROWS(FC$48:FC54)-1)+1)),6),"")</f>
        <v/>
      </c>
      <c r="FD54" s="150" t="str" cm="1">
        <f t="array" ref="FD54">IFERROR(ROUND(IF($D54="","",INDEX('M04-S06'!EE$18:EE$199,2*(ROWS(FD$48:FD54)-1)+1)),6),"")</f>
        <v/>
      </c>
      <c r="FE54" s="150" t="str" cm="1">
        <f t="array" ref="FE54">IFERROR(ROUND(IF($D54="","",INDEX('M04-S06'!EF$18:EF$199,2*(ROWS(FE$48:FE54)-1)+1)),6),"")</f>
        <v/>
      </c>
      <c r="FF54" s="150" t="str" cm="1">
        <f t="array" ref="FF54">IFERROR(ROUND(IF($D54="","",INDEX('M04-S06'!EG$18:EG$199,2*(ROWS(FF$48:FF54)-1)+1)),6),"")</f>
        <v/>
      </c>
      <c r="FG54" s="150" t="str" cm="1">
        <f t="array" ref="FG54">IFERROR(ROUND(IF($D54="","",INDEX('M04-S06'!EH$18:EH$199,2*(ROWS(FG$48:FG54)-1)+1)),6),"")</f>
        <v/>
      </c>
      <c r="FH54" s="150" t="str" cm="1">
        <f t="array" ref="FH54">IFERROR(ROUND(IF($D54="","",INDEX('M04-S06'!EI$18:EI$199,2*(ROWS(FH$48:FH54)-1)+1)),6),"")</f>
        <v/>
      </c>
      <c r="FI54" s="150" t="str" cm="1">
        <f t="array" ref="FI54">IFERROR(ROUND(IF($D54="","",INDEX('M04-S06'!EJ$18:EJ$199,2*(ROWS(FI$48:FI54)-1)+1)),6),"")</f>
        <v/>
      </c>
      <c r="FJ54" s="150" t="str" cm="1">
        <f t="array" ref="FJ54">IFERROR(ROUND(IF($D54="","",INDEX('M04-S06'!EK$18:EK$199,2*(ROWS(FJ$48:FJ54)-1)+1)),6),"")</f>
        <v/>
      </c>
      <c r="FK54" s="150" t="str" cm="1">
        <f t="array" ref="FK54">IFERROR(ROUND(IF($D54="","",INDEX('M04-S06'!EL$18:EL$199,2*(ROWS(FK$48:FK54)-1)+1)),6),"")</f>
        <v/>
      </c>
      <c r="FL54" s="150" t="str" cm="1">
        <f t="array" ref="FL54">IFERROR(ROUND(IF($D54="","",INDEX('M04-S06'!EM$18:EM$199,2*(ROWS(FL$48:FL54)-1)+1)),6),"")</f>
        <v/>
      </c>
      <c r="FM54" s="150" t="str" cm="1">
        <f t="array" ref="FM54">IFERROR(ROUND(IF($D54="","",INDEX('M04-S06'!EN$18:EN$199,2*(ROWS(FM$48:FM54)-1)+1)),6),"")</f>
        <v/>
      </c>
    </row>
    <row r="55" spans="1:169">
      <c r="A55" t="str">
        <f t="shared" si="76"/>
        <v/>
      </c>
      <c r="B55" t="str">
        <f t="shared" si="77"/>
        <v/>
      </c>
      <c r="C55" t="str" cm="1">
        <f t="array" ref="C55">IFERROR(IF(D55="","",INDEX('M04-S06'!$B$18:$B$199,2*(ROWS(C$48:C55)-1)+1)),"")</f>
        <v/>
      </c>
      <c r="D55" t="str">
        <f t="shared" si="78"/>
        <v/>
      </c>
      <c r="E55" t="str" cm="1">
        <f t="array" ref="E55">IFERROR(IF(INDEX('M04-S06'!$CC$18:$CC$199,2*(ROWS(E$48:E55)-1)+1)="","",INDEX('M04-S06'!$CC$18:$CC$199,2*(ROWS(E$48:E55)-1)+1)),"")</f>
        <v/>
      </c>
      <c r="G55" t="str">
        <f t="shared" si="79"/>
        <v/>
      </c>
      <c r="H55" t="str">
        <f t="shared" si="80"/>
        <v/>
      </c>
      <c r="L55" t="str">
        <f t="shared" si="81"/>
        <v/>
      </c>
      <c r="O55" t="str">
        <f t="shared" si="82"/>
        <v/>
      </c>
      <c r="V55" t="str" cm="1">
        <f t="array" ref="V55">IFERROR(IF(D55="","",INDEX('M04-S06'!$AY$17:$AY$199,2*(ROWS(V$48:V55)-1)+1)),"")</f>
        <v/>
      </c>
      <c r="W55" t="str" cm="1">
        <f t="array" ref="W55">IFERROR(IF(D55="","",INDEX('M04-S06'!$AV$17:$AV$199,2*(ROWS(W$48:W55)-1)+1)),"")</f>
        <v/>
      </c>
      <c r="X55" t="str" cm="1">
        <f t="array" ref="X55">IFERROR(IF(D55="","",INDEX('M04-S06'!$AV$17:$AV$199,2*(ROWS(X$48:X55)-0)+0)),"")</f>
        <v/>
      </c>
      <c r="AG55" s="98" t="str" cm="1">
        <f t="array" ref="AG55">IFERROR(IF(D55="","",IF(INDEX('M04-S06'!$CB$18:$CB$199,2*(ROWS(AG$48:AG55)-1)+1)="","",INDEX('M04-S06'!$CB$18:$CB$199,2*(ROWS(AG$48:AG55)-1)+1))),"")</f>
        <v/>
      </c>
      <c r="AH55" s="98" t="str" cm="1">
        <f t="array" ref="AH55">IFERROR(IF(D55="","",IF(INDEX('M04-S06'!$CU$18:$CU$199,2*(ROWS(AH$48:AH55)-1)+1)="","",INDEX('M04-S06'!$CU$18:$CU$199,2*(ROWS(AH$48:AH55)-1)+1))),"")</f>
        <v/>
      </c>
      <c r="AI55" s="20" t="str" cm="1">
        <f t="array" ref="AI55">IFERROR(IF(D55="","",IF(INDEX('M04-S06'!$CM$18:$CM$199,2*(ROWS(AI$48:AI55)-1)+1)="",0,INDEX('M04-S06'!$CM$18:$CM$199,2*(ROWS(AI$48:AI55)-1)+1))),"")</f>
        <v/>
      </c>
      <c r="AJ55" s="20" t="str">
        <f t="shared" si="86"/>
        <v/>
      </c>
      <c r="AK55" s="487" t="str" cm="1">
        <f t="array" ref="AK55">IFERROR(IF(D55="","",IF(INDEX('M04-S06'!$CN$18:$CN$199,2*(ROWS(AK$48:AK55)-1)+1)="",0,INDEX('M04-S06'!$CN$18:$CN$199,2*(ROWS(AK$48:AK55)-1)+1))),"")</f>
        <v/>
      </c>
      <c r="AL55" s="20" t="str">
        <f t="shared" si="83"/>
        <v/>
      </c>
      <c r="AM55" s="20" t="str">
        <f t="shared" si="73"/>
        <v/>
      </c>
      <c r="AN55" s="20" t="str" cm="1">
        <f t="array" ref="AN55">IFERROR(IF(D55="","",IF(INDEX('M04-S06'!$CO$18:$CO$199,2*(ROWS(AN$48:AN55)-1)+1)="",0,INDEX('M04-S06'!$CO$18:$CO$199,2*(ROWS(AN$48:AN55)-1)+1))),"")</f>
        <v/>
      </c>
      <c r="AO55" s="20" t="str" cm="1">
        <f t="array" ref="AO55">IFERROR(IF(D55="","",INDEX('M04-S06'!$R$18:$R$199,2*(ROWS(AO$48:AO55)-1)+1)),"")</f>
        <v/>
      </c>
      <c r="AP55" s="20" t="str" cm="1">
        <f t="array" ref="AP55">IFERROR(IF(D55="","",INDEX('M04-S06'!$AJ$17:$AJ$199,2*(ROWS(AP$48:AP55)-1)+1)),"")</f>
        <v/>
      </c>
      <c r="AQ55" s="487" t="str" cm="1">
        <f t="array" ref="AQ55">IFERROR(IF(D55="","",INDEX('M04-S06'!$U$18:$U$199,2*(ROWS(AQ$48:AQ55)-1)+1)),"")</f>
        <v/>
      </c>
      <c r="AR55" s="487" t="str" cm="1">
        <f t="array" ref="AR55">IFERROR(IF(D55="","",INDEX('M04-S06'!$AM$17:$AM$199,2*(ROWS(AR$48:AR55)-1)+1)),"")</f>
        <v/>
      </c>
      <c r="AS55" s="20" t="str" cm="1">
        <f t="array" ref="AS55">IFERROR(IF(D55="","",INDEX('M04-S06'!$X$18:$X$199,2*(ROWS(AS$48:AS55)-1)+1)),"")</f>
        <v/>
      </c>
      <c r="AT55" s="20" t="str" cm="1">
        <f t="array" ref="AT55">IFERROR(IF(D55="","",INDEX('M04-S06'!$AP$17:$AP$199,2*(ROWS(AT$48:AT55)-1)+1)),"")</f>
        <v/>
      </c>
      <c r="BP55" t="str" cm="1">
        <f t="array" ref="BP55">IFERROR(IF(D55="","",INDEX('M04-S06'!$CS$18:$CS$199,2*(ROWS(BP$48:BP55)-1)+1)),"")</f>
        <v/>
      </c>
      <c r="BR55" t="str" cm="1">
        <f t="array" ref="BR55">IFERROR(IF(D55="","",LEFT(INDEX('M04-S06'!$C$18:$C$199,2*(ROWS(BR$48:BR55)-1)+1),150)),"")</f>
        <v/>
      </c>
      <c r="BS55" t="str" cm="1">
        <f t="array" ref="BS55">IFERROR(IF(D55="","",INDEX('M04-S06'!$CT$18:$CT$199,2*(ROWS(BS$48:BS55)-1)+1)),"")</f>
        <v/>
      </c>
      <c r="BT55" s="6" t="str" cm="1">
        <f t="array" ref="BT55">IFERROR(ROUND(IF(D55="","",INDEX('M04-S06'!$BB$17:$BB$199,2*(ROWS(BT$48:BT55)-1)+1)),2),"")</f>
        <v/>
      </c>
      <c r="BU55" s="6" t="str" cm="1">
        <f t="array" ref="BU55">IFERROR(IF(D55="","",INDEX('M04-S06'!$CX$18:$CX$199,2*(ROWS(BU$48:BU55)-1)+1)),"")</f>
        <v/>
      </c>
      <c r="BV55" s="6" t="str" cm="1">
        <f t="array" ref="BV55">IFERROR(IF(D55="","",INDEX('M04-S06'!$CY$18:$CY$199,2*(ROWS(BV$48:BV55)-1)+1)),"")</f>
        <v/>
      </c>
      <c r="BW55" t="str">
        <f t="shared" si="84"/>
        <v/>
      </c>
      <c r="BX55" t="str">
        <f t="shared" si="85"/>
        <v/>
      </c>
      <c r="BY55" s="6" t="str" cm="1">
        <f t="array" ref="BY55">IFERROR(IF(D55="","",INDEX('M04-S06'!$CI$18:$CI$199,2*(ROWS(BY$48:BY55)-1)+1)),"")</f>
        <v/>
      </c>
      <c r="BZ55" s="6" t="str">
        <f t="shared" si="17"/>
        <v/>
      </c>
      <c r="CA55" s="6" t="str">
        <f t="shared" si="18"/>
        <v/>
      </c>
      <c r="CB55" s="6" t="str">
        <f t="shared" si="87"/>
        <v/>
      </c>
      <c r="CC55" s="6" t="str">
        <f t="shared" si="74"/>
        <v/>
      </c>
      <c r="CD55" s="6" t="str">
        <f t="shared" si="75"/>
        <v/>
      </c>
      <c r="CS55" t="str" cm="1">
        <f t="array" ref="CS55">IFERROR(IF(D55="","",INDEX('M04-S06'!$F$18:$F$199,2*(ROWS(CS$48:CS55)-1)+1)),"")</f>
        <v/>
      </c>
      <c r="CT55" t="str" cm="1">
        <f t="array" ref="CT55">IFERROR(IF(D55="","",INDEX('M04-S06'!$L$18:$L$199,2*(ROWS(CT$48:CT55)-1)+1)),"")</f>
        <v/>
      </c>
      <c r="CU55" t="str" cm="1">
        <f t="array" ref="CU55">IFERROR(IF(D55="","",INDEX('M04-S06'!$AD$18:$AD$199,2*(ROWS(CU$48:CU55)-1)+1)),"")</f>
        <v/>
      </c>
      <c r="DE55" s="150"/>
      <c r="DF55" s="150" t="str">
        <f>IFERROR(ROUND(IF(OR(D55="",DE55=""),"",TEMPLATE!$V$14),2),"")</f>
        <v/>
      </c>
      <c r="DG55" s="150"/>
      <c r="DH55" s="150" t="str">
        <f>IFERROR(ROUND(IF(OR(D55="",DG55=""),"",TEMPLATE!$V$14),2),"")</f>
        <v/>
      </c>
      <c r="DI55" s="150"/>
      <c r="DJ55" s="150" t="str">
        <f>IFERROR(ROUND(IF(OR(D55="",DI55=""),"",TEMPLATE!$V$14),2),"")</f>
        <v/>
      </c>
      <c r="DK55" s="150"/>
      <c r="DL55" s="150" t="str">
        <f>IFERROR(ROUND(IF(OR(D55="",DK55=""),"",TEMPLATE!$V$14),2),"")</f>
        <v/>
      </c>
      <c r="DM55" s="150"/>
      <c r="DN55" s="150" t="str">
        <f>IFERROR(ROUND(IF(OR(D55="",DM55=""),"",TEMPLATE!$V$14),2),"")</f>
        <v/>
      </c>
      <c r="DO55" s="150"/>
      <c r="DP55" s="150" t="str">
        <f>IFERROR(ROUND(IF(OR(D55="",DO55=""),"",TEMPLATE!$V$14),2),"")</f>
        <v/>
      </c>
      <c r="DQ55" s="150"/>
      <c r="DR55" s="150" t="str">
        <f>IFERROR(ROUND(IF(OR(D55="",DQ55=""),"",TEMPLATE!$V$14),2),"")</f>
        <v/>
      </c>
      <c r="DS55" s="150"/>
      <c r="DT55" s="150" t="str">
        <f>IFERROR(ROUND(IF(OR(D55="",DS55=""),"",TEMPLATE!$V$14),2),"")</f>
        <v/>
      </c>
      <c r="DU55" s="150" t="str" cm="1">
        <f t="array" ref="DU55">IFERROR(ROUND(IF($D55="","",INDEX('M04-S06'!DD$18:DD$199,2*(ROWS(DU$48:DU55)-1)+1)),4),"")</f>
        <v/>
      </c>
      <c r="DV55" s="150" t="str" cm="1">
        <f t="array" ref="DV55">IFERROR(ROUND(IF($D55="","",INDEX('M04-S06'!DE$18:DE$199,2*(ROWS(DV$48:DV55)-1)+1)),4),"")</f>
        <v/>
      </c>
      <c r="DW55" s="150" t="str" cm="1">
        <f t="array" ref="DW55">IFERROR(ROUND(IF($D55="","",INDEX('M04-S06'!DF$18:DF$199,2*(ROWS(DW$48:DW55)-1)+1)),4),"")</f>
        <v/>
      </c>
      <c r="DX55" s="150" t="str" cm="1">
        <f t="array" ref="DX55">IFERROR(ROUND(IF($D55="","",INDEX('M04-S06'!DG$18:DG$199,2*(ROWS(DX$48:DX55)-1)+1)),4),"")</f>
        <v/>
      </c>
      <c r="DY55" s="150" t="str" cm="1">
        <f t="array" ref="DY55">IFERROR(ROUND(IF($D55="","",INDEX('M04-S06'!DH$18:DH$199,2*(ROWS(DY$48:DY55)-1)+1)),4),"")</f>
        <v/>
      </c>
      <c r="DZ55" s="150" t="str" cm="1">
        <f t="array" ref="DZ55">IFERROR(ROUND(IF($D55="","",INDEX('M04-S06'!DI$18:DI$199,2*(ROWS(DZ$48:DZ55)-1)+1)),4),"")</f>
        <v/>
      </c>
      <c r="EA55" s="150" t="str" cm="1">
        <f t="array" ref="EA55">IFERROR(ROUND(IF($D55="","",INDEX('M04-S06'!DJ$18:DJ$199,2*(ROWS(EA$48:EA55)-1)+1)),4),"")</f>
        <v/>
      </c>
      <c r="EB55" s="150" t="str" cm="1">
        <f t="array" ref="EB55">IFERROR(ROUND(IF($D55="","",INDEX('M04-S06'!DK$18:DK$199,2*(ROWS(EB$48:EB55)-1)+1)),6),"")</f>
        <v/>
      </c>
      <c r="EC55" s="150" t="str" cm="1">
        <f t="array" ref="EC55">IFERROR(ROUND(IF($D55="","",INDEX('M04-S06'!DL$18:DL$199,2*(ROWS(EC$48:EC55)-1)+1)),6),"")</f>
        <v/>
      </c>
      <c r="ED55" s="150" t="str" cm="1">
        <f t="array" ref="ED55">IFERROR(ROUND(IF($D55="","",INDEX('M04-S06'!DM$18:DM$199,2*(ROWS(ED$48:ED55)-1)+1)),6),"")</f>
        <v/>
      </c>
      <c r="EE55" s="150" t="str" cm="1">
        <f t="array" ref="EE55">IFERROR(ROUND(IF($D55="","",INDEX('M04-S06'!DN$18:DN$199,2*(ROWS(EE$48:EE55)-1)+1)),6),"")</f>
        <v/>
      </c>
      <c r="EF55" s="150" t="str" cm="1">
        <f t="array" ref="EF55">IFERROR(ROUND(IF($D55="","",INDEX('M04-S06'!DO$18:DO$199,2*(ROWS(EF$48:EF55)-1)+1)),6),"")</f>
        <v/>
      </c>
      <c r="EG55" s="150" t="str" cm="1">
        <f t="array" ref="EG55">IFERROR(ROUND(IF($D55="","",INDEX('M04-S06'!DP$18:DP$199,2*(ROWS(EG$48:EG55)-1)+1)),6),"")</f>
        <v/>
      </c>
      <c r="EH55" s="150" t="str" cm="1">
        <f t="array" ref="EH55">IFERROR(ROUND(IF($D55="","",INDEX('M04-S06'!DQ$18:DQ$199,2*(ROWS(EH$48:EH55)-1)+1)),6),"")</f>
        <v/>
      </c>
      <c r="EI55" s="150" t="str" cm="1">
        <f t="array" ref="EI55">IFERROR(ROUND(IF($D55="","",INDEX('M04-S06'!DR$18:DR$199,2*(ROWS(EI$48:EI55)-1)+1)),6),"")</f>
        <v/>
      </c>
      <c r="EJ55" s="150" t="str" cm="1">
        <f t="array" ref="EJ55">IFERROR(ROUND(IF($D55="","",INDEX('M04-S06'!DS$18:DS$199,2*(ROWS(EJ$48:EJ55)-1)+1)),6),"")</f>
        <v/>
      </c>
      <c r="EK55" s="150" t="str" cm="1">
        <f t="array" ref="EK55">IFERROR(ROUND(IF($D55="","",INDEX('M04-S06'!DT$18:DT$199,2*(ROWS(EK$48:EK55)-1)+1)),6),"")</f>
        <v/>
      </c>
      <c r="EL55" s="150" t="str" cm="1">
        <f t="array" ref="EL55">IFERROR(ROUND(IF($D55="","",INDEX('M04-S06'!DU$18:DU$199,2*(ROWS(EL$48:EL55)-1)+1)),6),"")</f>
        <v/>
      </c>
      <c r="EM55" s="150" t="str" cm="1">
        <f t="array" ref="EM55">IFERROR(ROUND(IF($D55="","",INDEX('M04-S06'!DV$18:DV$199,2*(ROWS(EM$48:EM55)-1)+1)),6),"")</f>
        <v/>
      </c>
      <c r="EN55" s="150" t="str" cm="1">
        <f t="array" ref="EN55">IFERROR(ROUND(IF($D55="","",INDEX('M04-S06'!DW$18:DW$199,2*(ROWS(EN$48:EN55)-1)+1)),6),"")</f>
        <v/>
      </c>
      <c r="EO55" s="150" t="str" cm="1">
        <f t="array" ref="EO55">IFERROR(ROUND(IF($D55="","",INDEX('M04-S06'!DX$18:DX$199,2*(ROWS(EO$48:EO55)-1)+1)),6),"")</f>
        <v/>
      </c>
      <c r="EP55" s="150" t="str" cm="1">
        <f t="array" ref="EP55">IFERROR(ROUND(IF($D55="","",INDEX('M04-S06'!DY$18:DY$199,2*(ROWS(EP$48:EP55)-1)+1)),6),"")</f>
        <v/>
      </c>
      <c r="EQ55" s="150" t="str" cm="1">
        <f t="array" ref="EQ55">IFERROR(ROUND(IF($D55="","",INDEX('M04-S06'!DZ$18:DZ$199,2*(ROWS(EQ$48:EQ55)-1)+1)),6),"")</f>
        <v/>
      </c>
      <c r="ER55" s="150" t="str">
        <f t="shared" si="21"/>
        <v/>
      </c>
      <c r="ES55" s="150" t="str">
        <f t="shared" si="37"/>
        <v/>
      </c>
      <c r="ET55" s="150" t="str">
        <f t="shared" si="38"/>
        <v/>
      </c>
      <c r="EU55" s="150" t="str">
        <f t="shared" si="39"/>
        <v/>
      </c>
      <c r="EV55" s="150" t="str">
        <f t="shared" si="40"/>
        <v/>
      </c>
      <c r="EW55" s="150" t="str">
        <f t="shared" si="41"/>
        <v/>
      </c>
      <c r="EX55" s="150" t="str">
        <f t="shared" si="42"/>
        <v/>
      </c>
      <c r="EY55" s="150" t="str">
        <f t="shared" si="22"/>
        <v/>
      </c>
      <c r="EZ55" s="150" t="str" cm="1">
        <f t="array" ref="EZ55">IFERROR(ROUND(IF($D55="","",INDEX('M04-S06'!EA$18:EA$199,2*(ROWS(EZ$48:EZ55)-1)+1)),6),"")</f>
        <v/>
      </c>
      <c r="FA55" s="150" t="str" cm="1">
        <f t="array" ref="FA55">IFERROR(ROUND(IF($D55="","",INDEX('M04-S06'!EB$18:EB$199,2*(ROWS(FA$48:FA55)-1)+1)),6),"")</f>
        <v/>
      </c>
      <c r="FB55" s="150" t="str" cm="1">
        <f t="array" ref="FB55">IFERROR(ROUND(IF($D55="","",INDEX('M04-S06'!EC$18:EC$199,2*(ROWS(FB$48:FB55)-1)+1)),6),"")</f>
        <v/>
      </c>
      <c r="FC55" s="150" t="str" cm="1">
        <f t="array" ref="FC55">IFERROR(ROUND(IF($D55="","",INDEX('M04-S06'!ED$18:ED$199,2*(ROWS(FC$48:FC55)-1)+1)),6),"")</f>
        <v/>
      </c>
      <c r="FD55" s="150" t="str" cm="1">
        <f t="array" ref="FD55">IFERROR(ROUND(IF($D55="","",INDEX('M04-S06'!EE$18:EE$199,2*(ROWS(FD$48:FD55)-1)+1)),6),"")</f>
        <v/>
      </c>
      <c r="FE55" s="150" t="str" cm="1">
        <f t="array" ref="FE55">IFERROR(ROUND(IF($D55="","",INDEX('M04-S06'!EF$18:EF$199,2*(ROWS(FE$48:FE55)-1)+1)),6),"")</f>
        <v/>
      </c>
      <c r="FF55" s="150" t="str" cm="1">
        <f t="array" ref="FF55">IFERROR(ROUND(IF($D55="","",INDEX('M04-S06'!EG$18:EG$199,2*(ROWS(FF$48:FF55)-1)+1)),6),"")</f>
        <v/>
      </c>
      <c r="FG55" s="150" t="str" cm="1">
        <f t="array" ref="FG55">IFERROR(ROUND(IF($D55="","",INDEX('M04-S06'!EH$18:EH$199,2*(ROWS(FG$48:FG55)-1)+1)),6),"")</f>
        <v/>
      </c>
      <c r="FH55" s="150" t="str" cm="1">
        <f t="array" ref="FH55">IFERROR(ROUND(IF($D55="","",INDEX('M04-S06'!EI$18:EI$199,2*(ROWS(FH$48:FH55)-1)+1)),6),"")</f>
        <v/>
      </c>
      <c r="FI55" s="150" t="str" cm="1">
        <f t="array" ref="FI55">IFERROR(ROUND(IF($D55="","",INDEX('M04-S06'!EJ$18:EJ$199,2*(ROWS(FI$48:FI55)-1)+1)),6),"")</f>
        <v/>
      </c>
      <c r="FJ55" s="150" t="str" cm="1">
        <f t="array" ref="FJ55">IFERROR(ROUND(IF($D55="","",INDEX('M04-S06'!EK$18:EK$199,2*(ROWS(FJ$48:FJ55)-1)+1)),6),"")</f>
        <v/>
      </c>
      <c r="FK55" s="150" t="str" cm="1">
        <f t="array" ref="FK55">IFERROR(ROUND(IF($D55="","",INDEX('M04-S06'!EL$18:EL$199,2*(ROWS(FK$48:FK55)-1)+1)),6),"")</f>
        <v/>
      </c>
      <c r="FL55" s="150" t="str" cm="1">
        <f t="array" ref="FL55">IFERROR(ROUND(IF($D55="","",INDEX('M04-S06'!EM$18:EM$199,2*(ROWS(FL$48:FL55)-1)+1)),6),"")</f>
        <v/>
      </c>
      <c r="FM55" s="150" t="str" cm="1">
        <f t="array" ref="FM55">IFERROR(ROUND(IF($D55="","",INDEX('M04-S06'!EN$18:EN$199,2*(ROWS(FM$48:FM55)-1)+1)),6),"")</f>
        <v/>
      </c>
    </row>
    <row r="56" spans="1:169">
      <c r="A56" t="str">
        <f t="shared" si="76"/>
        <v/>
      </c>
      <c r="B56" t="str">
        <f t="shared" si="77"/>
        <v/>
      </c>
      <c r="C56" t="str" cm="1">
        <f t="array" ref="C56">IFERROR(IF(D56="","",INDEX('M04-S06'!$B$18:$B$199,2*(ROWS(C$48:C56)-1)+1)),"")</f>
        <v/>
      </c>
      <c r="D56" t="str">
        <f t="shared" si="78"/>
        <v/>
      </c>
      <c r="E56" t="str" cm="1">
        <f t="array" ref="E56">IFERROR(IF(INDEX('M04-S06'!$CC$18:$CC$199,2*(ROWS(E$48:E56)-1)+1)="","",INDEX('M04-S06'!$CC$18:$CC$199,2*(ROWS(E$48:E56)-1)+1)),"")</f>
        <v/>
      </c>
      <c r="G56" t="str">
        <f t="shared" si="79"/>
        <v/>
      </c>
      <c r="H56" t="str">
        <f t="shared" si="80"/>
        <v/>
      </c>
      <c r="L56" t="str">
        <f t="shared" si="81"/>
        <v/>
      </c>
      <c r="O56" t="str">
        <f t="shared" si="82"/>
        <v/>
      </c>
      <c r="V56" t="str" cm="1">
        <f t="array" ref="V56">IFERROR(IF(D56="","",INDEX('M04-S06'!$AY$17:$AY$199,2*(ROWS(V$48:V56)-1)+1)),"")</f>
        <v/>
      </c>
      <c r="W56" t="str" cm="1">
        <f t="array" ref="W56">IFERROR(IF(D56="","",INDEX('M04-S06'!$AV$17:$AV$199,2*(ROWS(W$48:W56)-1)+1)),"")</f>
        <v/>
      </c>
      <c r="X56" t="str" cm="1">
        <f t="array" ref="X56">IFERROR(IF(D56="","",INDEX('M04-S06'!$AV$17:$AV$199,2*(ROWS(X$48:X56)-0)+0)),"")</f>
        <v/>
      </c>
      <c r="AG56" s="98" t="str" cm="1">
        <f t="array" ref="AG56">IFERROR(IF(D56="","",IF(INDEX('M04-S06'!$CB$18:$CB$199,2*(ROWS(AG$48:AG56)-1)+1)="","",INDEX('M04-S06'!$CB$18:$CB$199,2*(ROWS(AG$48:AG56)-1)+1))),"")</f>
        <v/>
      </c>
      <c r="AH56" s="98" t="str" cm="1">
        <f t="array" ref="AH56">IFERROR(IF(D56="","",IF(INDEX('M04-S06'!$CU$18:$CU$199,2*(ROWS(AH$48:AH56)-1)+1)="","",INDEX('M04-S06'!$CU$18:$CU$199,2*(ROWS(AH$48:AH56)-1)+1))),"")</f>
        <v/>
      </c>
      <c r="AI56" s="20" t="str" cm="1">
        <f t="array" ref="AI56">IFERROR(IF(D56="","",IF(INDEX('M04-S06'!$CM$18:$CM$199,2*(ROWS(AI$48:AI56)-1)+1)="",0,INDEX('M04-S06'!$CM$18:$CM$199,2*(ROWS(AI$48:AI56)-1)+1))),"")</f>
        <v/>
      </c>
      <c r="AJ56" s="20" t="str">
        <f t="shared" si="86"/>
        <v/>
      </c>
      <c r="AK56" s="487" t="str" cm="1">
        <f t="array" ref="AK56">IFERROR(IF(D56="","",IF(INDEX('M04-S06'!$CN$18:$CN$199,2*(ROWS(AK$48:AK56)-1)+1)="",0,INDEX('M04-S06'!$CN$18:$CN$199,2*(ROWS(AK$48:AK56)-1)+1))),"")</f>
        <v/>
      </c>
      <c r="AL56" s="20" t="str">
        <f t="shared" si="83"/>
        <v/>
      </c>
      <c r="AM56" s="20" t="str">
        <f t="shared" si="73"/>
        <v/>
      </c>
      <c r="AN56" s="20" t="str" cm="1">
        <f t="array" ref="AN56">IFERROR(IF(D56="","",IF(INDEX('M04-S06'!$CO$18:$CO$199,2*(ROWS(AN$48:AN56)-1)+1)="",0,INDEX('M04-S06'!$CO$18:$CO$199,2*(ROWS(AN$48:AN56)-1)+1))),"")</f>
        <v/>
      </c>
      <c r="AO56" s="20" t="str" cm="1">
        <f t="array" ref="AO56">IFERROR(IF(D56="","",INDEX('M04-S06'!$R$18:$R$199,2*(ROWS(AO$48:AO56)-1)+1)),"")</f>
        <v/>
      </c>
      <c r="AP56" s="20" t="str" cm="1">
        <f t="array" ref="AP56">IFERROR(IF(D56="","",INDEX('M04-S06'!$AJ$17:$AJ$199,2*(ROWS(AP$48:AP56)-1)+1)),"")</f>
        <v/>
      </c>
      <c r="AQ56" s="487" t="str" cm="1">
        <f t="array" ref="AQ56">IFERROR(IF(D56="","",INDEX('M04-S06'!$U$18:$U$199,2*(ROWS(AQ$48:AQ56)-1)+1)),"")</f>
        <v/>
      </c>
      <c r="AR56" s="487" t="str" cm="1">
        <f t="array" ref="AR56">IFERROR(IF(D56="","",INDEX('M04-S06'!$AM$17:$AM$199,2*(ROWS(AR$48:AR56)-1)+1)),"")</f>
        <v/>
      </c>
      <c r="AS56" s="20" t="str" cm="1">
        <f t="array" ref="AS56">IFERROR(IF(D56="","",INDEX('M04-S06'!$X$18:$X$199,2*(ROWS(AS$48:AS56)-1)+1)),"")</f>
        <v/>
      </c>
      <c r="AT56" s="20" t="str" cm="1">
        <f t="array" ref="AT56">IFERROR(IF(D56="","",INDEX('M04-S06'!$AP$17:$AP$199,2*(ROWS(AT$48:AT56)-1)+1)),"")</f>
        <v/>
      </c>
      <c r="BP56" t="str" cm="1">
        <f t="array" ref="BP56">IFERROR(IF(D56="","",INDEX('M04-S06'!$CS$18:$CS$199,2*(ROWS(BP$48:BP56)-1)+1)),"")</f>
        <v/>
      </c>
      <c r="BR56" t="str" cm="1">
        <f t="array" ref="BR56">IFERROR(IF(D56="","",LEFT(INDEX('M04-S06'!$C$18:$C$199,2*(ROWS(BR$48:BR56)-1)+1),150)),"")</f>
        <v/>
      </c>
      <c r="BS56" t="str" cm="1">
        <f t="array" ref="BS56">IFERROR(IF(D56="","",INDEX('M04-S06'!$CT$18:$CT$199,2*(ROWS(BS$48:BS56)-1)+1)),"")</f>
        <v/>
      </c>
      <c r="BT56" s="6" t="str" cm="1">
        <f t="array" ref="BT56">IFERROR(ROUND(IF(D56="","",INDEX('M04-S06'!$BB$17:$BB$199,2*(ROWS(BT$48:BT56)-1)+1)),2),"")</f>
        <v/>
      </c>
      <c r="BU56" s="6" t="str" cm="1">
        <f t="array" ref="BU56">IFERROR(IF(D56="","",INDEX('M04-S06'!$CX$18:$CX$199,2*(ROWS(BU$48:BU56)-1)+1)),"")</f>
        <v/>
      </c>
      <c r="BV56" s="6" t="str" cm="1">
        <f t="array" ref="BV56">IFERROR(IF(D56="","",INDEX('M04-S06'!$CY$18:$CY$199,2*(ROWS(BV$48:BV56)-1)+1)),"")</f>
        <v/>
      </c>
      <c r="BW56" t="str">
        <f t="shared" si="84"/>
        <v/>
      </c>
      <c r="BX56" t="str">
        <f t="shared" si="85"/>
        <v/>
      </c>
      <c r="BY56" s="6" t="str" cm="1">
        <f t="array" ref="BY56">IFERROR(IF(D56="","",INDEX('M04-S06'!$CI$18:$CI$199,2*(ROWS(BY$48:BY56)-1)+1)),"")</f>
        <v/>
      </c>
      <c r="BZ56" s="6" t="str">
        <f t="shared" si="17"/>
        <v/>
      </c>
      <c r="CA56" s="6" t="str">
        <f t="shared" si="18"/>
        <v/>
      </c>
      <c r="CB56" s="6" t="str">
        <f t="shared" si="87"/>
        <v/>
      </c>
      <c r="CC56" s="6" t="str">
        <f t="shared" si="74"/>
        <v/>
      </c>
      <c r="CD56" s="6" t="str">
        <f t="shared" si="75"/>
        <v/>
      </c>
      <c r="CS56" t="str" cm="1">
        <f t="array" ref="CS56">IFERROR(IF(D56="","",INDEX('M04-S06'!$F$18:$F$199,2*(ROWS(CS$48:CS56)-1)+1)),"")</f>
        <v/>
      </c>
      <c r="CT56" t="str" cm="1">
        <f t="array" ref="CT56">IFERROR(IF(D56="","",INDEX('M04-S06'!$L$18:$L$199,2*(ROWS(CT$48:CT56)-1)+1)),"")</f>
        <v/>
      </c>
      <c r="CU56" t="str" cm="1">
        <f t="array" ref="CU56">IFERROR(IF(D56="","",INDEX('M04-S06'!$AD$18:$AD$199,2*(ROWS(CU$48:CU56)-1)+1)),"")</f>
        <v/>
      </c>
      <c r="DE56" s="150"/>
      <c r="DF56" s="150" t="str">
        <f>IFERROR(ROUND(IF(OR(D56="",DE56=""),"",TEMPLATE!$V$14),2),"")</f>
        <v/>
      </c>
      <c r="DG56" s="150"/>
      <c r="DH56" s="150" t="str">
        <f>IFERROR(ROUND(IF(OR(D56="",DG56=""),"",TEMPLATE!$V$14),2),"")</f>
        <v/>
      </c>
      <c r="DI56" s="150"/>
      <c r="DJ56" s="150" t="str">
        <f>IFERROR(ROUND(IF(OR(D56="",DI56=""),"",TEMPLATE!$V$14),2),"")</f>
        <v/>
      </c>
      <c r="DK56" s="150"/>
      <c r="DL56" s="150" t="str">
        <f>IFERROR(ROUND(IF(OR(D56="",DK56=""),"",TEMPLATE!$V$14),2),"")</f>
        <v/>
      </c>
      <c r="DM56" s="150"/>
      <c r="DN56" s="150" t="str">
        <f>IFERROR(ROUND(IF(OR(D56="",DM56=""),"",TEMPLATE!$V$14),2),"")</f>
        <v/>
      </c>
      <c r="DO56" s="150"/>
      <c r="DP56" s="150" t="str">
        <f>IFERROR(ROUND(IF(OR(D56="",DO56=""),"",TEMPLATE!$V$14),2),"")</f>
        <v/>
      </c>
      <c r="DQ56" s="150"/>
      <c r="DR56" s="150" t="str">
        <f>IFERROR(ROUND(IF(OR(D56="",DQ56=""),"",TEMPLATE!$V$14),2),"")</f>
        <v/>
      </c>
      <c r="DS56" s="150"/>
      <c r="DT56" s="150" t="str">
        <f>IFERROR(ROUND(IF(OR(D56="",DS56=""),"",TEMPLATE!$V$14),2),"")</f>
        <v/>
      </c>
      <c r="DU56" s="150" t="str" cm="1">
        <f t="array" ref="DU56">IFERROR(ROUND(IF($D56="","",INDEX('M04-S06'!DD$18:DD$199,2*(ROWS(DU$48:DU56)-1)+1)),4),"")</f>
        <v/>
      </c>
      <c r="DV56" s="150" t="str" cm="1">
        <f t="array" ref="DV56">IFERROR(ROUND(IF($D56="","",INDEX('M04-S06'!DE$18:DE$199,2*(ROWS(DV$48:DV56)-1)+1)),4),"")</f>
        <v/>
      </c>
      <c r="DW56" s="150" t="str" cm="1">
        <f t="array" ref="DW56">IFERROR(ROUND(IF($D56="","",INDEX('M04-S06'!DF$18:DF$199,2*(ROWS(DW$48:DW56)-1)+1)),4),"")</f>
        <v/>
      </c>
      <c r="DX56" s="150" t="str" cm="1">
        <f t="array" ref="DX56">IFERROR(ROUND(IF($D56="","",INDEX('M04-S06'!DG$18:DG$199,2*(ROWS(DX$48:DX56)-1)+1)),4),"")</f>
        <v/>
      </c>
      <c r="DY56" s="150" t="str" cm="1">
        <f t="array" ref="DY56">IFERROR(ROUND(IF($D56="","",INDEX('M04-S06'!DH$18:DH$199,2*(ROWS(DY$48:DY56)-1)+1)),4),"")</f>
        <v/>
      </c>
      <c r="DZ56" s="150" t="str" cm="1">
        <f t="array" ref="DZ56">IFERROR(ROUND(IF($D56="","",INDEX('M04-S06'!DI$18:DI$199,2*(ROWS(DZ$48:DZ56)-1)+1)),4),"")</f>
        <v/>
      </c>
      <c r="EA56" s="150" t="str" cm="1">
        <f t="array" ref="EA56">IFERROR(ROUND(IF($D56="","",INDEX('M04-S06'!DJ$18:DJ$199,2*(ROWS(EA$48:EA56)-1)+1)),4),"")</f>
        <v/>
      </c>
      <c r="EB56" s="150" t="str" cm="1">
        <f t="array" ref="EB56">IFERROR(ROUND(IF($D56="","",INDEX('M04-S06'!DK$18:DK$199,2*(ROWS(EB$48:EB56)-1)+1)),6),"")</f>
        <v/>
      </c>
      <c r="EC56" s="150" t="str" cm="1">
        <f t="array" ref="EC56">IFERROR(ROUND(IF($D56="","",INDEX('M04-S06'!DL$18:DL$199,2*(ROWS(EC$48:EC56)-1)+1)),6),"")</f>
        <v/>
      </c>
      <c r="ED56" s="150" t="str" cm="1">
        <f t="array" ref="ED56">IFERROR(ROUND(IF($D56="","",INDEX('M04-S06'!DM$18:DM$199,2*(ROWS(ED$48:ED56)-1)+1)),6),"")</f>
        <v/>
      </c>
      <c r="EE56" s="150" t="str" cm="1">
        <f t="array" ref="EE56">IFERROR(ROUND(IF($D56="","",INDEX('M04-S06'!DN$18:DN$199,2*(ROWS(EE$48:EE56)-1)+1)),6),"")</f>
        <v/>
      </c>
      <c r="EF56" s="150" t="str" cm="1">
        <f t="array" ref="EF56">IFERROR(ROUND(IF($D56="","",INDEX('M04-S06'!DO$18:DO$199,2*(ROWS(EF$48:EF56)-1)+1)),6),"")</f>
        <v/>
      </c>
      <c r="EG56" s="150" t="str" cm="1">
        <f t="array" ref="EG56">IFERROR(ROUND(IF($D56="","",INDEX('M04-S06'!DP$18:DP$199,2*(ROWS(EG$48:EG56)-1)+1)),6),"")</f>
        <v/>
      </c>
      <c r="EH56" s="150" t="str" cm="1">
        <f t="array" ref="EH56">IFERROR(ROUND(IF($D56="","",INDEX('M04-S06'!DQ$18:DQ$199,2*(ROWS(EH$48:EH56)-1)+1)),6),"")</f>
        <v/>
      </c>
      <c r="EI56" s="150" t="str" cm="1">
        <f t="array" ref="EI56">IFERROR(ROUND(IF($D56="","",INDEX('M04-S06'!DR$18:DR$199,2*(ROWS(EI$48:EI56)-1)+1)),6),"")</f>
        <v/>
      </c>
      <c r="EJ56" s="150" t="str" cm="1">
        <f t="array" ref="EJ56">IFERROR(ROUND(IF($D56="","",INDEX('M04-S06'!DS$18:DS$199,2*(ROWS(EJ$48:EJ56)-1)+1)),6),"")</f>
        <v/>
      </c>
      <c r="EK56" s="150" t="str" cm="1">
        <f t="array" ref="EK56">IFERROR(ROUND(IF($D56="","",INDEX('M04-S06'!DT$18:DT$199,2*(ROWS(EK$48:EK56)-1)+1)),6),"")</f>
        <v/>
      </c>
      <c r="EL56" s="150" t="str" cm="1">
        <f t="array" ref="EL56">IFERROR(ROUND(IF($D56="","",INDEX('M04-S06'!DU$18:DU$199,2*(ROWS(EL$48:EL56)-1)+1)),6),"")</f>
        <v/>
      </c>
      <c r="EM56" s="150" t="str" cm="1">
        <f t="array" ref="EM56">IFERROR(ROUND(IF($D56="","",INDEX('M04-S06'!DV$18:DV$199,2*(ROWS(EM$48:EM56)-1)+1)),6),"")</f>
        <v/>
      </c>
      <c r="EN56" s="150" t="str" cm="1">
        <f t="array" ref="EN56">IFERROR(ROUND(IF($D56="","",INDEX('M04-S06'!DW$18:DW$199,2*(ROWS(EN$48:EN56)-1)+1)),6),"")</f>
        <v/>
      </c>
      <c r="EO56" s="150" t="str" cm="1">
        <f t="array" ref="EO56">IFERROR(ROUND(IF($D56="","",INDEX('M04-S06'!DX$18:DX$199,2*(ROWS(EO$48:EO56)-1)+1)),6),"")</f>
        <v/>
      </c>
      <c r="EP56" s="150" t="str" cm="1">
        <f t="array" ref="EP56">IFERROR(ROUND(IF($D56="","",INDEX('M04-S06'!DY$18:DY$199,2*(ROWS(EP$48:EP56)-1)+1)),6),"")</f>
        <v/>
      </c>
      <c r="EQ56" s="150" t="str" cm="1">
        <f t="array" ref="EQ56">IFERROR(ROUND(IF($D56="","",INDEX('M04-S06'!DZ$18:DZ$199,2*(ROWS(EQ$48:EQ56)-1)+1)),6),"")</f>
        <v/>
      </c>
      <c r="ER56" s="150" t="str">
        <f t="shared" si="21"/>
        <v/>
      </c>
      <c r="ES56" s="150" t="str">
        <f t="shared" si="37"/>
        <v/>
      </c>
      <c r="ET56" s="150" t="str">
        <f t="shared" si="38"/>
        <v/>
      </c>
      <c r="EU56" s="150" t="str">
        <f t="shared" si="39"/>
        <v/>
      </c>
      <c r="EV56" s="150" t="str">
        <f t="shared" si="40"/>
        <v/>
      </c>
      <c r="EW56" s="150" t="str">
        <f t="shared" si="41"/>
        <v/>
      </c>
      <c r="EX56" s="150" t="str">
        <f t="shared" si="42"/>
        <v/>
      </c>
      <c r="EY56" s="150" t="str">
        <f t="shared" si="22"/>
        <v/>
      </c>
      <c r="EZ56" s="150" t="str" cm="1">
        <f t="array" ref="EZ56">IFERROR(ROUND(IF($D56="","",INDEX('M04-S06'!EA$18:EA$199,2*(ROWS(EZ$48:EZ56)-1)+1)),6),"")</f>
        <v/>
      </c>
      <c r="FA56" s="150" t="str" cm="1">
        <f t="array" ref="FA56">IFERROR(ROUND(IF($D56="","",INDEX('M04-S06'!EB$18:EB$199,2*(ROWS(FA$48:FA56)-1)+1)),6),"")</f>
        <v/>
      </c>
      <c r="FB56" s="150" t="str" cm="1">
        <f t="array" ref="FB56">IFERROR(ROUND(IF($D56="","",INDEX('M04-S06'!EC$18:EC$199,2*(ROWS(FB$48:FB56)-1)+1)),6),"")</f>
        <v/>
      </c>
      <c r="FC56" s="150" t="str" cm="1">
        <f t="array" ref="FC56">IFERROR(ROUND(IF($D56="","",INDEX('M04-S06'!ED$18:ED$199,2*(ROWS(FC$48:FC56)-1)+1)),6),"")</f>
        <v/>
      </c>
      <c r="FD56" s="150" t="str" cm="1">
        <f t="array" ref="FD56">IFERROR(ROUND(IF($D56="","",INDEX('M04-S06'!EE$18:EE$199,2*(ROWS(FD$48:FD56)-1)+1)),6),"")</f>
        <v/>
      </c>
      <c r="FE56" s="150" t="str" cm="1">
        <f t="array" ref="FE56">IFERROR(ROUND(IF($D56="","",INDEX('M04-S06'!EF$18:EF$199,2*(ROWS(FE$48:FE56)-1)+1)),6),"")</f>
        <v/>
      </c>
      <c r="FF56" s="150" t="str" cm="1">
        <f t="array" ref="FF56">IFERROR(ROUND(IF($D56="","",INDEX('M04-S06'!EG$18:EG$199,2*(ROWS(FF$48:FF56)-1)+1)),6),"")</f>
        <v/>
      </c>
      <c r="FG56" s="150" t="str" cm="1">
        <f t="array" ref="FG56">IFERROR(ROUND(IF($D56="","",INDEX('M04-S06'!EH$18:EH$199,2*(ROWS(FG$48:FG56)-1)+1)),6),"")</f>
        <v/>
      </c>
      <c r="FH56" s="150" t="str" cm="1">
        <f t="array" ref="FH56">IFERROR(ROUND(IF($D56="","",INDEX('M04-S06'!EI$18:EI$199,2*(ROWS(FH$48:FH56)-1)+1)),6),"")</f>
        <v/>
      </c>
      <c r="FI56" s="150" t="str" cm="1">
        <f t="array" ref="FI56">IFERROR(ROUND(IF($D56="","",INDEX('M04-S06'!EJ$18:EJ$199,2*(ROWS(FI$48:FI56)-1)+1)),6),"")</f>
        <v/>
      </c>
      <c r="FJ56" s="150" t="str" cm="1">
        <f t="array" ref="FJ56">IFERROR(ROUND(IF($D56="","",INDEX('M04-S06'!EK$18:EK$199,2*(ROWS(FJ$48:FJ56)-1)+1)),6),"")</f>
        <v/>
      </c>
      <c r="FK56" s="150" t="str" cm="1">
        <f t="array" ref="FK56">IFERROR(ROUND(IF($D56="","",INDEX('M04-S06'!EL$18:EL$199,2*(ROWS(FK$48:FK56)-1)+1)),6),"")</f>
        <v/>
      </c>
      <c r="FL56" s="150" t="str" cm="1">
        <f t="array" ref="FL56">IFERROR(ROUND(IF($D56="","",INDEX('M04-S06'!EM$18:EM$199,2*(ROWS(FL$48:FL56)-1)+1)),6),"")</f>
        <v/>
      </c>
      <c r="FM56" s="150" t="str" cm="1">
        <f t="array" ref="FM56">IFERROR(ROUND(IF($D56="","",INDEX('M04-S06'!EN$18:EN$199,2*(ROWS(FM$48:FM56)-1)+1)),6),"")</f>
        <v/>
      </c>
    </row>
    <row r="57" spans="1:169">
      <c r="A57" t="str">
        <f t="shared" si="76"/>
        <v/>
      </c>
      <c r="B57" t="str">
        <f t="shared" si="77"/>
        <v/>
      </c>
      <c r="C57" t="str" cm="1">
        <f t="array" ref="C57">IFERROR(IF(D57="","",INDEX('M04-S06'!$B$18:$B$199,2*(ROWS(C$48:C57)-1)+1)),"")</f>
        <v/>
      </c>
      <c r="D57" t="str">
        <f t="shared" si="78"/>
        <v/>
      </c>
      <c r="E57" t="str" cm="1">
        <f t="array" ref="E57">IFERROR(IF(INDEX('M04-S06'!$CC$18:$CC$199,2*(ROWS(E$48:E57)-1)+1)="","",INDEX('M04-S06'!$CC$18:$CC$199,2*(ROWS(E$48:E57)-1)+1)),"")</f>
        <v/>
      </c>
      <c r="G57" t="str">
        <f t="shared" si="79"/>
        <v/>
      </c>
      <c r="H57" t="str">
        <f t="shared" si="80"/>
        <v/>
      </c>
      <c r="L57" t="str">
        <f t="shared" si="81"/>
        <v/>
      </c>
      <c r="O57" t="str">
        <f t="shared" si="82"/>
        <v/>
      </c>
      <c r="V57" t="str" cm="1">
        <f t="array" ref="V57">IFERROR(IF(D57="","",INDEX('M04-S06'!$AY$17:$AY$199,2*(ROWS(V$48:V57)-1)+1)),"")</f>
        <v/>
      </c>
      <c r="W57" t="str" cm="1">
        <f t="array" ref="W57">IFERROR(IF(D57="","",INDEX('M04-S06'!$AV$17:$AV$199,2*(ROWS(W$48:W57)-1)+1)),"")</f>
        <v/>
      </c>
      <c r="X57" t="str" cm="1">
        <f t="array" ref="X57">IFERROR(IF(D57="","",INDEX('M04-S06'!$AV$17:$AV$199,2*(ROWS(X$48:X57)-0)+0)),"")</f>
        <v/>
      </c>
      <c r="AG57" s="98" t="str" cm="1">
        <f t="array" ref="AG57">IFERROR(IF(D57="","",IF(INDEX('M04-S06'!$CB$18:$CB$199,2*(ROWS(AG$48:AG57)-1)+1)="","",INDEX('M04-S06'!$CB$18:$CB$199,2*(ROWS(AG$48:AG57)-1)+1))),"")</f>
        <v/>
      </c>
      <c r="AH57" s="98" t="str" cm="1">
        <f t="array" ref="AH57">IFERROR(IF(D57="","",IF(INDEX('M04-S06'!$CU$18:$CU$199,2*(ROWS(AH$48:AH57)-1)+1)="","",INDEX('M04-S06'!$CU$18:$CU$199,2*(ROWS(AH$48:AH57)-1)+1))),"")</f>
        <v/>
      </c>
      <c r="AI57" s="20" t="str" cm="1">
        <f t="array" ref="AI57">IFERROR(IF(D57="","",IF(INDEX('M04-S06'!$CM$18:$CM$199,2*(ROWS(AI$48:AI57)-1)+1)="",0,INDEX('M04-S06'!$CM$18:$CM$199,2*(ROWS(AI$48:AI57)-1)+1))),"")</f>
        <v/>
      </c>
      <c r="AJ57" s="20" t="str">
        <f t="shared" si="86"/>
        <v/>
      </c>
      <c r="AK57" s="487" t="str" cm="1">
        <f t="array" ref="AK57">IFERROR(IF(D57="","",IF(INDEX('M04-S06'!$CN$18:$CN$199,2*(ROWS(AK$48:AK57)-1)+1)="",0,INDEX('M04-S06'!$CN$18:$CN$199,2*(ROWS(AK$48:AK57)-1)+1))),"")</f>
        <v/>
      </c>
      <c r="AL57" s="20" t="str">
        <f t="shared" si="83"/>
        <v/>
      </c>
      <c r="AM57" s="20" t="str">
        <f t="shared" si="73"/>
        <v/>
      </c>
      <c r="AN57" s="20" t="str" cm="1">
        <f t="array" ref="AN57">IFERROR(IF(D57="","",IF(INDEX('M04-S06'!$CO$18:$CO$199,2*(ROWS(AN$48:AN57)-1)+1)="",0,INDEX('M04-S06'!$CO$18:$CO$199,2*(ROWS(AN$48:AN57)-1)+1))),"")</f>
        <v/>
      </c>
      <c r="AO57" s="20" t="str" cm="1">
        <f t="array" ref="AO57">IFERROR(IF(D57="","",INDEX('M04-S06'!$R$18:$R$199,2*(ROWS(AO$48:AO57)-1)+1)),"")</f>
        <v/>
      </c>
      <c r="AP57" s="20" t="str" cm="1">
        <f t="array" ref="AP57">IFERROR(IF(D57="","",INDEX('M04-S06'!$AJ$17:$AJ$199,2*(ROWS(AP$48:AP57)-1)+1)),"")</f>
        <v/>
      </c>
      <c r="AQ57" s="487" t="str" cm="1">
        <f t="array" ref="AQ57">IFERROR(IF(D57="","",INDEX('M04-S06'!$U$18:$U$199,2*(ROWS(AQ$48:AQ57)-1)+1)),"")</f>
        <v/>
      </c>
      <c r="AR57" s="487" t="str" cm="1">
        <f t="array" ref="AR57">IFERROR(IF(D57="","",INDEX('M04-S06'!$AM$17:$AM$199,2*(ROWS(AR$48:AR57)-1)+1)),"")</f>
        <v/>
      </c>
      <c r="AS57" s="20" t="str" cm="1">
        <f t="array" ref="AS57">IFERROR(IF(D57="","",INDEX('M04-S06'!$X$18:$X$199,2*(ROWS(AS$48:AS57)-1)+1)),"")</f>
        <v/>
      </c>
      <c r="AT57" s="20" t="str" cm="1">
        <f t="array" ref="AT57">IFERROR(IF(D57="","",INDEX('M04-S06'!$AP$17:$AP$199,2*(ROWS(AT$48:AT57)-1)+1)),"")</f>
        <v/>
      </c>
      <c r="BP57" t="str" cm="1">
        <f t="array" ref="BP57">IFERROR(IF(D57="","",INDEX('M04-S06'!$CS$18:$CS$199,2*(ROWS(BP$48:BP57)-1)+1)),"")</f>
        <v/>
      </c>
      <c r="BR57" t="str" cm="1">
        <f t="array" ref="BR57">IFERROR(IF(D57="","",LEFT(INDEX('M04-S06'!$C$18:$C$199,2*(ROWS(BR$48:BR57)-1)+1),150)),"")</f>
        <v/>
      </c>
      <c r="BS57" t="str" cm="1">
        <f t="array" ref="BS57">IFERROR(IF(D57="","",INDEX('M04-S06'!$CT$18:$CT$199,2*(ROWS(BS$48:BS57)-1)+1)),"")</f>
        <v/>
      </c>
      <c r="BT57" s="6" t="str" cm="1">
        <f t="array" ref="BT57">IFERROR(ROUND(IF(D57="","",INDEX('M04-S06'!$BB$17:$BB$199,2*(ROWS(BT$48:BT57)-1)+1)),2),"")</f>
        <v/>
      </c>
      <c r="BU57" s="6" t="str" cm="1">
        <f t="array" ref="BU57">IFERROR(IF(D57="","",INDEX('M04-S06'!$CX$18:$CX$199,2*(ROWS(BU$48:BU57)-1)+1)),"")</f>
        <v/>
      </c>
      <c r="BV57" s="6" t="str" cm="1">
        <f t="array" ref="BV57">IFERROR(IF(D57="","",INDEX('M04-S06'!$CY$18:$CY$199,2*(ROWS(BV$48:BV57)-1)+1)),"")</f>
        <v/>
      </c>
      <c r="BW57" t="str">
        <f t="shared" si="84"/>
        <v/>
      </c>
      <c r="BX57" t="str">
        <f t="shared" si="85"/>
        <v/>
      </c>
      <c r="BY57" s="6" t="str" cm="1">
        <f t="array" ref="BY57">IFERROR(IF(D57="","",INDEX('M04-S06'!$CI$18:$CI$199,2*(ROWS(BY$48:BY57)-1)+1)),"")</f>
        <v/>
      </c>
      <c r="BZ57" s="6" t="str">
        <f t="shared" si="17"/>
        <v/>
      </c>
      <c r="CA57" s="6" t="str">
        <f t="shared" si="18"/>
        <v/>
      </c>
      <c r="CB57" s="6" t="str">
        <f t="shared" si="87"/>
        <v/>
      </c>
      <c r="CC57" s="6" t="str">
        <f t="shared" si="74"/>
        <v/>
      </c>
      <c r="CD57" s="6" t="str">
        <f t="shared" si="75"/>
        <v/>
      </c>
      <c r="CS57" t="str" cm="1">
        <f t="array" ref="CS57">IFERROR(IF(D57="","",INDEX('M04-S06'!$F$18:$F$199,2*(ROWS(CS$48:CS57)-1)+1)),"")</f>
        <v/>
      </c>
      <c r="CT57" t="str" cm="1">
        <f t="array" ref="CT57">IFERROR(IF(D57="","",INDEX('M04-S06'!$L$18:$L$199,2*(ROWS(CT$48:CT57)-1)+1)),"")</f>
        <v/>
      </c>
      <c r="CU57" t="str" cm="1">
        <f t="array" ref="CU57">IFERROR(IF(D57="","",INDEX('M04-S06'!$AD$18:$AD$199,2*(ROWS(CU$48:CU57)-1)+1)),"")</f>
        <v/>
      </c>
      <c r="DE57" s="150"/>
      <c r="DF57" s="150" t="str">
        <f>IFERROR(ROUND(IF(OR(D57="",DE57=""),"",TEMPLATE!$V$14),2),"")</f>
        <v/>
      </c>
      <c r="DG57" s="150"/>
      <c r="DH57" s="150" t="str">
        <f>IFERROR(ROUND(IF(OR(D57="",DG57=""),"",TEMPLATE!$V$14),2),"")</f>
        <v/>
      </c>
      <c r="DI57" s="150"/>
      <c r="DJ57" s="150" t="str">
        <f>IFERROR(ROUND(IF(OR(D57="",DI57=""),"",TEMPLATE!$V$14),2),"")</f>
        <v/>
      </c>
      <c r="DK57" s="150"/>
      <c r="DL57" s="150" t="str">
        <f>IFERROR(ROUND(IF(OR(D57="",DK57=""),"",TEMPLATE!$V$14),2),"")</f>
        <v/>
      </c>
      <c r="DM57" s="150"/>
      <c r="DN57" s="150" t="str">
        <f>IFERROR(ROUND(IF(OR(D57="",DM57=""),"",TEMPLATE!$V$14),2),"")</f>
        <v/>
      </c>
      <c r="DO57" s="150"/>
      <c r="DP57" s="150" t="str">
        <f>IFERROR(ROUND(IF(OR(D57="",DO57=""),"",TEMPLATE!$V$14),2),"")</f>
        <v/>
      </c>
      <c r="DQ57" s="150"/>
      <c r="DR57" s="150" t="str">
        <f>IFERROR(ROUND(IF(OR(D57="",DQ57=""),"",TEMPLATE!$V$14),2),"")</f>
        <v/>
      </c>
      <c r="DS57" s="150"/>
      <c r="DT57" s="150" t="str">
        <f>IFERROR(ROUND(IF(OR(D57="",DS57=""),"",TEMPLATE!$V$14),2),"")</f>
        <v/>
      </c>
      <c r="DU57" s="150" t="str" cm="1">
        <f t="array" ref="DU57">IFERROR(ROUND(IF($D57="","",INDEX('M04-S06'!DD$18:DD$199,2*(ROWS(DU$48:DU57)-1)+1)),4),"")</f>
        <v/>
      </c>
      <c r="DV57" s="150" t="str" cm="1">
        <f t="array" ref="DV57">IFERROR(ROUND(IF($D57="","",INDEX('M04-S06'!DE$18:DE$199,2*(ROWS(DV$48:DV57)-1)+1)),4),"")</f>
        <v/>
      </c>
      <c r="DW57" s="150" t="str" cm="1">
        <f t="array" ref="DW57">IFERROR(ROUND(IF($D57="","",INDEX('M04-S06'!DF$18:DF$199,2*(ROWS(DW$48:DW57)-1)+1)),4),"")</f>
        <v/>
      </c>
      <c r="DX57" s="150" t="str" cm="1">
        <f t="array" ref="DX57">IFERROR(ROUND(IF($D57="","",INDEX('M04-S06'!DG$18:DG$199,2*(ROWS(DX$48:DX57)-1)+1)),4),"")</f>
        <v/>
      </c>
      <c r="DY57" s="150" t="str" cm="1">
        <f t="array" ref="DY57">IFERROR(ROUND(IF($D57="","",INDEX('M04-S06'!DH$18:DH$199,2*(ROWS(DY$48:DY57)-1)+1)),4),"")</f>
        <v/>
      </c>
      <c r="DZ57" s="150" t="str" cm="1">
        <f t="array" ref="DZ57">IFERROR(ROUND(IF($D57="","",INDEX('M04-S06'!DI$18:DI$199,2*(ROWS(DZ$48:DZ57)-1)+1)),4),"")</f>
        <v/>
      </c>
      <c r="EA57" s="150" t="str" cm="1">
        <f t="array" ref="EA57">IFERROR(ROUND(IF($D57="","",INDEX('M04-S06'!DJ$18:DJ$199,2*(ROWS(EA$48:EA57)-1)+1)),4),"")</f>
        <v/>
      </c>
      <c r="EB57" s="150" t="str" cm="1">
        <f t="array" ref="EB57">IFERROR(ROUND(IF($D57="","",INDEX('M04-S06'!DK$18:DK$199,2*(ROWS(EB$48:EB57)-1)+1)),6),"")</f>
        <v/>
      </c>
      <c r="EC57" s="150" t="str" cm="1">
        <f t="array" ref="EC57">IFERROR(ROUND(IF($D57="","",INDEX('M04-S06'!DL$18:DL$199,2*(ROWS(EC$48:EC57)-1)+1)),6),"")</f>
        <v/>
      </c>
      <c r="ED57" s="150" t="str" cm="1">
        <f t="array" ref="ED57">IFERROR(ROUND(IF($D57="","",INDEX('M04-S06'!DM$18:DM$199,2*(ROWS(ED$48:ED57)-1)+1)),6),"")</f>
        <v/>
      </c>
      <c r="EE57" s="150" t="str" cm="1">
        <f t="array" ref="EE57">IFERROR(ROUND(IF($D57="","",INDEX('M04-S06'!DN$18:DN$199,2*(ROWS(EE$48:EE57)-1)+1)),6),"")</f>
        <v/>
      </c>
      <c r="EF57" s="150" t="str" cm="1">
        <f t="array" ref="EF57">IFERROR(ROUND(IF($D57="","",INDEX('M04-S06'!DO$18:DO$199,2*(ROWS(EF$48:EF57)-1)+1)),6),"")</f>
        <v/>
      </c>
      <c r="EG57" s="150" t="str" cm="1">
        <f t="array" ref="EG57">IFERROR(ROUND(IF($D57="","",INDEX('M04-S06'!DP$18:DP$199,2*(ROWS(EG$48:EG57)-1)+1)),6),"")</f>
        <v/>
      </c>
      <c r="EH57" s="150" t="str" cm="1">
        <f t="array" ref="EH57">IFERROR(ROUND(IF($D57="","",INDEX('M04-S06'!DQ$18:DQ$199,2*(ROWS(EH$48:EH57)-1)+1)),6),"")</f>
        <v/>
      </c>
      <c r="EI57" s="150" t="str" cm="1">
        <f t="array" ref="EI57">IFERROR(ROUND(IF($D57="","",INDEX('M04-S06'!DR$18:DR$199,2*(ROWS(EI$48:EI57)-1)+1)),6),"")</f>
        <v/>
      </c>
      <c r="EJ57" s="150" t="str" cm="1">
        <f t="array" ref="EJ57">IFERROR(ROUND(IF($D57="","",INDEX('M04-S06'!DS$18:DS$199,2*(ROWS(EJ$48:EJ57)-1)+1)),6),"")</f>
        <v/>
      </c>
      <c r="EK57" s="150" t="str" cm="1">
        <f t="array" ref="EK57">IFERROR(ROUND(IF($D57="","",INDEX('M04-S06'!DT$18:DT$199,2*(ROWS(EK$48:EK57)-1)+1)),6),"")</f>
        <v/>
      </c>
      <c r="EL57" s="150" t="str" cm="1">
        <f t="array" ref="EL57">IFERROR(ROUND(IF($D57="","",INDEX('M04-S06'!DU$18:DU$199,2*(ROWS(EL$48:EL57)-1)+1)),6),"")</f>
        <v/>
      </c>
      <c r="EM57" s="150" t="str" cm="1">
        <f t="array" ref="EM57">IFERROR(ROUND(IF($D57="","",INDEX('M04-S06'!DV$18:DV$199,2*(ROWS(EM$48:EM57)-1)+1)),6),"")</f>
        <v/>
      </c>
      <c r="EN57" s="150" t="str" cm="1">
        <f t="array" ref="EN57">IFERROR(ROUND(IF($D57="","",INDEX('M04-S06'!DW$18:DW$199,2*(ROWS(EN$48:EN57)-1)+1)),6),"")</f>
        <v/>
      </c>
      <c r="EO57" s="150" t="str" cm="1">
        <f t="array" ref="EO57">IFERROR(ROUND(IF($D57="","",INDEX('M04-S06'!DX$18:DX$199,2*(ROWS(EO$48:EO57)-1)+1)),6),"")</f>
        <v/>
      </c>
      <c r="EP57" s="150" t="str" cm="1">
        <f t="array" ref="EP57">IFERROR(ROUND(IF($D57="","",INDEX('M04-S06'!DY$18:DY$199,2*(ROWS(EP$48:EP57)-1)+1)),6),"")</f>
        <v/>
      </c>
      <c r="EQ57" s="150" t="str" cm="1">
        <f t="array" ref="EQ57">IFERROR(ROUND(IF($D57="","",INDEX('M04-S06'!DZ$18:DZ$199,2*(ROWS(EQ$48:EQ57)-1)+1)),6),"")</f>
        <v/>
      </c>
      <c r="ER57" s="150" t="str">
        <f t="shared" si="21"/>
        <v/>
      </c>
      <c r="ES57" s="150" t="str">
        <f t="shared" si="37"/>
        <v/>
      </c>
      <c r="ET57" s="150" t="str">
        <f t="shared" si="38"/>
        <v/>
      </c>
      <c r="EU57" s="150" t="str">
        <f t="shared" si="39"/>
        <v/>
      </c>
      <c r="EV57" s="150" t="str">
        <f t="shared" si="40"/>
        <v/>
      </c>
      <c r="EW57" s="150" t="str">
        <f t="shared" si="41"/>
        <v/>
      </c>
      <c r="EX57" s="150" t="str">
        <f t="shared" si="42"/>
        <v/>
      </c>
      <c r="EY57" s="150" t="str">
        <f t="shared" si="22"/>
        <v/>
      </c>
      <c r="EZ57" s="150" t="str" cm="1">
        <f t="array" ref="EZ57">IFERROR(ROUND(IF($D57="","",INDEX('M04-S06'!EA$18:EA$199,2*(ROWS(EZ$48:EZ57)-1)+1)),6),"")</f>
        <v/>
      </c>
      <c r="FA57" s="150" t="str" cm="1">
        <f t="array" ref="FA57">IFERROR(ROUND(IF($D57="","",INDEX('M04-S06'!EB$18:EB$199,2*(ROWS(FA$48:FA57)-1)+1)),6),"")</f>
        <v/>
      </c>
      <c r="FB57" s="150" t="str" cm="1">
        <f t="array" ref="FB57">IFERROR(ROUND(IF($D57="","",INDEX('M04-S06'!EC$18:EC$199,2*(ROWS(FB$48:FB57)-1)+1)),6),"")</f>
        <v/>
      </c>
      <c r="FC57" s="150" t="str" cm="1">
        <f t="array" ref="FC57">IFERROR(ROUND(IF($D57="","",INDEX('M04-S06'!ED$18:ED$199,2*(ROWS(FC$48:FC57)-1)+1)),6),"")</f>
        <v/>
      </c>
      <c r="FD57" s="150" t="str" cm="1">
        <f t="array" ref="FD57">IFERROR(ROUND(IF($D57="","",INDEX('M04-S06'!EE$18:EE$199,2*(ROWS(FD$48:FD57)-1)+1)),6),"")</f>
        <v/>
      </c>
      <c r="FE57" s="150" t="str" cm="1">
        <f t="array" ref="FE57">IFERROR(ROUND(IF($D57="","",INDEX('M04-S06'!EF$18:EF$199,2*(ROWS(FE$48:FE57)-1)+1)),6),"")</f>
        <v/>
      </c>
      <c r="FF57" s="150" t="str" cm="1">
        <f t="array" ref="FF57">IFERROR(ROUND(IF($D57="","",INDEX('M04-S06'!EG$18:EG$199,2*(ROWS(FF$48:FF57)-1)+1)),6),"")</f>
        <v/>
      </c>
      <c r="FG57" s="150" t="str" cm="1">
        <f t="array" ref="FG57">IFERROR(ROUND(IF($D57="","",INDEX('M04-S06'!EH$18:EH$199,2*(ROWS(FG$48:FG57)-1)+1)),6),"")</f>
        <v/>
      </c>
      <c r="FH57" s="150" t="str" cm="1">
        <f t="array" ref="FH57">IFERROR(ROUND(IF($D57="","",INDEX('M04-S06'!EI$18:EI$199,2*(ROWS(FH$48:FH57)-1)+1)),6),"")</f>
        <v/>
      </c>
      <c r="FI57" s="150" t="str" cm="1">
        <f t="array" ref="FI57">IFERROR(ROUND(IF($D57="","",INDEX('M04-S06'!EJ$18:EJ$199,2*(ROWS(FI$48:FI57)-1)+1)),6),"")</f>
        <v/>
      </c>
      <c r="FJ57" s="150" t="str" cm="1">
        <f t="array" ref="FJ57">IFERROR(ROUND(IF($D57="","",INDEX('M04-S06'!EK$18:EK$199,2*(ROWS(FJ$48:FJ57)-1)+1)),6),"")</f>
        <v/>
      </c>
      <c r="FK57" s="150" t="str" cm="1">
        <f t="array" ref="FK57">IFERROR(ROUND(IF($D57="","",INDEX('M04-S06'!EL$18:EL$199,2*(ROWS(FK$48:FK57)-1)+1)),6),"")</f>
        <v/>
      </c>
      <c r="FL57" s="150" t="str" cm="1">
        <f t="array" ref="FL57">IFERROR(ROUND(IF($D57="","",INDEX('M04-S06'!EM$18:EM$199,2*(ROWS(FL$48:FL57)-1)+1)),6),"")</f>
        <v/>
      </c>
      <c r="FM57" s="150" t="str" cm="1">
        <f t="array" ref="FM57">IFERROR(ROUND(IF($D57="","",INDEX('M04-S06'!EN$18:EN$199,2*(ROWS(FM$48:FM57)-1)+1)),6),"")</f>
        <v/>
      </c>
    </row>
    <row r="58" spans="1:169">
      <c r="A58" s="218" t="str">
        <f>"Custom "&amp;M4S7</f>
        <v>Custom Food Service</v>
      </c>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c r="BR58" s="218"/>
      <c r="BS58" s="218"/>
      <c r="BT58" s="218"/>
      <c r="BU58" s="218"/>
      <c r="BV58" s="218"/>
      <c r="BW58" s="218"/>
      <c r="BX58" s="218"/>
      <c r="BY58" s="218"/>
      <c r="BZ58" s="218"/>
      <c r="CA58" s="218"/>
      <c r="CB58" s="218"/>
      <c r="CC58" s="218"/>
      <c r="CD58" s="218"/>
      <c r="CE58" s="218"/>
      <c r="CF58" s="218"/>
      <c r="CG58" s="218"/>
      <c r="CH58" s="218"/>
      <c r="CI58" s="218"/>
      <c r="CJ58" s="218"/>
      <c r="CK58" s="218"/>
      <c r="CL58" s="218"/>
      <c r="CM58" s="218"/>
      <c r="CN58" s="218"/>
      <c r="CO58" s="218"/>
      <c r="CP58" s="218"/>
      <c r="CQ58" s="218"/>
      <c r="CR58" s="218"/>
      <c r="CS58" s="218"/>
      <c r="CT58" s="218"/>
      <c r="CU58" s="218"/>
      <c r="CV58" s="218"/>
      <c r="CW58" s="218"/>
      <c r="CX58" s="218"/>
      <c r="CY58" s="218"/>
      <c r="CZ58" s="218"/>
      <c r="DA58" s="218"/>
      <c r="DB58" s="218"/>
      <c r="DC58" s="218"/>
      <c r="DD58" s="218"/>
      <c r="DE58" s="218"/>
      <c r="DF58" s="218"/>
      <c r="DG58" s="218"/>
      <c r="DH58" s="218"/>
      <c r="DI58" s="218"/>
      <c r="DJ58" s="218"/>
      <c r="DK58" s="218"/>
      <c r="DL58" s="218"/>
      <c r="DM58" s="218"/>
      <c r="DN58" s="218"/>
      <c r="DO58" s="218"/>
      <c r="DP58" s="218"/>
      <c r="DQ58" s="218"/>
      <c r="DR58" s="218"/>
      <c r="DS58" s="218"/>
      <c r="DT58" s="218"/>
      <c r="DU58" s="218"/>
      <c r="DV58" s="218"/>
      <c r="DW58" s="218"/>
      <c r="DX58" s="218"/>
      <c r="DY58" s="218"/>
      <c r="DZ58" s="218"/>
      <c r="EA58" s="218"/>
      <c r="EB58" s="218"/>
      <c r="EC58" s="218"/>
      <c r="ED58" s="218"/>
      <c r="EE58" s="218"/>
      <c r="EF58" s="218"/>
      <c r="EG58" s="218"/>
      <c r="EH58" s="218"/>
      <c r="EI58" s="218"/>
      <c r="EJ58" s="218"/>
      <c r="EK58" s="218"/>
      <c r="EL58" s="218"/>
      <c r="EM58" s="218"/>
      <c r="EN58" s="218"/>
      <c r="EO58" s="218"/>
      <c r="EP58" s="218"/>
      <c r="EQ58" s="218"/>
      <c r="ER58" s="218"/>
      <c r="ES58" s="218"/>
      <c r="ET58" s="218"/>
      <c r="EU58" s="218"/>
      <c r="EV58" s="218"/>
      <c r="EW58" s="218"/>
      <c r="EX58" s="218"/>
      <c r="EY58" s="218"/>
      <c r="EZ58" s="218"/>
      <c r="FA58" s="218"/>
      <c r="FB58" s="218"/>
      <c r="FC58" s="218"/>
      <c r="FD58" s="218"/>
      <c r="FE58" s="218"/>
      <c r="FF58" s="218"/>
      <c r="FG58" s="218"/>
      <c r="FH58" s="218"/>
      <c r="FI58" s="218"/>
      <c r="FJ58" s="218"/>
      <c r="FK58" s="218"/>
      <c r="FL58" s="218"/>
      <c r="FM58" s="218"/>
    </row>
    <row r="59" spans="1:169">
      <c r="A59" t="str">
        <f t="shared" ref="A59:A68" si="88">IFERROR(IF(D59="","",PROJID),"")</f>
        <v/>
      </c>
      <c r="B59" t="str">
        <f>IFERROR(IF(D59="","",CONCATENATE(ROW(),"-",D59)),"")</f>
        <v/>
      </c>
      <c r="C59" t="str" cm="1">
        <f t="array" ref="C59">IFERROR(IF(D59="","",INDEX('M04-S07'!$B$18:$B$199,2*(ROWS(C$59:C59)-1)+1)),"")</f>
        <v/>
      </c>
      <c r="D59" t="str">
        <f>IFERROR(IF(E59="","",E59),"")</f>
        <v/>
      </c>
      <c r="E59" t="str" cm="1">
        <f t="array" ref="E59">IFERROR(IF(INDEX('M04-S07'!$CC$18:$CC$199,2*(ROWS(E$59:E59)-1)+1)="","",INDEX('M04-S07'!$CC$18:$CC$199,2*(ROWS(E$59:E59)-1)+1)),"")</f>
        <v/>
      </c>
      <c r="G59" t="str">
        <f>IFERROR(IF(C59&lt;&gt;"","Custom",""),"")</f>
        <v/>
      </c>
      <c r="H59" t="str">
        <f t="shared" ref="H59" si="89">IFERROR(IF(C59&lt;&gt;"","Downstream",""),"")</f>
        <v/>
      </c>
      <c r="L59" t="str">
        <f>IF($C59="","",IF(AND(AI59&gt;0,AN59&gt;0),"Electric &amp; Gas",IF(AI59&gt;0,"Electric",IF(AN59&gt;0,"Gas",""))))</f>
        <v/>
      </c>
      <c r="O59" t="str">
        <f>IF($C59="","",TRUE)</f>
        <v/>
      </c>
      <c r="V59" t="str" cm="1">
        <f t="array" ref="V59">IFERROR(IF(D59="","",INDEX('M04-S07'!$AY$18:$AY$199,2*(ROWS(V$59:V59)-1)+1)),"")</f>
        <v/>
      </c>
      <c r="W59" t="str" cm="1">
        <f t="array" ref="W59">IFERROR(IF(D59="","",INDEX('M04-S07'!$AV$18:$AV$199,2*(ROWS(W$59:W59)-1)+1)),"")</f>
        <v/>
      </c>
      <c r="X59" t="str" cm="1">
        <f t="array" ref="X59">IFERROR(IF(D59="","",INDEX('M04-S07'!$AV$18:$AV$199,2*(ROWS(X$59:X59)-0)+0)),"")</f>
        <v/>
      </c>
      <c r="AG59" s="98" t="str" cm="1">
        <f t="array" ref="AG59">IFERROR(IF(D59="","",IF(INDEX('M04-S07'!$CB$18:$CB$199,2*(ROWS(AG$59:AG59)-1)+1)="","",INDEX('M04-S07'!$CB$18:$CB$199,2*(ROWS(AG$59:AG59)-1)+1))),"")</f>
        <v/>
      </c>
      <c r="AH59" s="98" t="str" cm="1">
        <f t="array" ref="AH59">IFERROR(IF(D59="","",IF(INDEX('M04-S07'!$CU$18:$CU$199,2*(ROWS(AH$59:AH59)-1)+1)="","",INDEX('M04-S07'!$CU$18:$CU$199,2*(ROWS(AH$59:AH59)-1)+1))),"")</f>
        <v/>
      </c>
      <c r="AI59" s="20" t="str" cm="1">
        <f t="array" ref="AI59">IFERROR(IF(D59="","",IF(INDEX('M04-S07'!$CM$18:$CM$199,2*(ROWS(AI$59:AI59)-1)+1)="",0,INDEX('M04-S07'!$CM$18:$CM$199,2*(ROWS(AI$59:AI59)-1)+1))),"")</f>
        <v/>
      </c>
      <c r="AJ59" s="20" t="str">
        <f t="shared" si="86"/>
        <v/>
      </c>
      <c r="AK59" s="487" t="str" cm="1">
        <f t="array" ref="AK59">IFERROR(IF(D59="","",IF(INDEX('M04-S07'!$CN$18:$CN$199,2*(ROWS(AK$59:AK59)-1)+1)="",0,INDEX('M04-S07'!$CN$18:$CN$199,2*(ROWS(AK$59:AK59)-1)+1))),"")</f>
        <v/>
      </c>
      <c r="AL59" s="20" t="str">
        <f>IF(AN59&gt;=0,AN59,0)</f>
        <v/>
      </c>
      <c r="AM59" s="20" t="str">
        <f t="shared" ref="AM59:AM68" si="90">IFERROR(ROUND(IF(D59="","",AL59/10),6),"")</f>
        <v/>
      </c>
      <c r="AN59" s="20" t="str" cm="1">
        <f t="array" ref="AN59">IFERROR(IF(D59="","",IF(INDEX('M04-S07'!$CO$18:$CO$199,2*(ROWS(AN$59:AN59)-1)+1)="",0,INDEX('M04-S07'!$CO$18:$CO$199,2*(ROWS(AN$59:AN59)-1)+1))),"")</f>
        <v/>
      </c>
      <c r="AO59" s="20" t="str" cm="1">
        <f t="array" ref="AO59">IFERROR(IF(D59="","",INDEX('M04-S07'!$R$18:$R$199,2*(ROWS(AO$59:AO59)-1)+1)),"")</f>
        <v/>
      </c>
      <c r="AP59" s="20" t="str" cm="1">
        <f t="array" ref="AP59">IFERROR(IF(D59="","",INDEX('M04-S07'!$AJ$18:$AJ$199,2*(ROWS(AP$59:AP59)-1)+1)),"")</f>
        <v/>
      </c>
      <c r="AQ59" s="487" t="str" cm="1">
        <f t="array" ref="AQ59">IFERROR(IF(D59="","",INDEX('M04-S07'!$U$18:$U$199,2*(ROWS(AQ$59:AQ59)-1)+1)),"")</f>
        <v/>
      </c>
      <c r="AR59" s="487" t="str" cm="1">
        <f t="array" ref="AR59">IFERROR(IF(D59="","",INDEX('M04-S07'!$AM$18:$AM$199,2*(ROWS(AR$59:AR59)-1)+1)),"")</f>
        <v/>
      </c>
      <c r="AS59" s="20" t="str" cm="1">
        <f t="array" ref="AS59">IFERROR(IF(D59="","",INDEX('M04-S07'!$X$18:$X$199,2*(ROWS(AS$59:AS59)-1)+1)),"")</f>
        <v/>
      </c>
      <c r="AT59" s="20" t="str" cm="1">
        <f t="array" ref="AT59">IFERROR(IF(D59="","",INDEX('M04-S07'!$AP$18:$AP$199,2*(ROWS(AT$59:AT59)-1)+1)),"")</f>
        <v/>
      </c>
      <c r="BP59" t="str" cm="1">
        <f t="array" ref="BP59">IFERROR(IF(D59="","",INDEX('M04-S07'!$CS$18:$CS$199,2*(ROWS(BP$59:BP59)-1)+1)),"")</f>
        <v/>
      </c>
      <c r="BR59" t="str" cm="1">
        <f t="array" ref="BR59">IFERROR(IF(D59="","",LEFT(INDEX('M04-S07'!$C$18:$C$199,2*(ROWS(BR$59:BR59)-1)+1),150)),"")</f>
        <v/>
      </c>
      <c r="BS59" t="str" cm="1">
        <f t="array" ref="BS59">IFERROR(IF(D59="","",INDEX('M04-S07'!$CT$18:$CT$199,2*(ROWS(BS$59:BS59)-1)+1)),"")</f>
        <v/>
      </c>
      <c r="BT59" s="6" t="str" cm="1">
        <f t="array" ref="BT59">IFERROR(ROUND(IF(D59="","",INDEX('M04-S07'!$BB$18:$BB$199,2*(ROWS(BT$59:BT59)-1)+1)),2),"")</f>
        <v/>
      </c>
      <c r="BU59" s="6" t="str" cm="1">
        <f t="array" ref="BU59">IFERROR(IF(D59="","",INDEX('M04-S07'!$CX$18:$CX$199,2*(ROWS(BU$59:BU59)-1)+1)),"")</f>
        <v/>
      </c>
      <c r="BV59" s="6" t="str" cm="1">
        <f t="array" ref="BV59">IFERROR(IF(D59="","",INDEX('M04-S07'!$CY$18:$CY$199,2*(ROWS(BV$59:BV59)-1)+1)),"")</f>
        <v/>
      </c>
      <c r="BW59" t="str">
        <f>IF(D59="","","Measure")</f>
        <v/>
      </c>
      <c r="BX59" t="str">
        <f>IF(D59="","",1)</f>
        <v/>
      </c>
      <c r="BY59" s="6" t="str" cm="1">
        <f t="array" ref="BY59">IFERROR(IF(D59="","",INDEX('M04-S07'!$CI$18:$CI$199,2*(ROWS(BY$59:BY59)-1)+1)),"")</f>
        <v/>
      </c>
      <c r="BZ59" s="6" t="str">
        <f t="shared" si="17"/>
        <v/>
      </c>
      <c r="CA59" s="6" t="str">
        <f t="shared" si="18"/>
        <v/>
      </c>
      <c r="CB59" s="6" t="str">
        <f t="shared" si="87"/>
        <v/>
      </c>
      <c r="CC59" s="6" t="str">
        <f t="shared" ref="CC59:CC68" si="91">IFERROR(IF(D59="","",AJ59/(AJ59+AM59)*CB59),"")</f>
        <v/>
      </c>
      <c r="CD59" s="6" t="str">
        <f t="shared" ref="CD59:CD68" si="92">IFERROR(IF(D59="","",AM59/(AJ59+AM59)*CB59),"")</f>
        <v/>
      </c>
      <c r="CS59" t="str" cm="1">
        <f t="array" ref="CS59">IFERROR(IF(D59="","",INDEX('M04-S07'!$F$18:$F$199,2*(ROWS(CS$59:CS59)-1)+1)),"")</f>
        <v/>
      </c>
      <c r="CT59" t="str" cm="1">
        <f t="array" ref="CT59">IFERROR(IF(D59="","",INDEX('M04-S07'!$L$18:$L$199,2*(ROWS(CT$59:CT59)-1)+1)),"")</f>
        <v/>
      </c>
      <c r="CU59" t="str" cm="1">
        <f t="array" ref="CU59">IFERROR(IF(D59="","",INDEX('M04-S07'!$AD$18:$AD$199,2*(ROWS(CU$59:CU59)-1)+1)),"")</f>
        <v/>
      </c>
      <c r="DE59" s="150"/>
      <c r="DF59" s="150" t="str">
        <f>IFERROR(ROUND(IF(OR(D59="",DE59=""),"",TEMPLATE!$V$15),2),"")</f>
        <v/>
      </c>
      <c r="DG59" s="150"/>
      <c r="DH59" s="150" t="str">
        <f>IFERROR(ROUND(IF(OR(D59="",DG59=""),"",TEMPLATE!$V$15),2),"")</f>
        <v/>
      </c>
      <c r="DI59" s="150"/>
      <c r="DJ59" s="150" t="str">
        <f>IFERROR(ROUND(IF(OR(D59="",DI59=""),"",TEMPLATE!$V$15),2),"")</f>
        <v/>
      </c>
      <c r="DK59" s="150"/>
      <c r="DL59" s="150" t="str">
        <f>IFERROR(ROUND(IF(OR(D59="",DK59=""),"",TEMPLATE!$V$15),2),"")</f>
        <v/>
      </c>
      <c r="DM59" s="150"/>
      <c r="DN59" s="150" t="str">
        <f>IFERROR(ROUND(IF(OR(D59="",DM59=""),"",TEMPLATE!$V$15),2),"")</f>
        <v/>
      </c>
      <c r="DO59" s="150"/>
      <c r="DP59" s="150" t="str">
        <f>IFERROR(ROUND(IF(OR(D59="",DO59=""),"",TEMPLATE!$V$15),2),"")</f>
        <v/>
      </c>
      <c r="DQ59" s="150"/>
      <c r="DR59" s="150" t="str">
        <f>IFERROR(ROUND(IF(OR(D59="",DQ59=""),"",TEMPLATE!$V$15),2),"")</f>
        <v/>
      </c>
      <c r="DS59" s="150"/>
      <c r="DT59" s="150" t="str">
        <f>IFERROR(ROUND(IF(OR(D59="",DS59=""),"",TEMPLATE!$V$15),2),"")</f>
        <v/>
      </c>
      <c r="DU59" s="150" t="str" cm="1">
        <f t="array" ref="DU59">IFERROR(ROUND(IF($D59="","",INDEX('M04-S07'!DD$18:DD$199,2*(ROWS(DU$59:DU59)-1)+1)),4),"")</f>
        <v/>
      </c>
      <c r="DV59" s="150" t="str" cm="1">
        <f t="array" ref="DV59">IFERROR(ROUND(IF($D59="","",INDEX('M04-S07'!DE$18:DE$199,2*(ROWS(DV$59:DV59)-1)+1)),4),"")</f>
        <v/>
      </c>
      <c r="DW59" s="150" t="str" cm="1">
        <f t="array" ref="DW59">IFERROR(ROUND(IF($D59="","",INDEX('M04-S07'!DF$18:DF$199,2*(ROWS(DW$59:DW59)-1)+1)),4),"")</f>
        <v/>
      </c>
      <c r="DX59" s="150" t="str" cm="1">
        <f t="array" ref="DX59">IFERROR(ROUND(IF($D59="","",INDEX('M04-S07'!DG$18:DG$199,2*(ROWS(DX$59:DX59)-1)+1)),4),"")</f>
        <v/>
      </c>
      <c r="DY59" s="150" t="str" cm="1">
        <f t="array" ref="DY59">IFERROR(ROUND(IF($D59="","",INDEX('M04-S07'!DH$18:DH$199,2*(ROWS(DY$59:DY59)-1)+1)),4),"")</f>
        <v/>
      </c>
      <c r="DZ59" s="150" t="str" cm="1">
        <f t="array" ref="DZ59">IFERROR(ROUND(IF($D59="","",INDEX('M04-S07'!DI$18:DI$199,2*(ROWS(DZ$59:DZ59)-1)+1)),4),"")</f>
        <v/>
      </c>
      <c r="EA59" s="150" t="str" cm="1">
        <f t="array" ref="EA59">IFERROR(ROUND(IF($D59="","",INDEX('M04-S07'!DJ$18:DJ$199,2*(ROWS(EA$59:EA59)-1)+1)),4),"")</f>
        <v/>
      </c>
      <c r="EB59" s="150" t="str" cm="1">
        <f t="array" ref="EB59">IFERROR(ROUND(IF($D59="","",INDEX('M04-S07'!DK$18:DK$199,2*(ROWS(EB$59:EB59)-1)+1)),6),"")</f>
        <v/>
      </c>
      <c r="EC59" s="150" t="str" cm="1">
        <f t="array" ref="EC59">IFERROR(ROUND(IF($D59="","",INDEX('M04-S07'!DL$18:DL$199,2*(ROWS(EC$59:EC59)-1)+1)),6),"")</f>
        <v/>
      </c>
      <c r="ED59" s="150" t="str" cm="1">
        <f t="array" ref="ED59">IFERROR(ROUND(IF($D59="","",INDEX('M04-S07'!DM$18:DM$199,2*(ROWS(ED$59:ED59)-1)+1)),6),"")</f>
        <v/>
      </c>
      <c r="EE59" s="150" t="str" cm="1">
        <f t="array" ref="EE59">IFERROR(ROUND(IF($D59="","",INDEX('M04-S07'!DN$18:DN$199,2*(ROWS(EE$59:EE59)-1)+1)),6),"")</f>
        <v/>
      </c>
      <c r="EF59" s="150" t="str" cm="1">
        <f t="array" ref="EF59">IFERROR(ROUND(IF($D59="","",INDEX('M04-S07'!DO$18:DO$199,2*(ROWS(EF$59:EF59)-1)+1)),6),"")</f>
        <v/>
      </c>
      <c r="EG59" s="150" t="str" cm="1">
        <f t="array" ref="EG59">IFERROR(ROUND(IF($D59="","",INDEX('M04-S07'!DP$18:DP$199,2*(ROWS(EG$59:EG59)-1)+1)),6),"")</f>
        <v/>
      </c>
      <c r="EH59" s="150" t="str" cm="1">
        <f t="array" ref="EH59">IFERROR(ROUND(IF($D59="","",INDEX('M04-S07'!DQ$18:DQ$199,2*(ROWS(EH$59:EH59)-1)+1)),6),"")</f>
        <v/>
      </c>
      <c r="EI59" s="150" t="str" cm="1">
        <f t="array" ref="EI59">IFERROR(ROUND(IF($D59="","",INDEX('M04-S07'!DR$18:DR$199,2*(ROWS(EI$59:EI59)-1)+1)),6),"")</f>
        <v/>
      </c>
      <c r="EJ59" s="150" t="str" cm="1">
        <f t="array" ref="EJ59">IFERROR(ROUND(IF($D59="","",INDEX('M04-S07'!DS$18:DS$199,2*(ROWS(EJ$59:EJ59)-1)+1)),6),"")</f>
        <v/>
      </c>
      <c r="EK59" s="150" t="str" cm="1">
        <f t="array" ref="EK59">IFERROR(ROUND(IF($D59="","",INDEX('M04-S07'!DT$18:DT$199,2*(ROWS(EK$59:EK59)-1)+1)),6),"")</f>
        <v/>
      </c>
      <c r="EL59" s="150" t="str" cm="1">
        <f t="array" ref="EL59">IFERROR(ROUND(IF($D59="","",INDEX('M04-S07'!DU$18:DU$199,2*(ROWS(EL$59:EL59)-1)+1)),6),"")</f>
        <v/>
      </c>
      <c r="EM59" s="150" t="str" cm="1">
        <f t="array" ref="EM59">IFERROR(ROUND(IF($D59="","",INDEX('M04-S07'!DV$18:DV$199,2*(ROWS(EM$59:EM59)-1)+1)),6),"")</f>
        <v/>
      </c>
      <c r="EN59" s="150" t="str" cm="1">
        <f t="array" ref="EN59">IFERROR(ROUND(IF($D59="","",INDEX('M04-S07'!DW$18:DW$199,2*(ROWS(EN$59:EN59)-1)+1)),6),"")</f>
        <v/>
      </c>
      <c r="EO59" s="150" t="str" cm="1">
        <f t="array" ref="EO59">IFERROR(ROUND(IF($D59="","",INDEX('M04-S07'!DX$18:DX$199,2*(ROWS(EO$59:EO59)-1)+1)),6),"")</f>
        <v/>
      </c>
      <c r="EP59" s="150" t="str" cm="1">
        <f t="array" ref="EP59">IFERROR(ROUND(IF($D59="","",INDEX('M04-S07'!DY$18:DY$199,2*(ROWS(EP$59:EP59)-1)+1)),6),"")</f>
        <v/>
      </c>
      <c r="EQ59" s="150" t="str" cm="1">
        <f t="array" ref="EQ59">IFERROR(ROUND(IF($D59="","",INDEX('M04-S07'!DZ$18:DZ$199,2*(ROWS(EQ$59:EQ59)-1)+1)),6),"")</f>
        <v/>
      </c>
      <c r="ER59" s="150" t="str">
        <f t="shared" si="21"/>
        <v/>
      </c>
      <c r="ES59" s="150" t="str">
        <f t="shared" si="37"/>
        <v/>
      </c>
      <c r="ET59" s="150" t="str">
        <f t="shared" si="38"/>
        <v/>
      </c>
      <c r="EU59" s="150" t="str">
        <f t="shared" si="39"/>
        <v/>
      </c>
      <c r="EV59" s="150" t="str">
        <f t="shared" si="40"/>
        <v/>
      </c>
      <c r="EW59" s="150" t="str">
        <f t="shared" si="41"/>
        <v/>
      </c>
      <c r="EX59" s="150" t="str">
        <f t="shared" si="42"/>
        <v/>
      </c>
      <c r="EY59" s="150" t="str">
        <f t="shared" si="22"/>
        <v/>
      </c>
      <c r="EZ59" s="150" t="str" cm="1">
        <f t="array" ref="EZ59">IFERROR(ROUND(IF($D59="","",INDEX('M04-S07'!EA$18:EA$199,2*(ROWS(EZ$59:EZ59)-1)+1)),6),"")</f>
        <v/>
      </c>
      <c r="FA59" s="150" t="str" cm="1">
        <f t="array" ref="FA59">IFERROR(ROUND(IF($D59="","",INDEX('M04-S07'!EB$18:EB$199,2*(ROWS(FA$59:FA59)-1)+1)),6),"")</f>
        <v/>
      </c>
      <c r="FB59" s="150" t="str" cm="1">
        <f t="array" ref="FB59">IFERROR(ROUND(IF($D59="","",INDEX('M04-S07'!EC$18:EC$199,2*(ROWS(FB$59:FB59)-1)+1)),6),"")</f>
        <v/>
      </c>
      <c r="FC59" s="150" t="str" cm="1">
        <f t="array" ref="FC59">IFERROR(ROUND(IF($D59="","",INDEX('M04-S07'!ED$18:ED$199,2*(ROWS(FC$59:FC59)-1)+1)),6),"")</f>
        <v/>
      </c>
      <c r="FD59" s="150" t="str" cm="1">
        <f t="array" ref="FD59">IFERROR(ROUND(IF($D59="","",INDEX('M04-S07'!EE$18:EE$199,2*(ROWS(FD$59:FD59)-1)+1)),6),"")</f>
        <v/>
      </c>
      <c r="FE59" s="150" t="str" cm="1">
        <f t="array" ref="FE59">IFERROR(ROUND(IF($D59="","",INDEX('M04-S07'!EF$18:EF$199,2*(ROWS(FE$59:FE59)-1)+1)),6),"")</f>
        <v/>
      </c>
      <c r="FF59" s="150" t="str" cm="1">
        <f t="array" ref="FF59">IFERROR(ROUND(IF($D59="","",INDEX('M04-S07'!EG$18:EG$199,2*(ROWS(FF$59:FF59)-1)+1)),6),"")</f>
        <v/>
      </c>
      <c r="FG59" s="150" t="str" cm="1">
        <f t="array" ref="FG59">IFERROR(ROUND(IF($D59="","",INDEX('M04-S07'!EH$18:EH$199,2*(ROWS(FG$59:FG59)-1)+1)),6),"")</f>
        <v/>
      </c>
      <c r="FH59" s="150" t="str" cm="1">
        <f t="array" ref="FH59">IFERROR(ROUND(IF($D59="","",INDEX('M04-S07'!EI$18:EI$199,2*(ROWS(FH$59:FH59)-1)+1)),6),"")</f>
        <v/>
      </c>
      <c r="FI59" s="150" t="str" cm="1">
        <f t="array" ref="FI59">IFERROR(ROUND(IF($D59="","",INDEX('M04-S07'!EJ$18:EJ$199,2*(ROWS(FI$59:FI59)-1)+1)),6),"")</f>
        <v/>
      </c>
      <c r="FJ59" s="150" t="str" cm="1">
        <f t="array" ref="FJ59">IFERROR(ROUND(IF($D59="","",INDEX('M04-S07'!EK$18:EK$199,2*(ROWS(FJ$59:FJ59)-1)+1)),6),"")</f>
        <v/>
      </c>
      <c r="FK59" s="150" t="str" cm="1">
        <f t="array" ref="FK59">IFERROR(ROUND(IF($D59="","",INDEX('M04-S07'!EL$18:EL$199,2*(ROWS(FK$59:FK59)-1)+1)),6),"")</f>
        <v/>
      </c>
      <c r="FL59" s="150" t="str" cm="1">
        <f t="array" ref="FL59">IFERROR(ROUND(IF($D59="","",INDEX('M04-S07'!EM$18:EM$199,2*(ROWS(FL$59:FL59)-1)+1)),6),"")</f>
        <v/>
      </c>
      <c r="FM59" s="150" t="str" cm="1">
        <f t="array" ref="FM59">IFERROR(ROUND(IF($D59="","",INDEX('M04-S07'!EN$18:EN$199,2*(ROWS(FM$59:FM59)-1)+1)),6),"")</f>
        <v/>
      </c>
    </row>
    <row r="60" spans="1:169">
      <c r="A60" t="str">
        <f t="shared" si="88"/>
        <v/>
      </c>
      <c r="B60" t="str">
        <f t="shared" ref="B60:B68" si="93">IFERROR(IF(D60="","",CONCATENATE(ROW(),"-",D60)),"")</f>
        <v/>
      </c>
      <c r="C60" t="str" cm="1">
        <f t="array" ref="C60">IFERROR(IF(D60="","",INDEX('M04-S07'!$B$18:$B$199,2*(ROWS(C$59:C60)-1)+1)),"")</f>
        <v/>
      </c>
      <c r="D60" t="str">
        <f t="shared" ref="D60:D68" si="94">IFERROR(IF(E60="","",E60),"")</f>
        <v/>
      </c>
      <c r="E60" t="str" cm="1">
        <f t="array" ref="E60">IFERROR(IF(INDEX('M04-S07'!$CC$18:$CC$199,2*(ROWS(E$59:E60)-1)+1)="","",INDEX('M04-S07'!$CC$18:$CC$199,2*(ROWS(E$59:E60)-1)+1)),"")</f>
        <v/>
      </c>
      <c r="G60" t="str">
        <f t="shared" ref="G60:G68" si="95">IFERROR(IF(C60&lt;&gt;"","Custom",""),"")</f>
        <v/>
      </c>
      <c r="H60" t="str">
        <f t="shared" ref="H60:H68" si="96">IFERROR(IF(C60&lt;&gt;"","Downstream",""),"")</f>
        <v/>
      </c>
      <c r="L60" t="str">
        <f t="shared" ref="L60:L68" si="97">IF($C60="","",IF(AND(AI60&gt;0,AN60&gt;0),"Electric &amp; Gas",IF(AI60&gt;0,"Electric",IF(AN60&gt;0,"Gas",""))))</f>
        <v/>
      </c>
      <c r="O60" t="str">
        <f t="shared" ref="O60:O68" si="98">IF($C60="","",TRUE)</f>
        <v/>
      </c>
      <c r="V60" t="str" cm="1">
        <f t="array" ref="V60">IFERROR(IF(D60="","",INDEX('M04-S07'!$AY$18:$AY$199,2*(ROWS(V$59:V60)-1)+1)),"")</f>
        <v/>
      </c>
      <c r="W60" t="str" cm="1">
        <f t="array" ref="W60">IFERROR(IF(D60="","",INDEX('M04-S07'!$AV$18:$AV$199,2*(ROWS(W$59:W60)-1)+1)),"")</f>
        <v/>
      </c>
      <c r="X60" t="str" cm="1">
        <f t="array" ref="X60">IFERROR(IF(D60="","",INDEX('M04-S07'!$AV$18:$AV$199,2*(ROWS(X$59:X60)-0)+0)),"")</f>
        <v/>
      </c>
      <c r="AG60" s="98" t="str" cm="1">
        <f t="array" ref="AG60">IFERROR(IF(D60="","",IF(INDEX('M04-S07'!$CB$18:$CB$199,2*(ROWS(AG$59:AG60)-1)+1)="","",INDEX('M04-S07'!$CB$18:$CB$199,2*(ROWS(AG$59:AG60)-1)+1))),"")</f>
        <v/>
      </c>
      <c r="AH60" s="98" t="str" cm="1">
        <f t="array" ref="AH60">IFERROR(IF(D60="","",IF(INDEX('M04-S07'!$CU$18:$CU$199,2*(ROWS(AH$59:AH60)-1)+1)="","",INDEX('M04-S07'!$CU$18:$CU$199,2*(ROWS(AH$59:AH60)-1)+1))),"")</f>
        <v/>
      </c>
      <c r="AI60" s="20" t="str" cm="1">
        <f t="array" ref="AI60">IFERROR(IF(D60="","",IF(INDEX('M04-S07'!$CM$18:$CM$199,2*(ROWS(AI$59:AI60)-1)+1)="",0,INDEX('M04-S07'!$CM$18:$CM$199,2*(ROWS(AI$59:AI60)-1)+1))),"")</f>
        <v/>
      </c>
      <c r="AJ60" s="20" t="str">
        <f t="shared" si="86"/>
        <v/>
      </c>
      <c r="AK60" s="487" t="str" cm="1">
        <f t="array" ref="AK60">IFERROR(IF(D60="","",IF(INDEX('M04-S07'!$CN$18:$CN$199,2*(ROWS(AK$59:AK60)-1)+1)="",0,INDEX('M04-S07'!$CN$18:$CN$199,2*(ROWS(AK$59:AK60)-1)+1))),"")</f>
        <v/>
      </c>
      <c r="AL60" s="20" t="str">
        <f t="shared" ref="AL60:AL68" si="99">IF(AN60&gt;=0,AN60,0)</f>
        <v/>
      </c>
      <c r="AM60" s="20" t="str">
        <f t="shared" si="90"/>
        <v/>
      </c>
      <c r="AN60" s="20" t="str" cm="1">
        <f t="array" ref="AN60">IFERROR(IF(D60="","",IF(INDEX('M04-S07'!$CO$18:$CO$199,2*(ROWS(AN$59:AN60)-1)+1)="",0,INDEX('M04-S07'!$CO$18:$CO$199,2*(ROWS(AN$59:AN60)-1)+1))),"")</f>
        <v/>
      </c>
      <c r="AO60" s="20" t="str" cm="1">
        <f t="array" ref="AO60">IFERROR(IF(D60="","",INDEX('M04-S07'!$R$18:$R$199,2*(ROWS(AO$59:AO60)-1)+1)),"")</f>
        <v/>
      </c>
      <c r="AP60" s="20" t="str" cm="1">
        <f t="array" ref="AP60">IFERROR(IF(D60="","",INDEX('M04-S07'!$AJ$18:$AJ$199,2*(ROWS(AP$59:AP60)-1)+1)),"")</f>
        <v/>
      </c>
      <c r="AQ60" s="487" t="str" cm="1">
        <f t="array" ref="AQ60">IFERROR(IF(D60="","",INDEX('M04-S07'!$U$18:$U$199,2*(ROWS(AQ$59:AQ60)-1)+1)),"")</f>
        <v/>
      </c>
      <c r="AR60" s="487" t="str" cm="1">
        <f t="array" ref="AR60">IFERROR(IF(D60="","",INDEX('M04-S07'!$AM$18:$AM$199,2*(ROWS(AR$59:AR60)-1)+1)),"")</f>
        <v/>
      </c>
      <c r="AS60" s="20" t="str" cm="1">
        <f t="array" ref="AS60">IFERROR(IF(D60="","",INDEX('M04-S07'!$X$18:$X$199,2*(ROWS(AS$59:AS60)-1)+1)),"")</f>
        <v/>
      </c>
      <c r="AT60" s="20" t="str" cm="1">
        <f t="array" ref="AT60">IFERROR(IF(D60="","",INDEX('M04-S07'!$AP$18:$AP$199,2*(ROWS(AT$59:AT60)-1)+1)),"")</f>
        <v/>
      </c>
      <c r="BP60" t="str" cm="1">
        <f t="array" ref="BP60">IFERROR(IF(D60="","",INDEX('M04-S07'!$CS$18:$CS$199,2*(ROWS(BP$59:BP60)-1)+1)),"")</f>
        <v/>
      </c>
      <c r="BR60" t="str" cm="1">
        <f t="array" ref="BR60">IFERROR(IF(D60="","",LEFT(INDEX('M04-S07'!$C$18:$C$199,2*(ROWS(BR$59:BR60)-1)+1),150)),"")</f>
        <v/>
      </c>
      <c r="BS60" t="str" cm="1">
        <f t="array" ref="BS60">IFERROR(IF(D60="","",INDEX('M04-S07'!$CT$18:$CT$199,2*(ROWS(BS$59:BS60)-1)+1)),"")</f>
        <v/>
      </c>
      <c r="BT60" s="6" t="str" cm="1">
        <f t="array" ref="BT60">IFERROR(ROUND(IF(D60="","",INDEX('M04-S07'!$BB$18:$BB$199,2*(ROWS(BT$59:BT60)-1)+1)),2),"")</f>
        <v/>
      </c>
      <c r="BU60" s="6" t="str" cm="1">
        <f t="array" ref="BU60">IFERROR(IF(D60="","",INDEX('M04-S07'!$CX$18:$CX$199,2*(ROWS(BU$59:BU60)-1)+1)),"")</f>
        <v/>
      </c>
      <c r="BV60" s="6" t="str" cm="1">
        <f t="array" ref="BV60">IFERROR(IF(D60="","",INDEX('M04-S07'!$CY$18:$CY$199,2*(ROWS(BV$59:BV60)-1)+1)),"")</f>
        <v/>
      </c>
      <c r="BW60" t="str">
        <f t="shared" ref="BW60:BW68" si="100">IF(D60="","","Measure")</f>
        <v/>
      </c>
      <c r="BX60" t="str">
        <f t="shared" ref="BX60:BX68" si="101">IF(D60="","",1)</f>
        <v/>
      </c>
      <c r="BY60" s="6" t="str" cm="1">
        <f t="array" ref="BY60">IFERROR(IF(D60="","",INDEX('M04-S07'!$CI$18:$CI$199,2*(ROWS(BY$59:BY60)-1)+1)),"")</f>
        <v/>
      </c>
      <c r="BZ60" s="6" t="str">
        <f t="shared" si="17"/>
        <v/>
      </c>
      <c r="CA60" s="6" t="str">
        <f t="shared" si="18"/>
        <v/>
      </c>
      <c r="CB60" s="6" t="str">
        <f t="shared" si="87"/>
        <v/>
      </c>
      <c r="CC60" s="6" t="str">
        <f t="shared" si="91"/>
        <v/>
      </c>
      <c r="CD60" s="6" t="str">
        <f t="shared" si="92"/>
        <v/>
      </c>
      <c r="CS60" t="str" cm="1">
        <f t="array" ref="CS60">IFERROR(IF(D60="","",INDEX('M04-S07'!$F$18:$F$199,2*(ROWS(CS$59:CS60)-1)+1)),"")</f>
        <v/>
      </c>
      <c r="CT60" t="str" cm="1">
        <f t="array" ref="CT60">IFERROR(IF(D60="","",INDEX('M04-S07'!$L$18:$L$199,2*(ROWS(CT$59:CT60)-1)+1)),"")</f>
        <v/>
      </c>
      <c r="CU60" t="str" cm="1">
        <f t="array" ref="CU60">IFERROR(IF(D60="","",INDEX('M04-S07'!$AD$18:$AD$199,2*(ROWS(CU$59:CU60)-1)+1)),"")</f>
        <v/>
      </c>
      <c r="DE60" s="150"/>
      <c r="DF60" s="150" t="str">
        <f>IFERROR(ROUND(IF(OR(D60="",DE60=""),"",TEMPLATE!$V$15),2),"")</f>
        <v/>
      </c>
      <c r="DG60" s="150"/>
      <c r="DH60" s="150" t="str">
        <f>IFERROR(ROUND(IF(OR(D60="",DG60=""),"",TEMPLATE!$V$15),2),"")</f>
        <v/>
      </c>
      <c r="DI60" s="150"/>
      <c r="DJ60" s="150" t="str">
        <f>IFERROR(ROUND(IF(OR(D60="",DI60=""),"",TEMPLATE!$V$15),2),"")</f>
        <v/>
      </c>
      <c r="DK60" s="150"/>
      <c r="DL60" s="150" t="str">
        <f>IFERROR(ROUND(IF(OR(D60="",DK60=""),"",TEMPLATE!$V$15),2),"")</f>
        <v/>
      </c>
      <c r="DM60" s="150"/>
      <c r="DN60" s="150" t="str">
        <f>IFERROR(ROUND(IF(OR(D60="",DM60=""),"",TEMPLATE!$V$15),2),"")</f>
        <v/>
      </c>
      <c r="DO60" s="150"/>
      <c r="DP60" s="150" t="str">
        <f>IFERROR(ROUND(IF(OR(D60="",DO60=""),"",TEMPLATE!$V$15),2),"")</f>
        <v/>
      </c>
      <c r="DQ60" s="150"/>
      <c r="DR60" s="150" t="str">
        <f>IFERROR(ROUND(IF(OR(D60="",DQ60=""),"",TEMPLATE!$V$15),2),"")</f>
        <v/>
      </c>
      <c r="DS60" s="150"/>
      <c r="DT60" s="150" t="str">
        <f>IFERROR(ROUND(IF(OR(D60="",DS60=""),"",TEMPLATE!$V$15),2),"")</f>
        <v/>
      </c>
      <c r="DU60" s="150" t="str" cm="1">
        <f t="array" ref="DU60">IFERROR(ROUND(IF($D60="","",INDEX('M04-S07'!DD$18:DD$199,2*(ROWS(DU$59:DU60)-1)+1)),4),"")</f>
        <v/>
      </c>
      <c r="DV60" s="150" t="str" cm="1">
        <f t="array" ref="DV60">IFERROR(ROUND(IF($D60="","",INDEX('M04-S07'!DE$18:DE$199,2*(ROWS(DV$59:DV60)-1)+1)),4),"")</f>
        <v/>
      </c>
      <c r="DW60" s="150" t="str" cm="1">
        <f t="array" ref="DW60">IFERROR(ROUND(IF($D60="","",INDEX('M04-S07'!DF$18:DF$199,2*(ROWS(DW$59:DW60)-1)+1)),4),"")</f>
        <v/>
      </c>
      <c r="DX60" s="150" t="str" cm="1">
        <f t="array" ref="DX60">IFERROR(ROUND(IF($D60="","",INDEX('M04-S07'!DG$18:DG$199,2*(ROWS(DX$59:DX60)-1)+1)),4),"")</f>
        <v/>
      </c>
      <c r="DY60" s="150" t="str" cm="1">
        <f t="array" ref="DY60">IFERROR(ROUND(IF($D60="","",INDEX('M04-S07'!DH$18:DH$199,2*(ROWS(DY$59:DY60)-1)+1)),4),"")</f>
        <v/>
      </c>
      <c r="DZ60" s="150" t="str" cm="1">
        <f t="array" ref="DZ60">IFERROR(ROUND(IF($D60="","",INDEX('M04-S07'!DI$18:DI$199,2*(ROWS(DZ$59:DZ60)-1)+1)),4),"")</f>
        <v/>
      </c>
      <c r="EA60" s="150" t="str" cm="1">
        <f t="array" ref="EA60">IFERROR(ROUND(IF($D60="","",INDEX('M04-S07'!DJ$18:DJ$199,2*(ROWS(EA$59:EA60)-1)+1)),4),"")</f>
        <v/>
      </c>
      <c r="EB60" s="150" t="str" cm="1">
        <f t="array" ref="EB60">IFERROR(ROUND(IF($D60="","",INDEX('M04-S07'!DK$18:DK$199,2*(ROWS(EB$59:EB60)-1)+1)),6),"")</f>
        <v/>
      </c>
      <c r="EC60" s="150" t="str" cm="1">
        <f t="array" ref="EC60">IFERROR(ROUND(IF($D60="","",INDEX('M04-S07'!DL$18:DL$199,2*(ROWS(EC$59:EC60)-1)+1)),6),"")</f>
        <v/>
      </c>
      <c r="ED60" s="150" t="str" cm="1">
        <f t="array" ref="ED60">IFERROR(ROUND(IF($D60="","",INDEX('M04-S07'!DM$18:DM$199,2*(ROWS(ED$59:ED60)-1)+1)),6),"")</f>
        <v/>
      </c>
      <c r="EE60" s="150" t="str" cm="1">
        <f t="array" ref="EE60">IFERROR(ROUND(IF($D60="","",INDEX('M04-S07'!DN$18:DN$199,2*(ROWS(EE$59:EE60)-1)+1)),6),"")</f>
        <v/>
      </c>
      <c r="EF60" s="150" t="str" cm="1">
        <f t="array" ref="EF60">IFERROR(ROUND(IF($D60="","",INDEX('M04-S07'!DO$18:DO$199,2*(ROWS(EF$59:EF60)-1)+1)),6),"")</f>
        <v/>
      </c>
      <c r="EG60" s="150" t="str" cm="1">
        <f t="array" ref="EG60">IFERROR(ROUND(IF($D60="","",INDEX('M04-S07'!DP$18:DP$199,2*(ROWS(EG$59:EG60)-1)+1)),6),"")</f>
        <v/>
      </c>
      <c r="EH60" s="150" t="str" cm="1">
        <f t="array" ref="EH60">IFERROR(ROUND(IF($D60="","",INDEX('M04-S07'!DQ$18:DQ$199,2*(ROWS(EH$59:EH60)-1)+1)),6),"")</f>
        <v/>
      </c>
      <c r="EI60" s="150" t="str" cm="1">
        <f t="array" ref="EI60">IFERROR(ROUND(IF($D60="","",INDEX('M04-S07'!DR$18:DR$199,2*(ROWS(EI$59:EI60)-1)+1)),6),"")</f>
        <v/>
      </c>
      <c r="EJ60" s="150" t="str" cm="1">
        <f t="array" ref="EJ60">IFERROR(ROUND(IF($D60="","",INDEX('M04-S07'!DS$18:DS$199,2*(ROWS(EJ$59:EJ60)-1)+1)),6),"")</f>
        <v/>
      </c>
      <c r="EK60" s="150" t="str" cm="1">
        <f t="array" ref="EK60">IFERROR(ROUND(IF($D60="","",INDEX('M04-S07'!DT$18:DT$199,2*(ROWS(EK$59:EK60)-1)+1)),6),"")</f>
        <v/>
      </c>
      <c r="EL60" s="150" t="str" cm="1">
        <f t="array" ref="EL60">IFERROR(ROUND(IF($D60="","",INDEX('M04-S07'!DU$18:DU$199,2*(ROWS(EL$59:EL60)-1)+1)),6),"")</f>
        <v/>
      </c>
      <c r="EM60" s="150" t="str" cm="1">
        <f t="array" ref="EM60">IFERROR(ROUND(IF($D60="","",INDEX('M04-S07'!DV$18:DV$199,2*(ROWS(EM$59:EM60)-1)+1)),6),"")</f>
        <v/>
      </c>
      <c r="EN60" s="150" t="str" cm="1">
        <f t="array" ref="EN60">IFERROR(ROUND(IF($D60="","",INDEX('M04-S07'!DW$18:DW$199,2*(ROWS(EN$59:EN60)-1)+1)),6),"")</f>
        <v/>
      </c>
      <c r="EO60" s="150" t="str" cm="1">
        <f t="array" ref="EO60">IFERROR(ROUND(IF($D60="","",INDEX('M04-S07'!DX$18:DX$199,2*(ROWS(EO$59:EO60)-1)+1)),6),"")</f>
        <v/>
      </c>
      <c r="EP60" s="150" t="str" cm="1">
        <f t="array" ref="EP60">IFERROR(ROUND(IF($D60="","",INDEX('M04-S07'!DY$18:DY$199,2*(ROWS(EP$59:EP60)-1)+1)),6),"")</f>
        <v/>
      </c>
      <c r="EQ60" s="150" t="str" cm="1">
        <f t="array" ref="EQ60">IFERROR(ROUND(IF($D60="","",INDEX('M04-S07'!DZ$18:DZ$199,2*(ROWS(EQ$59:EQ60)-1)+1)),6),"")</f>
        <v/>
      </c>
      <c r="ER60" s="150" t="str">
        <f t="shared" si="21"/>
        <v/>
      </c>
      <c r="ES60" s="150" t="str">
        <f t="shared" si="37"/>
        <v/>
      </c>
      <c r="ET60" s="150" t="str">
        <f t="shared" si="38"/>
        <v/>
      </c>
      <c r="EU60" s="150" t="str">
        <f t="shared" si="39"/>
        <v/>
      </c>
      <c r="EV60" s="150" t="str">
        <f t="shared" si="40"/>
        <v/>
      </c>
      <c r="EW60" s="150" t="str">
        <f t="shared" si="41"/>
        <v/>
      </c>
      <c r="EX60" s="150" t="str">
        <f t="shared" si="42"/>
        <v/>
      </c>
      <c r="EY60" s="150" t="str">
        <f t="shared" si="22"/>
        <v/>
      </c>
      <c r="EZ60" s="150" t="str" cm="1">
        <f t="array" ref="EZ60">IFERROR(ROUND(IF($D60="","",INDEX('M04-S07'!EA$18:EA$199,2*(ROWS(EZ$59:EZ60)-1)+1)),6),"")</f>
        <v/>
      </c>
      <c r="FA60" s="150" t="str" cm="1">
        <f t="array" ref="FA60">IFERROR(ROUND(IF($D60="","",INDEX('M04-S07'!EB$18:EB$199,2*(ROWS(FA$59:FA60)-1)+1)),6),"")</f>
        <v/>
      </c>
      <c r="FB60" s="150" t="str" cm="1">
        <f t="array" ref="FB60">IFERROR(ROUND(IF($D60="","",INDEX('M04-S07'!EC$18:EC$199,2*(ROWS(FB$59:FB60)-1)+1)),6),"")</f>
        <v/>
      </c>
      <c r="FC60" s="150" t="str" cm="1">
        <f t="array" ref="FC60">IFERROR(ROUND(IF($D60="","",INDEX('M04-S07'!ED$18:ED$199,2*(ROWS(FC$59:FC60)-1)+1)),6),"")</f>
        <v/>
      </c>
      <c r="FD60" s="150" t="str" cm="1">
        <f t="array" ref="FD60">IFERROR(ROUND(IF($D60="","",INDEX('M04-S07'!EE$18:EE$199,2*(ROWS(FD$59:FD60)-1)+1)),6),"")</f>
        <v/>
      </c>
      <c r="FE60" s="150" t="str" cm="1">
        <f t="array" ref="FE60">IFERROR(ROUND(IF($D60="","",INDEX('M04-S07'!EF$18:EF$199,2*(ROWS(FE$59:FE60)-1)+1)),6),"")</f>
        <v/>
      </c>
      <c r="FF60" s="150" t="str" cm="1">
        <f t="array" ref="FF60">IFERROR(ROUND(IF($D60="","",INDEX('M04-S07'!EG$18:EG$199,2*(ROWS(FF$59:FF60)-1)+1)),6),"")</f>
        <v/>
      </c>
      <c r="FG60" s="150" t="str" cm="1">
        <f t="array" ref="FG60">IFERROR(ROUND(IF($D60="","",INDEX('M04-S07'!EH$18:EH$199,2*(ROWS(FG$59:FG60)-1)+1)),6),"")</f>
        <v/>
      </c>
      <c r="FH60" s="150" t="str" cm="1">
        <f t="array" ref="FH60">IFERROR(ROUND(IF($D60="","",INDEX('M04-S07'!EI$18:EI$199,2*(ROWS(FH$59:FH60)-1)+1)),6),"")</f>
        <v/>
      </c>
      <c r="FI60" s="150" t="str" cm="1">
        <f t="array" ref="FI60">IFERROR(ROUND(IF($D60="","",INDEX('M04-S07'!EJ$18:EJ$199,2*(ROWS(FI$59:FI60)-1)+1)),6),"")</f>
        <v/>
      </c>
      <c r="FJ60" s="150" t="str" cm="1">
        <f t="array" ref="FJ60">IFERROR(ROUND(IF($D60="","",INDEX('M04-S07'!EK$18:EK$199,2*(ROWS(FJ$59:FJ60)-1)+1)),6),"")</f>
        <v/>
      </c>
      <c r="FK60" s="150" t="str" cm="1">
        <f t="array" ref="FK60">IFERROR(ROUND(IF($D60="","",INDEX('M04-S07'!EL$18:EL$199,2*(ROWS(FK$59:FK60)-1)+1)),6),"")</f>
        <v/>
      </c>
      <c r="FL60" s="150" t="str" cm="1">
        <f t="array" ref="FL60">IFERROR(ROUND(IF($D60="","",INDEX('M04-S07'!EM$18:EM$199,2*(ROWS(FL$59:FL60)-1)+1)),6),"")</f>
        <v/>
      </c>
      <c r="FM60" s="150" t="str" cm="1">
        <f t="array" ref="FM60">IFERROR(ROUND(IF($D60="","",INDEX('M04-S07'!EN$18:EN$199,2*(ROWS(FM$59:FM60)-1)+1)),6),"")</f>
        <v/>
      </c>
    </row>
    <row r="61" spans="1:169">
      <c r="A61" t="str">
        <f t="shared" si="88"/>
        <v/>
      </c>
      <c r="B61" t="str">
        <f t="shared" si="93"/>
        <v/>
      </c>
      <c r="C61" t="str" cm="1">
        <f t="array" ref="C61">IFERROR(IF(D61="","",INDEX('M04-S07'!$B$18:$B$199,2*(ROWS(C$59:C61)-1)+1)),"")</f>
        <v/>
      </c>
      <c r="D61" t="str">
        <f t="shared" si="94"/>
        <v/>
      </c>
      <c r="E61" t="str" cm="1">
        <f t="array" ref="E61">IFERROR(IF(INDEX('M04-S07'!$CC$18:$CC$199,2*(ROWS(E$59:E61)-1)+1)="","",INDEX('M04-S07'!$CC$18:$CC$199,2*(ROWS(E$59:E61)-1)+1)),"")</f>
        <v/>
      </c>
      <c r="G61" t="str">
        <f t="shared" si="95"/>
        <v/>
      </c>
      <c r="H61" t="str">
        <f t="shared" si="96"/>
        <v/>
      </c>
      <c r="L61" t="str">
        <f t="shared" si="97"/>
        <v/>
      </c>
      <c r="O61" t="str">
        <f t="shared" si="98"/>
        <v/>
      </c>
      <c r="V61" t="str" cm="1">
        <f t="array" ref="V61">IFERROR(IF(D61="","",INDEX('M04-S07'!$AY$18:$AY$199,2*(ROWS(V$59:V61)-1)+1)),"")</f>
        <v/>
      </c>
      <c r="W61" t="str" cm="1">
        <f t="array" ref="W61">IFERROR(IF(D61="","",INDEX('M04-S07'!$AV$18:$AV$199,2*(ROWS(W$59:W61)-1)+1)),"")</f>
        <v/>
      </c>
      <c r="X61" t="str" cm="1">
        <f t="array" ref="X61">IFERROR(IF(D61="","",INDEX('M04-S07'!$AV$18:$AV$199,2*(ROWS(X$59:X61)-0)+0)),"")</f>
        <v/>
      </c>
      <c r="AG61" s="98" t="str" cm="1">
        <f t="array" ref="AG61">IFERROR(IF(D61="","",IF(INDEX('M04-S07'!$CB$18:$CB$199,2*(ROWS(AG$59:AG61)-1)+1)="","",INDEX('M04-S07'!$CB$18:$CB$199,2*(ROWS(AG$59:AG61)-1)+1))),"")</f>
        <v/>
      </c>
      <c r="AH61" s="98" t="str" cm="1">
        <f t="array" ref="AH61">IFERROR(IF(D61="","",IF(INDEX('M04-S07'!$CU$18:$CU$199,2*(ROWS(AH$59:AH61)-1)+1)="","",INDEX('M04-S07'!$CU$18:$CU$199,2*(ROWS(AH$59:AH61)-1)+1))),"")</f>
        <v/>
      </c>
      <c r="AI61" s="20" t="str" cm="1">
        <f t="array" ref="AI61">IFERROR(IF(D61="","",IF(INDEX('M04-S07'!$CM$18:$CM$199,2*(ROWS(AI$59:AI61)-1)+1)="",0,INDEX('M04-S07'!$CM$18:$CM$199,2*(ROWS(AI$59:AI61)-1)+1))),"")</f>
        <v/>
      </c>
      <c r="AJ61" s="20" t="str">
        <f t="shared" si="86"/>
        <v/>
      </c>
      <c r="AK61" s="487" t="str" cm="1">
        <f t="array" ref="AK61">IFERROR(IF(D61="","",IF(INDEX('M04-S07'!$CN$18:$CN$199,2*(ROWS(AK$59:AK61)-1)+1)="",0,INDEX('M04-S07'!$CN$18:$CN$199,2*(ROWS(AK$59:AK61)-1)+1))),"")</f>
        <v/>
      </c>
      <c r="AL61" s="20" t="str">
        <f t="shared" si="99"/>
        <v/>
      </c>
      <c r="AM61" s="20" t="str">
        <f t="shared" si="90"/>
        <v/>
      </c>
      <c r="AN61" s="20" t="str" cm="1">
        <f t="array" ref="AN61">IFERROR(IF(D61="","",IF(INDEX('M04-S07'!$CO$18:$CO$199,2*(ROWS(AN$59:AN61)-1)+1)="",0,INDEX('M04-S07'!$CO$18:$CO$199,2*(ROWS(AN$59:AN61)-1)+1))),"")</f>
        <v/>
      </c>
      <c r="AO61" s="20" t="str" cm="1">
        <f t="array" ref="AO61">IFERROR(IF(D61="","",INDEX('M04-S07'!$R$18:$R$199,2*(ROWS(AO$59:AO61)-1)+1)),"")</f>
        <v/>
      </c>
      <c r="AP61" s="20" t="str" cm="1">
        <f t="array" ref="AP61">IFERROR(IF(D61="","",INDEX('M04-S07'!$AJ$18:$AJ$199,2*(ROWS(AP$59:AP61)-1)+1)),"")</f>
        <v/>
      </c>
      <c r="AQ61" s="487" t="str" cm="1">
        <f t="array" ref="AQ61">IFERROR(IF(D61="","",INDEX('M04-S07'!$U$18:$U$199,2*(ROWS(AQ$59:AQ61)-1)+1)),"")</f>
        <v/>
      </c>
      <c r="AR61" s="487" t="str" cm="1">
        <f t="array" ref="AR61">IFERROR(IF(D61="","",INDEX('M04-S07'!$AM$18:$AM$199,2*(ROWS(AR$59:AR61)-1)+1)),"")</f>
        <v/>
      </c>
      <c r="AS61" s="20" t="str" cm="1">
        <f t="array" ref="AS61">IFERROR(IF(D61="","",INDEX('M04-S07'!$X$18:$X$199,2*(ROWS(AS$59:AS61)-1)+1)),"")</f>
        <v/>
      </c>
      <c r="AT61" s="20" t="str" cm="1">
        <f t="array" ref="AT61">IFERROR(IF(D61="","",INDEX('M04-S07'!$AP$18:$AP$199,2*(ROWS(AT$59:AT61)-1)+1)),"")</f>
        <v/>
      </c>
      <c r="BP61" t="str" cm="1">
        <f t="array" ref="BP61">IFERROR(IF(D61="","",INDEX('M04-S07'!$CS$18:$CS$199,2*(ROWS(BP$59:BP61)-1)+1)),"")</f>
        <v/>
      </c>
      <c r="BR61" t="str" cm="1">
        <f t="array" ref="BR61">IFERROR(IF(D61="","",LEFT(INDEX('M04-S07'!$C$18:$C$199,2*(ROWS(BR$59:BR61)-1)+1),150)),"")</f>
        <v/>
      </c>
      <c r="BS61" t="str" cm="1">
        <f t="array" ref="BS61">IFERROR(IF(D61="","",INDEX('M04-S07'!$CT$18:$CT$199,2*(ROWS(BS$59:BS61)-1)+1)),"")</f>
        <v/>
      </c>
      <c r="BT61" s="6" t="str" cm="1">
        <f t="array" ref="BT61">IFERROR(ROUND(IF(D61="","",INDEX('M04-S07'!$BB$18:$BB$199,2*(ROWS(BT$59:BT61)-1)+1)),2),"")</f>
        <v/>
      </c>
      <c r="BU61" s="6" t="str" cm="1">
        <f t="array" ref="BU61">IFERROR(IF(D61="","",INDEX('M04-S07'!$CX$18:$CX$199,2*(ROWS(BU$59:BU61)-1)+1)),"")</f>
        <v/>
      </c>
      <c r="BV61" s="6" t="str" cm="1">
        <f t="array" ref="BV61">IFERROR(IF(D61="","",INDEX('M04-S07'!$CY$18:$CY$199,2*(ROWS(BV$59:BV61)-1)+1)),"")</f>
        <v/>
      </c>
      <c r="BW61" t="str">
        <f t="shared" si="100"/>
        <v/>
      </c>
      <c r="BX61" t="str">
        <f t="shared" si="101"/>
        <v/>
      </c>
      <c r="BY61" s="6" t="str" cm="1">
        <f t="array" ref="BY61">IFERROR(IF(D61="","",INDEX('M04-S07'!$CI$18:$CI$199,2*(ROWS(BY$59:BY61)-1)+1)),"")</f>
        <v/>
      </c>
      <c r="BZ61" s="6" t="str">
        <f t="shared" si="17"/>
        <v/>
      </c>
      <c r="CA61" s="6" t="str">
        <f t="shared" si="18"/>
        <v/>
      </c>
      <c r="CB61" s="6" t="str">
        <f t="shared" si="87"/>
        <v/>
      </c>
      <c r="CC61" s="6" t="str">
        <f t="shared" si="91"/>
        <v/>
      </c>
      <c r="CD61" s="6" t="str">
        <f t="shared" si="92"/>
        <v/>
      </c>
      <c r="CS61" t="str" cm="1">
        <f t="array" ref="CS61">IFERROR(IF(D61="","",INDEX('M04-S07'!$F$18:$F$199,2*(ROWS(CS$59:CS61)-1)+1)),"")</f>
        <v/>
      </c>
      <c r="CT61" t="str" cm="1">
        <f t="array" ref="CT61">IFERROR(IF(D61="","",INDEX('M04-S07'!$L$18:$L$199,2*(ROWS(CT$59:CT61)-1)+1)),"")</f>
        <v/>
      </c>
      <c r="CU61" t="str" cm="1">
        <f t="array" ref="CU61">IFERROR(IF(D61="","",INDEX('M04-S07'!$AD$18:$AD$199,2*(ROWS(CU$59:CU61)-1)+1)),"")</f>
        <v/>
      </c>
      <c r="DE61" s="150"/>
      <c r="DF61" s="150" t="str">
        <f>IFERROR(ROUND(IF(OR(D61="",DE61=""),"",TEMPLATE!$V$15),2),"")</f>
        <v/>
      </c>
      <c r="DG61" s="150"/>
      <c r="DH61" s="150" t="str">
        <f>IFERROR(ROUND(IF(OR(D61="",DG61=""),"",TEMPLATE!$V$15),2),"")</f>
        <v/>
      </c>
      <c r="DI61" s="150"/>
      <c r="DJ61" s="150" t="str">
        <f>IFERROR(ROUND(IF(OR(D61="",DI61=""),"",TEMPLATE!$V$15),2),"")</f>
        <v/>
      </c>
      <c r="DK61" s="150"/>
      <c r="DL61" s="150" t="str">
        <f>IFERROR(ROUND(IF(OR(D61="",DK61=""),"",TEMPLATE!$V$15),2),"")</f>
        <v/>
      </c>
      <c r="DM61" s="150"/>
      <c r="DN61" s="150" t="str">
        <f>IFERROR(ROUND(IF(OR(D61="",DM61=""),"",TEMPLATE!$V$15),2),"")</f>
        <v/>
      </c>
      <c r="DO61" s="150"/>
      <c r="DP61" s="150" t="str">
        <f>IFERROR(ROUND(IF(OR(D61="",DO61=""),"",TEMPLATE!$V$15),2),"")</f>
        <v/>
      </c>
      <c r="DQ61" s="150"/>
      <c r="DR61" s="150" t="str">
        <f>IFERROR(ROUND(IF(OR(D61="",DQ61=""),"",TEMPLATE!$V$15),2),"")</f>
        <v/>
      </c>
      <c r="DS61" s="150"/>
      <c r="DT61" s="150" t="str">
        <f>IFERROR(ROUND(IF(OR(D61="",DS61=""),"",TEMPLATE!$V$15),2),"")</f>
        <v/>
      </c>
      <c r="DU61" s="150" t="str" cm="1">
        <f t="array" ref="DU61">IFERROR(ROUND(IF($D61="","",INDEX('M04-S07'!DD$18:DD$199,2*(ROWS(DU$59:DU61)-1)+1)),4),"")</f>
        <v/>
      </c>
      <c r="DV61" s="150" t="str" cm="1">
        <f t="array" ref="DV61">IFERROR(ROUND(IF($D61="","",INDEX('M04-S07'!DE$18:DE$199,2*(ROWS(DV$59:DV61)-1)+1)),4),"")</f>
        <v/>
      </c>
      <c r="DW61" s="150" t="str" cm="1">
        <f t="array" ref="DW61">IFERROR(ROUND(IF($D61="","",INDEX('M04-S07'!DF$18:DF$199,2*(ROWS(DW$59:DW61)-1)+1)),4),"")</f>
        <v/>
      </c>
      <c r="DX61" s="150" t="str" cm="1">
        <f t="array" ref="DX61">IFERROR(ROUND(IF($D61="","",INDEX('M04-S07'!DG$18:DG$199,2*(ROWS(DX$59:DX61)-1)+1)),4),"")</f>
        <v/>
      </c>
      <c r="DY61" s="150" t="str" cm="1">
        <f t="array" ref="DY61">IFERROR(ROUND(IF($D61="","",INDEX('M04-S07'!DH$18:DH$199,2*(ROWS(DY$59:DY61)-1)+1)),4),"")</f>
        <v/>
      </c>
      <c r="DZ61" s="150" t="str" cm="1">
        <f t="array" ref="DZ61">IFERROR(ROUND(IF($D61="","",INDEX('M04-S07'!DI$18:DI$199,2*(ROWS(DZ$59:DZ61)-1)+1)),4),"")</f>
        <v/>
      </c>
      <c r="EA61" s="150" t="str" cm="1">
        <f t="array" ref="EA61">IFERROR(ROUND(IF($D61="","",INDEX('M04-S07'!DJ$18:DJ$199,2*(ROWS(EA$59:EA61)-1)+1)),4),"")</f>
        <v/>
      </c>
      <c r="EB61" s="150" t="str" cm="1">
        <f t="array" ref="EB61">IFERROR(ROUND(IF($D61="","",INDEX('M04-S07'!DK$18:DK$199,2*(ROWS(EB$59:EB61)-1)+1)),6),"")</f>
        <v/>
      </c>
      <c r="EC61" s="150" t="str" cm="1">
        <f t="array" ref="EC61">IFERROR(ROUND(IF($D61="","",INDEX('M04-S07'!DL$18:DL$199,2*(ROWS(EC$59:EC61)-1)+1)),6),"")</f>
        <v/>
      </c>
      <c r="ED61" s="150" t="str" cm="1">
        <f t="array" ref="ED61">IFERROR(ROUND(IF($D61="","",INDEX('M04-S07'!DM$18:DM$199,2*(ROWS(ED$59:ED61)-1)+1)),6),"")</f>
        <v/>
      </c>
      <c r="EE61" s="150" t="str" cm="1">
        <f t="array" ref="EE61">IFERROR(ROUND(IF($D61="","",INDEX('M04-S07'!DN$18:DN$199,2*(ROWS(EE$59:EE61)-1)+1)),6),"")</f>
        <v/>
      </c>
      <c r="EF61" s="150" t="str" cm="1">
        <f t="array" ref="EF61">IFERROR(ROUND(IF($D61="","",INDEX('M04-S07'!DO$18:DO$199,2*(ROWS(EF$59:EF61)-1)+1)),6),"")</f>
        <v/>
      </c>
      <c r="EG61" s="150" t="str" cm="1">
        <f t="array" ref="EG61">IFERROR(ROUND(IF($D61="","",INDEX('M04-S07'!DP$18:DP$199,2*(ROWS(EG$59:EG61)-1)+1)),6),"")</f>
        <v/>
      </c>
      <c r="EH61" s="150" t="str" cm="1">
        <f t="array" ref="EH61">IFERROR(ROUND(IF($D61="","",INDEX('M04-S07'!DQ$18:DQ$199,2*(ROWS(EH$59:EH61)-1)+1)),6),"")</f>
        <v/>
      </c>
      <c r="EI61" s="150" t="str" cm="1">
        <f t="array" ref="EI61">IFERROR(ROUND(IF($D61="","",INDEX('M04-S07'!DR$18:DR$199,2*(ROWS(EI$59:EI61)-1)+1)),6),"")</f>
        <v/>
      </c>
      <c r="EJ61" s="150" t="str" cm="1">
        <f t="array" ref="EJ61">IFERROR(ROUND(IF($D61="","",INDEX('M04-S07'!DS$18:DS$199,2*(ROWS(EJ$59:EJ61)-1)+1)),6),"")</f>
        <v/>
      </c>
      <c r="EK61" s="150" t="str" cm="1">
        <f t="array" ref="EK61">IFERROR(ROUND(IF($D61="","",INDEX('M04-S07'!DT$18:DT$199,2*(ROWS(EK$59:EK61)-1)+1)),6),"")</f>
        <v/>
      </c>
      <c r="EL61" s="150" t="str" cm="1">
        <f t="array" ref="EL61">IFERROR(ROUND(IF($D61="","",INDEX('M04-S07'!DU$18:DU$199,2*(ROWS(EL$59:EL61)-1)+1)),6),"")</f>
        <v/>
      </c>
      <c r="EM61" s="150" t="str" cm="1">
        <f t="array" ref="EM61">IFERROR(ROUND(IF($D61="","",INDEX('M04-S07'!DV$18:DV$199,2*(ROWS(EM$59:EM61)-1)+1)),6),"")</f>
        <v/>
      </c>
      <c r="EN61" s="150" t="str" cm="1">
        <f t="array" ref="EN61">IFERROR(ROUND(IF($D61="","",INDEX('M04-S07'!DW$18:DW$199,2*(ROWS(EN$59:EN61)-1)+1)),6),"")</f>
        <v/>
      </c>
      <c r="EO61" s="150" t="str" cm="1">
        <f t="array" ref="EO61">IFERROR(ROUND(IF($D61="","",INDEX('M04-S07'!DX$18:DX$199,2*(ROWS(EO$59:EO61)-1)+1)),6),"")</f>
        <v/>
      </c>
      <c r="EP61" s="150" t="str" cm="1">
        <f t="array" ref="EP61">IFERROR(ROUND(IF($D61="","",INDEX('M04-S07'!DY$18:DY$199,2*(ROWS(EP$59:EP61)-1)+1)),6),"")</f>
        <v/>
      </c>
      <c r="EQ61" s="150" t="str" cm="1">
        <f t="array" ref="EQ61">IFERROR(ROUND(IF($D61="","",INDEX('M04-S07'!DZ$18:DZ$199,2*(ROWS(EQ$59:EQ61)-1)+1)),6),"")</f>
        <v/>
      </c>
      <c r="ER61" s="150" t="str">
        <f t="shared" si="21"/>
        <v/>
      </c>
      <c r="ES61" s="150" t="str">
        <f t="shared" si="37"/>
        <v/>
      </c>
      <c r="ET61" s="150" t="str">
        <f t="shared" si="38"/>
        <v/>
      </c>
      <c r="EU61" s="150" t="str">
        <f t="shared" si="39"/>
        <v/>
      </c>
      <c r="EV61" s="150" t="str">
        <f t="shared" si="40"/>
        <v/>
      </c>
      <c r="EW61" s="150" t="str">
        <f t="shared" si="41"/>
        <v/>
      </c>
      <c r="EX61" s="150" t="str">
        <f t="shared" si="42"/>
        <v/>
      </c>
      <c r="EY61" s="150" t="str">
        <f t="shared" si="22"/>
        <v/>
      </c>
      <c r="EZ61" s="150" t="str" cm="1">
        <f t="array" ref="EZ61">IFERROR(ROUND(IF($D61="","",INDEX('M04-S07'!EA$18:EA$199,2*(ROWS(EZ$59:EZ61)-1)+1)),6),"")</f>
        <v/>
      </c>
      <c r="FA61" s="150" t="str" cm="1">
        <f t="array" ref="FA61">IFERROR(ROUND(IF($D61="","",INDEX('M04-S07'!EB$18:EB$199,2*(ROWS(FA$59:FA61)-1)+1)),6),"")</f>
        <v/>
      </c>
      <c r="FB61" s="150" t="str" cm="1">
        <f t="array" ref="FB61">IFERROR(ROUND(IF($D61="","",INDEX('M04-S07'!EC$18:EC$199,2*(ROWS(FB$59:FB61)-1)+1)),6),"")</f>
        <v/>
      </c>
      <c r="FC61" s="150" t="str" cm="1">
        <f t="array" ref="FC61">IFERROR(ROUND(IF($D61="","",INDEX('M04-S07'!ED$18:ED$199,2*(ROWS(FC$59:FC61)-1)+1)),6),"")</f>
        <v/>
      </c>
      <c r="FD61" s="150" t="str" cm="1">
        <f t="array" ref="FD61">IFERROR(ROUND(IF($D61="","",INDEX('M04-S07'!EE$18:EE$199,2*(ROWS(FD$59:FD61)-1)+1)),6),"")</f>
        <v/>
      </c>
      <c r="FE61" s="150" t="str" cm="1">
        <f t="array" ref="FE61">IFERROR(ROUND(IF($D61="","",INDEX('M04-S07'!EF$18:EF$199,2*(ROWS(FE$59:FE61)-1)+1)),6),"")</f>
        <v/>
      </c>
      <c r="FF61" s="150" t="str" cm="1">
        <f t="array" ref="FF61">IFERROR(ROUND(IF($D61="","",INDEX('M04-S07'!EG$18:EG$199,2*(ROWS(FF$59:FF61)-1)+1)),6),"")</f>
        <v/>
      </c>
      <c r="FG61" s="150" t="str" cm="1">
        <f t="array" ref="FG61">IFERROR(ROUND(IF($D61="","",INDEX('M04-S07'!EH$18:EH$199,2*(ROWS(FG$59:FG61)-1)+1)),6),"")</f>
        <v/>
      </c>
      <c r="FH61" s="150" t="str" cm="1">
        <f t="array" ref="FH61">IFERROR(ROUND(IF($D61="","",INDEX('M04-S07'!EI$18:EI$199,2*(ROWS(FH$59:FH61)-1)+1)),6),"")</f>
        <v/>
      </c>
      <c r="FI61" s="150" t="str" cm="1">
        <f t="array" ref="FI61">IFERROR(ROUND(IF($D61="","",INDEX('M04-S07'!EJ$18:EJ$199,2*(ROWS(FI$59:FI61)-1)+1)),6),"")</f>
        <v/>
      </c>
      <c r="FJ61" s="150" t="str" cm="1">
        <f t="array" ref="FJ61">IFERROR(ROUND(IF($D61="","",INDEX('M04-S07'!EK$18:EK$199,2*(ROWS(FJ$59:FJ61)-1)+1)),6),"")</f>
        <v/>
      </c>
      <c r="FK61" s="150" t="str" cm="1">
        <f t="array" ref="FK61">IFERROR(ROUND(IF($D61="","",INDEX('M04-S07'!EL$18:EL$199,2*(ROWS(FK$59:FK61)-1)+1)),6),"")</f>
        <v/>
      </c>
      <c r="FL61" s="150" t="str" cm="1">
        <f t="array" ref="FL61">IFERROR(ROUND(IF($D61="","",INDEX('M04-S07'!EM$18:EM$199,2*(ROWS(FL$59:FL61)-1)+1)),6),"")</f>
        <v/>
      </c>
      <c r="FM61" s="150" t="str" cm="1">
        <f t="array" ref="FM61">IFERROR(ROUND(IF($D61="","",INDEX('M04-S07'!EN$18:EN$199,2*(ROWS(FM$59:FM61)-1)+1)),6),"")</f>
        <v/>
      </c>
    </row>
    <row r="62" spans="1:169">
      <c r="A62" t="str">
        <f t="shared" si="88"/>
        <v/>
      </c>
      <c r="B62" t="str">
        <f t="shared" si="93"/>
        <v/>
      </c>
      <c r="C62" t="str" cm="1">
        <f t="array" ref="C62">IFERROR(IF(D62="","",INDEX('M04-S07'!$B$18:$B$199,2*(ROWS(C$59:C62)-1)+1)),"")</f>
        <v/>
      </c>
      <c r="D62" t="str">
        <f t="shared" si="94"/>
        <v/>
      </c>
      <c r="E62" t="str" cm="1">
        <f t="array" ref="E62">IFERROR(IF(INDEX('M04-S07'!$CC$18:$CC$199,2*(ROWS(E$59:E62)-1)+1)="","",INDEX('M04-S07'!$CC$18:$CC$199,2*(ROWS(E$59:E62)-1)+1)),"")</f>
        <v/>
      </c>
      <c r="G62" t="str">
        <f t="shared" si="95"/>
        <v/>
      </c>
      <c r="H62" t="str">
        <f t="shared" si="96"/>
        <v/>
      </c>
      <c r="L62" t="str">
        <f t="shared" si="97"/>
        <v/>
      </c>
      <c r="O62" t="str">
        <f t="shared" si="98"/>
        <v/>
      </c>
      <c r="V62" t="str" cm="1">
        <f t="array" ref="V62">IFERROR(IF(D62="","",INDEX('M04-S07'!$AY$18:$AY$199,2*(ROWS(V$59:V62)-1)+1)),"")</f>
        <v/>
      </c>
      <c r="W62" t="str" cm="1">
        <f t="array" ref="W62">IFERROR(IF(D62="","",INDEX('M04-S07'!$AV$18:$AV$199,2*(ROWS(W$59:W62)-1)+1)),"")</f>
        <v/>
      </c>
      <c r="X62" t="str" cm="1">
        <f t="array" ref="X62">IFERROR(IF(D62="","",INDEX('M04-S07'!$AV$18:$AV$199,2*(ROWS(X$59:X62)-0)+0)),"")</f>
        <v/>
      </c>
      <c r="AG62" s="98" t="str" cm="1">
        <f t="array" ref="AG62">IFERROR(IF(D62="","",IF(INDEX('M04-S07'!$CB$18:$CB$199,2*(ROWS(AG$59:AG62)-1)+1)="","",INDEX('M04-S07'!$CB$18:$CB$199,2*(ROWS(AG$59:AG62)-1)+1))),"")</f>
        <v/>
      </c>
      <c r="AH62" s="98" t="str" cm="1">
        <f t="array" ref="AH62">IFERROR(IF(D62="","",IF(INDEX('M04-S07'!$CU$18:$CU$199,2*(ROWS(AH$59:AH62)-1)+1)="","",INDEX('M04-S07'!$CU$18:$CU$199,2*(ROWS(AH$59:AH62)-1)+1))),"")</f>
        <v/>
      </c>
      <c r="AI62" s="20" t="str" cm="1">
        <f t="array" ref="AI62">IFERROR(IF(D62="","",IF(INDEX('M04-S07'!$CM$18:$CM$199,2*(ROWS(AI$59:AI62)-1)+1)="",0,INDEX('M04-S07'!$CM$18:$CM$199,2*(ROWS(AI$59:AI62)-1)+1))),"")</f>
        <v/>
      </c>
      <c r="AJ62" s="20" t="str">
        <f t="shared" si="86"/>
        <v/>
      </c>
      <c r="AK62" s="487" t="str" cm="1">
        <f t="array" ref="AK62">IFERROR(IF(D62="","",IF(INDEX('M04-S07'!$CN$18:$CN$199,2*(ROWS(AK$59:AK62)-1)+1)="",0,INDEX('M04-S07'!$CN$18:$CN$199,2*(ROWS(AK$59:AK62)-1)+1))),"")</f>
        <v/>
      </c>
      <c r="AL62" s="20" t="str">
        <f t="shared" si="99"/>
        <v/>
      </c>
      <c r="AM62" s="20" t="str">
        <f t="shared" si="90"/>
        <v/>
      </c>
      <c r="AN62" s="20" t="str" cm="1">
        <f t="array" ref="AN62">IFERROR(IF(D62="","",IF(INDEX('M04-S07'!$CO$18:$CO$199,2*(ROWS(AN$59:AN62)-1)+1)="",0,INDEX('M04-S07'!$CO$18:$CO$199,2*(ROWS(AN$59:AN62)-1)+1))),"")</f>
        <v/>
      </c>
      <c r="AO62" s="20" t="str" cm="1">
        <f t="array" ref="AO62">IFERROR(IF(D62="","",INDEX('M04-S07'!$R$18:$R$199,2*(ROWS(AO$59:AO62)-1)+1)),"")</f>
        <v/>
      </c>
      <c r="AP62" s="20" t="str" cm="1">
        <f t="array" ref="AP62">IFERROR(IF(D62="","",INDEX('M04-S07'!$AJ$18:$AJ$199,2*(ROWS(AP$59:AP62)-1)+1)),"")</f>
        <v/>
      </c>
      <c r="AQ62" s="487" t="str" cm="1">
        <f t="array" ref="AQ62">IFERROR(IF(D62="","",INDEX('M04-S07'!$U$18:$U$199,2*(ROWS(AQ$59:AQ62)-1)+1)),"")</f>
        <v/>
      </c>
      <c r="AR62" s="487" t="str" cm="1">
        <f t="array" ref="AR62">IFERROR(IF(D62="","",INDEX('M04-S07'!$AM$18:$AM$199,2*(ROWS(AR$59:AR62)-1)+1)),"")</f>
        <v/>
      </c>
      <c r="AS62" s="20" t="str" cm="1">
        <f t="array" ref="AS62">IFERROR(IF(D62="","",INDEX('M04-S07'!$X$18:$X$199,2*(ROWS(AS$59:AS62)-1)+1)),"")</f>
        <v/>
      </c>
      <c r="AT62" s="20" t="str" cm="1">
        <f t="array" ref="AT62">IFERROR(IF(D62="","",INDEX('M04-S07'!$AP$18:$AP$199,2*(ROWS(AT$59:AT62)-1)+1)),"")</f>
        <v/>
      </c>
      <c r="BP62" t="str" cm="1">
        <f t="array" ref="BP62">IFERROR(IF(D62="","",INDEX('M04-S07'!$CS$18:$CS$199,2*(ROWS(BP$59:BP62)-1)+1)),"")</f>
        <v/>
      </c>
      <c r="BR62" t="str" cm="1">
        <f t="array" ref="BR62">IFERROR(IF(D62="","",LEFT(INDEX('M04-S07'!$C$18:$C$199,2*(ROWS(BR$59:BR62)-1)+1),150)),"")</f>
        <v/>
      </c>
      <c r="BS62" t="str" cm="1">
        <f t="array" ref="BS62">IFERROR(IF(D62="","",INDEX('M04-S07'!$CT$18:$CT$199,2*(ROWS(BS$59:BS62)-1)+1)),"")</f>
        <v/>
      </c>
      <c r="BT62" s="6" t="str" cm="1">
        <f t="array" ref="BT62">IFERROR(ROUND(IF(D62="","",INDEX('M04-S07'!$BB$18:$BB$199,2*(ROWS(BT$59:BT62)-1)+1)),2),"")</f>
        <v/>
      </c>
      <c r="BU62" s="6" t="str" cm="1">
        <f t="array" ref="BU62">IFERROR(IF(D62="","",INDEX('M04-S07'!$CX$18:$CX$199,2*(ROWS(BU$59:BU62)-1)+1)),"")</f>
        <v/>
      </c>
      <c r="BV62" s="6" t="str" cm="1">
        <f t="array" ref="BV62">IFERROR(IF(D62="","",INDEX('M04-S07'!$CY$18:$CY$199,2*(ROWS(BV$59:BV62)-1)+1)),"")</f>
        <v/>
      </c>
      <c r="BW62" t="str">
        <f t="shared" si="100"/>
        <v/>
      </c>
      <c r="BX62" t="str">
        <f t="shared" si="101"/>
        <v/>
      </c>
      <c r="BY62" s="6" t="str" cm="1">
        <f t="array" ref="BY62">IFERROR(IF(D62="","",INDEX('M04-S07'!$CI$18:$CI$199,2*(ROWS(BY$59:BY62)-1)+1)),"")</f>
        <v/>
      </c>
      <c r="BZ62" s="6" t="str">
        <f t="shared" si="17"/>
        <v/>
      </c>
      <c r="CA62" s="6" t="str">
        <f t="shared" si="18"/>
        <v/>
      </c>
      <c r="CB62" s="6" t="str">
        <f t="shared" si="87"/>
        <v/>
      </c>
      <c r="CC62" s="6" t="str">
        <f t="shared" si="91"/>
        <v/>
      </c>
      <c r="CD62" s="6" t="str">
        <f t="shared" si="92"/>
        <v/>
      </c>
      <c r="CS62" t="str" cm="1">
        <f t="array" ref="CS62">IFERROR(IF(D62="","",INDEX('M04-S07'!$F$18:$F$199,2*(ROWS(CS$59:CS62)-1)+1)),"")</f>
        <v/>
      </c>
      <c r="CT62" t="str" cm="1">
        <f t="array" ref="CT62">IFERROR(IF(D62="","",INDEX('M04-S07'!$L$18:$L$199,2*(ROWS(CT$59:CT62)-1)+1)),"")</f>
        <v/>
      </c>
      <c r="CU62" t="str" cm="1">
        <f t="array" ref="CU62">IFERROR(IF(D62="","",INDEX('M04-S07'!$AD$18:$AD$199,2*(ROWS(CU$59:CU62)-1)+1)),"")</f>
        <v/>
      </c>
      <c r="DE62" s="150"/>
      <c r="DF62" s="150" t="str">
        <f>IFERROR(ROUND(IF(OR(D62="",DE62=""),"",TEMPLATE!$V$15),2),"")</f>
        <v/>
      </c>
      <c r="DG62" s="150"/>
      <c r="DH62" s="150" t="str">
        <f>IFERROR(ROUND(IF(OR(D62="",DG62=""),"",TEMPLATE!$V$15),2),"")</f>
        <v/>
      </c>
      <c r="DI62" s="150"/>
      <c r="DJ62" s="150" t="str">
        <f>IFERROR(ROUND(IF(OR(D62="",DI62=""),"",TEMPLATE!$V$15),2),"")</f>
        <v/>
      </c>
      <c r="DK62" s="150"/>
      <c r="DL62" s="150" t="str">
        <f>IFERROR(ROUND(IF(OR(D62="",DK62=""),"",TEMPLATE!$V$15),2),"")</f>
        <v/>
      </c>
      <c r="DM62" s="150"/>
      <c r="DN62" s="150" t="str">
        <f>IFERROR(ROUND(IF(OR(D62="",DM62=""),"",TEMPLATE!$V$15),2),"")</f>
        <v/>
      </c>
      <c r="DO62" s="150"/>
      <c r="DP62" s="150" t="str">
        <f>IFERROR(ROUND(IF(OR(D62="",DO62=""),"",TEMPLATE!$V$15),2),"")</f>
        <v/>
      </c>
      <c r="DQ62" s="150"/>
      <c r="DR62" s="150" t="str">
        <f>IFERROR(ROUND(IF(OR(D62="",DQ62=""),"",TEMPLATE!$V$15),2),"")</f>
        <v/>
      </c>
      <c r="DS62" s="150"/>
      <c r="DT62" s="150" t="str">
        <f>IFERROR(ROUND(IF(OR(D62="",DS62=""),"",TEMPLATE!$V$15),2),"")</f>
        <v/>
      </c>
      <c r="DU62" s="150" t="str" cm="1">
        <f t="array" ref="DU62">IFERROR(ROUND(IF($D62="","",INDEX('M04-S07'!DD$18:DD$199,2*(ROWS(DU$59:DU62)-1)+1)),4),"")</f>
        <v/>
      </c>
      <c r="DV62" s="150" t="str" cm="1">
        <f t="array" ref="DV62">IFERROR(ROUND(IF($D62="","",INDEX('M04-S07'!DE$18:DE$199,2*(ROWS(DV$59:DV62)-1)+1)),4),"")</f>
        <v/>
      </c>
      <c r="DW62" s="150" t="str" cm="1">
        <f t="array" ref="DW62">IFERROR(ROUND(IF($D62="","",INDEX('M04-S07'!DF$18:DF$199,2*(ROWS(DW$59:DW62)-1)+1)),4),"")</f>
        <v/>
      </c>
      <c r="DX62" s="150" t="str" cm="1">
        <f t="array" ref="DX62">IFERROR(ROUND(IF($D62="","",INDEX('M04-S07'!DG$18:DG$199,2*(ROWS(DX$59:DX62)-1)+1)),4),"")</f>
        <v/>
      </c>
      <c r="DY62" s="150" t="str" cm="1">
        <f t="array" ref="DY62">IFERROR(ROUND(IF($D62="","",INDEX('M04-S07'!DH$18:DH$199,2*(ROWS(DY$59:DY62)-1)+1)),4),"")</f>
        <v/>
      </c>
      <c r="DZ62" s="150" t="str" cm="1">
        <f t="array" ref="DZ62">IFERROR(ROUND(IF($D62="","",INDEX('M04-S07'!DI$18:DI$199,2*(ROWS(DZ$59:DZ62)-1)+1)),4),"")</f>
        <v/>
      </c>
      <c r="EA62" s="150" t="str" cm="1">
        <f t="array" ref="EA62">IFERROR(ROUND(IF($D62="","",INDEX('M04-S07'!DJ$18:DJ$199,2*(ROWS(EA$59:EA62)-1)+1)),4),"")</f>
        <v/>
      </c>
      <c r="EB62" s="150" t="str" cm="1">
        <f t="array" ref="EB62">IFERROR(ROUND(IF($D62="","",INDEX('M04-S07'!DK$18:DK$199,2*(ROWS(EB$59:EB62)-1)+1)),6),"")</f>
        <v/>
      </c>
      <c r="EC62" s="150" t="str" cm="1">
        <f t="array" ref="EC62">IFERROR(ROUND(IF($D62="","",INDEX('M04-S07'!DL$18:DL$199,2*(ROWS(EC$59:EC62)-1)+1)),6),"")</f>
        <v/>
      </c>
      <c r="ED62" s="150" t="str" cm="1">
        <f t="array" ref="ED62">IFERROR(ROUND(IF($D62="","",INDEX('M04-S07'!DM$18:DM$199,2*(ROWS(ED$59:ED62)-1)+1)),6),"")</f>
        <v/>
      </c>
      <c r="EE62" s="150" t="str" cm="1">
        <f t="array" ref="EE62">IFERROR(ROUND(IF($D62="","",INDEX('M04-S07'!DN$18:DN$199,2*(ROWS(EE$59:EE62)-1)+1)),6),"")</f>
        <v/>
      </c>
      <c r="EF62" s="150" t="str" cm="1">
        <f t="array" ref="EF62">IFERROR(ROUND(IF($D62="","",INDEX('M04-S07'!DO$18:DO$199,2*(ROWS(EF$59:EF62)-1)+1)),6),"")</f>
        <v/>
      </c>
      <c r="EG62" s="150" t="str" cm="1">
        <f t="array" ref="EG62">IFERROR(ROUND(IF($D62="","",INDEX('M04-S07'!DP$18:DP$199,2*(ROWS(EG$59:EG62)-1)+1)),6),"")</f>
        <v/>
      </c>
      <c r="EH62" s="150" t="str" cm="1">
        <f t="array" ref="EH62">IFERROR(ROUND(IF($D62="","",INDEX('M04-S07'!DQ$18:DQ$199,2*(ROWS(EH$59:EH62)-1)+1)),6),"")</f>
        <v/>
      </c>
      <c r="EI62" s="150" t="str" cm="1">
        <f t="array" ref="EI62">IFERROR(ROUND(IF($D62="","",INDEX('M04-S07'!DR$18:DR$199,2*(ROWS(EI$59:EI62)-1)+1)),6),"")</f>
        <v/>
      </c>
      <c r="EJ62" s="150" t="str" cm="1">
        <f t="array" ref="EJ62">IFERROR(ROUND(IF($D62="","",INDEX('M04-S07'!DS$18:DS$199,2*(ROWS(EJ$59:EJ62)-1)+1)),6),"")</f>
        <v/>
      </c>
      <c r="EK62" s="150" t="str" cm="1">
        <f t="array" ref="EK62">IFERROR(ROUND(IF($D62="","",INDEX('M04-S07'!DT$18:DT$199,2*(ROWS(EK$59:EK62)-1)+1)),6),"")</f>
        <v/>
      </c>
      <c r="EL62" s="150" t="str" cm="1">
        <f t="array" ref="EL62">IFERROR(ROUND(IF($D62="","",INDEX('M04-S07'!DU$18:DU$199,2*(ROWS(EL$59:EL62)-1)+1)),6),"")</f>
        <v/>
      </c>
      <c r="EM62" s="150" t="str" cm="1">
        <f t="array" ref="EM62">IFERROR(ROUND(IF($D62="","",INDEX('M04-S07'!DV$18:DV$199,2*(ROWS(EM$59:EM62)-1)+1)),6),"")</f>
        <v/>
      </c>
      <c r="EN62" s="150" t="str" cm="1">
        <f t="array" ref="EN62">IFERROR(ROUND(IF($D62="","",INDEX('M04-S07'!DW$18:DW$199,2*(ROWS(EN$59:EN62)-1)+1)),6),"")</f>
        <v/>
      </c>
      <c r="EO62" s="150" t="str" cm="1">
        <f t="array" ref="EO62">IFERROR(ROUND(IF($D62="","",INDEX('M04-S07'!DX$18:DX$199,2*(ROWS(EO$59:EO62)-1)+1)),6),"")</f>
        <v/>
      </c>
      <c r="EP62" s="150" t="str" cm="1">
        <f t="array" ref="EP62">IFERROR(ROUND(IF($D62="","",INDEX('M04-S07'!DY$18:DY$199,2*(ROWS(EP$59:EP62)-1)+1)),6),"")</f>
        <v/>
      </c>
      <c r="EQ62" s="150" t="str" cm="1">
        <f t="array" ref="EQ62">IFERROR(ROUND(IF($D62="","",INDEX('M04-S07'!DZ$18:DZ$199,2*(ROWS(EQ$59:EQ62)-1)+1)),6),"")</f>
        <v/>
      </c>
      <c r="ER62" s="150" t="str">
        <f t="shared" si="21"/>
        <v/>
      </c>
      <c r="ES62" s="150" t="str">
        <f t="shared" si="37"/>
        <v/>
      </c>
      <c r="ET62" s="150" t="str">
        <f t="shared" si="38"/>
        <v/>
      </c>
      <c r="EU62" s="150" t="str">
        <f t="shared" si="39"/>
        <v/>
      </c>
      <c r="EV62" s="150" t="str">
        <f t="shared" si="40"/>
        <v/>
      </c>
      <c r="EW62" s="150" t="str">
        <f t="shared" si="41"/>
        <v/>
      </c>
      <c r="EX62" s="150" t="str">
        <f t="shared" si="42"/>
        <v/>
      </c>
      <c r="EY62" s="150" t="str">
        <f t="shared" si="22"/>
        <v/>
      </c>
      <c r="EZ62" s="150" t="str" cm="1">
        <f t="array" ref="EZ62">IFERROR(ROUND(IF($D62="","",INDEX('M04-S07'!EA$18:EA$199,2*(ROWS(EZ$59:EZ62)-1)+1)),6),"")</f>
        <v/>
      </c>
      <c r="FA62" s="150" t="str" cm="1">
        <f t="array" ref="FA62">IFERROR(ROUND(IF($D62="","",INDEX('M04-S07'!EB$18:EB$199,2*(ROWS(FA$59:FA62)-1)+1)),6),"")</f>
        <v/>
      </c>
      <c r="FB62" s="150" t="str" cm="1">
        <f t="array" ref="FB62">IFERROR(ROUND(IF($D62="","",INDEX('M04-S07'!EC$18:EC$199,2*(ROWS(FB$59:FB62)-1)+1)),6),"")</f>
        <v/>
      </c>
      <c r="FC62" s="150" t="str" cm="1">
        <f t="array" ref="FC62">IFERROR(ROUND(IF($D62="","",INDEX('M04-S07'!ED$18:ED$199,2*(ROWS(FC$59:FC62)-1)+1)),6),"")</f>
        <v/>
      </c>
      <c r="FD62" s="150" t="str" cm="1">
        <f t="array" ref="FD62">IFERROR(ROUND(IF($D62="","",INDEX('M04-S07'!EE$18:EE$199,2*(ROWS(FD$59:FD62)-1)+1)),6),"")</f>
        <v/>
      </c>
      <c r="FE62" s="150" t="str" cm="1">
        <f t="array" ref="FE62">IFERROR(ROUND(IF($D62="","",INDEX('M04-S07'!EF$18:EF$199,2*(ROWS(FE$59:FE62)-1)+1)),6),"")</f>
        <v/>
      </c>
      <c r="FF62" s="150" t="str" cm="1">
        <f t="array" ref="FF62">IFERROR(ROUND(IF($D62="","",INDEX('M04-S07'!EG$18:EG$199,2*(ROWS(FF$59:FF62)-1)+1)),6),"")</f>
        <v/>
      </c>
      <c r="FG62" s="150" t="str" cm="1">
        <f t="array" ref="FG62">IFERROR(ROUND(IF($D62="","",INDEX('M04-S07'!EH$18:EH$199,2*(ROWS(FG$59:FG62)-1)+1)),6),"")</f>
        <v/>
      </c>
      <c r="FH62" s="150" t="str" cm="1">
        <f t="array" ref="FH62">IFERROR(ROUND(IF($D62="","",INDEX('M04-S07'!EI$18:EI$199,2*(ROWS(FH$59:FH62)-1)+1)),6),"")</f>
        <v/>
      </c>
      <c r="FI62" s="150" t="str" cm="1">
        <f t="array" ref="FI62">IFERROR(ROUND(IF($D62="","",INDEX('M04-S07'!EJ$18:EJ$199,2*(ROWS(FI$59:FI62)-1)+1)),6),"")</f>
        <v/>
      </c>
      <c r="FJ62" s="150" t="str" cm="1">
        <f t="array" ref="FJ62">IFERROR(ROUND(IF($D62="","",INDEX('M04-S07'!EK$18:EK$199,2*(ROWS(FJ$59:FJ62)-1)+1)),6),"")</f>
        <v/>
      </c>
      <c r="FK62" s="150" t="str" cm="1">
        <f t="array" ref="FK62">IFERROR(ROUND(IF($D62="","",INDEX('M04-S07'!EL$18:EL$199,2*(ROWS(FK$59:FK62)-1)+1)),6),"")</f>
        <v/>
      </c>
      <c r="FL62" s="150" t="str" cm="1">
        <f t="array" ref="FL62">IFERROR(ROUND(IF($D62="","",INDEX('M04-S07'!EM$18:EM$199,2*(ROWS(FL$59:FL62)-1)+1)),6),"")</f>
        <v/>
      </c>
      <c r="FM62" s="150" t="str" cm="1">
        <f t="array" ref="FM62">IFERROR(ROUND(IF($D62="","",INDEX('M04-S07'!EN$18:EN$199,2*(ROWS(FM$59:FM62)-1)+1)),6),"")</f>
        <v/>
      </c>
    </row>
    <row r="63" spans="1:169">
      <c r="A63" t="str">
        <f t="shared" si="88"/>
        <v/>
      </c>
      <c r="B63" t="str">
        <f t="shared" si="93"/>
        <v/>
      </c>
      <c r="C63" t="str" cm="1">
        <f t="array" ref="C63">IFERROR(IF(D63="","",INDEX('M04-S07'!$B$18:$B$199,2*(ROWS(C$59:C63)-1)+1)),"")</f>
        <v/>
      </c>
      <c r="D63" t="str">
        <f t="shared" si="94"/>
        <v/>
      </c>
      <c r="E63" t="str" cm="1">
        <f t="array" ref="E63">IFERROR(IF(INDEX('M04-S07'!$CC$18:$CC$199,2*(ROWS(E$59:E63)-1)+1)="","",INDEX('M04-S07'!$CC$18:$CC$199,2*(ROWS(E$59:E63)-1)+1)),"")</f>
        <v/>
      </c>
      <c r="G63" t="str">
        <f t="shared" si="95"/>
        <v/>
      </c>
      <c r="H63" t="str">
        <f t="shared" si="96"/>
        <v/>
      </c>
      <c r="L63" t="str">
        <f t="shared" si="97"/>
        <v/>
      </c>
      <c r="O63" t="str">
        <f t="shared" si="98"/>
        <v/>
      </c>
      <c r="V63" t="str" cm="1">
        <f t="array" ref="V63">IFERROR(IF(D63="","",INDEX('M04-S07'!$AY$18:$AY$199,2*(ROWS(V$59:V63)-1)+1)),"")</f>
        <v/>
      </c>
      <c r="W63" t="str" cm="1">
        <f t="array" ref="W63">IFERROR(IF(D63="","",INDEX('M04-S07'!$AV$18:$AV$199,2*(ROWS(W$59:W63)-1)+1)),"")</f>
        <v/>
      </c>
      <c r="X63" t="str" cm="1">
        <f t="array" ref="X63">IFERROR(IF(D63="","",INDEX('M04-S07'!$AV$18:$AV$199,2*(ROWS(X$59:X63)-0)+0)),"")</f>
        <v/>
      </c>
      <c r="AG63" s="98" t="str" cm="1">
        <f t="array" ref="AG63">IFERROR(IF(D63="","",IF(INDEX('M04-S07'!$CB$18:$CB$199,2*(ROWS(AG$59:AG63)-1)+1)="","",INDEX('M04-S07'!$CB$18:$CB$199,2*(ROWS(AG$59:AG63)-1)+1))),"")</f>
        <v/>
      </c>
      <c r="AH63" s="98" t="str" cm="1">
        <f t="array" ref="AH63">IFERROR(IF(D63="","",IF(INDEX('M04-S07'!$CU$18:$CU$199,2*(ROWS(AH$59:AH63)-1)+1)="","",INDEX('M04-S07'!$CU$18:$CU$199,2*(ROWS(AH$59:AH63)-1)+1))),"")</f>
        <v/>
      </c>
      <c r="AI63" s="20" t="str" cm="1">
        <f t="array" ref="AI63">IFERROR(IF(D63="","",IF(INDEX('M04-S07'!$CM$18:$CM$199,2*(ROWS(AI$59:AI63)-1)+1)="",0,INDEX('M04-S07'!$CM$18:$CM$199,2*(ROWS(AI$59:AI63)-1)+1))),"")</f>
        <v/>
      </c>
      <c r="AJ63" s="20" t="str">
        <f t="shared" si="86"/>
        <v/>
      </c>
      <c r="AK63" s="487" t="str" cm="1">
        <f t="array" ref="AK63">IFERROR(IF(D63="","",IF(INDEX('M04-S07'!$CN$18:$CN$199,2*(ROWS(AK$59:AK63)-1)+1)="",0,INDEX('M04-S07'!$CN$18:$CN$199,2*(ROWS(AK$59:AK63)-1)+1))),"")</f>
        <v/>
      </c>
      <c r="AL63" s="20" t="str">
        <f t="shared" si="99"/>
        <v/>
      </c>
      <c r="AM63" s="20" t="str">
        <f t="shared" si="90"/>
        <v/>
      </c>
      <c r="AN63" s="20" t="str" cm="1">
        <f t="array" ref="AN63">IFERROR(IF(D63="","",IF(INDEX('M04-S07'!$CO$18:$CO$199,2*(ROWS(AN$59:AN63)-1)+1)="",0,INDEX('M04-S07'!$CO$18:$CO$199,2*(ROWS(AN$59:AN63)-1)+1))),"")</f>
        <v/>
      </c>
      <c r="AO63" s="20" t="str" cm="1">
        <f t="array" ref="AO63">IFERROR(IF(D63="","",INDEX('M04-S07'!$R$18:$R$199,2*(ROWS(AO$59:AO63)-1)+1)),"")</f>
        <v/>
      </c>
      <c r="AP63" s="20" t="str" cm="1">
        <f t="array" ref="AP63">IFERROR(IF(D63="","",INDEX('M04-S07'!$AJ$18:$AJ$199,2*(ROWS(AP$59:AP63)-1)+1)),"")</f>
        <v/>
      </c>
      <c r="AQ63" s="487" t="str" cm="1">
        <f t="array" ref="AQ63">IFERROR(IF(D63="","",INDEX('M04-S07'!$U$18:$U$199,2*(ROWS(AQ$59:AQ63)-1)+1)),"")</f>
        <v/>
      </c>
      <c r="AR63" s="487" t="str" cm="1">
        <f t="array" ref="AR63">IFERROR(IF(D63="","",INDEX('M04-S07'!$AM$18:$AM$199,2*(ROWS(AR$59:AR63)-1)+1)),"")</f>
        <v/>
      </c>
      <c r="AS63" s="20" t="str" cm="1">
        <f t="array" ref="AS63">IFERROR(IF(D63="","",INDEX('M04-S07'!$X$18:$X$199,2*(ROWS(AS$59:AS63)-1)+1)),"")</f>
        <v/>
      </c>
      <c r="AT63" s="20" t="str" cm="1">
        <f t="array" ref="AT63">IFERROR(IF(D63="","",INDEX('M04-S07'!$AP$18:$AP$199,2*(ROWS(AT$59:AT63)-1)+1)),"")</f>
        <v/>
      </c>
      <c r="BP63" t="str" cm="1">
        <f t="array" ref="BP63">IFERROR(IF(D63="","",INDEX('M04-S07'!$CS$18:$CS$199,2*(ROWS(BP$59:BP63)-1)+1)),"")</f>
        <v/>
      </c>
      <c r="BR63" t="str" cm="1">
        <f t="array" ref="BR63">IFERROR(IF(D63="","",LEFT(INDEX('M04-S07'!$C$18:$C$199,2*(ROWS(BR$59:BR63)-1)+1),150)),"")</f>
        <v/>
      </c>
      <c r="BS63" t="str" cm="1">
        <f t="array" ref="BS63">IFERROR(IF(D63="","",INDEX('M04-S07'!$CT$18:$CT$199,2*(ROWS(BS$59:BS63)-1)+1)),"")</f>
        <v/>
      </c>
      <c r="BT63" s="6" t="str" cm="1">
        <f t="array" ref="BT63">IFERROR(ROUND(IF(D63="","",INDEX('M04-S07'!$BB$18:$BB$199,2*(ROWS(BT$59:BT63)-1)+1)),2),"")</f>
        <v/>
      </c>
      <c r="BU63" s="6" t="str" cm="1">
        <f t="array" ref="BU63">IFERROR(IF(D63="","",INDEX('M04-S07'!$CX$18:$CX$199,2*(ROWS(BU$59:BU63)-1)+1)),"")</f>
        <v/>
      </c>
      <c r="BV63" s="6" t="str" cm="1">
        <f t="array" ref="BV63">IFERROR(IF(D63="","",INDEX('M04-S07'!$CY$18:$CY$199,2*(ROWS(BV$59:BV63)-1)+1)),"")</f>
        <v/>
      </c>
      <c r="BW63" t="str">
        <f t="shared" si="100"/>
        <v/>
      </c>
      <c r="BX63" t="str">
        <f t="shared" si="101"/>
        <v/>
      </c>
      <c r="BY63" s="6" t="str" cm="1">
        <f t="array" ref="BY63">IFERROR(IF(D63="","",INDEX('M04-S07'!$CI$18:$CI$199,2*(ROWS(BY$59:BY63)-1)+1)),"")</f>
        <v/>
      </c>
      <c r="BZ63" s="6" t="str">
        <f t="shared" si="17"/>
        <v/>
      </c>
      <c r="CA63" s="6" t="str">
        <f t="shared" si="18"/>
        <v/>
      </c>
      <c r="CB63" s="6" t="str">
        <f t="shared" si="87"/>
        <v/>
      </c>
      <c r="CC63" s="6" t="str">
        <f t="shared" si="91"/>
        <v/>
      </c>
      <c r="CD63" s="6" t="str">
        <f t="shared" si="92"/>
        <v/>
      </c>
      <c r="CS63" t="str" cm="1">
        <f t="array" ref="CS63">IFERROR(IF(D63="","",INDEX('M04-S07'!$F$18:$F$199,2*(ROWS(CS$59:CS63)-1)+1)),"")</f>
        <v/>
      </c>
      <c r="CT63" t="str" cm="1">
        <f t="array" ref="CT63">IFERROR(IF(D63="","",INDEX('M04-S07'!$L$18:$L$199,2*(ROWS(CT$59:CT63)-1)+1)),"")</f>
        <v/>
      </c>
      <c r="CU63" t="str" cm="1">
        <f t="array" ref="CU63">IFERROR(IF(D63="","",INDEX('M04-S07'!$AD$18:$AD$199,2*(ROWS(CU$59:CU63)-1)+1)),"")</f>
        <v/>
      </c>
      <c r="DE63" s="150"/>
      <c r="DF63" s="150" t="str">
        <f>IFERROR(ROUND(IF(OR(D63="",DE63=""),"",TEMPLATE!$V$15),2),"")</f>
        <v/>
      </c>
      <c r="DG63" s="150"/>
      <c r="DH63" s="150" t="str">
        <f>IFERROR(ROUND(IF(OR(D63="",DG63=""),"",TEMPLATE!$V$15),2),"")</f>
        <v/>
      </c>
      <c r="DI63" s="150"/>
      <c r="DJ63" s="150" t="str">
        <f>IFERROR(ROUND(IF(OR(D63="",DI63=""),"",TEMPLATE!$V$15),2),"")</f>
        <v/>
      </c>
      <c r="DK63" s="150"/>
      <c r="DL63" s="150" t="str">
        <f>IFERROR(ROUND(IF(OR(D63="",DK63=""),"",TEMPLATE!$V$15),2),"")</f>
        <v/>
      </c>
      <c r="DM63" s="150"/>
      <c r="DN63" s="150" t="str">
        <f>IFERROR(ROUND(IF(OR(D63="",DM63=""),"",TEMPLATE!$V$15),2),"")</f>
        <v/>
      </c>
      <c r="DO63" s="150"/>
      <c r="DP63" s="150" t="str">
        <f>IFERROR(ROUND(IF(OR(D63="",DO63=""),"",TEMPLATE!$V$15),2),"")</f>
        <v/>
      </c>
      <c r="DQ63" s="150"/>
      <c r="DR63" s="150" t="str">
        <f>IFERROR(ROUND(IF(OR(D63="",DQ63=""),"",TEMPLATE!$V$15),2),"")</f>
        <v/>
      </c>
      <c r="DS63" s="150"/>
      <c r="DT63" s="150" t="str">
        <f>IFERROR(ROUND(IF(OR(D63="",DS63=""),"",TEMPLATE!$V$15),2),"")</f>
        <v/>
      </c>
      <c r="DU63" s="150" t="str" cm="1">
        <f t="array" ref="DU63">IFERROR(ROUND(IF($D63="","",INDEX('M04-S07'!DD$18:DD$199,2*(ROWS(DU$59:DU63)-1)+1)),4),"")</f>
        <v/>
      </c>
      <c r="DV63" s="150" t="str" cm="1">
        <f t="array" ref="DV63">IFERROR(ROUND(IF($D63="","",INDEX('M04-S07'!DE$18:DE$199,2*(ROWS(DV$59:DV63)-1)+1)),4),"")</f>
        <v/>
      </c>
      <c r="DW63" s="150" t="str" cm="1">
        <f t="array" ref="DW63">IFERROR(ROUND(IF($D63="","",INDEX('M04-S07'!DF$18:DF$199,2*(ROWS(DW$59:DW63)-1)+1)),4),"")</f>
        <v/>
      </c>
      <c r="DX63" s="150" t="str" cm="1">
        <f t="array" ref="DX63">IFERROR(ROUND(IF($D63="","",INDEX('M04-S07'!DG$18:DG$199,2*(ROWS(DX$59:DX63)-1)+1)),4),"")</f>
        <v/>
      </c>
      <c r="DY63" s="150" t="str" cm="1">
        <f t="array" ref="DY63">IFERROR(ROUND(IF($D63="","",INDEX('M04-S07'!DH$18:DH$199,2*(ROWS(DY$59:DY63)-1)+1)),4),"")</f>
        <v/>
      </c>
      <c r="DZ63" s="150" t="str" cm="1">
        <f t="array" ref="DZ63">IFERROR(ROUND(IF($D63="","",INDEX('M04-S07'!DI$18:DI$199,2*(ROWS(DZ$59:DZ63)-1)+1)),4),"")</f>
        <v/>
      </c>
      <c r="EA63" s="150" t="str" cm="1">
        <f t="array" ref="EA63">IFERROR(ROUND(IF($D63="","",INDEX('M04-S07'!DJ$18:DJ$199,2*(ROWS(EA$59:EA63)-1)+1)),4),"")</f>
        <v/>
      </c>
      <c r="EB63" s="150" t="str" cm="1">
        <f t="array" ref="EB63">IFERROR(ROUND(IF($D63="","",INDEX('M04-S07'!DK$18:DK$199,2*(ROWS(EB$59:EB63)-1)+1)),6),"")</f>
        <v/>
      </c>
      <c r="EC63" s="150" t="str" cm="1">
        <f t="array" ref="EC63">IFERROR(ROUND(IF($D63="","",INDEX('M04-S07'!DL$18:DL$199,2*(ROWS(EC$59:EC63)-1)+1)),6),"")</f>
        <v/>
      </c>
      <c r="ED63" s="150" t="str" cm="1">
        <f t="array" ref="ED63">IFERROR(ROUND(IF($D63="","",INDEX('M04-S07'!DM$18:DM$199,2*(ROWS(ED$59:ED63)-1)+1)),6),"")</f>
        <v/>
      </c>
      <c r="EE63" s="150" t="str" cm="1">
        <f t="array" ref="EE63">IFERROR(ROUND(IF($D63="","",INDEX('M04-S07'!DN$18:DN$199,2*(ROWS(EE$59:EE63)-1)+1)),6),"")</f>
        <v/>
      </c>
      <c r="EF63" s="150" t="str" cm="1">
        <f t="array" ref="EF63">IFERROR(ROUND(IF($D63="","",INDEX('M04-S07'!DO$18:DO$199,2*(ROWS(EF$59:EF63)-1)+1)),6),"")</f>
        <v/>
      </c>
      <c r="EG63" s="150" t="str" cm="1">
        <f t="array" ref="EG63">IFERROR(ROUND(IF($D63="","",INDEX('M04-S07'!DP$18:DP$199,2*(ROWS(EG$59:EG63)-1)+1)),6),"")</f>
        <v/>
      </c>
      <c r="EH63" s="150" t="str" cm="1">
        <f t="array" ref="EH63">IFERROR(ROUND(IF($D63="","",INDEX('M04-S07'!DQ$18:DQ$199,2*(ROWS(EH$59:EH63)-1)+1)),6),"")</f>
        <v/>
      </c>
      <c r="EI63" s="150" t="str" cm="1">
        <f t="array" ref="EI63">IFERROR(ROUND(IF($D63="","",INDEX('M04-S07'!DR$18:DR$199,2*(ROWS(EI$59:EI63)-1)+1)),6),"")</f>
        <v/>
      </c>
      <c r="EJ63" s="150" t="str" cm="1">
        <f t="array" ref="EJ63">IFERROR(ROUND(IF($D63="","",INDEX('M04-S07'!DS$18:DS$199,2*(ROWS(EJ$59:EJ63)-1)+1)),6),"")</f>
        <v/>
      </c>
      <c r="EK63" s="150" t="str" cm="1">
        <f t="array" ref="EK63">IFERROR(ROUND(IF($D63="","",INDEX('M04-S07'!DT$18:DT$199,2*(ROWS(EK$59:EK63)-1)+1)),6),"")</f>
        <v/>
      </c>
      <c r="EL63" s="150" t="str" cm="1">
        <f t="array" ref="EL63">IFERROR(ROUND(IF($D63="","",INDEX('M04-S07'!DU$18:DU$199,2*(ROWS(EL$59:EL63)-1)+1)),6),"")</f>
        <v/>
      </c>
      <c r="EM63" s="150" t="str" cm="1">
        <f t="array" ref="EM63">IFERROR(ROUND(IF($D63="","",INDEX('M04-S07'!DV$18:DV$199,2*(ROWS(EM$59:EM63)-1)+1)),6),"")</f>
        <v/>
      </c>
      <c r="EN63" s="150" t="str" cm="1">
        <f t="array" ref="EN63">IFERROR(ROUND(IF($D63="","",INDEX('M04-S07'!DW$18:DW$199,2*(ROWS(EN$59:EN63)-1)+1)),6),"")</f>
        <v/>
      </c>
      <c r="EO63" s="150" t="str" cm="1">
        <f t="array" ref="EO63">IFERROR(ROUND(IF($D63="","",INDEX('M04-S07'!DX$18:DX$199,2*(ROWS(EO$59:EO63)-1)+1)),6),"")</f>
        <v/>
      </c>
      <c r="EP63" s="150" t="str" cm="1">
        <f t="array" ref="EP63">IFERROR(ROUND(IF($D63="","",INDEX('M04-S07'!DY$18:DY$199,2*(ROWS(EP$59:EP63)-1)+1)),6),"")</f>
        <v/>
      </c>
      <c r="EQ63" s="150" t="str" cm="1">
        <f t="array" ref="EQ63">IFERROR(ROUND(IF($D63="","",INDEX('M04-S07'!DZ$18:DZ$199,2*(ROWS(EQ$59:EQ63)-1)+1)),6),"")</f>
        <v/>
      </c>
      <c r="ER63" s="150" t="str">
        <f t="shared" si="21"/>
        <v/>
      </c>
      <c r="ES63" s="150" t="str">
        <f t="shared" si="37"/>
        <v/>
      </c>
      <c r="ET63" s="150" t="str">
        <f t="shared" si="38"/>
        <v/>
      </c>
      <c r="EU63" s="150" t="str">
        <f t="shared" si="39"/>
        <v/>
      </c>
      <c r="EV63" s="150" t="str">
        <f t="shared" si="40"/>
        <v/>
      </c>
      <c r="EW63" s="150" t="str">
        <f t="shared" si="41"/>
        <v/>
      </c>
      <c r="EX63" s="150" t="str">
        <f t="shared" si="42"/>
        <v/>
      </c>
      <c r="EY63" s="150" t="str">
        <f t="shared" si="22"/>
        <v/>
      </c>
      <c r="EZ63" s="150" t="str" cm="1">
        <f t="array" ref="EZ63">IFERROR(ROUND(IF($D63="","",INDEX('M04-S07'!EA$18:EA$199,2*(ROWS(EZ$59:EZ63)-1)+1)),6),"")</f>
        <v/>
      </c>
      <c r="FA63" s="150" t="str" cm="1">
        <f t="array" ref="FA63">IFERROR(ROUND(IF($D63="","",INDEX('M04-S07'!EB$18:EB$199,2*(ROWS(FA$59:FA63)-1)+1)),6),"")</f>
        <v/>
      </c>
      <c r="FB63" s="150" t="str" cm="1">
        <f t="array" ref="FB63">IFERROR(ROUND(IF($D63="","",INDEX('M04-S07'!EC$18:EC$199,2*(ROWS(FB$59:FB63)-1)+1)),6),"")</f>
        <v/>
      </c>
      <c r="FC63" s="150" t="str" cm="1">
        <f t="array" ref="FC63">IFERROR(ROUND(IF($D63="","",INDEX('M04-S07'!ED$18:ED$199,2*(ROWS(FC$59:FC63)-1)+1)),6),"")</f>
        <v/>
      </c>
      <c r="FD63" s="150" t="str" cm="1">
        <f t="array" ref="FD63">IFERROR(ROUND(IF($D63="","",INDEX('M04-S07'!EE$18:EE$199,2*(ROWS(FD$59:FD63)-1)+1)),6),"")</f>
        <v/>
      </c>
      <c r="FE63" s="150" t="str" cm="1">
        <f t="array" ref="FE63">IFERROR(ROUND(IF($D63="","",INDEX('M04-S07'!EF$18:EF$199,2*(ROWS(FE$59:FE63)-1)+1)),6),"")</f>
        <v/>
      </c>
      <c r="FF63" s="150" t="str" cm="1">
        <f t="array" ref="FF63">IFERROR(ROUND(IF($D63="","",INDEX('M04-S07'!EG$18:EG$199,2*(ROWS(FF$59:FF63)-1)+1)),6),"")</f>
        <v/>
      </c>
      <c r="FG63" s="150" t="str" cm="1">
        <f t="array" ref="FG63">IFERROR(ROUND(IF($D63="","",INDEX('M04-S07'!EH$18:EH$199,2*(ROWS(FG$59:FG63)-1)+1)),6),"")</f>
        <v/>
      </c>
      <c r="FH63" s="150" t="str" cm="1">
        <f t="array" ref="FH63">IFERROR(ROUND(IF($D63="","",INDEX('M04-S07'!EI$18:EI$199,2*(ROWS(FH$59:FH63)-1)+1)),6),"")</f>
        <v/>
      </c>
      <c r="FI63" s="150" t="str" cm="1">
        <f t="array" ref="FI63">IFERROR(ROUND(IF($D63="","",INDEX('M04-S07'!EJ$18:EJ$199,2*(ROWS(FI$59:FI63)-1)+1)),6),"")</f>
        <v/>
      </c>
      <c r="FJ63" s="150" t="str" cm="1">
        <f t="array" ref="FJ63">IFERROR(ROUND(IF($D63="","",INDEX('M04-S07'!EK$18:EK$199,2*(ROWS(FJ$59:FJ63)-1)+1)),6),"")</f>
        <v/>
      </c>
      <c r="FK63" s="150" t="str" cm="1">
        <f t="array" ref="FK63">IFERROR(ROUND(IF($D63="","",INDEX('M04-S07'!EL$18:EL$199,2*(ROWS(FK$59:FK63)-1)+1)),6),"")</f>
        <v/>
      </c>
      <c r="FL63" s="150" t="str" cm="1">
        <f t="array" ref="FL63">IFERROR(ROUND(IF($D63="","",INDEX('M04-S07'!EM$18:EM$199,2*(ROWS(FL$59:FL63)-1)+1)),6),"")</f>
        <v/>
      </c>
      <c r="FM63" s="150" t="str" cm="1">
        <f t="array" ref="FM63">IFERROR(ROUND(IF($D63="","",INDEX('M04-S07'!EN$18:EN$199,2*(ROWS(FM$59:FM63)-1)+1)),6),"")</f>
        <v/>
      </c>
    </row>
    <row r="64" spans="1:169">
      <c r="A64" t="str">
        <f t="shared" si="88"/>
        <v/>
      </c>
      <c r="B64" t="str">
        <f t="shared" si="93"/>
        <v/>
      </c>
      <c r="C64" t="str" cm="1">
        <f t="array" ref="C64">IFERROR(IF(D64="","",INDEX('M04-S07'!$B$18:$B$199,2*(ROWS(C$59:C64)-1)+1)),"")</f>
        <v/>
      </c>
      <c r="D64" t="str">
        <f t="shared" si="94"/>
        <v/>
      </c>
      <c r="E64" t="str" cm="1">
        <f t="array" ref="E64">IFERROR(IF(INDEX('M04-S07'!$CC$18:$CC$199,2*(ROWS(E$59:E64)-1)+1)="","",INDEX('M04-S07'!$CC$18:$CC$199,2*(ROWS(E$59:E64)-1)+1)),"")</f>
        <v/>
      </c>
      <c r="G64" t="str">
        <f t="shared" si="95"/>
        <v/>
      </c>
      <c r="H64" t="str">
        <f t="shared" si="96"/>
        <v/>
      </c>
      <c r="L64" t="str">
        <f t="shared" si="97"/>
        <v/>
      </c>
      <c r="O64" t="str">
        <f t="shared" si="98"/>
        <v/>
      </c>
      <c r="V64" t="str" cm="1">
        <f t="array" ref="V64">IFERROR(IF(D64="","",INDEX('M04-S07'!$AY$18:$AY$199,2*(ROWS(V$59:V64)-1)+1)),"")</f>
        <v/>
      </c>
      <c r="W64" t="str" cm="1">
        <f t="array" ref="W64">IFERROR(IF(D64="","",INDEX('M04-S07'!$AV$18:$AV$199,2*(ROWS(W$59:W64)-1)+1)),"")</f>
        <v/>
      </c>
      <c r="X64" t="str" cm="1">
        <f t="array" ref="X64">IFERROR(IF(D64="","",INDEX('M04-S07'!$AV$18:$AV$199,2*(ROWS(X$59:X64)-0)+0)),"")</f>
        <v/>
      </c>
      <c r="AG64" s="98" t="str" cm="1">
        <f t="array" ref="AG64">IFERROR(IF(D64="","",IF(INDEX('M04-S07'!$CB$18:$CB$199,2*(ROWS(AG$59:AG64)-1)+1)="","",INDEX('M04-S07'!$CB$18:$CB$199,2*(ROWS(AG$59:AG64)-1)+1))),"")</f>
        <v/>
      </c>
      <c r="AH64" s="98" t="str" cm="1">
        <f t="array" ref="AH64">IFERROR(IF(D64="","",IF(INDEX('M04-S07'!$CU$18:$CU$199,2*(ROWS(AH$59:AH64)-1)+1)="","",INDEX('M04-S07'!$CU$18:$CU$199,2*(ROWS(AH$59:AH64)-1)+1))),"")</f>
        <v/>
      </c>
      <c r="AI64" s="20" t="str" cm="1">
        <f t="array" ref="AI64">IFERROR(IF(D64="","",IF(INDEX('M04-S07'!$CM$18:$CM$199,2*(ROWS(AI$59:AI64)-1)+1)="",0,INDEX('M04-S07'!$CM$18:$CM$199,2*(ROWS(AI$59:AI64)-1)+1))),"")</f>
        <v/>
      </c>
      <c r="AJ64" s="20" t="str">
        <f t="shared" si="86"/>
        <v/>
      </c>
      <c r="AK64" s="487" t="str" cm="1">
        <f t="array" ref="AK64">IFERROR(IF(D64="","",IF(INDEX('M04-S07'!$CN$18:$CN$199,2*(ROWS(AK$59:AK64)-1)+1)="",0,INDEX('M04-S07'!$CN$18:$CN$199,2*(ROWS(AK$59:AK64)-1)+1))),"")</f>
        <v/>
      </c>
      <c r="AL64" s="20" t="str">
        <f t="shared" si="99"/>
        <v/>
      </c>
      <c r="AM64" s="20" t="str">
        <f t="shared" si="90"/>
        <v/>
      </c>
      <c r="AN64" s="20" t="str" cm="1">
        <f t="array" ref="AN64">IFERROR(IF(D64="","",IF(INDEX('M04-S07'!$CO$18:$CO$199,2*(ROWS(AN$59:AN64)-1)+1)="",0,INDEX('M04-S07'!$CO$18:$CO$199,2*(ROWS(AN$59:AN64)-1)+1))),"")</f>
        <v/>
      </c>
      <c r="AO64" s="20" t="str" cm="1">
        <f t="array" ref="AO64">IFERROR(IF(D64="","",INDEX('M04-S07'!$R$18:$R$199,2*(ROWS(AO$59:AO64)-1)+1)),"")</f>
        <v/>
      </c>
      <c r="AP64" s="20" t="str" cm="1">
        <f t="array" ref="AP64">IFERROR(IF(D64="","",INDEX('M04-S07'!$AJ$18:$AJ$199,2*(ROWS(AP$59:AP64)-1)+1)),"")</f>
        <v/>
      </c>
      <c r="AQ64" s="487" t="str" cm="1">
        <f t="array" ref="AQ64">IFERROR(IF(D64="","",INDEX('M04-S07'!$U$18:$U$199,2*(ROWS(AQ$59:AQ64)-1)+1)),"")</f>
        <v/>
      </c>
      <c r="AR64" s="487" t="str" cm="1">
        <f t="array" ref="AR64">IFERROR(IF(D64="","",INDEX('M04-S07'!$AM$18:$AM$199,2*(ROWS(AR$59:AR64)-1)+1)),"")</f>
        <v/>
      </c>
      <c r="AS64" s="20" t="str" cm="1">
        <f t="array" ref="AS64">IFERROR(IF(D64="","",INDEX('M04-S07'!$X$18:$X$199,2*(ROWS(AS$59:AS64)-1)+1)),"")</f>
        <v/>
      </c>
      <c r="AT64" s="20" t="str" cm="1">
        <f t="array" ref="AT64">IFERROR(IF(D64="","",INDEX('M04-S07'!$AP$18:$AP$199,2*(ROWS(AT$59:AT64)-1)+1)),"")</f>
        <v/>
      </c>
      <c r="BP64" t="str" cm="1">
        <f t="array" ref="BP64">IFERROR(IF(D64="","",INDEX('M04-S07'!$CS$18:$CS$199,2*(ROWS(BP$59:BP64)-1)+1)),"")</f>
        <v/>
      </c>
      <c r="BR64" t="str" cm="1">
        <f t="array" ref="BR64">IFERROR(IF(D64="","",LEFT(INDEX('M04-S07'!$C$18:$C$199,2*(ROWS(BR$59:BR64)-1)+1),150)),"")</f>
        <v/>
      </c>
      <c r="BS64" t="str" cm="1">
        <f t="array" ref="BS64">IFERROR(IF(D64="","",INDEX('M04-S07'!$CT$18:$CT$199,2*(ROWS(BS$59:BS64)-1)+1)),"")</f>
        <v/>
      </c>
      <c r="BT64" s="6" t="str" cm="1">
        <f t="array" ref="BT64">IFERROR(ROUND(IF(D64="","",INDEX('M04-S07'!$BB$18:$BB$199,2*(ROWS(BT$59:BT64)-1)+1)),2),"")</f>
        <v/>
      </c>
      <c r="BU64" s="6" t="str" cm="1">
        <f t="array" ref="BU64">IFERROR(IF(D64="","",INDEX('M04-S07'!$CX$18:$CX$199,2*(ROWS(BU$59:BU64)-1)+1)),"")</f>
        <v/>
      </c>
      <c r="BV64" s="6" t="str" cm="1">
        <f t="array" ref="BV64">IFERROR(IF(D64="","",INDEX('M04-S07'!$CY$18:$CY$199,2*(ROWS(BV$59:BV64)-1)+1)),"")</f>
        <v/>
      </c>
      <c r="BW64" t="str">
        <f t="shared" si="100"/>
        <v/>
      </c>
      <c r="BX64" t="str">
        <f t="shared" si="101"/>
        <v/>
      </c>
      <c r="BY64" s="6" t="str" cm="1">
        <f t="array" ref="BY64">IFERROR(IF(D64="","",INDEX('M04-S07'!$CI$18:$CI$199,2*(ROWS(BY$59:BY64)-1)+1)),"")</f>
        <v/>
      </c>
      <c r="BZ64" s="6" t="str">
        <f t="shared" si="17"/>
        <v/>
      </c>
      <c r="CA64" s="6" t="str">
        <f t="shared" si="18"/>
        <v/>
      </c>
      <c r="CB64" s="6" t="str">
        <f t="shared" si="87"/>
        <v/>
      </c>
      <c r="CC64" s="6" t="str">
        <f t="shared" si="91"/>
        <v/>
      </c>
      <c r="CD64" s="6" t="str">
        <f t="shared" si="92"/>
        <v/>
      </c>
      <c r="CS64" t="str" cm="1">
        <f t="array" ref="CS64">IFERROR(IF(D64="","",INDEX('M04-S07'!$F$18:$F$199,2*(ROWS(CS$59:CS64)-1)+1)),"")</f>
        <v/>
      </c>
      <c r="CT64" t="str" cm="1">
        <f t="array" ref="CT64">IFERROR(IF(D64="","",INDEX('M04-S07'!$L$18:$L$199,2*(ROWS(CT$59:CT64)-1)+1)),"")</f>
        <v/>
      </c>
      <c r="CU64" t="str" cm="1">
        <f t="array" ref="CU64">IFERROR(IF(D64="","",INDEX('M04-S07'!$AD$18:$AD$199,2*(ROWS(CU$59:CU64)-1)+1)),"")</f>
        <v/>
      </c>
      <c r="DE64" s="150"/>
      <c r="DF64" s="150" t="str">
        <f>IFERROR(ROUND(IF(OR(D64="",DE64=""),"",TEMPLATE!$V$15),2),"")</f>
        <v/>
      </c>
      <c r="DG64" s="150"/>
      <c r="DH64" s="150" t="str">
        <f>IFERROR(ROUND(IF(OR(D64="",DG64=""),"",TEMPLATE!$V$15),2),"")</f>
        <v/>
      </c>
      <c r="DI64" s="150"/>
      <c r="DJ64" s="150" t="str">
        <f>IFERROR(ROUND(IF(OR(D64="",DI64=""),"",TEMPLATE!$V$15),2),"")</f>
        <v/>
      </c>
      <c r="DK64" s="150"/>
      <c r="DL64" s="150" t="str">
        <f>IFERROR(ROUND(IF(OR(D64="",DK64=""),"",TEMPLATE!$V$15),2),"")</f>
        <v/>
      </c>
      <c r="DM64" s="150"/>
      <c r="DN64" s="150" t="str">
        <f>IFERROR(ROUND(IF(OR(D64="",DM64=""),"",TEMPLATE!$V$15),2),"")</f>
        <v/>
      </c>
      <c r="DO64" s="150"/>
      <c r="DP64" s="150" t="str">
        <f>IFERROR(ROUND(IF(OR(D64="",DO64=""),"",TEMPLATE!$V$15),2),"")</f>
        <v/>
      </c>
      <c r="DQ64" s="150"/>
      <c r="DR64" s="150" t="str">
        <f>IFERROR(ROUND(IF(OR(D64="",DQ64=""),"",TEMPLATE!$V$15),2),"")</f>
        <v/>
      </c>
      <c r="DS64" s="150"/>
      <c r="DT64" s="150" t="str">
        <f>IFERROR(ROUND(IF(OR(D64="",DS64=""),"",TEMPLATE!$V$15),2),"")</f>
        <v/>
      </c>
      <c r="DU64" s="150" t="str" cm="1">
        <f t="array" ref="DU64">IFERROR(ROUND(IF($D64="","",INDEX('M04-S07'!DD$18:DD$199,2*(ROWS(DU$59:DU64)-1)+1)),4),"")</f>
        <v/>
      </c>
      <c r="DV64" s="150" t="str" cm="1">
        <f t="array" ref="DV64">IFERROR(ROUND(IF($D64="","",INDEX('M04-S07'!DE$18:DE$199,2*(ROWS(DV$59:DV64)-1)+1)),4),"")</f>
        <v/>
      </c>
      <c r="DW64" s="150" t="str" cm="1">
        <f t="array" ref="DW64">IFERROR(ROUND(IF($D64="","",INDEX('M04-S07'!DF$18:DF$199,2*(ROWS(DW$59:DW64)-1)+1)),4),"")</f>
        <v/>
      </c>
      <c r="DX64" s="150" t="str" cm="1">
        <f t="array" ref="DX64">IFERROR(ROUND(IF($D64="","",INDEX('M04-S07'!DG$18:DG$199,2*(ROWS(DX$59:DX64)-1)+1)),4),"")</f>
        <v/>
      </c>
      <c r="DY64" s="150" t="str" cm="1">
        <f t="array" ref="DY64">IFERROR(ROUND(IF($D64="","",INDEX('M04-S07'!DH$18:DH$199,2*(ROWS(DY$59:DY64)-1)+1)),4),"")</f>
        <v/>
      </c>
      <c r="DZ64" s="150" t="str" cm="1">
        <f t="array" ref="DZ64">IFERROR(ROUND(IF($D64="","",INDEX('M04-S07'!DI$18:DI$199,2*(ROWS(DZ$59:DZ64)-1)+1)),4),"")</f>
        <v/>
      </c>
      <c r="EA64" s="150" t="str" cm="1">
        <f t="array" ref="EA64">IFERROR(ROUND(IF($D64="","",INDEX('M04-S07'!DJ$18:DJ$199,2*(ROWS(EA$59:EA64)-1)+1)),4),"")</f>
        <v/>
      </c>
      <c r="EB64" s="150" t="str" cm="1">
        <f t="array" ref="EB64">IFERROR(ROUND(IF($D64="","",INDEX('M04-S07'!DK$18:DK$199,2*(ROWS(EB$59:EB64)-1)+1)),6),"")</f>
        <v/>
      </c>
      <c r="EC64" s="150" t="str" cm="1">
        <f t="array" ref="EC64">IFERROR(ROUND(IF($D64="","",INDEX('M04-S07'!DL$18:DL$199,2*(ROWS(EC$59:EC64)-1)+1)),6),"")</f>
        <v/>
      </c>
      <c r="ED64" s="150" t="str" cm="1">
        <f t="array" ref="ED64">IFERROR(ROUND(IF($D64="","",INDEX('M04-S07'!DM$18:DM$199,2*(ROWS(ED$59:ED64)-1)+1)),6),"")</f>
        <v/>
      </c>
      <c r="EE64" s="150" t="str" cm="1">
        <f t="array" ref="EE64">IFERROR(ROUND(IF($D64="","",INDEX('M04-S07'!DN$18:DN$199,2*(ROWS(EE$59:EE64)-1)+1)),6),"")</f>
        <v/>
      </c>
      <c r="EF64" s="150" t="str" cm="1">
        <f t="array" ref="EF64">IFERROR(ROUND(IF($D64="","",INDEX('M04-S07'!DO$18:DO$199,2*(ROWS(EF$59:EF64)-1)+1)),6),"")</f>
        <v/>
      </c>
      <c r="EG64" s="150" t="str" cm="1">
        <f t="array" ref="EG64">IFERROR(ROUND(IF($D64="","",INDEX('M04-S07'!DP$18:DP$199,2*(ROWS(EG$59:EG64)-1)+1)),6),"")</f>
        <v/>
      </c>
      <c r="EH64" s="150" t="str" cm="1">
        <f t="array" ref="EH64">IFERROR(ROUND(IF($D64="","",INDEX('M04-S07'!DQ$18:DQ$199,2*(ROWS(EH$59:EH64)-1)+1)),6),"")</f>
        <v/>
      </c>
      <c r="EI64" s="150" t="str" cm="1">
        <f t="array" ref="EI64">IFERROR(ROUND(IF($D64="","",INDEX('M04-S07'!DR$18:DR$199,2*(ROWS(EI$59:EI64)-1)+1)),6),"")</f>
        <v/>
      </c>
      <c r="EJ64" s="150" t="str" cm="1">
        <f t="array" ref="EJ64">IFERROR(ROUND(IF($D64="","",INDEX('M04-S07'!DS$18:DS$199,2*(ROWS(EJ$59:EJ64)-1)+1)),6),"")</f>
        <v/>
      </c>
      <c r="EK64" s="150" t="str" cm="1">
        <f t="array" ref="EK64">IFERROR(ROUND(IF($D64="","",INDEX('M04-S07'!DT$18:DT$199,2*(ROWS(EK$59:EK64)-1)+1)),6),"")</f>
        <v/>
      </c>
      <c r="EL64" s="150" t="str" cm="1">
        <f t="array" ref="EL64">IFERROR(ROUND(IF($D64="","",INDEX('M04-S07'!DU$18:DU$199,2*(ROWS(EL$59:EL64)-1)+1)),6),"")</f>
        <v/>
      </c>
      <c r="EM64" s="150" t="str" cm="1">
        <f t="array" ref="EM64">IFERROR(ROUND(IF($D64="","",INDEX('M04-S07'!DV$18:DV$199,2*(ROWS(EM$59:EM64)-1)+1)),6),"")</f>
        <v/>
      </c>
      <c r="EN64" s="150" t="str" cm="1">
        <f t="array" ref="EN64">IFERROR(ROUND(IF($D64="","",INDEX('M04-S07'!DW$18:DW$199,2*(ROWS(EN$59:EN64)-1)+1)),6),"")</f>
        <v/>
      </c>
      <c r="EO64" s="150" t="str" cm="1">
        <f t="array" ref="EO64">IFERROR(ROUND(IF($D64="","",INDEX('M04-S07'!DX$18:DX$199,2*(ROWS(EO$59:EO64)-1)+1)),6),"")</f>
        <v/>
      </c>
      <c r="EP64" s="150" t="str" cm="1">
        <f t="array" ref="EP64">IFERROR(ROUND(IF($D64="","",INDEX('M04-S07'!DY$18:DY$199,2*(ROWS(EP$59:EP64)-1)+1)),6),"")</f>
        <v/>
      </c>
      <c r="EQ64" s="150" t="str" cm="1">
        <f t="array" ref="EQ64">IFERROR(ROUND(IF($D64="","",INDEX('M04-S07'!DZ$18:DZ$199,2*(ROWS(EQ$59:EQ64)-1)+1)),6),"")</f>
        <v/>
      </c>
      <c r="ER64" s="150" t="str">
        <f t="shared" si="21"/>
        <v/>
      </c>
      <c r="ES64" s="150" t="str">
        <f t="shared" si="37"/>
        <v/>
      </c>
      <c r="ET64" s="150" t="str">
        <f t="shared" si="38"/>
        <v/>
      </c>
      <c r="EU64" s="150" t="str">
        <f t="shared" si="39"/>
        <v/>
      </c>
      <c r="EV64" s="150" t="str">
        <f t="shared" si="40"/>
        <v/>
      </c>
      <c r="EW64" s="150" t="str">
        <f t="shared" si="41"/>
        <v/>
      </c>
      <c r="EX64" s="150" t="str">
        <f t="shared" si="42"/>
        <v/>
      </c>
      <c r="EY64" s="150" t="str">
        <f t="shared" si="22"/>
        <v/>
      </c>
      <c r="EZ64" s="150" t="str" cm="1">
        <f t="array" ref="EZ64">IFERROR(ROUND(IF($D64="","",INDEX('M04-S07'!EA$18:EA$199,2*(ROWS(EZ$59:EZ64)-1)+1)),6),"")</f>
        <v/>
      </c>
      <c r="FA64" s="150" t="str" cm="1">
        <f t="array" ref="FA64">IFERROR(ROUND(IF($D64="","",INDEX('M04-S07'!EB$18:EB$199,2*(ROWS(FA$59:FA64)-1)+1)),6),"")</f>
        <v/>
      </c>
      <c r="FB64" s="150" t="str" cm="1">
        <f t="array" ref="FB64">IFERROR(ROUND(IF($D64="","",INDEX('M04-S07'!EC$18:EC$199,2*(ROWS(FB$59:FB64)-1)+1)),6),"")</f>
        <v/>
      </c>
      <c r="FC64" s="150" t="str" cm="1">
        <f t="array" ref="FC64">IFERROR(ROUND(IF($D64="","",INDEX('M04-S07'!ED$18:ED$199,2*(ROWS(FC$59:FC64)-1)+1)),6),"")</f>
        <v/>
      </c>
      <c r="FD64" s="150" t="str" cm="1">
        <f t="array" ref="FD64">IFERROR(ROUND(IF($D64="","",INDEX('M04-S07'!EE$18:EE$199,2*(ROWS(FD$59:FD64)-1)+1)),6),"")</f>
        <v/>
      </c>
      <c r="FE64" s="150" t="str" cm="1">
        <f t="array" ref="FE64">IFERROR(ROUND(IF($D64="","",INDEX('M04-S07'!EF$18:EF$199,2*(ROWS(FE$59:FE64)-1)+1)),6),"")</f>
        <v/>
      </c>
      <c r="FF64" s="150" t="str" cm="1">
        <f t="array" ref="FF64">IFERROR(ROUND(IF($D64="","",INDEX('M04-S07'!EG$18:EG$199,2*(ROWS(FF$59:FF64)-1)+1)),6),"")</f>
        <v/>
      </c>
      <c r="FG64" s="150" t="str" cm="1">
        <f t="array" ref="FG64">IFERROR(ROUND(IF($D64="","",INDEX('M04-S07'!EH$18:EH$199,2*(ROWS(FG$59:FG64)-1)+1)),6),"")</f>
        <v/>
      </c>
      <c r="FH64" s="150" t="str" cm="1">
        <f t="array" ref="FH64">IFERROR(ROUND(IF($D64="","",INDEX('M04-S07'!EI$18:EI$199,2*(ROWS(FH$59:FH64)-1)+1)),6),"")</f>
        <v/>
      </c>
      <c r="FI64" s="150" t="str" cm="1">
        <f t="array" ref="FI64">IFERROR(ROUND(IF($D64="","",INDEX('M04-S07'!EJ$18:EJ$199,2*(ROWS(FI$59:FI64)-1)+1)),6),"")</f>
        <v/>
      </c>
      <c r="FJ64" s="150" t="str" cm="1">
        <f t="array" ref="FJ64">IFERROR(ROUND(IF($D64="","",INDEX('M04-S07'!EK$18:EK$199,2*(ROWS(FJ$59:FJ64)-1)+1)),6),"")</f>
        <v/>
      </c>
      <c r="FK64" s="150" t="str" cm="1">
        <f t="array" ref="FK64">IFERROR(ROUND(IF($D64="","",INDEX('M04-S07'!EL$18:EL$199,2*(ROWS(FK$59:FK64)-1)+1)),6),"")</f>
        <v/>
      </c>
      <c r="FL64" s="150" t="str" cm="1">
        <f t="array" ref="FL64">IFERROR(ROUND(IF($D64="","",INDEX('M04-S07'!EM$18:EM$199,2*(ROWS(FL$59:FL64)-1)+1)),6),"")</f>
        <v/>
      </c>
      <c r="FM64" s="150" t="str" cm="1">
        <f t="array" ref="FM64">IFERROR(ROUND(IF($D64="","",INDEX('M04-S07'!EN$18:EN$199,2*(ROWS(FM$59:FM64)-1)+1)),6),"")</f>
        <v/>
      </c>
    </row>
    <row r="65" spans="1:169">
      <c r="A65" t="str">
        <f t="shared" si="88"/>
        <v/>
      </c>
      <c r="B65" t="str">
        <f t="shared" si="93"/>
        <v/>
      </c>
      <c r="C65" t="str" cm="1">
        <f t="array" ref="C65">IFERROR(IF(D65="","",INDEX('M04-S07'!$B$18:$B$199,2*(ROWS(C$59:C65)-1)+1)),"")</f>
        <v/>
      </c>
      <c r="D65" t="str">
        <f t="shared" si="94"/>
        <v/>
      </c>
      <c r="E65" t="str" cm="1">
        <f t="array" ref="E65">IFERROR(IF(INDEX('M04-S07'!$CC$18:$CC$199,2*(ROWS(E$59:E65)-1)+1)="","",INDEX('M04-S07'!$CC$18:$CC$199,2*(ROWS(E$59:E65)-1)+1)),"")</f>
        <v/>
      </c>
      <c r="G65" t="str">
        <f t="shared" si="95"/>
        <v/>
      </c>
      <c r="H65" t="str">
        <f t="shared" si="96"/>
        <v/>
      </c>
      <c r="L65" t="str">
        <f t="shared" si="97"/>
        <v/>
      </c>
      <c r="O65" t="str">
        <f t="shared" si="98"/>
        <v/>
      </c>
      <c r="V65" t="str" cm="1">
        <f t="array" ref="V65">IFERROR(IF(D65="","",INDEX('M04-S07'!$AY$18:$AY$199,2*(ROWS(V$59:V65)-1)+1)),"")</f>
        <v/>
      </c>
      <c r="W65" t="str" cm="1">
        <f t="array" ref="W65">IFERROR(IF(D65="","",INDEX('M04-S07'!$AV$18:$AV$199,2*(ROWS(W$59:W65)-1)+1)),"")</f>
        <v/>
      </c>
      <c r="X65" t="str" cm="1">
        <f t="array" ref="X65">IFERROR(IF(D65="","",INDEX('M04-S07'!$AV$18:$AV$199,2*(ROWS(X$59:X65)-0)+0)),"")</f>
        <v/>
      </c>
      <c r="AG65" s="98" t="str" cm="1">
        <f t="array" ref="AG65">IFERROR(IF(D65="","",IF(INDEX('M04-S07'!$CB$18:$CB$199,2*(ROWS(AG$59:AG65)-1)+1)="","",INDEX('M04-S07'!$CB$18:$CB$199,2*(ROWS(AG$59:AG65)-1)+1))),"")</f>
        <v/>
      </c>
      <c r="AH65" s="98" t="str" cm="1">
        <f t="array" ref="AH65">IFERROR(IF(D65="","",IF(INDEX('M04-S07'!$CU$18:$CU$199,2*(ROWS(AH$59:AH65)-1)+1)="","",INDEX('M04-S07'!$CU$18:$CU$199,2*(ROWS(AH$59:AH65)-1)+1))),"")</f>
        <v/>
      </c>
      <c r="AI65" s="20" t="str" cm="1">
        <f t="array" ref="AI65">IFERROR(IF(D65="","",IF(INDEX('M04-S07'!$CM$18:$CM$199,2*(ROWS(AI$59:AI65)-1)+1)="",0,INDEX('M04-S07'!$CM$18:$CM$199,2*(ROWS(AI$59:AI65)-1)+1))),"")</f>
        <v/>
      </c>
      <c r="AJ65" s="20" t="str">
        <f t="shared" si="86"/>
        <v/>
      </c>
      <c r="AK65" s="487" t="str" cm="1">
        <f t="array" ref="AK65">IFERROR(IF(D65="","",IF(INDEX('M04-S07'!$CN$18:$CN$199,2*(ROWS(AK$59:AK65)-1)+1)="",0,INDEX('M04-S07'!$CN$18:$CN$199,2*(ROWS(AK$59:AK65)-1)+1))),"")</f>
        <v/>
      </c>
      <c r="AL65" s="20" t="str">
        <f t="shared" si="99"/>
        <v/>
      </c>
      <c r="AM65" s="20" t="str">
        <f t="shared" si="90"/>
        <v/>
      </c>
      <c r="AN65" s="20" t="str" cm="1">
        <f t="array" ref="AN65">IFERROR(IF(D65="","",IF(INDEX('M04-S07'!$CO$18:$CO$199,2*(ROWS(AN$59:AN65)-1)+1)="",0,INDEX('M04-S07'!$CO$18:$CO$199,2*(ROWS(AN$59:AN65)-1)+1))),"")</f>
        <v/>
      </c>
      <c r="AO65" s="20" t="str" cm="1">
        <f t="array" ref="AO65">IFERROR(IF(D65="","",INDEX('M04-S07'!$R$18:$R$199,2*(ROWS(AO$59:AO65)-1)+1)),"")</f>
        <v/>
      </c>
      <c r="AP65" s="20" t="str" cm="1">
        <f t="array" ref="AP65">IFERROR(IF(D65="","",INDEX('M04-S07'!$AJ$18:$AJ$199,2*(ROWS(AP$59:AP65)-1)+1)),"")</f>
        <v/>
      </c>
      <c r="AQ65" s="487" t="str" cm="1">
        <f t="array" ref="AQ65">IFERROR(IF(D65="","",INDEX('M04-S07'!$U$18:$U$199,2*(ROWS(AQ$59:AQ65)-1)+1)),"")</f>
        <v/>
      </c>
      <c r="AR65" s="487" t="str" cm="1">
        <f t="array" ref="AR65">IFERROR(IF(D65="","",INDEX('M04-S07'!$AM$18:$AM$199,2*(ROWS(AR$59:AR65)-1)+1)),"")</f>
        <v/>
      </c>
      <c r="AS65" s="20" t="str" cm="1">
        <f t="array" ref="AS65">IFERROR(IF(D65="","",INDEX('M04-S07'!$X$18:$X$199,2*(ROWS(AS$59:AS65)-1)+1)),"")</f>
        <v/>
      </c>
      <c r="AT65" s="20" t="str" cm="1">
        <f t="array" ref="AT65">IFERROR(IF(D65="","",INDEX('M04-S07'!$AP$18:$AP$199,2*(ROWS(AT$59:AT65)-1)+1)),"")</f>
        <v/>
      </c>
      <c r="BP65" t="str" cm="1">
        <f t="array" ref="BP65">IFERROR(IF(D65="","",INDEX('M04-S07'!$CS$18:$CS$199,2*(ROWS(BP$59:BP65)-1)+1)),"")</f>
        <v/>
      </c>
      <c r="BR65" t="str" cm="1">
        <f t="array" ref="BR65">IFERROR(IF(D65="","",LEFT(INDEX('M04-S07'!$C$18:$C$199,2*(ROWS(BR$59:BR65)-1)+1),150)),"")</f>
        <v/>
      </c>
      <c r="BS65" t="str" cm="1">
        <f t="array" ref="BS65">IFERROR(IF(D65="","",INDEX('M04-S07'!$CT$18:$CT$199,2*(ROWS(BS$59:BS65)-1)+1)),"")</f>
        <v/>
      </c>
      <c r="BT65" s="6" t="str" cm="1">
        <f t="array" ref="BT65">IFERROR(ROUND(IF(D65="","",INDEX('M04-S07'!$BB$18:$BB$199,2*(ROWS(BT$59:BT65)-1)+1)),2),"")</f>
        <v/>
      </c>
      <c r="BU65" s="6" t="str" cm="1">
        <f t="array" ref="BU65">IFERROR(IF(D65="","",INDEX('M04-S07'!$CX$18:$CX$199,2*(ROWS(BU$59:BU65)-1)+1)),"")</f>
        <v/>
      </c>
      <c r="BV65" s="6" t="str" cm="1">
        <f t="array" ref="BV65">IFERROR(IF(D65="","",INDEX('M04-S07'!$CY$18:$CY$199,2*(ROWS(BV$59:BV65)-1)+1)),"")</f>
        <v/>
      </c>
      <c r="BW65" t="str">
        <f t="shared" si="100"/>
        <v/>
      </c>
      <c r="BX65" t="str">
        <f t="shared" si="101"/>
        <v/>
      </c>
      <c r="BY65" s="6" t="str" cm="1">
        <f t="array" ref="BY65">IFERROR(IF(D65="","",INDEX('M04-S07'!$CI$18:$CI$199,2*(ROWS(BY$59:BY65)-1)+1)),"")</f>
        <v/>
      </c>
      <c r="BZ65" s="6" t="str">
        <f t="shared" si="17"/>
        <v/>
      </c>
      <c r="CA65" s="6" t="str">
        <f t="shared" si="18"/>
        <v/>
      </c>
      <c r="CB65" s="6" t="str">
        <f t="shared" si="87"/>
        <v/>
      </c>
      <c r="CC65" s="6" t="str">
        <f t="shared" si="91"/>
        <v/>
      </c>
      <c r="CD65" s="6" t="str">
        <f t="shared" si="92"/>
        <v/>
      </c>
      <c r="CS65" t="str" cm="1">
        <f t="array" ref="CS65">IFERROR(IF(D65="","",INDEX('M04-S07'!$F$18:$F$199,2*(ROWS(CS$59:CS65)-1)+1)),"")</f>
        <v/>
      </c>
      <c r="CT65" t="str" cm="1">
        <f t="array" ref="CT65">IFERROR(IF(D65="","",INDEX('M04-S07'!$L$18:$L$199,2*(ROWS(CT$59:CT65)-1)+1)),"")</f>
        <v/>
      </c>
      <c r="CU65" t="str" cm="1">
        <f t="array" ref="CU65">IFERROR(IF(D65="","",INDEX('M04-S07'!$AD$18:$AD$199,2*(ROWS(CU$59:CU65)-1)+1)),"")</f>
        <v/>
      </c>
      <c r="DE65" s="150"/>
      <c r="DF65" s="150" t="str">
        <f>IFERROR(ROUND(IF(OR(D65="",DE65=""),"",TEMPLATE!$V$15),2),"")</f>
        <v/>
      </c>
      <c r="DG65" s="150"/>
      <c r="DH65" s="150" t="str">
        <f>IFERROR(ROUND(IF(OR(D65="",DG65=""),"",TEMPLATE!$V$15),2),"")</f>
        <v/>
      </c>
      <c r="DI65" s="150"/>
      <c r="DJ65" s="150" t="str">
        <f>IFERROR(ROUND(IF(OR(D65="",DI65=""),"",TEMPLATE!$V$15),2),"")</f>
        <v/>
      </c>
      <c r="DK65" s="150"/>
      <c r="DL65" s="150" t="str">
        <f>IFERROR(ROUND(IF(OR(D65="",DK65=""),"",TEMPLATE!$V$15),2),"")</f>
        <v/>
      </c>
      <c r="DM65" s="150"/>
      <c r="DN65" s="150" t="str">
        <f>IFERROR(ROUND(IF(OR(D65="",DM65=""),"",TEMPLATE!$V$15),2),"")</f>
        <v/>
      </c>
      <c r="DO65" s="150"/>
      <c r="DP65" s="150" t="str">
        <f>IFERROR(ROUND(IF(OR(D65="",DO65=""),"",TEMPLATE!$V$15),2),"")</f>
        <v/>
      </c>
      <c r="DQ65" s="150"/>
      <c r="DR65" s="150" t="str">
        <f>IFERROR(ROUND(IF(OR(D65="",DQ65=""),"",TEMPLATE!$V$15),2),"")</f>
        <v/>
      </c>
      <c r="DS65" s="150"/>
      <c r="DT65" s="150" t="str">
        <f>IFERROR(ROUND(IF(OR(D65="",DS65=""),"",TEMPLATE!$V$15),2),"")</f>
        <v/>
      </c>
      <c r="DU65" s="150" t="str" cm="1">
        <f t="array" ref="DU65">IFERROR(ROUND(IF($D65="","",INDEX('M04-S07'!DD$18:DD$199,2*(ROWS(DU$59:DU65)-1)+1)),4),"")</f>
        <v/>
      </c>
      <c r="DV65" s="150" t="str" cm="1">
        <f t="array" ref="DV65">IFERROR(ROUND(IF($D65="","",INDEX('M04-S07'!DE$18:DE$199,2*(ROWS(DV$59:DV65)-1)+1)),4),"")</f>
        <v/>
      </c>
      <c r="DW65" s="150" t="str" cm="1">
        <f t="array" ref="DW65">IFERROR(ROUND(IF($D65="","",INDEX('M04-S07'!DF$18:DF$199,2*(ROWS(DW$59:DW65)-1)+1)),4),"")</f>
        <v/>
      </c>
      <c r="DX65" s="150" t="str" cm="1">
        <f t="array" ref="DX65">IFERROR(ROUND(IF($D65="","",INDEX('M04-S07'!DG$18:DG$199,2*(ROWS(DX$59:DX65)-1)+1)),4),"")</f>
        <v/>
      </c>
      <c r="DY65" s="150" t="str" cm="1">
        <f t="array" ref="DY65">IFERROR(ROUND(IF($D65="","",INDEX('M04-S07'!DH$18:DH$199,2*(ROWS(DY$59:DY65)-1)+1)),4),"")</f>
        <v/>
      </c>
      <c r="DZ65" s="150" t="str" cm="1">
        <f t="array" ref="DZ65">IFERROR(ROUND(IF($D65="","",INDEX('M04-S07'!DI$18:DI$199,2*(ROWS(DZ$59:DZ65)-1)+1)),4),"")</f>
        <v/>
      </c>
      <c r="EA65" s="150" t="str" cm="1">
        <f t="array" ref="EA65">IFERROR(ROUND(IF($D65="","",INDEX('M04-S07'!DJ$18:DJ$199,2*(ROWS(EA$59:EA65)-1)+1)),4),"")</f>
        <v/>
      </c>
      <c r="EB65" s="150" t="str" cm="1">
        <f t="array" ref="EB65">IFERROR(ROUND(IF($D65="","",INDEX('M04-S07'!DK$18:DK$199,2*(ROWS(EB$59:EB65)-1)+1)),6),"")</f>
        <v/>
      </c>
      <c r="EC65" s="150" t="str" cm="1">
        <f t="array" ref="EC65">IFERROR(ROUND(IF($D65="","",INDEX('M04-S07'!DL$18:DL$199,2*(ROWS(EC$59:EC65)-1)+1)),6),"")</f>
        <v/>
      </c>
      <c r="ED65" s="150" t="str" cm="1">
        <f t="array" ref="ED65">IFERROR(ROUND(IF($D65="","",INDEX('M04-S07'!DM$18:DM$199,2*(ROWS(ED$59:ED65)-1)+1)),6),"")</f>
        <v/>
      </c>
      <c r="EE65" s="150" t="str" cm="1">
        <f t="array" ref="EE65">IFERROR(ROUND(IF($D65="","",INDEX('M04-S07'!DN$18:DN$199,2*(ROWS(EE$59:EE65)-1)+1)),6),"")</f>
        <v/>
      </c>
      <c r="EF65" s="150" t="str" cm="1">
        <f t="array" ref="EF65">IFERROR(ROUND(IF($D65="","",INDEX('M04-S07'!DO$18:DO$199,2*(ROWS(EF$59:EF65)-1)+1)),6),"")</f>
        <v/>
      </c>
      <c r="EG65" s="150" t="str" cm="1">
        <f t="array" ref="EG65">IFERROR(ROUND(IF($D65="","",INDEX('M04-S07'!DP$18:DP$199,2*(ROWS(EG$59:EG65)-1)+1)),6),"")</f>
        <v/>
      </c>
      <c r="EH65" s="150" t="str" cm="1">
        <f t="array" ref="EH65">IFERROR(ROUND(IF($D65="","",INDEX('M04-S07'!DQ$18:DQ$199,2*(ROWS(EH$59:EH65)-1)+1)),6),"")</f>
        <v/>
      </c>
      <c r="EI65" s="150" t="str" cm="1">
        <f t="array" ref="EI65">IFERROR(ROUND(IF($D65="","",INDEX('M04-S07'!DR$18:DR$199,2*(ROWS(EI$59:EI65)-1)+1)),6),"")</f>
        <v/>
      </c>
      <c r="EJ65" s="150" t="str" cm="1">
        <f t="array" ref="EJ65">IFERROR(ROUND(IF($D65="","",INDEX('M04-S07'!DS$18:DS$199,2*(ROWS(EJ$59:EJ65)-1)+1)),6),"")</f>
        <v/>
      </c>
      <c r="EK65" s="150" t="str" cm="1">
        <f t="array" ref="EK65">IFERROR(ROUND(IF($D65="","",INDEX('M04-S07'!DT$18:DT$199,2*(ROWS(EK$59:EK65)-1)+1)),6),"")</f>
        <v/>
      </c>
      <c r="EL65" s="150" t="str" cm="1">
        <f t="array" ref="EL65">IFERROR(ROUND(IF($D65="","",INDEX('M04-S07'!DU$18:DU$199,2*(ROWS(EL$59:EL65)-1)+1)),6),"")</f>
        <v/>
      </c>
      <c r="EM65" s="150" t="str" cm="1">
        <f t="array" ref="EM65">IFERROR(ROUND(IF($D65="","",INDEX('M04-S07'!DV$18:DV$199,2*(ROWS(EM$59:EM65)-1)+1)),6),"")</f>
        <v/>
      </c>
      <c r="EN65" s="150" t="str" cm="1">
        <f t="array" ref="EN65">IFERROR(ROUND(IF($D65="","",INDEX('M04-S07'!DW$18:DW$199,2*(ROWS(EN$59:EN65)-1)+1)),6),"")</f>
        <v/>
      </c>
      <c r="EO65" s="150" t="str" cm="1">
        <f t="array" ref="EO65">IFERROR(ROUND(IF($D65="","",INDEX('M04-S07'!DX$18:DX$199,2*(ROWS(EO$59:EO65)-1)+1)),6),"")</f>
        <v/>
      </c>
      <c r="EP65" s="150" t="str" cm="1">
        <f t="array" ref="EP65">IFERROR(ROUND(IF($D65="","",INDEX('M04-S07'!DY$18:DY$199,2*(ROWS(EP$59:EP65)-1)+1)),6),"")</f>
        <v/>
      </c>
      <c r="EQ65" s="150" t="str" cm="1">
        <f t="array" ref="EQ65">IFERROR(ROUND(IF($D65="","",INDEX('M04-S07'!DZ$18:DZ$199,2*(ROWS(EQ$59:EQ65)-1)+1)),6),"")</f>
        <v/>
      </c>
      <c r="ER65" s="150" t="str">
        <f t="shared" si="21"/>
        <v/>
      </c>
      <c r="ES65" s="150" t="str">
        <f t="shared" si="37"/>
        <v/>
      </c>
      <c r="ET65" s="150" t="str">
        <f t="shared" si="38"/>
        <v/>
      </c>
      <c r="EU65" s="150" t="str">
        <f t="shared" si="39"/>
        <v/>
      </c>
      <c r="EV65" s="150" t="str">
        <f t="shared" si="40"/>
        <v/>
      </c>
      <c r="EW65" s="150" t="str">
        <f t="shared" si="41"/>
        <v/>
      </c>
      <c r="EX65" s="150" t="str">
        <f t="shared" si="42"/>
        <v/>
      </c>
      <c r="EY65" s="150" t="str">
        <f t="shared" si="22"/>
        <v/>
      </c>
      <c r="EZ65" s="150" t="str" cm="1">
        <f t="array" ref="EZ65">IFERROR(ROUND(IF($D65="","",INDEX('M04-S07'!EA$18:EA$199,2*(ROWS(EZ$59:EZ65)-1)+1)),6),"")</f>
        <v/>
      </c>
      <c r="FA65" s="150" t="str" cm="1">
        <f t="array" ref="FA65">IFERROR(ROUND(IF($D65="","",INDEX('M04-S07'!EB$18:EB$199,2*(ROWS(FA$59:FA65)-1)+1)),6),"")</f>
        <v/>
      </c>
      <c r="FB65" s="150" t="str" cm="1">
        <f t="array" ref="FB65">IFERROR(ROUND(IF($D65="","",INDEX('M04-S07'!EC$18:EC$199,2*(ROWS(FB$59:FB65)-1)+1)),6),"")</f>
        <v/>
      </c>
      <c r="FC65" s="150" t="str" cm="1">
        <f t="array" ref="FC65">IFERROR(ROUND(IF($D65="","",INDEX('M04-S07'!ED$18:ED$199,2*(ROWS(FC$59:FC65)-1)+1)),6),"")</f>
        <v/>
      </c>
      <c r="FD65" s="150" t="str" cm="1">
        <f t="array" ref="FD65">IFERROR(ROUND(IF($D65="","",INDEX('M04-S07'!EE$18:EE$199,2*(ROWS(FD$59:FD65)-1)+1)),6),"")</f>
        <v/>
      </c>
      <c r="FE65" s="150" t="str" cm="1">
        <f t="array" ref="FE65">IFERROR(ROUND(IF($D65="","",INDEX('M04-S07'!EF$18:EF$199,2*(ROWS(FE$59:FE65)-1)+1)),6),"")</f>
        <v/>
      </c>
      <c r="FF65" s="150" t="str" cm="1">
        <f t="array" ref="FF65">IFERROR(ROUND(IF($D65="","",INDEX('M04-S07'!EG$18:EG$199,2*(ROWS(FF$59:FF65)-1)+1)),6),"")</f>
        <v/>
      </c>
      <c r="FG65" s="150" t="str" cm="1">
        <f t="array" ref="FG65">IFERROR(ROUND(IF($D65="","",INDEX('M04-S07'!EH$18:EH$199,2*(ROWS(FG$59:FG65)-1)+1)),6),"")</f>
        <v/>
      </c>
      <c r="FH65" s="150" t="str" cm="1">
        <f t="array" ref="FH65">IFERROR(ROUND(IF($D65="","",INDEX('M04-S07'!EI$18:EI$199,2*(ROWS(FH$59:FH65)-1)+1)),6),"")</f>
        <v/>
      </c>
      <c r="FI65" s="150" t="str" cm="1">
        <f t="array" ref="FI65">IFERROR(ROUND(IF($D65="","",INDEX('M04-S07'!EJ$18:EJ$199,2*(ROWS(FI$59:FI65)-1)+1)),6),"")</f>
        <v/>
      </c>
      <c r="FJ65" s="150" t="str" cm="1">
        <f t="array" ref="FJ65">IFERROR(ROUND(IF($D65="","",INDEX('M04-S07'!EK$18:EK$199,2*(ROWS(FJ$59:FJ65)-1)+1)),6),"")</f>
        <v/>
      </c>
      <c r="FK65" s="150" t="str" cm="1">
        <f t="array" ref="FK65">IFERROR(ROUND(IF($D65="","",INDEX('M04-S07'!EL$18:EL$199,2*(ROWS(FK$59:FK65)-1)+1)),6),"")</f>
        <v/>
      </c>
      <c r="FL65" s="150" t="str" cm="1">
        <f t="array" ref="FL65">IFERROR(ROUND(IF($D65="","",INDEX('M04-S07'!EM$18:EM$199,2*(ROWS(FL$59:FL65)-1)+1)),6),"")</f>
        <v/>
      </c>
      <c r="FM65" s="150" t="str" cm="1">
        <f t="array" ref="FM65">IFERROR(ROUND(IF($D65="","",INDEX('M04-S07'!EN$18:EN$199,2*(ROWS(FM$59:FM65)-1)+1)),6),"")</f>
        <v/>
      </c>
    </row>
    <row r="66" spans="1:169">
      <c r="A66" t="str">
        <f t="shared" si="88"/>
        <v/>
      </c>
      <c r="B66" t="str">
        <f t="shared" si="93"/>
        <v/>
      </c>
      <c r="C66" t="str" cm="1">
        <f t="array" ref="C66">IFERROR(IF(D66="","",INDEX('M04-S07'!$B$18:$B$199,2*(ROWS(C$59:C66)-1)+1)),"")</f>
        <v/>
      </c>
      <c r="D66" t="str">
        <f t="shared" si="94"/>
        <v/>
      </c>
      <c r="E66" t="str" cm="1">
        <f t="array" ref="E66">IFERROR(IF(INDEX('M04-S07'!$CC$18:$CC$199,2*(ROWS(E$59:E66)-1)+1)="","",INDEX('M04-S07'!$CC$18:$CC$199,2*(ROWS(E$59:E66)-1)+1)),"")</f>
        <v/>
      </c>
      <c r="G66" t="str">
        <f t="shared" si="95"/>
        <v/>
      </c>
      <c r="H66" t="str">
        <f t="shared" si="96"/>
        <v/>
      </c>
      <c r="L66" t="str">
        <f t="shared" si="97"/>
        <v/>
      </c>
      <c r="O66" t="str">
        <f t="shared" si="98"/>
        <v/>
      </c>
      <c r="V66" t="str" cm="1">
        <f t="array" ref="V66">IFERROR(IF(D66="","",INDEX('M04-S07'!$AY$18:$AY$199,2*(ROWS(V$59:V66)-1)+1)),"")</f>
        <v/>
      </c>
      <c r="W66" t="str" cm="1">
        <f t="array" ref="W66">IFERROR(IF(D66="","",INDEX('M04-S07'!$AV$18:$AV$199,2*(ROWS(W$59:W66)-1)+1)),"")</f>
        <v/>
      </c>
      <c r="X66" t="str" cm="1">
        <f t="array" ref="X66">IFERROR(IF(D66="","",INDEX('M04-S07'!$AV$18:$AV$199,2*(ROWS(X$59:X66)-0)+0)),"")</f>
        <v/>
      </c>
      <c r="AG66" s="98" t="str" cm="1">
        <f t="array" ref="AG66">IFERROR(IF(D66="","",IF(INDEX('M04-S07'!$CB$18:$CB$199,2*(ROWS(AG$59:AG66)-1)+1)="","",INDEX('M04-S07'!$CB$18:$CB$199,2*(ROWS(AG$59:AG66)-1)+1))),"")</f>
        <v/>
      </c>
      <c r="AH66" s="98" t="str" cm="1">
        <f t="array" ref="AH66">IFERROR(IF(D66="","",IF(INDEX('M04-S07'!$CU$18:$CU$199,2*(ROWS(AH$59:AH66)-1)+1)="","",INDEX('M04-S07'!$CU$18:$CU$199,2*(ROWS(AH$59:AH66)-1)+1))),"")</f>
        <v/>
      </c>
      <c r="AI66" s="20" t="str" cm="1">
        <f t="array" ref="AI66">IFERROR(IF(D66="","",IF(INDEX('M04-S07'!$CM$18:$CM$199,2*(ROWS(AI$59:AI66)-1)+1)="",0,INDEX('M04-S07'!$CM$18:$CM$199,2*(ROWS(AI$59:AI66)-1)+1))),"")</f>
        <v/>
      </c>
      <c r="AJ66" s="20" t="str">
        <f t="shared" si="86"/>
        <v/>
      </c>
      <c r="AK66" s="487" t="str" cm="1">
        <f t="array" ref="AK66">IFERROR(IF(D66="","",IF(INDEX('M04-S07'!$CN$18:$CN$199,2*(ROWS(AK$59:AK66)-1)+1)="",0,INDEX('M04-S07'!$CN$18:$CN$199,2*(ROWS(AK$59:AK66)-1)+1))),"")</f>
        <v/>
      </c>
      <c r="AL66" s="20" t="str">
        <f t="shared" si="99"/>
        <v/>
      </c>
      <c r="AM66" s="20" t="str">
        <f t="shared" si="90"/>
        <v/>
      </c>
      <c r="AN66" s="20" t="str" cm="1">
        <f t="array" ref="AN66">IFERROR(IF(D66="","",IF(INDEX('M04-S07'!$CO$18:$CO$199,2*(ROWS(AN$59:AN66)-1)+1)="",0,INDEX('M04-S07'!$CO$18:$CO$199,2*(ROWS(AN$59:AN66)-1)+1))),"")</f>
        <v/>
      </c>
      <c r="AO66" s="20" t="str" cm="1">
        <f t="array" ref="AO66">IFERROR(IF(D66="","",INDEX('M04-S07'!$R$18:$R$199,2*(ROWS(AO$59:AO66)-1)+1)),"")</f>
        <v/>
      </c>
      <c r="AP66" s="20" t="str" cm="1">
        <f t="array" ref="AP66">IFERROR(IF(D66="","",INDEX('M04-S07'!$AJ$18:$AJ$199,2*(ROWS(AP$59:AP66)-1)+1)),"")</f>
        <v/>
      </c>
      <c r="AQ66" s="487" t="str" cm="1">
        <f t="array" ref="AQ66">IFERROR(IF(D66="","",INDEX('M04-S07'!$U$18:$U$199,2*(ROWS(AQ$59:AQ66)-1)+1)),"")</f>
        <v/>
      </c>
      <c r="AR66" s="487" t="str" cm="1">
        <f t="array" ref="AR66">IFERROR(IF(D66="","",INDEX('M04-S07'!$AM$18:$AM$199,2*(ROWS(AR$59:AR66)-1)+1)),"")</f>
        <v/>
      </c>
      <c r="AS66" s="20" t="str" cm="1">
        <f t="array" ref="AS66">IFERROR(IF(D66="","",INDEX('M04-S07'!$X$18:$X$199,2*(ROWS(AS$59:AS66)-1)+1)),"")</f>
        <v/>
      </c>
      <c r="AT66" s="20" t="str" cm="1">
        <f t="array" ref="AT66">IFERROR(IF(D66="","",INDEX('M04-S07'!$AP$18:$AP$199,2*(ROWS(AT$59:AT66)-1)+1)),"")</f>
        <v/>
      </c>
      <c r="BP66" t="str" cm="1">
        <f t="array" ref="BP66">IFERROR(IF(D66="","",INDEX('M04-S07'!$CS$18:$CS$199,2*(ROWS(BP$59:BP66)-1)+1)),"")</f>
        <v/>
      </c>
      <c r="BR66" t="str" cm="1">
        <f t="array" ref="BR66">IFERROR(IF(D66="","",LEFT(INDEX('M04-S07'!$C$18:$C$199,2*(ROWS(BR$59:BR66)-1)+1),150)),"")</f>
        <v/>
      </c>
      <c r="BS66" t="str" cm="1">
        <f t="array" ref="BS66">IFERROR(IF(D66="","",INDEX('M04-S07'!$CT$18:$CT$199,2*(ROWS(BS$59:BS66)-1)+1)),"")</f>
        <v/>
      </c>
      <c r="BT66" s="6" t="str" cm="1">
        <f t="array" ref="BT66">IFERROR(ROUND(IF(D66="","",INDEX('M04-S07'!$BB$18:$BB$199,2*(ROWS(BT$59:BT66)-1)+1)),2),"")</f>
        <v/>
      </c>
      <c r="BU66" s="6" t="str" cm="1">
        <f t="array" ref="BU66">IFERROR(IF(D66="","",INDEX('M04-S07'!$CX$18:$CX$199,2*(ROWS(BU$59:BU66)-1)+1)),"")</f>
        <v/>
      </c>
      <c r="BV66" s="6" t="str" cm="1">
        <f t="array" ref="BV66">IFERROR(IF(D66="","",INDEX('M04-S07'!$CY$18:$CY$199,2*(ROWS(BV$59:BV66)-1)+1)),"")</f>
        <v/>
      </c>
      <c r="BW66" t="str">
        <f t="shared" si="100"/>
        <v/>
      </c>
      <c r="BX66" t="str">
        <f t="shared" si="101"/>
        <v/>
      </c>
      <c r="BY66" s="6" t="str" cm="1">
        <f t="array" ref="BY66">IFERROR(IF(D66="","",INDEX('M04-S07'!$CI$18:$CI$199,2*(ROWS(BY$59:BY66)-1)+1)),"")</f>
        <v/>
      </c>
      <c r="BZ66" s="6" t="str">
        <f t="shared" si="17"/>
        <v/>
      </c>
      <c r="CA66" s="6" t="str">
        <f t="shared" si="18"/>
        <v/>
      </c>
      <c r="CB66" s="6" t="str">
        <f t="shared" si="87"/>
        <v/>
      </c>
      <c r="CC66" s="6" t="str">
        <f t="shared" si="91"/>
        <v/>
      </c>
      <c r="CD66" s="6" t="str">
        <f t="shared" si="92"/>
        <v/>
      </c>
      <c r="CS66" t="str" cm="1">
        <f t="array" ref="CS66">IFERROR(IF(D66="","",INDEX('M04-S07'!$F$18:$F$199,2*(ROWS(CS$59:CS66)-1)+1)),"")</f>
        <v/>
      </c>
      <c r="CT66" t="str" cm="1">
        <f t="array" ref="CT66">IFERROR(IF(D66="","",INDEX('M04-S07'!$L$18:$L$199,2*(ROWS(CT$59:CT66)-1)+1)),"")</f>
        <v/>
      </c>
      <c r="CU66" t="str" cm="1">
        <f t="array" ref="CU66">IFERROR(IF(D66="","",INDEX('M04-S07'!$AD$18:$AD$199,2*(ROWS(CU$59:CU66)-1)+1)),"")</f>
        <v/>
      </c>
      <c r="DE66" s="150"/>
      <c r="DF66" s="150" t="str">
        <f>IFERROR(ROUND(IF(OR(D66="",DE66=""),"",TEMPLATE!$V$15),2),"")</f>
        <v/>
      </c>
      <c r="DG66" s="150"/>
      <c r="DH66" s="150" t="str">
        <f>IFERROR(ROUND(IF(OR(D66="",DG66=""),"",TEMPLATE!$V$15),2),"")</f>
        <v/>
      </c>
      <c r="DI66" s="150"/>
      <c r="DJ66" s="150" t="str">
        <f>IFERROR(ROUND(IF(OR(D66="",DI66=""),"",TEMPLATE!$V$15),2),"")</f>
        <v/>
      </c>
      <c r="DK66" s="150"/>
      <c r="DL66" s="150" t="str">
        <f>IFERROR(ROUND(IF(OR(D66="",DK66=""),"",TEMPLATE!$V$15),2),"")</f>
        <v/>
      </c>
      <c r="DM66" s="150"/>
      <c r="DN66" s="150" t="str">
        <f>IFERROR(ROUND(IF(OR(D66="",DM66=""),"",TEMPLATE!$V$15),2),"")</f>
        <v/>
      </c>
      <c r="DO66" s="150"/>
      <c r="DP66" s="150" t="str">
        <f>IFERROR(ROUND(IF(OR(D66="",DO66=""),"",TEMPLATE!$V$15),2),"")</f>
        <v/>
      </c>
      <c r="DQ66" s="150"/>
      <c r="DR66" s="150" t="str">
        <f>IFERROR(ROUND(IF(OR(D66="",DQ66=""),"",TEMPLATE!$V$15),2),"")</f>
        <v/>
      </c>
      <c r="DS66" s="150"/>
      <c r="DT66" s="150" t="str">
        <f>IFERROR(ROUND(IF(OR(D66="",DS66=""),"",TEMPLATE!$V$15),2),"")</f>
        <v/>
      </c>
      <c r="DU66" s="150" t="str" cm="1">
        <f t="array" ref="DU66">IFERROR(ROUND(IF($D66="","",INDEX('M04-S07'!DD$18:DD$199,2*(ROWS(DU$59:DU66)-1)+1)),4),"")</f>
        <v/>
      </c>
      <c r="DV66" s="150" t="str" cm="1">
        <f t="array" ref="DV66">IFERROR(ROUND(IF($D66="","",INDEX('M04-S07'!DE$18:DE$199,2*(ROWS(DV$59:DV66)-1)+1)),4),"")</f>
        <v/>
      </c>
      <c r="DW66" s="150" t="str" cm="1">
        <f t="array" ref="DW66">IFERROR(ROUND(IF($D66="","",INDEX('M04-S07'!DF$18:DF$199,2*(ROWS(DW$59:DW66)-1)+1)),4),"")</f>
        <v/>
      </c>
      <c r="DX66" s="150" t="str" cm="1">
        <f t="array" ref="DX66">IFERROR(ROUND(IF($D66="","",INDEX('M04-S07'!DG$18:DG$199,2*(ROWS(DX$59:DX66)-1)+1)),4),"")</f>
        <v/>
      </c>
      <c r="DY66" s="150" t="str" cm="1">
        <f t="array" ref="DY66">IFERROR(ROUND(IF($D66="","",INDEX('M04-S07'!DH$18:DH$199,2*(ROWS(DY$59:DY66)-1)+1)),4),"")</f>
        <v/>
      </c>
      <c r="DZ66" s="150" t="str" cm="1">
        <f t="array" ref="DZ66">IFERROR(ROUND(IF($D66="","",INDEX('M04-S07'!DI$18:DI$199,2*(ROWS(DZ$59:DZ66)-1)+1)),4),"")</f>
        <v/>
      </c>
      <c r="EA66" s="150" t="str" cm="1">
        <f t="array" ref="EA66">IFERROR(ROUND(IF($D66="","",INDEX('M04-S07'!DJ$18:DJ$199,2*(ROWS(EA$59:EA66)-1)+1)),4),"")</f>
        <v/>
      </c>
      <c r="EB66" s="150" t="str" cm="1">
        <f t="array" ref="EB66">IFERROR(ROUND(IF($D66="","",INDEX('M04-S07'!DK$18:DK$199,2*(ROWS(EB$59:EB66)-1)+1)),6),"")</f>
        <v/>
      </c>
      <c r="EC66" s="150" t="str" cm="1">
        <f t="array" ref="EC66">IFERROR(ROUND(IF($D66="","",INDEX('M04-S07'!DL$18:DL$199,2*(ROWS(EC$59:EC66)-1)+1)),6),"")</f>
        <v/>
      </c>
      <c r="ED66" s="150" t="str" cm="1">
        <f t="array" ref="ED66">IFERROR(ROUND(IF($D66="","",INDEX('M04-S07'!DM$18:DM$199,2*(ROWS(ED$59:ED66)-1)+1)),6),"")</f>
        <v/>
      </c>
      <c r="EE66" s="150" t="str" cm="1">
        <f t="array" ref="EE66">IFERROR(ROUND(IF($D66="","",INDEX('M04-S07'!DN$18:DN$199,2*(ROWS(EE$59:EE66)-1)+1)),6),"")</f>
        <v/>
      </c>
      <c r="EF66" s="150" t="str" cm="1">
        <f t="array" ref="EF66">IFERROR(ROUND(IF($D66="","",INDEX('M04-S07'!DO$18:DO$199,2*(ROWS(EF$59:EF66)-1)+1)),6),"")</f>
        <v/>
      </c>
      <c r="EG66" s="150" t="str" cm="1">
        <f t="array" ref="EG66">IFERROR(ROUND(IF($D66="","",INDEX('M04-S07'!DP$18:DP$199,2*(ROWS(EG$59:EG66)-1)+1)),6),"")</f>
        <v/>
      </c>
      <c r="EH66" s="150" t="str" cm="1">
        <f t="array" ref="EH66">IFERROR(ROUND(IF($D66="","",INDEX('M04-S07'!DQ$18:DQ$199,2*(ROWS(EH$59:EH66)-1)+1)),6),"")</f>
        <v/>
      </c>
      <c r="EI66" s="150" t="str" cm="1">
        <f t="array" ref="EI66">IFERROR(ROUND(IF($D66="","",INDEX('M04-S07'!DR$18:DR$199,2*(ROWS(EI$59:EI66)-1)+1)),6),"")</f>
        <v/>
      </c>
      <c r="EJ66" s="150" t="str" cm="1">
        <f t="array" ref="EJ66">IFERROR(ROUND(IF($D66="","",INDEX('M04-S07'!DS$18:DS$199,2*(ROWS(EJ$59:EJ66)-1)+1)),6),"")</f>
        <v/>
      </c>
      <c r="EK66" s="150" t="str" cm="1">
        <f t="array" ref="EK66">IFERROR(ROUND(IF($D66="","",INDEX('M04-S07'!DT$18:DT$199,2*(ROWS(EK$59:EK66)-1)+1)),6),"")</f>
        <v/>
      </c>
      <c r="EL66" s="150" t="str" cm="1">
        <f t="array" ref="EL66">IFERROR(ROUND(IF($D66="","",INDEX('M04-S07'!DU$18:DU$199,2*(ROWS(EL$59:EL66)-1)+1)),6),"")</f>
        <v/>
      </c>
      <c r="EM66" s="150" t="str" cm="1">
        <f t="array" ref="EM66">IFERROR(ROUND(IF($D66="","",INDEX('M04-S07'!DV$18:DV$199,2*(ROWS(EM$59:EM66)-1)+1)),6),"")</f>
        <v/>
      </c>
      <c r="EN66" s="150" t="str" cm="1">
        <f t="array" ref="EN66">IFERROR(ROUND(IF($D66="","",INDEX('M04-S07'!DW$18:DW$199,2*(ROWS(EN$59:EN66)-1)+1)),6),"")</f>
        <v/>
      </c>
      <c r="EO66" s="150" t="str" cm="1">
        <f t="array" ref="EO66">IFERROR(ROUND(IF($D66="","",INDEX('M04-S07'!DX$18:DX$199,2*(ROWS(EO$59:EO66)-1)+1)),6),"")</f>
        <v/>
      </c>
      <c r="EP66" s="150" t="str" cm="1">
        <f t="array" ref="EP66">IFERROR(ROUND(IF($D66="","",INDEX('M04-S07'!DY$18:DY$199,2*(ROWS(EP$59:EP66)-1)+1)),6),"")</f>
        <v/>
      </c>
      <c r="EQ66" s="150" t="str" cm="1">
        <f t="array" ref="EQ66">IFERROR(ROUND(IF($D66="","",INDEX('M04-S07'!DZ$18:DZ$199,2*(ROWS(EQ$59:EQ66)-1)+1)),6),"")</f>
        <v/>
      </c>
      <c r="ER66" s="150" t="str">
        <f t="shared" si="21"/>
        <v/>
      </c>
      <c r="ES66" s="150" t="str">
        <f t="shared" si="37"/>
        <v/>
      </c>
      <c r="ET66" s="150" t="str">
        <f t="shared" si="38"/>
        <v/>
      </c>
      <c r="EU66" s="150" t="str">
        <f t="shared" si="39"/>
        <v/>
      </c>
      <c r="EV66" s="150" t="str">
        <f t="shared" si="40"/>
        <v/>
      </c>
      <c r="EW66" s="150" t="str">
        <f t="shared" si="41"/>
        <v/>
      </c>
      <c r="EX66" s="150" t="str">
        <f t="shared" si="42"/>
        <v/>
      </c>
      <c r="EY66" s="150" t="str">
        <f t="shared" si="22"/>
        <v/>
      </c>
      <c r="EZ66" s="150" t="str" cm="1">
        <f t="array" ref="EZ66">IFERROR(ROUND(IF($D66="","",INDEX('M04-S07'!EA$18:EA$199,2*(ROWS(EZ$59:EZ66)-1)+1)),6),"")</f>
        <v/>
      </c>
      <c r="FA66" s="150" t="str" cm="1">
        <f t="array" ref="FA66">IFERROR(ROUND(IF($D66="","",INDEX('M04-S07'!EB$18:EB$199,2*(ROWS(FA$59:FA66)-1)+1)),6),"")</f>
        <v/>
      </c>
      <c r="FB66" s="150" t="str" cm="1">
        <f t="array" ref="FB66">IFERROR(ROUND(IF($D66="","",INDEX('M04-S07'!EC$18:EC$199,2*(ROWS(FB$59:FB66)-1)+1)),6),"")</f>
        <v/>
      </c>
      <c r="FC66" s="150" t="str" cm="1">
        <f t="array" ref="FC66">IFERROR(ROUND(IF($D66="","",INDEX('M04-S07'!ED$18:ED$199,2*(ROWS(FC$59:FC66)-1)+1)),6),"")</f>
        <v/>
      </c>
      <c r="FD66" s="150" t="str" cm="1">
        <f t="array" ref="FD66">IFERROR(ROUND(IF($D66="","",INDEX('M04-S07'!EE$18:EE$199,2*(ROWS(FD$59:FD66)-1)+1)),6),"")</f>
        <v/>
      </c>
      <c r="FE66" s="150" t="str" cm="1">
        <f t="array" ref="FE66">IFERROR(ROUND(IF($D66="","",INDEX('M04-S07'!EF$18:EF$199,2*(ROWS(FE$59:FE66)-1)+1)),6),"")</f>
        <v/>
      </c>
      <c r="FF66" s="150" t="str" cm="1">
        <f t="array" ref="FF66">IFERROR(ROUND(IF($D66="","",INDEX('M04-S07'!EG$18:EG$199,2*(ROWS(FF$59:FF66)-1)+1)),6),"")</f>
        <v/>
      </c>
      <c r="FG66" s="150" t="str" cm="1">
        <f t="array" ref="FG66">IFERROR(ROUND(IF($D66="","",INDEX('M04-S07'!EH$18:EH$199,2*(ROWS(FG$59:FG66)-1)+1)),6),"")</f>
        <v/>
      </c>
      <c r="FH66" s="150" t="str" cm="1">
        <f t="array" ref="FH66">IFERROR(ROUND(IF($D66="","",INDEX('M04-S07'!EI$18:EI$199,2*(ROWS(FH$59:FH66)-1)+1)),6),"")</f>
        <v/>
      </c>
      <c r="FI66" s="150" t="str" cm="1">
        <f t="array" ref="FI66">IFERROR(ROUND(IF($D66="","",INDEX('M04-S07'!EJ$18:EJ$199,2*(ROWS(FI$59:FI66)-1)+1)),6),"")</f>
        <v/>
      </c>
      <c r="FJ66" s="150" t="str" cm="1">
        <f t="array" ref="FJ66">IFERROR(ROUND(IF($D66="","",INDEX('M04-S07'!EK$18:EK$199,2*(ROWS(FJ$59:FJ66)-1)+1)),6),"")</f>
        <v/>
      </c>
      <c r="FK66" s="150" t="str" cm="1">
        <f t="array" ref="FK66">IFERROR(ROUND(IF($D66="","",INDEX('M04-S07'!EL$18:EL$199,2*(ROWS(FK$59:FK66)-1)+1)),6),"")</f>
        <v/>
      </c>
      <c r="FL66" s="150" t="str" cm="1">
        <f t="array" ref="FL66">IFERROR(ROUND(IF($D66="","",INDEX('M04-S07'!EM$18:EM$199,2*(ROWS(FL$59:FL66)-1)+1)),6),"")</f>
        <v/>
      </c>
      <c r="FM66" s="150" t="str" cm="1">
        <f t="array" ref="FM66">IFERROR(ROUND(IF($D66="","",INDEX('M04-S07'!EN$18:EN$199,2*(ROWS(FM$59:FM66)-1)+1)),6),"")</f>
        <v/>
      </c>
    </row>
    <row r="67" spans="1:169">
      <c r="A67" t="str">
        <f t="shared" si="88"/>
        <v/>
      </c>
      <c r="B67" t="str">
        <f t="shared" si="93"/>
        <v/>
      </c>
      <c r="C67" t="str" cm="1">
        <f t="array" ref="C67">IFERROR(IF(D67="","",INDEX('M04-S07'!$B$18:$B$199,2*(ROWS(C$59:C67)-1)+1)),"")</f>
        <v/>
      </c>
      <c r="D67" t="str">
        <f t="shared" si="94"/>
        <v/>
      </c>
      <c r="E67" t="str" cm="1">
        <f t="array" ref="E67">IFERROR(IF(INDEX('M04-S07'!$CC$18:$CC$199,2*(ROWS(E$59:E67)-1)+1)="","",INDEX('M04-S07'!$CC$18:$CC$199,2*(ROWS(E$59:E67)-1)+1)),"")</f>
        <v/>
      </c>
      <c r="G67" t="str">
        <f t="shared" si="95"/>
        <v/>
      </c>
      <c r="H67" t="str">
        <f t="shared" si="96"/>
        <v/>
      </c>
      <c r="L67" t="str">
        <f t="shared" si="97"/>
        <v/>
      </c>
      <c r="O67" t="str">
        <f t="shared" si="98"/>
        <v/>
      </c>
      <c r="V67" t="str" cm="1">
        <f t="array" ref="V67">IFERROR(IF(D67="","",INDEX('M04-S07'!$AY$18:$AY$199,2*(ROWS(V$59:V67)-1)+1)),"")</f>
        <v/>
      </c>
      <c r="W67" t="str" cm="1">
        <f t="array" ref="W67">IFERROR(IF(D67="","",INDEX('M04-S07'!$AV$18:$AV$199,2*(ROWS(W$59:W67)-1)+1)),"")</f>
        <v/>
      </c>
      <c r="X67" t="str" cm="1">
        <f t="array" ref="X67">IFERROR(IF(D67="","",INDEX('M04-S07'!$AV$18:$AV$199,2*(ROWS(X$59:X67)-0)+0)),"")</f>
        <v/>
      </c>
      <c r="AG67" s="98" t="str" cm="1">
        <f t="array" ref="AG67">IFERROR(IF(D67="","",IF(INDEX('M04-S07'!$CB$18:$CB$199,2*(ROWS(AG$59:AG67)-1)+1)="","",INDEX('M04-S07'!$CB$18:$CB$199,2*(ROWS(AG$59:AG67)-1)+1))),"")</f>
        <v/>
      </c>
      <c r="AH67" s="98" t="str" cm="1">
        <f t="array" ref="AH67">IFERROR(IF(D67="","",IF(INDEX('M04-S07'!$CU$18:$CU$199,2*(ROWS(AH$59:AH67)-1)+1)="","",INDEX('M04-S07'!$CU$18:$CU$199,2*(ROWS(AH$59:AH67)-1)+1))),"")</f>
        <v/>
      </c>
      <c r="AI67" s="20" t="str" cm="1">
        <f t="array" ref="AI67">IFERROR(IF(D67="","",IF(INDEX('M04-S07'!$CM$18:$CM$199,2*(ROWS(AI$59:AI67)-1)+1)="",0,INDEX('M04-S07'!$CM$18:$CM$199,2*(ROWS(AI$59:AI67)-1)+1))),"")</f>
        <v/>
      </c>
      <c r="AJ67" s="20" t="str">
        <f t="shared" si="86"/>
        <v/>
      </c>
      <c r="AK67" s="487" t="str" cm="1">
        <f t="array" ref="AK67">IFERROR(IF(D67="","",IF(INDEX('M04-S07'!$CN$18:$CN$199,2*(ROWS(AK$59:AK67)-1)+1)="",0,INDEX('M04-S07'!$CN$18:$CN$199,2*(ROWS(AK$59:AK67)-1)+1))),"")</f>
        <v/>
      </c>
      <c r="AL67" s="20" t="str">
        <f t="shared" si="99"/>
        <v/>
      </c>
      <c r="AM67" s="20" t="str">
        <f t="shared" si="90"/>
        <v/>
      </c>
      <c r="AN67" s="20" t="str" cm="1">
        <f t="array" ref="AN67">IFERROR(IF(D67="","",IF(INDEX('M04-S07'!$CO$18:$CO$199,2*(ROWS(AN$59:AN67)-1)+1)="",0,INDEX('M04-S07'!$CO$18:$CO$199,2*(ROWS(AN$59:AN67)-1)+1))),"")</f>
        <v/>
      </c>
      <c r="AO67" s="20" t="str" cm="1">
        <f t="array" ref="AO67">IFERROR(IF(D67="","",INDEX('M04-S07'!$R$18:$R$199,2*(ROWS(AO$59:AO67)-1)+1)),"")</f>
        <v/>
      </c>
      <c r="AP67" s="20" t="str" cm="1">
        <f t="array" ref="AP67">IFERROR(IF(D67="","",INDEX('M04-S07'!$AJ$18:$AJ$199,2*(ROWS(AP$59:AP67)-1)+1)),"")</f>
        <v/>
      </c>
      <c r="AQ67" s="487" t="str" cm="1">
        <f t="array" ref="AQ67">IFERROR(IF(D67="","",INDEX('M04-S07'!$U$18:$U$199,2*(ROWS(AQ$59:AQ67)-1)+1)),"")</f>
        <v/>
      </c>
      <c r="AR67" s="487" t="str" cm="1">
        <f t="array" ref="AR67">IFERROR(IF(D67="","",INDEX('M04-S07'!$AM$18:$AM$199,2*(ROWS(AR$59:AR67)-1)+1)),"")</f>
        <v/>
      </c>
      <c r="AS67" s="20" t="str" cm="1">
        <f t="array" ref="AS67">IFERROR(IF(D67="","",INDEX('M04-S07'!$X$18:$X$199,2*(ROWS(AS$59:AS67)-1)+1)),"")</f>
        <v/>
      </c>
      <c r="AT67" s="20" t="str" cm="1">
        <f t="array" ref="AT67">IFERROR(IF(D67="","",INDEX('M04-S07'!$AP$18:$AP$199,2*(ROWS(AT$59:AT67)-1)+1)),"")</f>
        <v/>
      </c>
      <c r="BP67" t="str" cm="1">
        <f t="array" ref="BP67">IFERROR(IF(D67="","",INDEX('M04-S07'!$CS$18:$CS$199,2*(ROWS(BP$59:BP67)-1)+1)),"")</f>
        <v/>
      </c>
      <c r="BR67" t="str" cm="1">
        <f t="array" ref="BR67">IFERROR(IF(D67="","",LEFT(INDEX('M04-S07'!$C$18:$C$199,2*(ROWS(BR$59:BR67)-1)+1),150)),"")</f>
        <v/>
      </c>
      <c r="BS67" t="str" cm="1">
        <f t="array" ref="BS67">IFERROR(IF(D67="","",INDEX('M04-S07'!$CT$18:$CT$199,2*(ROWS(BS$59:BS67)-1)+1)),"")</f>
        <v/>
      </c>
      <c r="BT67" s="6" t="str" cm="1">
        <f t="array" ref="BT67">IFERROR(ROUND(IF(D67="","",INDEX('M04-S07'!$BB$18:$BB$199,2*(ROWS(BT$59:BT67)-1)+1)),2),"")</f>
        <v/>
      </c>
      <c r="BU67" s="6" t="str" cm="1">
        <f t="array" ref="BU67">IFERROR(IF(D67="","",INDEX('M04-S07'!$CX$18:$CX$199,2*(ROWS(BU$59:BU67)-1)+1)),"")</f>
        <v/>
      </c>
      <c r="BV67" s="6" t="str" cm="1">
        <f t="array" ref="BV67">IFERROR(IF(D67="","",INDEX('M04-S07'!$CY$18:$CY$199,2*(ROWS(BV$59:BV67)-1)+1)),"")</f>
        <v/>
      </c>
      <c r="BW67" t="str">
        <f t="shared" si="100"/>
        <v/>
      </c>
      <c r="BX67" t="str">
        <f t="shared" si="101"/>
        <v/>
      </c>
      <c r="BY67" s="6" t="str" cm="1">
        <f t="array" ref="BY67">IFERROR(IF(D67="","",INDEX('M04-S07'!$CI$18:$CI$199,2*(ROWS(BY$59:BY67)-1)+1)),"")</f>
        <v/>
      </c>
      <c r="BZ67" s="6" t="str">
        <f t="shared" si="17"/>
        <v/>
      </c>
      <c r="CA67" s="6" t="str">
        <f t="shared" si="18"/>
        <v/>
      </c>
      <c r="CB67" s="6" t="str">
        <f t="shared" si="87"/>
        <v/>
      </c>
      <c r="CC67" s="6" t="str">
        <f t="shared" si="91"/>
        <v/>
      </c>
      <c r="CD67" s="6" t="str">
        <f t="shared" si="92"/>
        <v/>
      </c>
      <c r="CS67" t="str" cm="1">
        <f t="array" ref="CS67">IFERROR(IF(D67="","",INDEX('M04-S07'!$F$18:$F$199,2*(ROWS(CS$59:CS67)-1)+1)),"")</f>
        <v/>
      </c>
      <c r="CT67" t="str" cm="1">
        <f t="array" ref="CT67">IFERROR(IF(D67="","",INDEX('M04-S07'!$L$18:$L$199,2*(ROWS(CT$59:CT67)-1)+1)),"")</f>
        <v/>
      </c>
      <c r="CU67" t="str" cm="1">
        <f t="array" ref="CU67">IFERROR(IF(D67="","",INDEX('M04-S07'!$AD$18:$AD$199,2*(ROWS(CU$59:CU67)-1)+1)),"")</f>
        <v/>
      </c>
      <c r="DE67" s="150"/>
      <c r="DF67" s="150" t="str">
        <f>IFERROR(ROUND(IF(OR(D67="",DE67=""),"",TEMPLATE!$V$15),2),"")</f>
        <v/>
      </c>
      <c r="DG67" s="150"/>
      <c r="DH67" s="150" t="str">
        <f>IFERROR(ROUND(IF(OR(D67="",DG67=""),"",TEMPLATE!$V$15),2),"")</f>
        <v/>
      </c>
      <c r="DI67" s="150"/>
      <c r="DJ67" s="150" t="str">
        <f>IFERROR(ROUND(IF(OR(D67="",DI67=""),"",TEMPLATE!$V$15),2),"")</f>
        <v/>
      </c>
      <c r="DK67" s="150"/>
      <c r="DL67" s="150" t="str">
        <f>IFERROR(ROUND(IF(OR(D67="",DK67=""),"",TEMPLATE!$V$15),2),"")</f>
        <v/>
      </c>
      <c r="DM67" s="150"/>
      <c r="DN67" s="150" t="str">
        <f>IFERROR(ROUND(IF(OR(D67="",DM67=""),"",TEMPLATE!$V$15),2),"")</f>
        <v/>
      </c>
      <c r="DO67" s="150"/>
      <c r="DP67" s="150" t="str">
        <f>IFERROR(ROUND(IF(OR(D67="",DO67=""),"",TEMPLATE!$V$15),2),"")</f>
        <v/>
      </c>
      <c r="DQ67" s="150"/>
      <c r="DR67" s="150" t="str">
        <f>IFERROR(ROUND(IF(OR(D67="",DQ67=""),"",TEMPLATE!$V$15),2),"")</f>
        <v/>
      </c>
      <c r="DS67" s="150"/>
      <c r="DT67" s="150" t="str">
        <f>IFERROR(ROUND(IF(OR(D67="",DS67=""),"",TEMPLATE!$V$15),2),"")</f>
        <v/>
      </c>
      <c r="DU67" s="150" t="str" cm="1">
        <f t="array" ref="DU67">IFERROR(ROUND(IF($D67="","",INDEX('M04-S07'!DD$18:DD$199,2*(ROWS(DU$59:DU67)-1)+1)),4),"")</f>
        <v/>
      </c>
      <c r="DV67" s="150" t="str" cm="1">
        <f t="array" ref="DV67">IFERROR(ROUND(IF($D67="","",INDEX('M04-S07'!DE$18:DE$199,2*(ROWS(DV$59:DV67)-1)+1)),4),"")</f>
        <v/>
      </c>
      <c r="DW67" s="150" t="str" cm="1">
        <f t="array" ref="DW67">IFERROR(ROUND(IF($D67="","",INDEX('M04-S07'!DF$18:DF$199,2*(ROWS(DW$59:DW67)-1)+1)),4),"")</f>
        <v/>
      </c>
      <c r="DX67" s="150" t="str" cm="1">
        <f t="array" ref="DX67">IFERROR(ROUND(IF($D67="","",INDEX('M04-S07'!DG$18:DG$199,2*(ROWS(DX$59:DX67)-1)+1)),4),"")</f>
        <v/>
      </c>
      <c r="DY67" s="150" t="str" cm="1">
        <f t="array" ref="DY67">IFERROR(ROUND(IF($D67="","",INDEX('M04-S07'!DH$18:DH$199,2*(ROWS(DY$59:DY67)-1)+1)),4),"")</f>
        <v/>
      </c>
      <c r="DZ67" s="150" t="str" cm="1">
        <f t="array" ref="DZ67">IFERROR(ROUND(IF($D67="","",INDEX('M04-S07'!DI$18:DI$199,2*(ROWS(DZ$59:DZ67)-1)+1)),4),"")</f>
        <v/>
      </c>
      <c r="EA67" s="150" t="str" cm="1">
        <f t="array" ref="EA67">IFERROR(ROUND(IF($D67="","",INDEX('M04-S07'!DJ$18:DJ$199,2*(ROWS(EA$59:EA67)-1)+1)),4),"")</f>
        <v/>
      </c>
      <c r="EB67" s="150" t="str" cm="1">
        <f t="array" ref="EB67">IFERROR(ROUND(IF($D67="","",INDEX('M04-S07'!DK$18:DK$199,2*(ROWS(EB$59:EB67)-1)+1)),6),"")</f>
        <v/>
      </c>
      <c r="EC67" s="150" t="str" cm="1">
        <f t="array" ref="EC67">IFERROR(ROUND(IF($D67="","",INDEX('M04-S07'!DL$18:DL$199,2*(ROWS(EC$59:EC67)-1)+1)),6),"")</f>
        <v/>
      </c>
      <c r="ED67" s="150" t="str" cm="1">
        <f t="array" ref="ED67">IFERROR(ROUND(IF($D67="","",INDEX('M04-S07'!DM$18:DM$199,2*(ROWS(ED$59:ED67)-1)+1)),6),"")</f>
        <v/>
      </c>
      <c r="EE67" s="150" t="str" cm="1">
        <f t="array" ref="EE67">IFERROR(ROUND(IF($D67="","",INDEX('M04-S07'!DN$18:DN$199,2*(ROWS(EE$59:EE67)-1)+1)),6),"")</f>
        <v/>
      </c>
      <c r="EF67" s="150" t="str" cm="1">
        <f t="array" ref="EF67">IFERROR(ROUND(IF($D67="","",INDEX('M04-S07'!DO$18:DO$199,2*(ROWS(EF$59:EF67)-1)+1)),6),"")</f>
        <v/>
      </c>
      <c r="EG67" s="150" t="str" cm="1">
        <f t="array" ref="EG67">IFERROR(ROUND(IF($D67="","",INDEX('M04-S07'!DP$18:DP$199,2*(ROWS(EG$59:EG67)-1)+1)),6),"")</f>
        <v/>
      </c>
      <c r="EH67" s="150" t="str" cm="1">
        <f t="array" ref="EH67">IFERROR(ROUND(IF($D67="","",INDEX('M04-S07'!DQ$18:DQ$199,2*(ROWS(EH$59:EH67)-1)+1)),6),"")</f>
        <v/>
      </c>
      <c r="EI67" s="150" t="str" cm="1">
        <f t="array" ref="EI67">IFERROR(ROUND(IF($D67="","",INDEX('M04-S07'!DR$18:DR$199,2*(ROWS(EI$59:EI67)-1)+1)),6),"")</f>
        <v/>
      </c>
      <c r="EJ67" s="150" t="str" cm="1">
        <f t="array" ref="EJ67">IFERROR(ROUND(IF($D67="","",INDEX('M04-S07'!DS$18:DS$199,2*(ROWS(EJ$59:EJ67)-1)+1)),6),"")</f>
        <v/>
      </c>
      <c r="EK67" s="150" t="str" cm="1">
        <f t="array" ref="EK67">IFERROR(ROUND(IF($D67="","",INDEX('M04-S07'!DT$18:DT$199,2*(ROWS(EK$59:EK67)-1)+1)),6),"")</f>
        <v/>
      </c>
      <c r="EL67" s="150" t="str" cm="1">
        <f t="array" ref="EL67">IFERROR(ROUND(IF($D67="","",INDEX('M04-S07'!DU$18:DU$199,2*(ROWS(EL$59:EL67)-1)+1)),6),"")</f>
        <v/>
      </c>
      <c r="EM67" s="150" t="str" cm="1">
        <f t="array" ref="EM67">IFERROR(ROUND(IF($D67="","",INDEX('M04-S07'!DV$18:DV$199,2*(ROWS(EM$59:EM67)-1)+1)),6),"")</f>
        <v/>
      </c>
      <c r="EN67" s="150" t="str" cm="1">
        <f t="array" ref="EN67">IFERROR(ROUND(IF($D67="","",INDEX('M04-S07'!DW$18:DW$199,2*(ROWS(EN$59:EN67)-1)+1)),6),"")</f>
        <v/>
      </c>
      <c r="EO67" s="150" t="str" cm="1">
        <f t="array" ref="EO67">IFERROR(ROUND(IF($D67="","",INDEX('M04-S07'!DX$18:DX$199,2*(ROWS(EO$59:EO67)-1)+1)),6),"")</f>
        <v/>
      </c>
      <c r="EP67" s="150" t="str" cm="1">
        <f t="array" ref="EP67">IFERROR(ROUND(IF($D67="","",INDEX('M04-S07'!DY$18:DY$199,2*(ROWS(EP$59:EP67)-1)+1)),6),"")</f>
        <v/>
      </c>
      <c r="EQ67" s="150" t="str" cm="1">
        <f t="array" ref="EQ67">IFERROR(ROUND(IF($D67="","",INDEX('M04-S07'!DZ$18:DZ$199,2*(ROWS(EQ$59:EQ67)-1)+1)),6),"")</f>
        <v/>
      </c>
      <c r="ER67" s="150" t="str">
        <f t="shared" si="21"/>
        <v/>
      </c>
      <c r="ES67" s="150" t="str">
        <f t="shared" si="37"/>
        <v/>
      </c>
      <c r="ET67" s="150" t="str">
        <f t="shared" si="38"/>
        <v/>
      </c>
      <c r="EU67" s="150" t="str">
        <f t="shared" si="39"/>
        <v/>
      </c>
      <c r="EV67" s="150" t="str">
        <f t="shared" si="40"/>
        <v/>
      </c>
      <c r="EW67" s="150" t="str">
        <f t="shared" si="41"/>
        <v/>
      </c>
      <c r="EX67" s="150" t="str">
        <f t="shared" si="42"/>
        <v/>
      </c>
      <c r="EY67" s="150" t="str">
        <f t="shared" si="22"/>
        <v/>
      </c>
      <c r="EZ67" s="150" t="str" cm="1">
        <f t="array" ref="EZ67">IFERROR(ROUND(IF($D67="","",INDEX('M04-S07'!EA$18:EA$199,2*(ROWS(EZ$59:EZ67)-1)+1)),6),"")</f>
        <v/>
      </c>
      <c r="FA67" s="150" t="str" cm="1">
        <f t="array" ref="FA67">IFERROR(ROUND(IF($D67="","",INDEX('M04-S07'!EB$18:EB$199,2*(ROWS(FA$59:FA67)-1)+1)),6),"")</f>
        <v/>
      </c>
      <c r="FB67" s="150" t="str" cm="1">
        <f t="array" ref="FB67">IFERROR(ROUND(IF($D67="","",INDEX('M04-S07'!EC$18:EC$199,2*(ROWS(FB$59:FB67)-1)+1)),6),"")</f>
        <v/>
      </c>
      <c r="FC67" s="150" t="str" cm="1">
        <f t="array" ref="FC67">IFERROR(ROUND(IF($D67="","",INDEX('M04-S07'!ED$18:ED$199,2*(ROWS(FC$59:FC67)-1)+1)),6),"")</f>
        <v/>
      </c>
      <c r="FD67" s="150" t="str" cm="1">
        <f t="array" ref="FD67">IFERROR(ROUND(IF($D67="","",INDEX('M04-S07'!EE$18:EE$199,2*(ROWS(FD$59:FD67)-1)+1)),6),"")</f>
        <v/>
      </c>
      <c r="FE67" s="150" t="str" cm="1">
        <f t="array" ref="FE67">IFERROR(ROUND(IF($D67="","",INDEX('M04-S07'!EF$18:EF$199,2*(ROWS(FE$59:FE67)-1)+1)),6),"")</f>
        <v/>
      </c>
      <c r="FF67" s="150" t="str" cm="1">
        <f t="array" ref="FF67">IFERROR(ROUND(IF($D67="","",INDEX('M04-S07'!EG$18:EG$199,2*(ROWS(FF$59:FF67)-1)+1)),6),"")</f>
        <v/>
      </c>
      <c r="FG67" s="150" t="str" cm="1">
        <f t="array" ref="FG67">IFERROR(ROUND(IF($D67="","",INDEX('M04-S07'!EH$18:EH$199,2*(ROWS(FG$59:FG67)-1)+1)),6),"")</f>
        <v/>
      </c>
      <c r="FH67" s="150" t="str" cm="1">
        <f t="array" ref="FH67">IFERROR(ROUND(IF($D67="","",INDEX('M04-S07'!EI$18:EI$199,2*(ROWS(FH$59:FH67)-1)+1)),6),"")</f>
        <v/>
      </c>
      <c r="FI67" s="150" t="str" cm="1">
        <f t="array" ref="FI67">IFERROR(ROUND(IF($D67="","",INDEX('M04-S07'!EJ$18:EJ$199,2*(ROWS(FI$59:FI67)-1)+1)),6),"")</f>
        <v/>
      </c>
      <c r="FJ67" s="150" t="str" cm="1">
        <f t="array" ref="FJ67">IFERROR(ROUND(IF($D67="","",INDEX('M04-S07'!EK$18:EK$199,2*(ROWS(FJ$59:FJ67)-1)+1)),6),"")</f>
        <v/>
      </c>
      <c r="FK67" s="150" t="str" cm="1">
        <f t="array" ref="FK67">IFERROR(ROUND(IF($D67="","",INDEX('M04-S07'!EL$18:EL$199,2*(ROWS(FK$59:FK67)-1)+1)),6),"")</f>
        <v/>
      </c>
      <c r="FL67" s="150" t="str" cm="1">
        <f t="array" ref="FL67">IFERROR(ROUND(IF($D67="","",INDEX('M04-S07'!EM$18:EM$199,2*(ROWS(FL$59:FL67)-1)+1)),6),"")</f>
        <v/>
      </c>
      <c r="FM67" s="150" t="str" cm="1">
        <f t="array" ref="FM67">IFERROR(ROUND(IF($D67="","",INDEX('M04-S07'!EN$18:EN$199,2*(ROWS(FM$59:FM67)-1)+1)),6),"")</f>
        <v/>
      </c>
    </row>
    <row r="68" spans="1:169">
      <c r="A68" t="str">
        <f t="shared" si="88"/>
        <v/>
      </c>
      <c r="B68" t="str">
        <f t="shared" si="93"/>
        <v/>
      </c>
      <c r="C68" t="str" cm="1">
        <f t="array" ref="C68">IFERROR(IF(D68="","",INDEX('M04-S07'!$B$18:$B$199,2*(ROWS(C$59:C68)-1)+1)),"")</f>
        <v/>
      </c>
      <c r="D68" t="str">
        <f t="shared" si="94"/>
        <v/>
      </c>
      <c r="E68" t="str" cm="1">
        <f t="array" ref="E68">IFERROR(IF(INDEX('M04-S07'!$CC$18:$CC$199,2*(ROWS(E$59:E68)-1)+1)="","",INDEX('M04-S07'!$CC$18:$CC$199,2*(ROWS(E$59:E68)-1)+1)),"")</f>
        <v/>
      </c>
      <c r="G68" t="str">
        <f t="shared" si="95"/>
        <v/>
      </c>
      <c r="H68" t="str">
        <f t="shared" si="96"/>
        <v/>
      </c>
      <c r="L68" t="str">
        <f t="shared" si="97"/>
        <v/>
      </c>
      <c r="O68" t="str">
        <f t="shared" si="98"/>
        <v/>
      </c>
      <c r="V68" t="str" cm="1">
        <f t="array" ref="V68">IFERROR(IF(D68="","",INDEX('M04-S07'!$AY$18:$AY$199,2*(ROWS(V$59:V68)-1)+1)),"")</f>
        <v/>
      </c>
      <c r="W68" t="str" cm="1">
        <f t="array" ref="W68">IFERROR(IF(D68="","",INDEX('M04-S07'!$AV$18:$AV$199,2*(ROWS(W$59:W68)-1)+1)),"")</f>
        <v/>
      </c>
      <c r="X68" t="str" cm="1">
        <f t="array" ref="X68">IFERROR(IF(D68="","",INDEX('M04-S07'!$AV$18:$AV$199,2*(ROWS(X$59:X68)-0)+0)),"")</f>
        <v/>
      </c>
      <c r="AG68" s="98" t="str" cm="1">
        <f t="array" ref="AG68">IFERROR(IF(D68="","",IF(INDEX('M04-S07'!$CB$18:$CB$199,2*(ROWS(AG$59:AG68)-1)+1)="","",INDEX('M04-S07'!$CB$18:$CB$199,2*(ROWS(AG$59:AG68)-1)+1))),"")</f>
        <v/>
      </c>
      <c r="AH68" s="98" t="str" cm="1">
        <f t="array" ref="AH68">IFERROR(IF(D68="","",IF(INDEX('M04-S07'!$CU$18:$CU$199,2*(ROWS(AH$59:AH68)-1)+1)="","",INDEX('M04-S07'!$CU$18:$CU$199,2*(ROWS(AH$59:AH68)-1)+1))),"")</f>
        <v/>
      </c>
      <c r="AI68" s="20" t="str" cm="1">
        <f t="array" ref="AI68">IFERROR(IF(D68="","",IF(INDEX('M04-S07'!$CM$18:$CM$199,2*(ROWS(AI$59:AI68)-1)+1)="",0,INDEX('M04-S07'!$CM$18:$CM$199,2*(ROWS(AI$59:AI68)-1)+1))),"")</f>
        <v/>
      </c>
      <c r="AJ68" s="20" t="str">
        <f t="shared" si="86"/>
        <v/>
      </c>
      <c r="AK68" s="487" t="str" cm="1">
        <f t="array" ref="AK68">IFERROR(IF(D68="","",IF(INDEX('M04-S07'!$CN$18:$CN$199,2*(ROWS(AK$59:AK68)-1)+1)="",0,INDEX('M04-S07'!$CN$18:$CN$199,2*(ROWS(AK$59:AK68)-1)+1))),"")</f>
        <v/>
      </c>
      <c r="AL68" s="20" t="str">
        <f t="shared" si="99"/>
        <v/>
      </c>
      <c r="AM68" s="20" t="str">
        <f t="shared" si="90"/>
        <v/>
      </c>
      <c r="AN68" s="20" t="str" cm="1">
        <f t="array" ref="AN68">IFERROR(IF(D68="","",IF(INDEX('M04-S07'!$CO$18:$CO$199,2*(ROWS(AN$59:AN68)-1)+1)="",0,INDEX('M04-S07'!$CO$18:$CO$199,2*(ROWS(AN$59:AN68)-1)+1))),"")</f>
        <v/>
      </c>
      <c r="AO68" s="20" t="str" cm="1">
        <f t="array" ref="AO68">IFERROR(IF(D68="","",INDEX('M04-S07'!$R$18:$R$199,2*(ROWS(AO$59:AO68)-1)+1)),"")</f>
        <v/>
      </c>
      <c r="AP68" s="20" t="str" cm="1">
        <f t="array" ref="AP68">IFERROR(IF(D68="","",INDEX('M04-S07'!$AJ$18:$AJ$199,2*(ROWS(AP$59:AP68)-1)+1)),"")</f>
        <v/>
      </c>
      <c r="AQ68" s="487" t="str" cm="1">
        <f t="array" ref="AQ68">IFERROR(IF(D68="","",INDEX('M04-S07'!$U$18:$U$199,2*(ROWS(AQ$59:AQ68)-1)+1)),"")</f>
        <v/>
      </c>
      <c r="AR68" s="487" t="str" cm="1">
        <f t="array" ref="AR68">IFERROR(IF(D68="","",INDEX('M04-S07'!$AM$18:$AM$199,2*(ROWS(AR$59:AR68)-1)+1)),"")</f>
        <v/>
      </c>
      <c r="AS68" s="20" t="str" cm="1">
        <f t="array" ref="AS68">IFERROR(IF(D68="","",INDEX('M04-S07'!$X$18:$X$199,2*(ROWS(AS$59:AS68)-1)+1)),"")</f>
        <v/>
      </c>
      <c r="AT68" s="20" t="str" cm="1">
        <f t="array" ref="AT68">IFERROR(IF(D68="","",INDEX('M04-S07'!$AP$18:$AP$199,2*(ROWS(AT$59:AT68)-1)+1)),"")</f>
        <v/>
      </c>
      <c r="BP68" t="str" cm="1">
        <f t="array" ref="BP68">IFERROR(IF(D68="","",INDEX('M04-S07'!$CS$18:$CS$199,2*(ROWS(BP$59:BP68)-1)+1)),"")</f>
        <v/>
      </c>
      <c r="BR68" t="str" cm="1">
        <f t="array" ref="BR68">IFERROR(IF(D68="","",LEFT(INDEX('M04-S07'!$C$18:$C$199,2*(ROWS(BR$59:BR68)-1)+1),150)),"")</f>
        <v/>
      </c>
      <c r="BS68" t="str" cm="1">
        <f t="array" ref="BS68">IFERROR(IF(D68="","",INDEX('M04-S07'!$CT$18:$CT$199,2*(ROWS(BS$59:BS68)-1)+1)),"")</f>
        <v/>
      </c>
      <c r="BT68" s="6" t="str" cm="1">
        <f t="array" ref="BT68">IFERROR(ROUND(IF(D68="","",INDEX('M04-S07'!$BB$18:$BB$199,2*(ROWS(BT$59:BT68)-1)+1)),2),"")</f>
        <v/>
      </c>
      <c r="BU68" s="6" t="str" cm="1">
        <f t="array" ref="BU68">IFERROR(IF(D68="","",INDEX('M04-S07'!$CX$18:$CX$199,2*(ROWS(BU$59:BU68)-1)+1)),"")</f>
        <v/>
      </c>
      <c r="BV68" s="6" t="str" cm="1">
        <f t="array" ref="BV68">IFERROR(IF(D68="","",INDEX('M04-S07'!$CY$18:$CY$199,2*(ROWS(BV$59:BV68)-1)+1)),"")</f>
        <v/>
      </c>
      <c r="BW68" t="str">
        <f t="shared" si="100"/>
        <v/>
      </c>
      <c r="BX68" t="str">
        <f t="shared" si="101"/>
        <v/>
      </c>
      <c r="BY68" s="6" t="str" cm="1">
        <f t="array" ref="BY68">IFERROR(IF(D68="","",INDEX('M04-S07'!$CI$18:$CI$199,2*(ROWS(BY$59:BY68)-1)+1)),"")</f>
        <v/>
      </c>
      <c r="BZ68" s="6" t="str">
        <f t="shared" si="17"/>
        <v/>
      </c>
      <c r="CA68" s="6" t="str">
        <f t="shared" si="18"/>
        <v/>
      </c>
      <c r="CB68" s="6" t="str">
        <f t="shared" si="87"/>
        <v/>
      </c>
      <c r="CC68" s="6" t="str">
        <f t="shared" si="91"/>
        <v/>
      </c>
      <c r="CD68" s="6" t="str">
        <f t="shared" si="92"/>
        <v/>
      </c>
      <c r="CS68" t="str" cm="1">
        <f t="array" ref="CS68">IFERROR(IF(D68="","",INDEX('M04-S07'!$F$18:$F$199,2*(ROWS(CS$59:CS68)-1)+1)),"")</f>
        <v/>
      </c>
      <c r="CT68" t="str" cm="1">
        <f t="array" ref="CT68">IFERROR(IF(D68="","",INDEX('M04-S07'!$L$18:$L$199,2*(ROWS(CT$59:CT68)-1)+1)),"")</f>
        <v/>
      </c>
      <c r="CU68" t="str" cm="1">
        <f t="array" ref="CU68">IFERROR(IF(D68="","",INDEX('M04-S07'!$AD$18:$AD$199,2*(ROWS(CU$59:CU68)-1)+1)),"")</f>
        <v/>
      </c>
      <c r="DE68" s="150"/>
      <c r="DF68" s="150" t="str">
        <f>IFERROR(ROUND(IF(OR(D68="",DE68=""),"",TEMPLATE!$V$15),2),"")</f>
        <v/>
      </c>
      <c r="DG68" s="150"/>
      <c r="DH68" s="150" t="str">
        <f>IFERROR(ROUND(IF(OR(D68="",DG68=""),"",TEMPLATE!$V$15),2),"")</f>
        <v/>
      </c>
      <c r="DI68" s="150"/>
      <c r="DJ68" s="150" t="str">
        <f>IFERROR(ROUND(IF(OR(D68="",DI68=""),"",TEMPLATE!$V$15),2),"")</f>
        <v/>
      </c>
      <c r="DK68" s="150"/>
      <c r="DL68" s="150" t="str">
        <f>IFERROR(ROUND(IF(OR(D68="",DK68=""),"",TEMPLATE!$V$15),2),"")</f>
        <v/>
      </c>
      <c r="DM68" s="150"/>
      <c r="DN68" s="150" t="str">
        <f>IFERROR(ROUND(IF(OR(D68="",DM68=""),"",TEMPLATE!$V$15),2),"")</f>
        <v/>
      </c>
      <c r="DO68" s="150"/>
      <c r="DP68" s="150" t="str">
        <f>IFERROR(ROUND(IF(OR(D68="",DO68=""),"",TEMPLATE!$V$15),2),"")</f>
        <v/>
      </c>
      <c r="DQ68" s="150"/>
      <c r="DR68" s="150" t="str">
        <f>IFERROR(ROUND(IF(OR(D68="",DQ68=""),"",TEMPLATE!$V$15),2),"")</f>
        <v/>
      </c>
      <c r="DS68" s="150"/>
      <c r="DT68" s="150" t="str">
        <f>IFERROR(ROUND(IF(OR(D68="",DS68=""),"",TEMPLATE!$V$15),2),"")</f>
        <v/>
      </c>
      <c r="DU68" s="150" t="str" cm="1">
        <f t="array" ref="DU68">IFERROR(ROUND(IF($D68="","",INDEX('M04-S07'!DD$18:DD$199,2*(ROWS(DU$59:DU68)-1)+1)),4),"")</f>
        <v/>
      </c>
      <c r="DV68" s="150" t="str" cm="1">
        <f t="array" ref="DV68">IFERROR(ROUND(IF($D68="","",INDEX('M04-S07'!DE$18:DE$199,2*(ROWS(DV$59:DV68)-1)+1)),4),"")</f>
        <v/>
      </c>
      <c r="DW68" s="150" t="str" cm="1">
        <f t="array" ref="DW68">IFERROR(ROUND(IF($D68="","",INDEX('M04-S07'!DF$18:DF$199,2*(ROWS(DW$59:DW68)-1)+1)),4),"")</f>
        <v/>
      </c>
      <c r="DX68" s="150" t="str" cm="1">
        <f t="array" ref="DX68">IFERROR(ROUND(IF($D68="","",INDEX('M04-S07'!DG$18:DG$199,2*(ROWS(DX$59:DX68)-1)+1)),4),"")</f>
        <v/>
      </c>
      <c r="DY68" s="150" t="str" cm="1">
        <f t="array" ref="DY68">IFERROR(ROUND(IF($D68="","",INDEX('M04-S07'!DH$18:DH$199,2*(ROWS(DY$59:DY68)-1)+1)),4),"")</f>
        <v/>
      </c>
      <c r="DZ68" s="150" t="str" cm="1">
        <f t="array" ref="DZ68">IFERROR(ROUND(IF($D68="","",INDEX('M04-S07'!DI$18:DI$199,2*(ROWS(DZ$59:DZ68)-1)+1)),4),"")</f>
        <v/>
      </c>
      <c r="EA68" s="150" t="str" cm="1">
        <f t="array" ref="EA68">IFERROR(ROUND(IF($D68="","",INDEX('M04-S07'!DJ$18:DJ$199,2*(ROWS(EA$59:EA68)-1)+1)),4),"")</f>
        <v/>
      </c>
      <c r="EB68" s="150" t="str" cm="1">
        <f t="array" ref="EB68">IFERROR(ROUND(IF($D68="","",INDEX('M04-S07'!DK$18:DK$199,2*(ROWS(EB$59:EB68)-1)+1)),6),"")</f>
        <v/>
      </c>
      <c r="EC68" s="150" t="str" cm="1">
        <f t="array" ref="EC68">IFERROR(ROUND(IF($D68="","",INDEX('M04-S07'!DL$18:DL$199,2*(ROWS(EC$59:EC68)-1)+1)),6),"")</f>
        <v/>
      </c>
      <c r="ED68" s="150" t="str" cm="1">
        <f t="array" ref="ED68">IFERROR(ROUND(IF($D68="","",INDEX('M04-S07'!DM$18:DM$199,2*(ROWS(ED$59:ED68)-1)+1)),6),"")</f>
        <v/>
      </c>
      <c r="EE68" s="150" t="str" cm="1">
        <f t="array" ref="EE68">IFERROR(ROUND(IF($D68="","",INDEX('M04-S07'!DN$18:DN$199,2*(ROWS(EE$59:EE68)-1)+1)),6),"")</f>
        <v/>
      </c>
      <c r="EF68" s="150" t="str" cm="1">
        <f t="array" ref="EF68">IFERROR(ROUND(IF($D68="","",INDEX('M04-S07'!DO$18:DO$199,2*(ROWS(EF$59:EF68)-1)+1)),6),"")</f>
        <v/>
      </c>
      <c r="EG68" s="150" t="str" cm="1">
        <f t="array" ref="EG68">IFERROR(ROUND(IF($D68="","",INDEX('M04-S07'!DP$18:DP$199,2*(ROWS(EG$59:EG68)-1)+1)),6),"")</f>
        <v/>
      </c>
      <c r="EH68" s="150" t="str" cm="1">
        <f t="array" ref="EH68">IFERROR(ROUND(IF($D68="","",INDEX('M04-S07'!DQ$18:DQ$199,2*(ROWS(EH$59:EH68)-1)+1)),6),"")</f>
        <v/>
      </c>
      <c r="EI68" s="150" t="str" cm="1">
        <f t="array" ref="EI68">IFERROR(ROUND(IF($D68="","",INDEX('M04-S07'!DR$18:DR$199,2*(ROWS(EI$59:EI68)-1)+1)),6),"")</f>
        <v/>
      </c>
      <c r="EJ68" s="150" t="str" cm="1">
        <f t="array" ref="EJ68">IFERROR(ROUND(IF($D68="","",INDEX('M04-S07'!DS$18:DS$199,2*(ROWS(EJ$59:EJ68)-1)+1)),6),"")</f>
        <v/>
      </c>
      <c r="EK68" s="150" t="str" cm="1">
        <f t="array" ref="EK68">IFERROR(ROUND(IF($D68="","",INDEX('M04-S07'!DT$18:DT$199,2*(ROWS(EK$59:EK68)-1)+1)),6),"")</f>
        <v/>
      </c>
      <c r="EL68" s="150" t="str" cm="1">
        <f t="array" ref="EL68">IFERROR(ROUND(IF($D68="","",INDEX('M04-S07'!DU$18:DU$199,2*(ROWS(EL$59:EL68)-1)+1)),6),"")</f>
        <v/>
      </c>
      <c r="EM68" s="150" t="str" cm="1">
        <f t="array" ref="EM68">IFERROR(ROUND(IF($D68="","",INDEX('M04-S07'!DV$18:DV$199,2*(ROWS(EM$59:EM68)-1)+1)),6),"")</f>
        <v/>
      </c>
      <c r="EN68" s="150" t="str" cm="1">
        <f t="array" ref="EN68">IFERROR(ROUND(IF($D68="","",INDEX('M04-S07'!DW$18:DW$199,2*(ROWS(EN$59:EN68)-1)+1)),6),"")</f>
        <v/>
      </c>
      <c r="EO68" s="150" t="str" cm="1">
        <f t="array" ref="EO68">IFERROR(ROUND(IF($D68="","",INDEX('M04-S07'!DX$18:DX$199,2*(ROWS(EO$59:EO68)-1)+1)),6),"")</f>
        <v/>
      </c>
      <c r="EP68" s="150" t="str" cm="1">
        <f t="array" ref="EP68">IFERROR(ROUND(IF($D68="","",INDEX('M04-S07'!DY$18:DY$199,2*(ROWS(EP$59:EP68)-1)+1)),6),"")</f>
        <v/>
      </c>
      <c r="EQ68" s="150" t="str" cm="1">
        <f t="array" ref="EQ68">IFERROR(ROUND(IF($D68="","",INDEX('M04-S07'!DZ$18:DZ$199,2*(ROWS(EQ$59:EQ68)-1)+1)),6),"")</f>
        <v/>
      </c>
      <c r="ER68" s="150" t="str">
        <f t="shared" si="21"/>
        <v/>
      </c>
      <c r="ES68" s="150" t="str">
        <f t="shared" si="37"/>
        <v/>
      </c>
      <c r="ET68" s="150" t="str">
        <f t="shared" si="38"/>
        <v/>
      </c>
      <c r="EU68" s="150" t="str">
        <f t="shared" si="39"/>
        <v/>
      </c>
      <c r="EV68" s="150" t="str">
        <f t="shared" si="40"/>
        <v/>
      </c>
      <c r="EW68" s="150" t="str">
        <f t="shared" si="41"/>
        <v/>
      </c>
      <c r="EX68" s="150" t="str">
        <f t="shared" si="42"/>
        <v/>
      </c>
      <c r="EY68" s="150" t="str">
        <f t="shared" si="22"/>
        <v/>
      </c>
      <c r="EZ68" s="150" t="str" cm="1">
        <f t="array" ref="EZ68">IFERROR(ROUND(IF($D68="","",INDEX('M04-S07'!EA$18:EA$199,2*(ROWS(EZ$59:EZ68)-1)+1)),6),"")</f>
        <v/>
      </c>
      <c r="FA68" s="150" t="str" cm="1">
        <f t="array" ref="FA68">IFERROR(ROUND(IF($D68="","",INDEX('M04-S07'!EB$18:EB$199,2*(ROWS(FA$59:FA68)-1)+1)),6),"")</f>
        <v/>
      </c>
      <c r="FB68" s="150" t="str" cm="1">
        <f t="array" ref="FB68">IFERROR(ROUND(IF($D68="","",INDEX('M04-S07'!EC$18:EC$199,2*(ROWS(FB$59:FB68)-1)+1)),6),"")</f>
        <v/>
      </c>
      <c r="FC68" s="150" t="str" cm="1">
        <f t="array" ref="FC68">IFERROR(ROUND(IF($D68="","",INDEX('M04-S07'!ED$18:ED$199,2*(ROWS(FC$59:FC68)-1)+1)),6),"")</f>
        <v/>
      </c>
      <c r="FD68" s="150" t="str" cm="1">
        <f t="array" ref="FD68">IFERROR(ROUND(IF($D68="","",INDEX('M04-S07'!EE$18:EE$199,2*(ROWS(FD$59:FD68)-1)+1)),6),"")</f>
        <v/>
      </c>
      <c r="FE68" s="150" t="str" cm="1">
        <f t="array" ref="FE68">IFERROR(ROUND(IF($D68="","",INDEX('M04-S07'!EF$18:EF$199,2*(ROWS(FE$59:FE68)-1)+1)),6),"")</f>
        <v/>
      </c>
      <c r="FF68" s="150" t="str" cm="1">
        <f t="array" ref="FF68">IFERROR(ROUND(IF($D68="","",INDEX('M04-S07'!EG$18:EG$199,2*(ROWS(FF$59:FF68)-1)+1)),6),"")</f>
        <v/>
      </c>
      <c r="FG68" s="150" t="str" cm="1">
        <f t="array" ref="FG68">IFERROR(ROUND(IF($D68="","",INDEX('M04-S07'!EH$18:EH$199,2*(ROWS(FG$59:FG68)-1)+1)),6),"")</f>
        <v/>
      </c>
      <c r="FH68" s="150" t="str" cm="1">
        <f t="array" ref="FH68">IFERROR(ROUND(IF($D68="","",INDEX('M04-S07'!EI$18:EI$199,2*(ROWS(FH$59:FH68)-1)+1)),6),"")</f>
        <v/>
      </c>
      <c r="FI68" s="150" t="str" cm="1">
        <f t="array" ref="FI68">IFERROR(ROUND(IF($D68="","",INDEX('M04-S07'!EJ$18:EJ$199,2*(ROWS(FI$59:FI68)-1)+1)),6),"")</f>
        <v/>
      </c>
      <c r="FJ68" s="150" t="str" cm="1">
        <f t="array" ref="FJ68">IFERROR(ROUND(IF($D68="","",INDEX('M04-S07'!EK$18:EK$199,2*(ROWS(FJ$59:FJ68)-1)+1)),6),"")</f>
        <v/>
      </c>
      <c r="FK68" s="150" t="str" cm="1">
        <f t="array" ref="FK68">IFERROR(ROUND(IF($D68="","",INDEX('M04-S07'!EL$18:EL$199,2*(ROWS(FK$59:FK68)-1)+1)),6),"")</f>
        <v/>
      </c>
      <c r="FL68" s="150" t="str" cm="1">
        <f t="array" ref="FL68">IFERROR(ROUND(IF($D68="","",INDEX('M04-S07'!EM$18:EM$199,2*(ROWS(FL$59:FL68)-1)+1)),6),"")</f>
        <v/>
      </c>
      <c r="FM68" s="150" t="str" cm="1">
        <f t="array" ref="FM68">IFERROR(ROUND(IF($D68="","",INDEX('M04-S07'!EN$18:EN$199,2*(ROWS(FM$59:FM68)-1)+1)),6),"")</f>
        <v/>
      </c>
    </row>
    <row r="69" spans="1:169">
      <c r="A69" s="218" t="str">
        <f>"Custom "&amp;M4S8</f>
        <v>Custom Agriculture</v>
      </c>
      <c r="B69" s="218"/>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c r="BJ69" s="218"/>
      <c r="BK69" s="218"/>
      <c r="BL69" s="218"/>
      <c r="BM69" s="218"/>
      <c r="BN69" s="218"/>
      <c r="BO69" s="218"/>
      <c r="BP69" s="218"/>
      <c r="BQ69" s="218"/>
      <c r="BR69" s="218"/>
      <c r="BS69" s="218"/>
      <c r="BT69" s="218"/>
      <c r="BU69" s="218"/>
      <c r="BV69" s="218"/>
      <c r="BW69" s="218"/>
      <c r="BX69" s="218"/>
      <c r="BY69" s="218"/>
      <c r="BZ69" s="218"/>
      <c r="CA69" s="218"/>
      <c r="CB69" s="218"/>
      <c r="CC69" s="218"/>
      <c r="CD69" s="218"/>
      <c r="CE69" s="218"/>
      <c r="CF69" s="218"/>
      <c r="CG69" s="218"/>
      <c r="CH69" s="218"/>
      <c r="CI69" s="218"/>
      <c r="CJ69" s="218"/>
      <c r="CK69" s="218"/>
      <c r="CL69" s="218"/>
      <c r="CM69" s="218"/>
      <c r="CN69" s="218"/>
      <c r="CO69" s="218"/>
      <c r="CP69" s="218"/>
      <c r="CQ69" s="218"/>
      <c r="CR69" s="218"/>
      <c r="CS69" s="218"/>
      <c r="CT69" s="218"/>
      <c r="CU69" s="218"/>
      <c r="CV69" s="218"/>
      <c r="CW69" s="218"/>
      <c r="CX69" s="218"/>
      <c r="CY69" s="218"/>
      <c r="CZ69" s="218"/>
      <c r="DA69" s="218"/>
      <c r="DB69" s="218"/>
      <c r="DC69" s="218"/>
      <c r="DD69" s="218"/>
      <c r="DE69" s="218"/>
      <c r="DF69" s="218"/>
      <c r="DG69" s="218"/>
      <c r="DH69" s="218"/>
      <c r="DI69" s="218"/>
      <c r="DJ69" s="218"/>
      <c r="DK69" s="218"/>
      <c r="DL69" s="218"/>
      <c r="DM69" s="218"/>
      <c r="DN69" s="218"/>
      <c r="DO69" s="218"/>
      <c r="DP69" s="218"/>
      <c r="DQ69" s="218"/>
      <c r="DR69" s="218"/>
      <c r="DS69" s="218"/>
      <c r="DT69" s="218"/>
      <c r="DU69" s="218"/>
      <c r="DV69" s="218"/>
      <c r="DW69" s="218"/>
      <c r="DX69" s="218"/>
      <c r="DY69" s="218"/>
      <c r="DZ69" s="218"/>
      <c r="EA69" s="218"/>
      <c r="EB69" s="218"/>
      <c r="EC69" s="218"/>
      <c r="ED69" s="218"/>
      <c r="EE69" s="218"/>
      <c r="EF69" s="218"/>
      <c r="EG69" s="218"/>
      <c r="EH69" s="218"/>
      <c r="EI69" s="218"/>
      <c r="EJ69" s="218"/>
      <c r="EK69" s="218"/>
      <c r="EL69" s="218"/>
      <c r="EM69" s="218"/>
      <c r="EN69" s="218"/>
      <c r="EO69" s="218"/>
      <c r="EP69" s="218"/>
      <c r="EQ69" s="218"/>
      <c r="ER69" s="218"/>
      <c r="ES69" s="218"/>
      <c r="ET69" s="218"/>
      <c r="EU69" s="218"/>
      <c r="EV69" s="218"/>
      <c r="EW69" s="218"/>
      <c r="EX69" s="218"/>
      <c r="EY69" s="218"/>
      <c r="EZ69" s="218"/>
      <c r="FA69" s="218"/>
      <c r="FB69" s="218"/>
      <c r="FC69" s="218"/>
      <c r="FD69" s="218"/>
      <c r="FE69" s="218"/>
      <c r="FF69" s="218"/>
      <c r="FG69" s="218"/>
      <c r="FH69" s="218"/>
      <c r="FI69" s="218"/>
      <c r="FJ69" s="218"/>
      <c r="FK69" s="218"/>
      <c r="FL69" s="218"/>
      <c r="FM69" s="218"/>
    </row>
    <row r="70" spans="1:169">
      <c r="A70" t="str">
        <f t="shared" ref="A70:A79" si="102">IFERROR(IF(D70="","",PROJID),"")</f>
        <v/>
      </c>
      <c r="B70" t="str">
        <f>IFERROR(IF(D70="","",CONCATENATE(ROW(),"-",D70)),"")</f>
        <v/>
      </c>
      <c r="C70" t="str" cm="1">
        <f t="array" ref="C70">IFERROR(IF(D70="","",INDEX('M04-S08'!$B$18:$B$199,2*(ROWS(C$70:C70)-1)+1)),"")</f>
        <v/>
      </c>
      <c r="D70" t="str">
        <f>IFERROR(IF(E70="","",E70),"")</f>
        <v/>
      </c>
      <c r="E70" t="str" cm="1">
        <f t="array" ref="E70">IFERROR(IF(INDEX('M04-S08'!$CC$18:$CC$199,2*(ROWS(E$70:E70)-1)+1)="","",INDEX('M04-S08'!$CC$18:$CC$199,2*(ROWS(E$70:E70)-1)+1)),"")</f>
        <v/>
      </c>
      <c r="G70" t="str">
        <f>IFERROR(IF(C70&lt;&gt;"","Custom",""),"")</f>
        <v/>
      </c>
      <c r="H70" t="str">
        <f t="shared" ref="H70" si="103">IFERROR(IF(C70&lt;&gt;"","Downstream",""),"")</f>
        <v/>
      </c>
      <c r="L70" t="str">
        <f>IF($C70="","",IF(AND(AI70&gt;0,AN70&gt;0),"Electric &amp; Gas",IF(AI70&gt;0,"Electric",IF(AN70&gt;0,"Gas",""))))</f>
        <v/>
      </c>
      <c r="O70" t="str">
        <f>IF($C70="","",TRUE)</f>
        <v/>
      </c>
      <c r="V70" t="str" cm="1">
        <f t="array" ref="V70">IFERROR(IF(D70="","",INDEX('M04-S08'!$AY$18:$AY$199,2*(ROWS(V$70:V70)-1)+1)),"")</f>
        <v/>
      </c>
      <c r="W70" t="str" cm="1">
        <f t="array" ref="W70">IFERROR(IF(D70="","",INDEX('M04-S08'!$AV$18:$AV$199,2*(ROWS(W$70:W70)-1)+1)),"")</f>
        <v/>
      </c>
      <c r="X70" t="str" cm="1">
        <f t="array" ref="X70">IFERROR(IF(D70="","",INDEX('M04-S08'!$AV$18:$AV$199,2*(ROWS(X$70:X70)-0)+0)),"")</f>
        <v/>
      </c>
      <c r="AG70" s="98" t="str" cm="1">
        <f t="array" ref="AG70">IFERROR(IF(D70="","",IF(INDEX('M04-S08'!$CB$18:$CB$199,2*(ROWS(AG$70:AG70)-1)+1)="","",INDEX('M04-S08'!$CB$18:$CB$199,2*(ROWS(AG$70:AG70)-1)+1))),"")</f>
        <v/>
      </c>
      <c r="AH70" s="98" t="str" cm="1">
        <f t="array" ref="AH70">IFERROR(IF(D70="","",IF(INDEX('M04-S08'!$CU$18:$CU$199,2*(ROWS(AH$70:AH70)-1)+1)="","",INDEX('M04-S08'!$CU$18:$CU$199,2*(ROWS(AH$70:AH70)-1)+1))),"")</f>
        <v/>
      </c>
      <c r="AI70" s="20" t="str" cm="1">
        <f t="array" ref="AI70">IFERROR(IF(D70="","",IF(INDEX('M04-S08'!$CM$18:$CM$199,2*(ROWS(AI$70:AI70)-1)+1)="",0,INDEX('M04-S08'!$CM$18:$CM$199,2*(ROWS(AI$70:AI70)-1)+1))),"")</f>
        <v/>
      </c>
      <c r="AJ70" s="20" t="str">
        <f t="shared" si="86"/>
        <v/>
      </c>
      <c r="AK70" s="487" t="str" cm="1">
        <f t="array" ref="AK70">IFERROR(IF(D70="","",IF(INDEX('M04-S08'!$CN$18:$CN$199,2*(ROWS(AK$70:AK70)-1)+1)="",0,INDEX('M04-S08'!$CN$18:$CN$199,2*(ROWS(AK$70:AK70)-1)+1))),"")</f>
        <v/>
      </c>
      <c r="AL70" s="20" t="str">
        <f>IF(AN70&gt;=0,AN70,0)</f>
        <v/>
      </c>
      <c r="AM70" s="20" t="str">
        <f t="shared" ref="AM70:AM79" si="104">IFERROR(ROUND(IF(D70="","",AL70/10),6),"")</f>
        <v/>
      </c>
      <c r="AN70" s="20" t="str" cm="1">
        <f t="array" ref="AN70">IFERROR(IF(D70="","",IF(INDEX('M04-S08'!$CO$18:$CO$199,2*(ROWS(AN$70:AN70)-1)+1)="",0,INDEX('M04-S08'!$CO$18:$CO$199,2*(ROWS(AN$70:AN70)-1)+1))),"")</f>
        <v/>
      </c>
      <c r="AO70" s="20" t="str" cm="1">
        <f t="array" ref="AO70">IFERROR(IF(D70="","",INDEX('M04-S08'!$R$18:$R$199,2*(ROWS(AO$70:AO70)-1)+1)),"")</f>
        <v/>
      </c>
      <c r="AP70" s="20" t="str" cm="1">
        <f t="array" ref="AP70">IFERROR(IF(D70="","",INDEX('M04-S08'!$AJ$18:$AJ$199,2*(ROWS(AP$70:AP70)-1)+1)),"")</f>
        <v/>
      </c>
      <c r="AQ70" s="487" t="str" cm="1">
        <f t="array" ref="AQ70">IFERROR(IF(D70="","",INDEX('M04-S08'!$U$18:$U$199,2*(ROWS(AQ$70:AQ70)-1)+1)),"")</f>
        <v/>
      </c>
      <c r="AR70" s="487" t="str" cm="1">
        <f t="array" ref="AR70">IFERROR(IF(D70="","",INDEX('M04-S08'!$AM$18:$AM$199,2*(ROWS(AR$70:AR70)-1)+1)),"")</f>
        <v/>
      </c>
      <c r="AS70" s="20" t="str" cm="1">
        <f t="array" ref="AS70">IFERROR(IF(D70="","",INDEX('M04-S08'!$X$18:$X$199,2*(ROWS(AS$70:AS70)-1)+1)),"")</f>
        <v/>
      </c>
      <c r="AT70" s="20" t="str" cm="1">
        <f t="array" ref="AT70">IFERROR(IF(D70="","",INDEX('M04-S08'!$AP$18:$AP$199,2*(ROWS(AT$70:AT70)-1)+1)),"")</f>
        <v/>
      </c>
      <c r="BP70" t="str" cm="1">
        <f t="array" ref="BP70">IFERROR(IF(D70="","",INDEX('M04-S08'!$CS$18:$CS$199,2*(ROWS(BP$70:BP70)-1)+1)),"")</f>
        <v/>
      </c>
      <c r="BR70" t="str" cm="1">
        <f t="array" ref="BR70">IFERROR(IF(D70="","",LEFT(INDEX('M04-S08'!$C$18:$C$199,2*(ROWS(BR$70:BR70)-1)+1),150)),"")</f>
        <v/>
      </c>
      <c r="BS70" t="str" cm="1">
        <f t="array" ref="BS70">IFERROR(IF(D70="","",INDEX('M04-S08'!$CT$18:$CT$199,2*(ROWS(BS$70:BS70)-1)+1)),"")</f>
        <v/>
      </c>
      <c r="BT70" s="6" t="str" cm="1">
        <f t="array" ref="BT70">IFERROR(ROUND(IF(D70="","",INDEX('M04-S08'!$BB$18:$BB$199,2*(ROWS(BT$70:BT70)-1)+1)),2),"")</f>
        <v/>
      </c>
      <c r="BU70" s="6" t="str" cm="1">
        <f t="array" ref="BU70">IFERROR(IF(D70="","",INDEX('M04-S08'!$CX$18:$CX$199,2*(ROWS(BU$70:BU70)-1)+1)),"")</f>
        <v/>
      </c>
      <c r="BV70" s="6" t="str" cm="1">
        <f t="array" ref="BV70">IFERROR(IF(D70="","",INDEX('M04-S08'!$CY$18:$CY$199,2*(ROWS(BV$70:BV70)-1)+1)),"")</f>
        <v/>
      </c>
      <c r="BW70" t="str">
        <f>IF(D70="","","Measure")</f>
        <v/>
      </c>
      <c r="BX70" t="str">
        <f>IF(D70="","",1)</f>
        <v/>
      </c>
      <c r="BY70" s="6" t="str" cm="1">
        <f t="array" ref="BY70">IFERROR(IF(D70="","",INDEX('M04-S08'!$CI$18:$CI$199,2*(ROWS(BY$70:BY70)-1)+1)),"")</f>
        <v/>
      </c>
      <c r="BZ70" s="6" t="str">
        <f t="shared" ref="BZ70:BZ112" si="105">IFERROR(IF(D70="","",(SUMIF(AJ70,"&gt;0")/(SUMIF(AJ70,"&gt;0")+SUMIF(AM70,"&gt;0")))*BY70),"")</f>
        <v/>
      </c>
      <c r="CA70" s="6" t="str">
        <f t="shared" ref="CA70:CA112" si="106">IFERROR(IF(D70="","",(SUMIF(AM70,"&gt;0")/(SUMIF(AJ70,"&gt;0")+SUMIF(AM70,"&gt;0")))*BY70),"")</f>
        <v/>
      </c>
      <c r="CB70" s="6" t="str">
        <f t="shared" si="87"/>
        <v/>
      </c>
      <c r="CC70" s="6" t="str">
        <f t="shared" ref="CC70:CC79" si="107">IFERROR(IF(D70="","",AJ70/(AJ70+AM70)*CB70),"")</f>
        <v/>
      </c>
      <c r="CD70" s="6" t="str">
        <f t="shared" ref="CD70:CD79" si="108">IFERROR(IF(D70="","",AM70/(AJ70+AM70)*CB70),"")</f>
        <v/>
      </c>
      <c r="CS70" t="str" cm="1">
        <f t="array" ref="CS70">IFERROR(IF(D70="","",INDEX('M04-S08'!$F$18:$F$199,2*(ROWS(CS$70:CS70)-1)+1)),"")</f>
        <v/>
      </c>
      <c r="CT70" t="str" cm="1">
        <f t="array" ref="CT70">IFERROR(IF(D70="","",INDEX('M04-S08'!$L$18:$L$199,2*(ROWS(CT$70:CT70)-1)+1)),"")</f>
        <v/>
      </c>
      <c r="CU70" t="str" cm="1">
        <f t="array" ref="CU70">IFERROR(IF(D70="","",INDEX('M04-S08'!$AD$18:$AD$199,2*(ROWS(CU$70:CU70)-1)+1)),"")</f>
        <v/>
      </c>
      <c r="DE70" s="150"/>
      <c r="DF70" s="150" t="str">
        <f>IFERROR(ROUND(IF(OR(D70="",DE70=""),"",TEMPLATE!$V$16),2),"")</f>
        <v/>
      </c>
      <c r="DG70" s="150"/>
      <c r="DH70" s="150" t="str">
        <f>IFERROR(ROUND(IF(OR(D70="",DG70=""),"",TEMPLATE!$V$16),2),"")</f>
        <v/>
      </c>
      <c r="DI70" s="150"/>
      <c r="DJ70" s="150" t="str">
        <f>IFERROR(ROUND(IF(OR(D70="",DI70=""),"",TEMPLATE!$V$16),2),"")</f>
        <v/>
      </c>
      <c r="DK70" s="150"/>
      <c r="DL70" s="150" t="str">
        <f>IFERROR(ROUND(IF(OR(D70="",DK70=""),"",TEMPLATE!$V$16),2),"")</f>
        <v/>
      </c>
      <c r="DM70" s="150"/>
      <c r="DN70" s="150" t="str">
        <f>IFERROR(ROUND(IF(OR(D70="",DM70=""),"",TEMPLATE!$V$16),2),"")</f>
        <v/>
      </c>
      <c r="DO70" s="150"/>
      <c r="DP70" s="150" t="str">
        <f>IFERROR(ROUND(IF(OR(D70="",DO70=""),"",TEMPLATE!$V$16),2),"")</f>
        <v/>
      </c>
      <c r="DQ70" s="150"/>
      <c r="DR70" s="150" t="str">
        <f>IFERROR(ROUND(IF(OR(D70="",DQ70=""),"",TEMPLATE!$V$16),2),"")</f>
        <v/>
      </c>
      <c r="DS70" s="150"/>
      <c r="DT70" s="150" t="str">
        <f>IFERROR(ROUND(IF(OR(D70="",DS70=""),"",TEMPLATE!$V$16),2),"")</f>
        <v/>
      </c>
      <c r="DU70" s="150" t="str" cm="1">
        <f t="array" ref="DU70">IFERROR(ROUND(IF($D70="","",INDEX('M04-S08'!DD$18:DD$199,2*(ROWS(DU$70:DU70)-1)+1)),4),"")</f>
        <v/>
      </c>
      <c r="DV70" s="150" t="str" cm="1">
        <f t="array" ref="DV70">IFERROR(ROUND(IF($D70="","",INDEX('M04-S08'!DE$18:DE$199,2*(ROWS(DV$70:DV70)-1)+1)),4),"")</f>
        <v/>
      </c>
      <c r="DW70" s="150" t="str" cm="1">
        <f t="array" ref="DW70">IFERROR(ROUND(IF($D70="","",INDEX('M04-S08'!DF$18:DF$199,2*(ROWS(DW$70:DW70)-1)+1)),4),"")</f>
        <v/>
      </c>
      <c r="DX70" s="150" t="str" cm="1">
        <f t="array" ref="DX70">IFERROR(ROUND(IF($D70="","",INDEX('M04-S08'!DG$18:DG$199,2*(ROWS(DX$70:DX70)-1)+1)),4),"")</f>
        <v/>
      </c>
      <c r="DY70" s="150" t="str" cm="1">
        <f t="array" ref="DY70">IFERROR(ROUND(IF($D70="","",INDEX('M04-S08'!DH$18:DH$199,2*(ROWS(DY$70:DY70)-1)+1)),4),"")</f>
        <v/>
      </c>
      <c r="DZ70" s="150" t="str" cm="1">
        <f t="array" ref="DZ70">IFERROR(ROUND(IF($D70="","",INDEX('M04-S08'!DI$18:DI$199,2*(ROWS(DZ$70:DZ70)-1)+1)),4),"")</f>
        <v/>
      </c>
      <c r="EA70" s="150" t="str" cm="1">
        <f t="array" ref="EA70">IFERROR(ROUND(IF($D70="","",INDEX('M04-S08'!DJ$18:DJ$199,2*(ROWS(EA$70:EA70)-1)+1)),4),"")</f>
        <v/>
      </c>
      <c r="EB70" s="150" t="str" cm="1">
        <f t="array" ref="EB70">IFERROR(ROUND(IF($D70="","",INDEX('M04-S08'!DK$18:DK$199,2*(ROWS(EB$70:EB70)-1)+1)),6),"")</f>
        <v/>
      </c>
      <c r="EC70" s="150" t="str" cm="1">
        <f t="array" ref="EC70">IFERROR(ROUND(IF($D70="","",INDEX('M04-S08'!DL$18:DL$199,2*(ROWS(EC$70:EC70)-1)+1)),6),"")</f>
        <v/>
      </c>
      <c r="ED70" s="150" t="str" cm="1">
        <f t="array" ref="ED70">IFERROR(ROUND(IF($D70="","",INDEX('M04-S08'!DM$18:DM$199,2*(ROWS(ED$70:ED70)-1)+1)),6),"")</f>
        <v/>
      </c>
      <c r="EE70" s="150" t="str" cm="1">
        <f t="array" ref="EE70">IFERROR(ROUND(IF($D70="","",INDEX('M04-S08'!DN$18:DN$199,2*(ROWS(EE$70:EE70)-1)+1)),6),"")</f>
        <v/>
      </c>
      <c r="EF70" s="150" t="str" cm="1">
        <f t="array" ref="EF70">IFERROR(ROUND(IF($D70="","",INDEX('M04-S08'!DO$18:DO$199,2*(ROWS(EF$70:EF70)-1)+1)),6),"")</f>
        <v/>
      </c>
      <c r="EG70" s="150" t="str" cm="1">
        <f t="array" ref="EG70">IFERROR(ROUND(IF($D70="","",INDEX('M04-S08'!DP$18:DP$199,2*(ROWS(EG$70:EG70)-1)+1)),6),"")</f>
        <v/>
      </c>
      <c r="EH70" s="150" t="str" cm="1">
        <f t="array" ref="EH70">IFERROR(ROUND(IF($D70="","",INDEX('M04-S08'!DQ$18:DQ$199,2*(ROWS(EH$70:EH70)-1)+1)),6),"")</f>
        <v/>
      </c>
      <c r="EI70" s="150" t="str" cm="1">
        <f t="array" ref="EI70">IFERROR(ROUND(IF($D70="","",INDEX('M04-S08'!DR$18:DR$199,2*(ROWS(EI$70:EI70)-1)+1)),6),"")</f>
        <v/>
      </c>
      <c r="EJ70" s="150" t="str" cm="1">
        <f t="array" ref="EJ70">IFERROR(ROUND(IF($D70="","",INDEX('M04-S08'!DS$18:DS$199,2*(ROWS(EJ$70:EJ70)-1)+1)),6),"")</f>
        <v/>
      </c>
      <c r="EK70" s="150" t="str" cm="1">
        <f t="array" ref="EK70">IFERROR(ROUND(IF($D70="","",INDEX('M04-S08'!DT$18:DT$199,2*(ROWS(EK$70:EK70)-1)+1)),6),"")</f>
        <v/>
      </c>
      <c r="EL70" s="150" t="str" cm="1">
        <f t="array" ref="EL70">IFERROR(ROUND(IF($D70="","",INDEX('M04-S08'!DU$18:DU$199,2*(ROWS(EL$70:EL70)-1)+1)),6),"")</f>
        <v/>
      </c>
      <c r="EM70" s="150" t="str" cm="1">
        <f t="array" ref="EM70">IFERROR(ROUND(IF($D70="","",INDEX('M04-S08'!DV$18:DV$199,2*(ROWS(EM$70:EM70)-1)+1)),6),"")</f>
        <v/>
      </c>
      <c r="EN70" s="150" t="str" cm="1">
        <f t="array" ref="EN70">IFERROR(ROUND(IF($D70="","",INDEX('M04-S08'!DW$18:DW$199,2*(ROWS(EN$70:EN70)-1)+1)),6),"")</f>
        <v/>
      </c>
      <c r="EO70" s="150" t="str" cm="1">
        <f t="array" ref="EO70">IFERROR(ROUND(IF($D70="","",INDEX('M04-S08'!DX$18:DX$199,2*(ROWS(EO$70:EO70)-1)+1)),6),"")</f>
        <v/>
      </c>
      <c r="EP70" s="150" t="str" cm="1">
        <f t="array" ref="EP70">IFERROR(ROUND(IF($D70="","",INDEX('M04-S08'!DY$18:DY$199,2*(ROWS(EP$70:EP70)-1)+1)),6),"")</f>
        <v/>
      </c>
      <c r="EQ70" s="150" t="str" cm="1">
        <f t="array" ref="EQ70">IFERROR(ROUND(IF($D70="","",INDEX('M04-S08'!DZ$18:DZ$199,2*(ROWS(EQ$70:EQ70)-1)+1)),6),"")</f>
        <v/>
      </c>
      <c r="ER70" s="150" t="str">
        <f t="shared" ref="ER70:ER112" si="109">IFERROR(ROUND(IF($D70="","",EB70),6),"")</f>
        <v/>
      </c>
      <c r="ES70" s="150" t="str">
        <f t="shared" si="37"/>
        <v/>
      </c>
      <c r="ET70" s="150" t="str">
        <f t="shared" si="38"/>
        <v/>
      </c>
      <c r="EU70" s="150" t="str">
        <f t="shared" si="39"/>
        <v/>
      </c>
      <c r="EV70" s="150" t="str">
        <f t="shared" si="40"/>
        <v/>
      </c>
      <c r="EW70" s="150" t="str">
        <f t="shared" si="41"/>
        <v/>
      </c>
      <c r="EX70" s="150" t="str">
        <f t="shared" si="42"/>
        <v/>
      </c>
      <c r="EY70" s="150" t="str">
        <f t="shared" ref="EY70:EY112" si="110">IFERROR(ROUND(IF($D70="","",EQ70),6),"")</f>
        <v/>
      </c>
      <c r="EZ70" s="150" t="str" cm="1">
        <f t="array" ref="EZ70">IFERROR(ROUND(IF($D70="","",INDEX('M04-S08'!EA$18:EA$199,2*(ROWS(EZ$70:EZ70)-1)+1)),6),"")</f>
        <v/>
      </c>
      <c r="FA70" s="150" t="str" cm="1">
        <f t="array" ref="FA70">IFERROR(ROUND(IF($D70="","",INDEX('M04-S08'!EB$18:EB$199,2*(ROWS(FA$70:FA70)-1)+1)),6),"")</f>
        <v/>
      </c>
      <c r="FB70" s="150" t="str" cm="1">
        <f t="array" ref="FB70">IFERROR(ROUND(IF($D70="","",INDEX('M04-S08'!EC$18:EC$199,2*(ROWS(FB$70:FB70)-1)+1)),6),"")</f>
        <v/>
      </c>
      <c r="FC70" s="150" t="str" cm="1">
        <f t="array" ref="FC70">IFERROR(ROUND(IF($D70="","",INDEX('M04-S08'!ED$18:ED$199,2*(ROWS(FC$70:FC70)-1)+1)),6),"")</f>
        <v/>
      </c>
      <c r="FD70" s="150" t="str" cm="1">
        <f t="array" ref="FD70">IFERROR(ROUND(IF($D70="","",INDEX('M04-S08'!EE$18:EE$199,2*(ROWS(FD$70:FD70)-1)+1)),6),"")</f>
        <v/>
      </c>
      <c r="FE70" s="150" t="str" cm="1">
        <f t="array" ref="FE70">IFERROR(ROUND(IF($D70="","",INDEX('M04-S08'!EF$18:EF$199,2*(ROWS(FE$70:FE70)-1)+1)),6),"")</f>
        <v/>
      </c>
      <c r="FF70" s="150" t="str" cm="1">
        <f t="array" ref="FF70">IFERROR(ROUND(IF($D70="","",INDEX('M04-S08'!EG$18:EG$199,2*(ROWS(FF$70:FF70)-1)+1)),6),"")</f>
        <v/>
      </c>
      <c r="FG70" s="150" t="str" cm="1">
        <f t="array" ref="FG70">IFERROR(ROUND(IF($D70="","",INDEX('M04-S08'!EH$18:EH$199,2*(ROWS(FG$70:FG70)-1)+1)),6),"")</f>
        <v/>
      </c>
      <c r="FH70" s="150" t="str" cm="1">
        <f t="array" ref="FH70">IFERROR(ROUND(IF($D70="","",INDEX('M04-S08'!EI$18:EI$199,2*(ROWS(FH$70:FH70)-1)+1)),6),"")</f>
        <v/>
      </c>
      <c r="FI70" s="150" t="str" cm="1">
        <f t="array" ref="FI70">IFERROR(ROUND(IF($D70="","",INDEX('M04-S08'!EJ$18:EJ$199,2*(ROWS(FI$70:FI70)-1)+1)),6),"")</f>
        <v/>
      </c>
      <c r="FJ70" s="150" t="str" cm="1">
        <f t="array" ref="FJ70">IFERROR(ROUND(IF($D70="","",INDEX('M04-S08'!EK$18:EK$199,2*(ROWS(FJ$70:FJ70)-1)+1)),6),"")</f>
        <v/>
      </c>
      <c r="FK70" s="150" t="str" cm="1">
        <f t="array" ref="FK70">IFERROR(ROUND(IF($D70="","",INDEX('M04-S08'!EL$18:EL$199,2*(ROWS(FK$70:FK70)-1)+1)),6),"")</f>
        <v/>
      </c>
      <c r="FL70" s="150" t="str" cm="1">
        <f t="array" ref="FL70">IFERROR(ROUND(IF($D70="","",INDEX('M04-S08'!EM$18:EM$199,2*(ROWS(FL$70:FL70)-1)+1)),6),"")</f>
        <v/>
      </c>
      <c r="FM70" s="150" t="str" cm="1">
        <f t="array" ref="FM70">IFERROR(ROUND(IF($D70="","",INDEX('M04-S08'!EN$18:EN$199,2*(ROWS(FM$70:FM70)-1)+1)),6),"")</f>
        <v/>
      </c>
    </row>
    <row r="71" spans="1:169">
      <c r="A71" t="str">
        <f t="shared" si="102"/>
        <v/>
      </c>
      <c r="B71" t="str">
        <f t="shared" ref="B71:B79" si="111">IFERROR(IF(D71="","",CONCATENATE(ROW(),"-",D71)),"")</f>
        <v/>
      </c>
      <c r="C71" t="str" cm="1">
        <f t="array" ref="C71">IFERROR(IF(D71="","",INDEX('M04-S08'!$B$18:$B$199,2*(ROWS(C$70:C71)-1)+1)),"")</f>
        <v/>
      </c>
      <c r="D71" t="str">
        <f t="shared" ref="D71:D79" si="112">IFERROR(IF(E71="","",E71),"")</f>
        <v/>
      </c>
      <c r="E71" t="str" cm="1">
        <f t="array" ref="E71">IFERROR(IF(INDEX('M04-S08'!$CC$18:$CC$199,2*(ROWS(E$70:E71)-1)+1)="","",INDEX('M04-S08'!$CC$18:$CC$199,2*(ROWS(E$70:E71)-1)+1)),"")</f>
        <v/>
      </c>
      <c r="G71" t="str">
        <f t="shared" ref="G71:G79" si="113">IFERROR(IF(C71&lt;&gt;"","Custom",""),"")</f>
        <v/>
      </c>
      <c r="H71" t="str">
        <f t="shared" ref="H71:H79" si="114">IFERROR(IF(C71&lt;&gt;"","Downstream",""),"")</f>
        <v/>
      </c>
      <c r="L71" t="str">
        <f t="shared" ref="L71:L79" si="115">IF($C71="","",IF(AND(AI71&gt;0,AN71&gt;0),"Electric &amp; Gas",IF(AI71&gt;0,"Electric",IF(AN71&gt;0,"Gas",""))))</f>
        <v/>
      </c>
      <c r="O71" t="str">
        <f t="shared" ref="O71:O79" si="116">IF($C71="","",TRUE)</f>
        <v/>
      </c>
      <c r="V71" t="str" cm="1">
        <f t="array" ref="V71">IFERROR(IF(D71="","",INDEX('M04-S08'!$AY$18:$AY$199,2*(ROWS(V$70:V71)-1)+1)),"")</f>
        <v/>
      </c>
      <c r="W71" t="str" cm="1">
        <f t="array" ref="W71">IFERROR(IF(D71="","",INDEX('M04-S08'!$AV$18:$AV$199,2*(ROWS(W$70:W71)-1)+1)),"")</f>
        <v/>
      </c>
      <c r="X71" t="str" cm="1">
        <f t="array" ref="X71">IFERROR(IF(D71="","",INDEX('M04-S08'!$AV$18:$AV$199,2*(ROWS(X$70:X71)-0)+0)),"")</f>
        <v/>
      </c>
      <c r="AG71" s="98" t="str" cm="1">
        <f t="array" ref="AG71">IFERROR(IF(D71="","",IF(INDEX('M04-S08'!$CB$18:$CB$199,2*(ROWS(AG$70:AG71)-1)+1)="","",INDEX('M04-S08'!$CB$18:$CB$199,2*(ROWS(AG$70:AG71)-1)+1))),"")</f>
        <v/>
      </c>
      <c r="AH71" s="98" t="str" cm="1">
        <f t="array" ref="AH71">IFERROR(IF(D71="","",IF(INDEX('M04-S08'!$CU$18:$CU$199,2*(ROWS(AH$70:AH71)-1)+1)="","",INDEX('M04-S08'!$CU$18:$CU$199,2*(ROWS(AH$70:AH71)-1)+1))),"")</f>
        <v/>
      </c>
      <c r="AI71" s="20" t="str" cm="1">
        <f t="array" ref="AI71">IFERROR(IF(D71="","",IF(INDEX('M04-S08'!$CM$18:$CM$199,2*(ROWS(AI$70:AI71)-1)+1)="",0,INDEX('M04-S08'!$CM$18:$CM$199,2*(ROWS(AI$70:AI71)-1)+1))),"")</f>
        <v/>
      </c>
      <c r="AJ71" s="20" t="str">
        <f t="shared" si="86"/>
        <v/>
      </c>
      <c r="AK71" s="487" t="str" cm="1">
        <f t="array" ref="AK71">IFERROR(IF(D71="","",IF(INDEX('M04-S08'!$CN$18:$CN$199,2*(ROWS(AK$70:AK71)-1)+1)="",0,INDEX('M04-S08'!$CN$18:$CN$199,2*(ROWS(AK$70:AK71)-1)+1))),"")</f>
        <v/>
      </c>
      <c r="AL71" s="20" t="str">
        <f t="shared" ref="AL71:AL79" si="117">IF(AN71&gt;=0,AN71,0)</f>
        <v/>
      </c>
      <c r="AM71" s="20" t="str">
        <f t="shared" si="104"/>
        <v/>
      </c>
      <c r="AN71" s="20" t="str" cm="1">
        <f t="array" ref="AN71">IFERROR(IF(D71="","",IF(INDEX('M04-S08'!$CO$18:$CO$199,2*(ROWS(AN$70:AN71)-1)+1)="",0,INDEX('M04-S08'!$CO$18:$CO$199,2*(ROWS(AN$70:AN71)-1)+1))),"")</f>
        <v/>
      </c>
      <c r="AO71" s="20" t="str" cm="1">
        <f t="array" ref="AO71">IFERROR(IF(D71="","",INDEX('M04-S08'!$R$18:$R$199,2*(ROWS(AO$70:AO71)-1)+1)),"")</f>
        <v/>
      </c>
      <c r="AP71" s="20" t="str" cm="1">
        <f t="array" ref="AP71">IFERROR(IF(D71="","",INDEX('M04-S08'!$AJ$18:$AJ$199,2*(ROWS(AP$70:AP71)-1)+1)),"")</f>
        <v/>
      </c>
      <c r="AQ71" s="487" t="str" cm="1">
        <f t="array" ref="AQ71">IFERROR(IF(D71="","",INDEX('M04-S08'!$U$18:$U$199,2*(ROWS(AQ$70:AQ71)-1)+1)),"")</f>
        <v/>
      </c>
      <c r="AR71" s="487" t="str" cm="1">
        <f t="array" ref="AR71">IFERROR(IF(D71="","",INDEX('M04-S08'!$AM$18:$AM$199,2*(ROWS(AR$70:AR71)-1)+1)),"")</f>
        <v/>
      </c>
      <c r="AS71" s="20" t="str" cm="1">
        <f t="array" ref="AS71">IFERROR(IF(D71="","",INDEX('M04-S08'!$X$18:$X$199,2*(ROWS(AS$70:AS71)-1)+1)),"")</f>
        <v/>
      </c>
      <c r="AT71" s="20" t="str" cm="1">
        <f t="array" ref="AT71">IFERROR(IF(D71="","",INDEX('M04-S08'!$AP$18:$AP$199,2*(ROWS(AT$70:AT71)-1)+1)),"")</f>
        <v/>
      </c>
      <c r="BP71" t="str" cm="1">
        <f t="array" ref="BP71">IFERROR(IF(D71="","",INDEX('M04-S08'!$CS$18:$CS$199,2*(ROWS(BP$70:BP71)-1)+1)),"")</f>
        <v/>
      </c>
      <c r="BR71" t="str" cm="1">
        <f t="array" ref="BR71">IFERROR(IF(D71="","",LEFT(INDEX('M04-S08'!$C$18:$C$199,2*(ROWS(BR$70:BR71)-1)+1),150)),"")</f>
        <v/>
      </c>
      <c r="BS71" t="str" cm="1">
        <f t="array" ref="BS71">IFERROR(IF(D71="","",INDEX('M04-S08'!$CT$18:$CT$199,2*(ROWS(BS$70:BS71)-1)+1)),"")</f>
        <v/>
      </c>
      <c r="BT71" s="6" t="str" cm="1">
        <f t="array" ref="BT71">IFERROR(ROUND(IF(D71="","",INDEX('M04-S08'!$BB$18:$BB$199,2*(ROWS(BT$70:BT71)-1)+1)),2),"")</f>
        <v/>
      </c>
      <c r="BU71" s="6" t="str" cm="1">
        <f t="array" ref="BU71">IFERROR(IF(D71="","",INDEX('M04-S08'!$CX$18:$CX$199,2*(ROWS(BU$70:BU71)-1)+1)),"")</f>
        <v/>
      </c>
      <c r="BV71" s="6" t="str" cm="1">
        <f t="array" ref="BV71">IFERROR(IF(D71="","",INDEX('M04-S08'!$CY$18:$CY$199,2*(ROWS(BV$70:BV71)-1)+1)),"")</f>
        <v/>
      </c>
      <c r="BW71" t="str">
        <f t="shared" ref="BW71:BW79" si="118">IF(D71="","","Measure")</f>
        <v/>
      </c>
      <c r="BX71" t="str">
        <f t="shared" ref="BX71:BX79" si="119">IF(D71="","",1)</f>
        <v/>
      </c>
      <c r="BY71" s="6" t="str" cm="1">
        <f t="array" ref="BY71">IFERROR(IF(D71="","",INDEX('M04-S08'!$CI$18:$CI$199,2*(ROWS(BY$70:BY71)-1)+1)),"")</f>
        <v/>
      </c>
      <c r="BZ71" s="6" t="str">
        <f t="shared" si="105"/>
        <v/>
      </c>
      <c r="CA71" s="6" t="str">
        <f t="shared" si="106"/>
        <v/>
      </c>
      <c r="CB71" s="6" t="str">
        <f t="shared" si="87"/>
        <v/>
      </c>
      <c r="CC71" s="6" t="str">
        <f t="shared" si="107"/>
        <v/>
      </c>
      <c r="CD71" s="6" t="str">
        <f t="shared" si="108"/>
        <v/>
      </c>
      <c r="CS71" t="str" cm="1">
        <f t="array" ref="CS71">IFERROR(IF(D71="","",INDEX('M04-S08'!$F$18:$F$199,2*(ROWS(CS$70:CS71)-1)+1)),"")</f>
        <v/>
      </c>
      <c r="CT71" t="str" cm="1">
        <f t="array" ref="CT71">IFERROR(IF(D71="","",INDEX('M04-S08'!$L$18:$L$199,2*(ROWS(CT$70:CT71)-1)+1)),"")</f>
        <v/>
      </c>
      <c r="CU71" t="str" cm="1">
        <f t="array" ref="CU71">IFERROR(IF(D71="","",INDEX('M04-S08'!$AD$18:$AD$199,2*(ROWS(CU$70:CU71)-1)+1)),"")</f>
        <v/>
      </c>
      <c r="DE71" s="150"/>
      <c r="DF71" s="150" t="str">
        <f>IFERROR(ROUND(IF(OR(D71="",DE71=""),"",TEMPLATE!$V$16),2),"")</f>
        <v/>
      </c>
      <c r="DG71" s="150"/>
      <c r="DH71" s="150" t="str">
        <f>IFERROR(ROUND(IF(OR(D71="",DG71=""),"",TEMPLATE!$V$16),2),"")</f>
        <v/>
      </c>
      <c r="DI71" s="150"/>
      <c r="DJ71" s="150" t="str">
        <f>IFERROR(ROUND(IF(OR(D71="",DI71=""),"",TEMPLATE!$V$16),2),"")</f>
        <v/>
      </c>
      <c r="DK71" s="150"/>
      <c r="DL71" s="150" t="str">
        <f>IFERROR(ROUND(IF(OR(D71="",DK71=""),"",TEMPLATE!$V$16),2),"")</f>
        <v/>
      </c>
      <c r="DM71" s="150"/>
      <c r="DN71" s="150" t="str">
        <f>IFERROR(ROUND(IF(OR(D71="",DM71=""),"",TEMPLATE!$V$16),2),"")</f>
        <v/>
      </c>
      <c r="DO71" s="150"/>
      <c r="DP71" s="150" t="str">
        <f>IFERROR(ROUND(IF(OR(D71="",DO71=""),"",TEMPLATE!$V$16),2),"")</f>
        <v/>
      </c>
      <c r="DQ71" s="150"/>
      <c r="DR71" s="150" t="str">
        <f>IFERROR(ROUND(IF(OR(D71="",DQ71=""),"",TEMPLATE!$V$16),2),"")</f>
        <v/>
      </c>
      <c r="DS71" s="150"/>
      <c r="DT71" s="150" t="str">
        <f>IFERROR(ROUND(IF(OR(D71="",DS71=""),"",TEMPLATE!$V$16),2),"")</f>
        <v/>
      </c>
      <c r="DU71" s="150" t="str" cm="1">
        <f t="array" ref="DU71">IFERROR(ROUND(IF($D71="","",INDEX('M04-S08'!DD$18:DD$199,2*(ROWS(DU$70:DU71)-1)+1)),4),"")</f>
        <v/>
      </c>
      <c r="DV71" s="150" t="str" cm="1">
        <f t="array" ref="DV71">IFERROR(ROUND(IF($D71="","",INDEX('M04-S08'!DE$18:DE$199,2*(ROWS(DV$70:DV71)-1)+1)),4),"")</f>
        <v/>
      </c>
      <c r="DW71" s="150" t="str" cm="1">
        <f t="array" ref="DW71">IFERROR(ROUND(IF($D71="","",INDEX('M04-S08'!DF$18:DF$199,2*(ROWS(DW$70:DW71)-1)+1)),4),"")</f>
        <v/>
      </c>
      <c r="DX71" s="150" t="str" cm="1">
        <f t="array" ref="DX71">IFERROR(ROUND(IF($D71="","",INDEX('M04-S08'!DG$18:DG$199,2*(ROWS(DX$70:DX71)-1)+1)),4),"")</f>
        <v/>
      </c>
      <c r="DY71" s="150" t="str" cm="1">
        <f t="array" ref="DY71">IFERROR(ROUND(IF($D71="","",INDEX('M04-S08'!DH$18:DH$199,2*(ROWS(DY$70:DY71)-1)+1)),4),"")</f>
        <v/>
      </c>
      <c r="DZ71" s="150" t="str" cm="1">
        <f t="array" ref="DZ71">IFERROR(ROUND(IF($D71="","",INDEX('M04-S08'!DI$18:DI$199,2*(ROWS(DZ$70:DZ71)-1)+1)),4),"")</f>
        <v/>
      </c>
      <c r="EA71" s="150" t="str" cm="1">
        <f t="array" ref="EA71">IFERROR(ROUND(IF($D71="","",INDEX('M04-S08'!DJ$18:DJ$199,2*(ROWS(EA$70:EA71)-1)+1)),4),"")</f>
        <v/>
      </c>
      <c r="EB71" s="150" t="str" cm="1">
        <f t="array" ref="EB71">IFERROR(ROUND(IF($D71="","",INDEX('M04-S08'!DK$18:DK$199,2*(ROWS(EB$70:EB71)-1)+1)),6),"")</f>
        <v/>
      </c>
      <c r="EC71" s="150" t="str" cm="1">
        <f t="array" ref="EC71">IFERROR(ROUND(IF($D71="","",INDEX('M04-S08'!DL$18:DL$199,2*(ROWS(EC$70:EC71)-1)+1)),6),"")</f>
        <v/>
      </c>
      <c r="ED71" s="150" t="str" cm="1">
        <f t="array" ref="ED71">IFERROR(ROUND(IF($D71="","",INDEX('M04-S08'!DM$18:DM$199,2*(ROWS(ED$70:ED71)-1)+1)),6),"")</f>
        <v/>
      </c>
      <c r="EE71" s="150" t="str" cm="1">
        <f t="array" ref="EE71">IFERROR(ROUND(IF($D71="","",INDEX('M04-S08'!DN$18:DN$199,2*(ROWS(EE$70:EE71)-1)+1)),6),"")</f>
        <v/>
      </c>
      <c r="EF71" s="150" t="str" cm="1">
        <f t="array" ref="EF71">IFERROR(ROUND(IF($D71="","",INDEX('M04-S08'!DO$18:DO$199,2*(ROWS(EF$70:EF71)-1)+1)),6),"")</f>
        <v/>
      </c>
      <c r="EG71" s="150" t="str" cm="1">
        <f t="array" ref="EG71">IFERROR(ROUND(IF($D71="","",INDEX('M04-S08'!DP$18:DP$199,2*(ROWS(EG$70:EG71)-1)+1)),6),"")</f>
        <v/>
      </c>
      <c r="EH71" s="150" t="str" cm="1">
        <f t="array" ref="EH71">IFERROR(ROUND(IF($D71="","",INDEX('M04-S08'!DQ$18:DQ$199,2*(ROWS(EH$70:EH71)-1)+1)),6),"")</f>
        <v/>
      </c>
      <c r="EI71" s="150" t="str" cm="1">
        <f t="array" ref="EI71">IFERROR(ROUND(IF($D71="","",INDEX('M04-S08'!DR$18:DR$199,2*(ROWS(EI$70:EI71)-1)+1)),6),"")</f>
        <v/>
      </c>
      <c r="EJ71" s="150" t="str" cm="1">
        <f t="array" ref="EJ71">IFERROR(ROUND(IF($D71="","",INDEX('M04-S08'!DS$18:DS$199,2*(ROWS(EJ$70:EJ71)-1)+1)),6),"")</f>
        <v/>
      </c>
      <c r="EK71" s="150" t="str" cm="1">
        <f t="array" ref="EK71">IFERROR(ROUND(IF($D71="","",INDEX('M04-S08'!DT$18:DT$199,2*(ROWS(EK$70:EK71)-1)+1)),6),"")</f>
        <v/>
      </c>
      <c r="EL71" s="150" t="str" cm="1">
        <f t="array" ref="EL71">IFERROR(ROUND(IF($D71="","",INDEX('M04-S08'!DU$18:DU$199,2*(ROWS(EL$70:EL71)-1)+1)),6),"")</f>
        <v/>
      </c>
      <c r="EM71" s="150" t="str" cm="1">
        <f t="array" ref="EM71">IFERROR(ROUND(IF($D71="","",INDEX('M04-S08'!DV$18:DV$199,2*(ROWS(EM$70:EM71)-1)+1)),6),"")</f>
        <v/>
      </c>
      <c r="EN71" s="150" t="str" cm="1">
        <f t="array" ref="EN71">IFERROR(ROUND(IF($D71="","",INDEX('M04-S08'!DW$18:DW$199,2*(ROWS(EN$70:EN71)-1)+1)),6),"")</f>
        <v/>
      </c>
      <c r="EO71" s="150" t="str" cm="1">
        <f t="array" ref="EO71">IFERROR(ROUND(IF($D71="","",INDEX('M04-S08'!DX$18:DX$199,2*(ROWS(EO$70:EO71)-1)+1)),6),"")</f>
        <v/>
      </c>
      <c r="EP71" s="150" t="str" cm="1">
        <f t="array" ref="EP71">IFERROR(ROUND(IF($D71="","",INDEX('M04-S08'!DY$18:DY$199,2*(ROWS(EP$70:EP71)-1)+1)),6),"")</f>
        <v/>
      </c>
      <c r="EQ71" s="150" t="str" cm="1">
        <f t="array" ref="EQ71">IFERROR(ROUND(IF($D71="","",INDEX('M04-S08'!DZ$18:DZ$199,2*(ROWS(EQ$70:EQ71)-1)+1)),6),"")</f>
        <v/>
      </c>
      <c r="ER71" s="150" t="str">
        <f t="shared" si="109"/>
        <v/>
      </c>
      <c r="ES71" s="150" t="str">
        <f t="shared" si="37"/>
        <v/>
      </c>
      <c r="ET71" s="150" t="str">
        <f t="shared" si="38"/>
        <v/>
      </c>
      <c r="EU71" s="150" t="str">
        <f t="shared" si="39"/>
        <v/>
      </c>
      <c r="EV71" s="150" t="str">
        <f t="shared" si="40"/>
        <v/>
      </c>
      <c r="EW71" s="150" t="str">
        <f t="shared" si="41"/>
        <v/>
      </c>
      <c r="EX71" s="150" t="str">
        <f t="shared" si="42"/>
        <v/>
      </c>
      <c r="EY71" s="150" t="str">
        <f t="shared" si="110"/>
        <v/>
      </c>
      <c r="EZ71" s="150" t="str" cm="1">
        <f t="array" ref="EZ71">IFERROR(ROUND(IF($D71="","",INDEX('M04-S08'!EA$18:EA$199,2*(ROWS(EZ$70:EZ71)-1)+1)),6),"")</f>
        <v/>
      </c>
      <c r="FA71" s="150" t="str" cm="1">
        <f t="array" ref="FA71">IFERROR(ROUND(IF($D71="","",INDEX('M04-S08'!EB$18:EB$199,2*(ROWS(FA$70:FA71)-1)+1)),6),"")</f>
        <v/>
      </c>
      <c r="FB71" s="150" t="str" cm="1">
        <f t="array" ref="FB71">IFERROR(ROUND(IF($D71="","",INDEX('M04-S08'!EC$18:EC$199,2*(ROWS(FB$70:FB71)-1)+1)),6),"")</f>
        <v/>
      </c>
      <c r="FC71" s="150" t="str" cm="1">
        <f t="array" ref="FC71">IFERROR(ROUND(IF($D71="","",INDEX('M04-S08'!ED$18:ED$199,2*(ROWS(FC$70:FC71)-1)+1)),6),"")</f>
        <v/>
      </c>
      <c r="FD71" s="150" t="str" cm="1">
        <f t="array" ref="FD71">IFERROR(ROUND(IF($D71="","",INDEX('M04-S08'!EE$18:EE$199,2*(ROWS(FD$70:FD71)-1)+1)),6),"")</f>
        <v/>
      </c>
      <c r="FE71" s="150" t="str" cm="1">
        <f t="array" ref="FE71">IFERROR(ROUND(IF($D71="","",INDEX('M04-S08'!EF$18:EF$199,2*(ROWS(FE$70:FE71)-1)+1)),6),"")</f>
        <v/>
      </c>
      <c r="FF71" s="150" t="str" cm="1">
        <f t="array" ref="FF71">IFERROR(ROUND(IF($D71="","",INDEX('M04-S08'!EG$18:EG$199,2*(ROWS(FF$70:FF71)-1)+1)),6),"")</f>
        <v/>
      </c>
      <c r="FG71" s="150" t="str" cm="1">
        <f t="array" ref="FG71">IFERROR(ROUND(IF($D71="","",INDEX('M04-S08'!EH$18:EH$199,2*(ROWS(FG$70:FG71)-1)+1)),6),"")</f>
        <v/>
      </c>
      <c r="FH71" s="150" t="str" cm="1">
        <f t="array" ref="FH71">IFERROR(ROUND(IF($D71="","",INDEX('M04-S08'!EI$18:EI$199,2*(ROWS(FH$70:FH71)-1)+1)),6),"")</f>
        <v/>
      </c>
      <c r="FI71" s="150" t="str" cm="1">
        <f t="array" ref="FI71">IFERROR(ROUND(IF($D71="","",INDEX('M04-S08'!EJ$18:EJ$199,2*(ROWS(FI$70:FI71)-1)+1)),6),"")</f>
        <v/>
      </c>
      <c r="FJ71" s="150" t="str" cm="1">
        <f t="array" ref="FJ71">IFERROR(ROUND(IF($D71="","",INDEX('M04-S08'!EK$18:EK$199,2*(ROWS(FJ$70:FJ71)-1)+1)),6),"")</f>
        <v/>
      </c>
      <c r="FK71" s="150" t="str" cm="1">
        <f t="array" ref="FK71">IFERROR(ROUND(IF($D71="","",INDEX('M04-S08'!EL$18:EL$199,2*(ROWS(FK$70:FK71)-1)+1)),6),"")</f>
        <v/>
      </c>
      <c r="FL71" s="150" t="str" cm="1">
        <f t="array" ref="FL71">IFERROR(ROUND(IF($D71="","",INDEX('M04-S08'!EM$18:EM$199,2*(ROWS(FL$70:FL71)-1)+1)),6),"")</f>
        <v/>
      </c>
      <c r="FM71" s="150" t="str" cm="1">
        <f t="array" ref="FM71">IFERROR(ROUND(IF($D71="","",INDEX('M04-S08'!EN$18:EN$199,2*(ROWS(FM$70:FM71)-1)+1)),6),"")</f>
        <v/>
      </c>
    </row>
    <row r="72" spans="1:169">
      <c r="A72" t="str">
        <f t="shared" si="102"/>
        <v/>
      </c>
      <c r="B72" t="str">
        <f t="shared" si="111"/>
        <v/>
      </c>
      <c r="C72" t="str" cm="1">
        <f t="array" ref="C72">IFERROR(IF(D72="","",INDEX('M04-S08'!$B$18:$B$199,2*(ROWS(C$70:C72)-1)+1)),"")</f>
        <v/>
      </c>
      <c r="D72" t="str">
        <f t="shared" si="112"/>
        <v/>
      </c>
      <c r="E72" t="str" cm="1">
        <f t="array" ref="E72">IFERROR(IF(INDEX('M04-S08'!$CC$18:$CC$199,2*(ROWS(E$70:E72)-1)+1)="","",INDEX('M04-S08'!$CC$18:$CC$199,2*(ROWS(E$70:E72)-1)+1)),"")</f>
        <v/>
      </c>
      <c r="G72" t="str">
        <f t="shared" si="113"/>
        <v/>
      </c>
      <c r="H72" t="str">
        <f t="shared" si="114"/>
        <v/>
      </c>
      <c r="L72" t="str">
        <f t="shared" si="115"/>
        <v/>
      </c>
      <c r="O72" t="str">
        <f t="shared" si="116"/>
        <v/>
      </c>
      <c r="V72" t="str" cm="1">
        <f t="array" ref="V72">IFERROR(IF(D72="","",INDEX('M04-S08'!$AY$18:$AY$199,2*(ROWS(V$70:V72)-1)+1)),"")</f>
        <v/>
      </c>
      <c r="W72" t="str" cm="1">
        <f t="array" ref="W72">IFERROR(IF(D72="","",INDEX('M04-S08'!$AV$18:$AV$199,2*(ROWS(W$70:W72)-1)+1)),"")</f>
        <v/>
      </c>
      <c r="X72" t="str" cm="1">
        <f t="array" ref="X72">IFERROR(IF(D72="","",INDEX('M04-S08'!$AV$18:$AV$199,2*(ROWS(X$70:X72)-0)+0)),"")</f>
        <v/>
      </c>
      <c r="AG72" s="98" t="str" cm="1">
        <f t="array" ref="AG72">IFERROR(IF(D72="","",IF(INDEX('M04-S08'!$CB$18:$CB$199,2*(ROWS(AG$70:AG72)-1)+1)="","",INDEX('M04-S08'!$CB$18:$CB$199,2*(ROWS(AG$70:AG72)-1)+1))),"")</f>
        <v/>
      </c>
      <c r="AH72" s="98" t="str" cm="1">
        <f t="array" ref="AH72">IFERROR(IF(D72="","",IF(INDEX('M04-S08'!$CU$18:$CU$199,2*(ROWS(AH$70:AH72)-1)+1)="","",INDEX('M04-S08'!$CU$18:$CU$199,2*(ROWS(AH$70:AH72)-1)+1))),"")</f>
        <v/>
      </c>
      <c r="AI72" s="20" t="str" cm="1">
        <f t="array" ref="AI72">IFERROR(IF(D72="","",IF(INDEX('M04-S08'!$CM$18:$CM$199,2*(ROWS(AI$70:AI72)-1)+1)="",0,INDEX('M04-S08'!$CM$18:$CM$199,2*(ROWS(AI$70:AI72)-1)+1))),"")</f>
        <v/>
      </c>
      <c r="AJ72" s="20" t="str">
        <f t="shared" si="86"/>
        <v/>
      </c>
      <c r="AK72" s="487" t="str" cm="1">
        <f t="array" ref="AK72">IFERROR(IF(D72="","",IF(INDEX('M04-S08'!$CN$18:$CN$199,2*(ROWS(AK$70:AK72)-1)+1)="",0,INDEX('M04-S08'!$CN$18:$CN$199,2*(ROWS(AK$70:AK72)-1)+1))),"")</f>
        <v/>
      </c>
      <c r="AL72" s="20" t="str">
        <f t="shared" si="117"/>
        <v/>
      </c>
      <c r="AM72" s="20" t="str">
        <f t="shared" si="104"/>
        <v/>
      </c>
      <c r="AN72" s="20" t="str" cm="1">
        <f t="array" ref="AN72">IFERROR(IF(D72="","",IF(INDEX('M04-S08'!$CO$18:$CO$199,2*(ROWS(AN$70:AN72)-1)+1)="",0,INDEX('M04-S08'!$CO$18:$CO$199,2*(ROWS(AN$70:AN72)-1)+1))),"")</f>
        <v/>
      </c>
      <c r="AO72" s="20" t="str" cm="1">
        <f t="array" ref="AO72">IFERROR(IF(D72="","",INDEX('M04-S08'!$R$18:$R$199,2*(ROWS(AO$70:AO72)-1)+1)),"")</f>
        <v/>
      </c>
      <c r="AP72" s="20" t="str" cm="1">
        <f t="array" ref="AP72">IFERROR(IF(D72="","",INDEX('M04-S08'!$AJ$18:$AJ$199,2*(ROWS(AP$70:AP72)-1)+1)),"")</f>
        <v/>
      </c>
      <c r="AQ72" s="487" t="str" cm="1">
        <f t="array" ref="AQ72">IFERROR(IF(D72="","",INDEX('M04-S08'!$U$18:$U$199,2*(ROWS(AQ$70:AQ72)-1)+1)),"")</f>
        <v/>
      </c>
      <c r="AR72" s="487" t="str" cm="1">
        <f t="array" ref="AR72">IFERROR(IF(D72="","",INDEX('M04-S08'!$AM$18:$AM$199,2*(ROWS(AR$70:AR72)-1)+1)),"")</f>
        <v/>
      </c>
      <c r="AS72" s="20" t="str" cm="1">
        <f t="array" ref="AS72">IFERROR(IF(D72="","",INDEX('M04-S08'!$X$18:$X$199,2*(ROWS(AS$70:AS72)-1)+1)),"")</f>
        <v/>
      </c>
      <c r="AT72" s="20" t="str" cm="1">
        <f t="array" ref="AT72">IFERROR(IF(D72="","",INDEX('M04-S08'!$AP$18:$AP$199,2*(ROWS(AT$70:AT72)-1)+1)),"")</f>
        <v/>
      </c>
      <c r="BP72" t="str" cm="1">
        <f t="array" ref="BP72">IFERROR(IF(D72="","",INDEX('M04-S08'!$CS$18:$CS$199,2*(ROWS(BP$70:BP72)-1)+1)),"")</f>
        <v/>
      </c>
      <c r="BR72" t="str" cm="1">
        <f t="array" ref="BR72">IFERROR(IF(D72="","",LEFT(INDEX('M04-S08'!$C$18:$C$199,2*(ROWS(BR$70:BR72)-1)+1),150)),"")</f>
        <v/>
      </c>
      <c r="BS72" t="str" cm="1">
        <f t="array" ref="BS72">IFERROR(IF(D72="","",INDEX('M04-S08'!$CT$18:$CT$199,2*(ROWS(BS$70:BS72)-1)+1)),"")</f>
        <v/>
      </c>
      <c r="BT72" s="6" t="str" cm="1">
        <f t="array" ref="BT72">IFERROR(ROUND(IF(D72="","",INDEX('M04-S08'!$BB$18:$BB$199,2*(ROWS(BT$70:BT72)-1)+1)),2),"")</f>
        <v/>
      </c>
      <c r="BU72" s="6" t="str" cm="1">
        <f t="array" ref="BU72">IFERROR(IF(D72="","",INDEX('M04-S08'!$CX$18:$CX$199,2*(ROWS(BU$70:BU72)-1)+1)),"")</f>
        <v/>
      </c>
      <c r="BV72" s="6" t="str" cm="1">
        <f t="array" ref="BV72">IFERROR(IF(D72="","",INDEX('M04-S08'!$CY$18:$CY$199,2*(ROWS(BV$70:BV72)-1)+1)),"")</f>
        <v/>
      </c>
      <c r="BW72" t="str">
        <f t="shared" si="118"/>
        <v/>
      </c>
      <c r="BX72" t="str">
        <f t="shared" si="119"/>
        <v/>
      </c>
      <c r="BY72" s="6" t="str" cm="1">
        <f t="array" ref="BY72">IFERROR(IF(D72="","",INDEX('M04-S08'!$CI$18:$CI$199,2*(ROWS(BY$70:BY72)-1)+1)),"")</f>
        <v/>
      </c>
      <c r="BZ72" s="6" t="str">
        <f t="shared" si="105"/>
        <v/>
      </c>
      <c r="CA72" s="6" t="str">
        <f t="shared" si="106"/>
        <v/>
      </c>
      <c r="CB72" s="6" t="str">
        <f t="shared" si="87"/>
        <v/>
      </c>
      <c r="CC72" s="6" t="str">
        <f t="shared" si="107"/>
        <v/>
      </c>
      <c r="CD72" s="6" t="str">
        <f t="shared" si="108"/>
        <v/>
      </c>
      <c r="CS72" t="str" cm="1">
        <f t="array" ref="CS72">IFERROR(IF(D72="","",INDEX('M04-S08'!$F$18:$F$199,2*(ROWS(CS$70:CS72)-1)+1)),"")</f>
        <v/>
      </c>
      <c r="CT72" t="str" cm="1">
        <f t="array" ref="CT72">IFERROR(IF(D72="","",INDEX('M04-S08'!$L$18:$L$199,2*(ROWS(CT$70:CT72)-1)+1)),"")</f>
        <v/>
      </c>
      <c r="CU72" t="str" cm="1">
        <f t="array" ref="CU72">IFERROR(IF(D72="","",INDEX('M04-S08'!$AD$18:$AD$199,2*(ROWS(CU$70:CU72)-1)+1)),"")</f>
        <v/>
      </c>
      <c r="DE72" s="150"/>
      <c r="DF72" s="150" t="str">
        <f>IFERROR(ROUND(IF(OR(D72="",DE72=""),"",TEMPLATE!$V$16),2),"")</f>
        <v/>
      </c>
      <c r="DG72" s="150"/>
      <c r="DH72" s="150" t="str">
        <f>IFERROR(ROUND(IF(OR(D72="",DG72=""),"",TEMPLATE!$V$16),2),"")</f>
        <v/>
      </c>
      <c r="DI72" s="150"/>
      <c r="DJ72" s="150" t="str">
        <f>IFERROR(ROUND(IF(OR(D72="",DI72=""),"",TEMPLATE!$V$16),2),"")</f>
        <v/>
      </c>
      <c r="DK72" s="150"/>
      <c r="DL72" s="150" t="str">
        <f>IFERROR(ROUND(IF(OR(D72="",DK72=""),"",TEMPLATE!$V$16),2),"")</f>
        <v/>
      </c>
      <c r="DM72" s="150"/>
      <c r="DN72" s="150" t="str">
        <f>IFERROR(ROUND(IF(OR(D72="",DM72=""),"",TEMPLATE!$V$16),2),"")</f>
        <v/>
      </c>
      <c r="DO72" s="150"/>
      <c r="DP72" s="150" t="str">
        <f>IFERROR(ROUND(IF(OR(D72="",DO72=""),"",TEMPLATE!$V$16),2),"")</f>
        <v/>
      </c>
      <c r="DQ72" s="150"/>
      <c r="DR72" s="150" t="str">
        <f>IFERROR(ROUND(IF(OR(D72="",DQ72=""),"",TEMPLATE!$V$16),2),"")</f>
        <v/>
      </c>
      <c r="DS72" s="150"/>
      <c r="DT72" s="150" t="str">
        <f>IFERROR(ROUND(IF(OR(D72="",DS72=""),"",TEMPLATE!$V$16),2),"")</f>
        <v/>
      </c>
      <c r="DU72" s="150" t="str" cm="1">
        <f t="array" ref="DU72">IFERROR(ROUND(IF($D72="","",INDEX('M04-S08'!DD$18:DD$199,2*(ROWS(DU$70:DU72)-1)+1)),4),"")</f>
        <v/>
      </c>
      <c r="DV72" s="150" t="str" cm="1">
        <f t="array" ref="DV72">IFERROR(ROUND(IF($D72="","",INDEX('M04-S08'!DE$18:DE$199,2*(ROWS(DV$70:DV72)-1)+1)),4),"")</f>
        <v/>
      </c>
      <c r="DW72" s="150" t="str" cm="1">
        <f t="array" ref="DW72">IFERROR(ROUND(IF($D72="","",INDEX('M04-S08'!DF$18:DF$199,2*(ROWS(DW$70:DW72)-1)+1)),4),"")</f>
        <v/>
      </c>
      <c r="DX72" s="150" t="str" cm="1">
        <f t="array" ref="DX72">IFERROR(ROUND(IF($D72="","",INDEX('M04-S08'!DG$18:DG$199,2*(ROWS(DX$70:DX72)-1)+1)),4),"")</f>
        <v/>
      </c>
      <c r="DY72" s="150" t="str" cm="1">
        <f t="array" ref="DY72">IFERROR(ROUND(IF($D72="","",INDEX('M04-S08'!DH$18:DH$199,2*(ROWS(DY$70:DY72)-1)+1)),4),"")</f>
        <v/>
      </c>
      <c r="DZ72" s="150" t="str" cm="1">
        <f t="array" ref="DZ72">IFERROR(ROUND(IF($D72="","",INDEX('M04-S08'!DI$18:DI$199,2*(ROWS(DZ$70:DZ72)-1)+1)),4),"")</f>
        <v/>
      </c>
      <c r="EA72" s="150" t="str" cm="1">
        <f t="array" ref="EA72">IFERROR(ROUND(IF($D72="","",INDEX('M04-S08'!DJ$18:DJ$199,2*(ROWS(EA$70:EA72)-1)+1)),4),"")</f>
        <v/>
      </c>
      <c r="EB72" s="150" t="str" cm="1">
        <f t="array" ref="EB72">IFERROR(ROUND(IF($D72="","",INDEX('M04-S08'!DK$18:DK$199,2*(ROWS(EB$70:EB72)-1)+1)),6),"")</f>
        <v/>
      </c>
      <c r="EC72" s="150" t="str" cm="1">
        <f t="array" ref="EC72">IFERROR(ROUND(IF($D72="","",INDEX('M04-S08'!DL$18:DL$199,2*(ROWS(EC$70:EC72)-1)+1)),6),"")</f>
        <v/>
      </c>
      <c r="ED72" s="150" t="str" cm="1">
        <f t="array" ref="ED72">IFERROR(ROUND(IF($D72="","",INDEX('M04-S08'!DM$18:DM$199,2*(ROWS(ED$70:ED72)-1)+1)),6),"")</f>
        <v/>
      </c>
      <c r="EE72" s="150" t="str" cm="1">
        <f t="array" ref="EE72">IFERROR(ROUND(IF($D72="","",INDEX('M04-S08'!DN$18:DN$199,2*(ROWS(EE$70:EE72)-1)+1)),6),"")</f>
        <v/>
      </c>
      <c r="EF72" s="150" t="str" cm="1">
        <f t="array" ref="EF72">IFERROR(ROUND(IF($D72="","",INDEX('M04-S08'!DO$18:DO$199,2*(ROWS(EF$70:EF72)-1)+1)),6),"")</f>
        <v/>
      </c>
      <c r="EG72" s="150" t="str" cm="1">
        <f t="array" ref="EG72">IFERROR(ROUND(IF($D72="","",INDEX('M04-S08'!DP$18:DP$199,2*(ROWS(EG$70:EG72)-1)+1)),6),"")</f>
        <v/>
      </c>
      <c r="EH72" s="150" t="str" cm="1">
        <f t="array" ref="EH72">IFERROR(ROUND(IF($D72="","",INDEX('M04-S08'!DQ$18:DQ$199,2*(ROWS(EH$70:EH72)-1)+1)),6),"")</f>
        <v/>
      </c>
      <c r="EI72" s="150" t="str" cm="1">
        <f t="array" ref="EI72">IFERROR(ROUND(IF($D72="","",INDEX('M04-S08'!DR$18:DR$199,2*(ROWS(EI$70:EI72)-1)+1)),6),"")</f>
        <v/>
      </c>
      <c r="EJ72" s="150" t="str" cm="1">
        <f t="array" ref="EJ72">IFERROR(ROUND(IF($D72="","",INDEX('M04-S08'!DS$18:DS$199,2*(ROWS(EJ$70:EJ72)-1)+1)),6),"")</f>
        <v/>
      </c>
      <c r="EK72" s="150" t="str" cm="1">
        <f t="array" ref="EK72">IFERROR(ROUND(IF($D72="","",INDEX('M04-S08'!DT$18:DT$199,2*(ROWS(EK$70:EK72)-1)+1)),6),"")</f>
        <v/>
      </c>
      <c r="EL72" s="150" t="str" cm="1">
        <f t="array" ref="EL72">IFERROR(ROUND(IF($D72="","",INDEX('M04-S08'!DU$18:DU$199,2*(ROWS(EL$70:EL72)-1)+1)),6),"")</f>
        <v/>
      </c>
      <c r="EM72" s="150" t="str" cm="1">
        <f t="array" ref="EM72">IFERROR(ROUND(IF($D72="","",INDEX('M04-S08'!DV$18:DV$199,2*(ROWS(EM$70:EM72)-1)+1)),6),"")</f>
        <v/>
      </c>
      <c r="EN72" s="150" t="str" cm="1">
        <f t="array" ref="EN72">IFERROR(ROUND(IF($D72="","",INDEX('M04-S08'!DW$18:DW$199,2*(ROWS(EN$70:EN72)-1)+1)),6),"")</f>
        <v/>
      </c>
      <c r="EO72" s="150" t="str" cm="1">
        <f t="array" ref="EO72">IFERROR(ROUND(IF($D72="","",INDEX('M04-S08'!DX$18:DX$199,2*(ROWS(EO$70:EO72)-1)+1)),6),"")</f>
        <v/>
      </c>
      <c r="EP72" s="150" t="str" cm="1">
        <f t="array" ref="EP72">IFERROR(ROUND(IF($D72="","",INDEX('M04-S08'!DY$18:DY$199,2*(ROWS(EP$70:EP72)-1)+1)),6),"")</f>
        <v/>
      </c>
      <c r="EQ72" s="150" t="str" cm="1">
        <f t="array" ref="EQ72">IFERROR(ROUND(IF($D72="","",INDEX('M04-S08'!DZ$18:DZ$199,2*(ROWS(EQ$70:EQ72)-1)+1)),6),"")</f>
        <v/>
      </c>
      <c r="ER72" s="150" t="str">
        <f t="shared" si="109"/>
        <v/>
      </c>
      <c r="ES72" s="150" t="str">
        <f t="shared" si="37"/>
        <v/>
      </c>
      <c r="ET72" s="150" t="str">
        <f t="shared" si="38"/>
        <v/>
      </c>
      <c r="EU72" s="150" t="str">
        <f t="shared" si="39"/>
        <v/>
      </c>
      <c r="EV72" s="150" t="str">
        <f t="shared" si="40"/>
        <v/>
      </c>
      <c r="EW72" s="150" t="str">
        <f t="shared" si="41"/>
        <v/>
      </c>
      <c r="EX72" s="150" t="str">
        <f t="shared" si="42"/>
        <v/>
      </c>
      <c r="EY72" s="150" t="str">
        <f t="shared" si="110"/>
        <v/>
      </c>
      <c r="EZ72" s="150" t="str" cm="1">
        <f t="array" ref="EZ72">IFERROR(ROUND(IF($D72="","",INDEX('M04-S08'!EA$18:EA$199,2*(ROWS(EZ$70:EZ72)-1)+1)),6),"")</f>
        <v/>
      </c>
      <c r="FA72" s="150" t="str" cm="1">
        <f t="array" ref="FA72">IFERROR(ROUND(IF($D72="","",INDEX('M04-S08'!EB$18:EB$199,2*(ROWS(FA$70:FA72)-1)+1)),6),"")</f>
        <v/>
      </c>
      <c r="FB72" s="150" t="str" cm="1">
        <f t="array" ref="FB72">IFERROR(ROUND(IF($D72="","",INDEX('M04-S08'!EC$18:EC$199,2*(ROWS(FB$70:FB72)-1)+1)),6),"")</f>
        <v/>
      </c>
      <c r="FC72" s="150" t="str" cm="1">
        <f t="array" ref="FC72">IFERROR(ROUND(IF($D72="","",INDEX('M04-S08'!ED$18:ED$199,2*(ROWS(FC$70:FC72)-1)+1)),6),"")</f>
        <v/>
      </c>
      <c r="FD72" s="150" t="str" cm="1">
        <f t="array" ref="FD72">IFERROR(ROUND(IF($D72="","",INDEX('M04-S08'!EE$18:EE$199,2*(ROWS(FD$70:FD72)-1)+1)),6),"")</f>
        <v/>
      </c>
      <c r="FE72" s="150" t="str" cm="1">
        <f t="array" ref="FE72">IFERROR(ROUND(IF($D72="","",INDEX('M04-S08'!EF$18:EF$199,2*(ROWS(FE$70:FE72)-1)+1)),6),"")</f>
        <v/>
      </c>
      <c r="FF72" s="150" t="str" cm="1">
        <f t="array" ref="FF72">IFERROR(ROUND(IF($D72="","",INDEX('M04-S08'!EG$18:EG$199,2*(ROWS(FF$70:FF72)-1)+1)),6),"")</f>
        <v/>
      </c>
      <c r="FG72" s="150" t="str" cm="1">
        <f t="array" ref="FG72">IFERROR(ROUND(IF($D72="","",INDEX('M04-S08'!EH$18:EH$199,2*(ROWS(FG$70:FG72)-1)+1)),6),"")</f>
        <v/>
      </c>
      <c r="FH72" s="150" t="str" cm="1">
        <f t="array" ref="FH72">IFERROR(ROUND(IF($D72="","",INDEX('M04-S08'!EI$18:EI$199,2*(ROWS(FH$70:FH72)-1)+1)),6),"")</f>
        <v/>
      </c>
      <c r="FI72" s="150" t="str" cm="1">
        <f t="array" ref="FI72">IFERROR(ROUND(IF($D72="","",INDEX('M04-S08'!EJ$18:EJ$199,2*(ROWS(FI$70:FI72)-1)+1)),6),"")</f>
        <v/>
      </c>
      <c r="FJ72" s="150" t="str" cm="1">
        <f t="array" ref="FJ72">IFERROR(ROUND(IF($D72="","",INDEX('M04-S08'!EK$18:EK$199,2*(ROWS(FJ$70:FJ72)-1)+1)),6),"")</f>
        <v/>
      </c>
      <c r="FK72" s="150" t="str" cm="1">
        <f t="array" ref="FK72">IFERROR(ROUND(IF($D72="","",INDEX('M04-S08'!EL$18:EL$199,2*(ROWS(FK$70:FK72)-1)+1)),6),"")</f>
        <v/>
      </c>
      <c r="FL72" s="150" t="str" cm="1">
        <f t="array" ref="FL72">IFERROR(ROUND(IF($D72="","",INDEX('M04-S08'!EM$18:EM$199,2*(ROWS(FL$70:FL72)-1)+1)),6),"")</f>
        <v/>
      </c>
      <c r="FM72" s="150" t="str" cm="1">
        <f t="array" ref="FM72">IFERROR(ROUND(IF($D72="","",INDEX('M04-S08'!EN$18:EN$199,2*(ROWS(FM$70:FM72)-1)+1)),6),"")</f>
        <v/>
      </c>
    </row>
    <row r="73" spans="1:169">
      <c r="A73" t="str">
        <f t="shared" si="102"/>
        <v/>
      </c>
      <c r="B73" t="str">
        <f t="shared" si="111"/>
        <v/>
      </c>
      <c r="C73" t="str" cm="1">
        <f t="array" ref="C73">IFERROR(IF(D73="","",INDEX('M04-S08'!$B$18:$B$199,2*(ROWS(C$70:C73)-1)+1)),"")</f>
        <v/>
      </c>
      <c r="D73" t="str">
        <f t="shared" si="112"/>
        <v/>
      </c>
      <c r="E73" t="str" cm="1">
        <f t="array" ref="E73">IFERROR(IF(INDEX('M04-S08'!$CC$18:$CC$199,2*(ROWS(E$70:E73)-1)+1)="","",INDEX('M04-S08'!$CC$18:$CC$199,2*(ROWS(E$70:E73)-1)+1)),"")</f>
        <v/>
      </c>
      <c r="G73" t="str">
        <f t="shared" si="113"/>
        <v/>
      </c>
      <c r="H73" t="str">
        <f t="shared" si="114"/>
        <v/>
      </c>
      <c r="L73" t="str">
        <f t="shared" si="115"/>
        <v/>
      </c>
      <c r="O73" t="str">
        <f t="shared" si="116"/>
        <v/>
      </c>
      <c r="V73" t="str" cm="1">
        <f t="array" ref="V73">IFERROR(IF(D73="","",INDEX('M04-S08'!$AY$18:$AY$199,2*(ROWS(V$70:V73)-1)+1)),"")</f>
        <v/>
      </c>
      <c r="W73" t="str" cm="1">
        <f t="array" ref="W73">IFERROR(IF(D73="","",INDEX('M04-S08'!$AV$18:$AV$199,2*(ROWS(W$70:W73)-1)+1)),"")</f>
        <v/>
      </c>
      <c r="X73" t="str" cm="1">
        <f t="array" ref="X73">IFERROR(IF(D73="","",INDEX('M04-S08'!$AV$18:$AV$199,2*(ROWS(X$70:X73)-0)+0)),"")</f>
        <v/>
      </c>
      <c r="AG73" s="98" t="str" cm="1">
        <f t="array" ref="AG73">IFERROR(IF(D73="","",IF(INDEX('M04-S08'!$CB$18:$CB$199,2*(ROWS(AG$70:AG73)-1)+1)="","",INDEX('M04-S08'!$CB$18:$CB$199,2*(ROWS(AG$70:AG73)-1)+1))),"")</f>
        <v/>
      </c>
      <c r="AH73" s="98" t="str" cm="1">
        <f t="array" ref="AH73">IFERROR(IF(D73="","",IF(INDEX('M04-S08'!$CU$18:$CU$199,2*(ROWS(AH$70:AH73)-1)+1)="","",INDEX('M04-S08'!$CU$18:$CU$199,2*(ROWS(AH$70:AH73)-1)+1))),"")</f>
        <v/>
      </c>
      <c r="AI73" s="20" t="str" cm="1">
        <f t="array" ref="AI73">IFERROR(IF(D73="","",IF(INDEX('M04-S08'!$CM$18:$CM$199,2*(ROWS(AI$70:AI73)-1)+1)="",0,INDEX('M04-S08'!$CM$18:$CM$199,2*(ROWS(AI$70:AI73)-1)+1))),"")</f>
        <v/>
      </c>
      <c r="AJ73" s="20" t="str">
        <f t="shared" si="86"/>
        <v/>
      </c>
      <c r="AK73" s="487" t="str" cm="1">
        <f t="array" ref="AK73">IFERROR(IF(D73="","",IF(INDEX('M04-S08'!$CN$18:$CN$199,2*(ROWS(AK$70:AK73)-1)+1)="",0,INDEX('M04-S08'!$CN$18:$CN$199,2*(ROWS(AK$70:AK73)-1)+1))),"")</f>
        <v/>
      </c>
      <c r="AL73" s="20" t="str">
        <f t="shared" si="117"/>
        <v/>
      </c>
      <c r="AM73" s="20" t="str">
        <f t="shared" si="104"/>
        <v/>
      </c>
      <c r="AN73" s="20" t="str" cm="1">
        <f t="array" ref="AN73">IFERROR(IF(D73="","",IF(INDEX('M04-S08'!$CO$18:$CO$199,2*(ROWS(AN$70:AN73)-1)+1)="",0,INDEX('M04-S08'!$CO$18:$CO$199,2*(ROWS(AN$70:AN73)-1)+1))),"")</f>
        <v/>
      </c>
      <c r="AO73" s="20" t="str" cm="1">
        <f t="array" ref="AO73">IFERROR(IF(D73="","",INDEX('M04-S08'!$R$18:$R$199,2*(ROWS(AO$70:AO73)-1)+1)),"")</f>
        <v/>
      </c>
      <c r="AP73" s="20" t="str" cm="1">
        <f t="array" ref="AP73">IFERROR(IF(D73="","",INDEX('M04-S08'!$AJ$18:$AJ$199,2*(ROWS(AP$70:AP73)-1)+1)),"")</f>
        <v/>
      </c>
      <c r="AQ73" s="487" t="str" cm="1">
        <f t="array" ref="AQ73">IFERROR(IF(D73="","",INDEX('M04-S08'!$U$18:$U$199,2*(ROWS(AQ$70:AQ73)-1)+1)),"")</f>
        <v/>
      </c>
      <c r="AR73" s="487" t="str" cm="1">
        <f t="array" ref="AR73">IFERROR(IF(D73="","",INDEX('M04-S08'!$AM$18:$AM$199,2*(ROWS(AR$70:AR73)-1)+1)),"")</f>
        <v/>
      </c>
      <c r="AS73" s="20" t="str" cm="1">
        <f t="array" ref="AS73">IFERROR(IF(D73="","",INDEX('M04-S08'!$X$18:$X$199,2*(ROWS(AS$70:AS73)-1)+1)),"")</f>
        <v/>
      </c>
      <c r="AT73" s="20" t="str" cm="1">
        <f t="array" ref="AT73">IFERROR(IF(D73="","",INDEX('M04-S08'!$AP$18:$AP$199,2*(ROWS(AT$70:AT73)-1)+1)),"")</f>
        <v/>
      </c>
      <c r="BP73" t="str" cm="1">
        <f t="array" ref="BP73">IFERROR(IF(D73="","",INDEX('M04-S08'!$CS$18:$CS$199,2*(ROWS(BP$70:BP73)-1)+1)),"")</f>
        <v/>
      </c>
      <c r="BR73" t="str" cm="1">
        <f t="array" ref="BR73">IFERROR(IF(D73="","",LEFT(INDEX('M04-S08'!$C$18:$C$199,2*(ROWS(BR$70:BR73)-1)+1),150)),"")</f>
        <v/>
      </c>
      <c r="BS73" t="str" cm="1">
        <f t="array" ref="BS73">IFERROR(IF(D73="","",INDEX('M04-S08'!$CT$18:$CT$199,2*(ROWS(BS$70:BS73)-1)+1)),"")</f>
        <v/>
      </c>
      <c r="BT73" s="6" t="str" cm="1">
        <f t="array" ref="BT73">IFERROR(ROUND(IF(D73="","",INDEX('M04-S08'!$BB$18:$BB$199,2*(ROWS(BT$70:BT73)-1)+1)),2),"")</f>
        <v/>
      </c>
      <c r="BU73" s="6" t="str" cm="1">
        <f t="array" ref="BU73">IFERROR(IF(D73="","",INDEX('M04-S08'!$CX$18:$CX$199,2*(ROWS(BU$70:BU73)-1)+1)),"")</f>
        <v/>
      </c>
      <c r="BV73" s="6" t="str" cm="1">
        <f t="array" ref="BV73">IFERROR(IF(D73="","",INDEX('M04-S08'!$CY$18:$CY$199,2*(ROWS(BV$70:BV73)-1)+1)),"")</f>
        <v/>
      </c>
      <c r="BW73" t="str">
        <f t="shared" si="118"/>
        <v/>
      </c>
      <c r="BX73" t="str">
        <f t="shared" si="119"/>
        <v/>
      </c>
      <c r="BY73" s="6" t="str" cm="1">
        <f t="array" ref="BY73">IFERROR(IF(D73="","",INDEX('M04-S08'!$CI$18:$CI$199,2*(ROWS(BY$70:BY73)-1)+1)),"")</f>
        <v/>
      </c>
      <c r="BZ73" s="6" t="str">
        <f t="shared" si="105"/>
        <v/>
      </c>
      <c r="CA73" s="6" t="str">
        <f t="shared" si="106"/>
        <v/>
      </c>
      <c r="CB73" s="6" t="str">
        <f t="shared" si="87"/>
        <v/>
      </c>
      <c r="CC73" s="6" t="str">
        <f t="shared" si="107"/>
        <v/>
      </c>
      <c r="CD73" s="6" t="str">
        <f t="shared" si="108"/>
        <v/>
      </c>
      <c r="CS73" t="str" cm="1">
        <f t="array" ref="CS73">IFERROR(IF(D73="","",INDEX('M04-S08'!$F$18:$F$199,2*(ROWS(CS$70:CS73)-1)+1)),"")</f>
        <v/>
      </c>
      <c r="CT73" t="str" cm="1">
        <f t="array" ref="CT73">IFERROR(IF(D73="","",INDEX('M04-S08'!$L$18:$L$199,2*(ROWS(CT$70:CT73)-1)+1)),"")</f>
        <v/>
      </c>
      <c r="CU73" t="str" cm="1">
        <f t="array" ref="CU73">IFERROR(IF(D73="","",INDEX('M04-S08'!$AD$18:$AD$199,2*(ROWS(CU$70:CU73)-1)+1)),"")</f>
        <v/>
      </c>
      <c r="DE73" s="150"/>
      <c r="DF73" s="150" t="str">
        <f>IFERROR(ROUND(IF(OR(D73="",DE73=""),"",TEMPLATE!$V$16),2),"")</f>
        <v/>
      </c>
      <c r="DG73" s="150"/>
      <c r="DH73" s="150" t="str">
        <f>IFERROR(ROUND(IF(OR(D73="",DG73=""),"",TEMPLATE!$V$16),2),"")</f>
        <v/>
      </c>
      <c r="DI73" s="150"/>
      <c r="DJ73" s="150" t="str">
        <f>IFERROR(ROUND(IF(OR(D73="",DI73=""),"",TEMPLATE!$V$16),2),"")</f>
        <v/>
      </c>
      <c r="DK73" s="150"/>
      <c r="DL73" s="150" t="str">
        <f>IFERROR(ROUND(IF(OR(D73="",DK73=""),"",TEMPLATE!$V$16),2),"")</f>
        <v/>
      </c>
      <c r="DM73" s="150"/>
      <c r="DN73" s="150" t="str">
        <f>IFERROR(ROUND(IF(OR(D73="",DM73=""),"",TEMPLATE!$V$16),2),"")</f>
        <v/>
      </c>
      <c r="DO73" s="150"/>
      <c r="DP73" s="150" t="str">
        <f>IFERROR(ROUND(IF(OR(D73="",DO73=""),"",TEMPLATE!$V$16),2),"")</f>
        <v/>
      </c>
      <c r="DQ73" s="150"/>
      <c r="DR73" s="150" t="str">
        <f>IFERROR(ROUND(IF(OR(D73="",DQ73=""),"",TEMPLATE!$V$16),2),"")</f>
        <v/>
      </c>
      <c r="DS73" s="150"/>
      <c r="DT73" s="150" t="str">
        <f>IFERROR(ROUND(IF(OR(D73="",DS73=""),"",TEMPLATE!$V$16),2),"")</f>
        <v/>
      </c>
      <c r="DU73" s="150" t="str" cm="1">
        <f t="array" ref="DU73">IFERROR(ROUND(IF($D73="","",INDEX('M04-S08'!DD$18:DD$199,2*(ROWS(DU$70:DU73)-1)+1)),4),"")</f>
        <v/>
      </c>
      <c r="DV73" s="150" t="str" cm="1">
        <f t="array" ref="DV73">IFERROR(ROUND(IF($D73="","",INDEX('M04-S08'!DE$18:DE$199,2*(ROWS(DV$70:DV73)-1)+1)),4),"")</f>
        <v/>
      </c>
      <c r="DW73" s="150" t="str" cm="1">
        <f t="array" ref="DW73">IFERROR(ROUND(IF($D73="","",INDEX('M04-S08'!DF$18:DF$199,2*(ROWS(DW$70:DW73)-1)+1)),4),"")</f>
        <v/>
      </c>
      <c r="DX73" s="150" t="str" cm="1">
        <f t="array" ref="DX73">IFERROR(ROUND(IF($D73="","",INDEX('M04-S08'!DG$18:DG$199,2*(ROWS(DX$70:DX73)-1)+1)),4),"")</f>
        <v/>
      </c>
      <c r="DY73" s="150" t="str" cm="1">
        <f t="array" ref="DY73">IFERROR(ROUND(IF($D73="","",INDEX('M04-S08'!DH$18:DH$199,2*(ROWS(DY$70:DY73)-1)+1)),4),"")</f>
        <v/>
      </c>
      <c r="DZ73" s="150" t="str" cm="1">
        <f t="array" ref="DZ73">IFERROR(ROUND(IF($D73="","",INDEX('M04-S08'!DI$18:DI$199,2*(ROWS(DZ$70:DZ73)-1)+1)),4),"")</f>
        <v/>
      </c>
      <c r="EA73" s="150" t="str" cm="1">
        <f t="array" ref="EA73">IFERROR(ROUND(IF($D73="","",INDEX('M04-S08'!DJ$18:DJ$199,2*(ROWS(EA$70:EA73)-1)+1)),4),"")</f>
        <v/>
      </c>
      <c r="EB73" s="150" t="str" cm="1">
        <f t="array" ref="EB73">IFERROR(ROUND(IF($D73="","",INDEX('M04-S08'!DK$18:DK$199,2*(ROWS(EB$70:EB73)-1)+1)),6),"")</f>
        <v/>
      </c>
      <c r="EC73" s="150" t="str" cm="1">
        <f t="array" ref="EC73">IFERROR(ROUND(IF($D73="","",INDEX('M04-S08'!DL$18:DL$199,2*(ROWS(EC$70:EC73)-1)+1)),6),"")</f>
        <v/>
      </c>
      <c r="ED73" s="150" t="str" cm="1">
        <f t="array" ref="ED73">IFERROR(ROUND(IF($D73="","",INDEX('M04-S08'!DM$18:DM$199,2*(ROWS(ED$70:ED73)-1)+1)),6),"")</f>
        <v/>
      </c>
      <c r="EE73" s="150" t="str" cm="1">
        <f t="array" ref="EE73">IFERROR(ROUND(IF($D73="","",INDEX('M04-S08'!DN$18:DN$199,2*(ROWS(EE$70:EE73)-1)+1)),6),"")</f>
        <v/>
      </c>
      <c r="EF73" s="150" t="str" cm="1">
        <f t="array" ref="EF73">IFERROR(ROUND(IF($D73="","",INDEX('M04-S08'!DO$18:DO$199,2*(ROWS(EF$70:EF73)-1)+1)),6),"")</f>
        <v/>
      </c>
      <c r="EG73" s="150" t="str" cm="1">
        <f t="array" ref="EG73">IFERROR(ROUND(IF($D73="","",INDEX('M04-S08'!DP$18:DP$199,2*(ROWS(EG$70:EG73)-1)+1)),6),"")</f>
        <v/>
      </c>
      <c r="EH73" s="150" t="str" cm="1">
        <f t="array" ref="EH73">IFERROR(ROUND(IF($D73="","",INDEX('M04-S08'!DQ$18:DQ$199,2*(ROWS(EH$70:EH73)-1)+1)),6),"")</f>
        <v/>
      </c>
      <c r="EI73" s="150" t="str" cm="1">
        <f t="array" ref="EI73">IFERROR(ROUND(IF($D73="","",INDEX('M04-S08'!DR$18:DR$199,2*(ROWS(EI$70:EI73)-1)+1)),6),"")</f>
        <v/>
      </c>
      <c r="EJ73" s="150" t="str" cm="1">
        <f t="array" ref="EJ73">IFERROR(ROUND(IF($D73="","",INDEX('M04-S08'!DS$18:DS$199,2*(ROWS(EJ$70:EJ73)-1)+1)),6),"")</f>
        <v/>
      </c>
      <c r="EK73" s="150" t="str" cm="1">
        <f t="array" ref="EK73">IFERROR(ROUND(IF($D73="","",INDEX('M04-S08'!DT$18:DT$199,2*(ROWS(EK$70:EK73)-1)+1)),6),"")</f>
        <v/>
      </c>
      <c r="EL73" s="150" t="str" cm="1">
        <f t="array" ref="EL73">IFERROR(ROUND(IF($D73="","",INDEX('M04-S08'!DU$18:DU$199,2*(ROWS(EL$70:EL73)-1)+1)),6),"")</f>
        <v/>
      </c>
      <c r="EM73" s="150" t="str" cm="1">
        <f t="array" ref="EM73">IFERROR(ROUND(IF($D73="","",INDEX('M04-S08'!DV$18:DV$199,2*(ROWS(EM$70:EM73)-1)+1)),6),"")</f>
        <v/>
      </c>
      <c r="EN73" s="150" t="str" cm="1">
        <f t="array" ref="EN73">IFERROR(ROUND(IF($D73="","",INDEX('M04-S08'!DW$18:DW$199,2*(ROWS(EN$70:EN73)-1)+1)),6),"")</f>
        <v/>
      </c>
      <c r="EO73" s="150" t="str" cm="1">
        <f t="array" ref="EO73">IFERROR(ROUND(IF($D73="","",INDEX('M04-S08'!DX$18:DX$199,2*(ROWS(EO$70:EO73)-1)+1)),6),"")</f>
        <v/>
      </c>
      <c r="EP73" s="150" t="str" cm="1">
        <f t="array" ref="EP73">IFERROR(ROUND(IF($D73="","",INDEX('M04-S08'!DY$18:DY$199,2*(ROWS(EP$70:EP73)-1)+1)),6),"")</f>
        <v/>
      </c>
      <c r="EQ73" s="150" t="str" cm="1">
        <f t="array" ref="EQ73">IFERROR(ROUND(IF($D73="","",INDEX('M04-S08'!DZ$18:DZ$199,2*(ROWS(EQ$70:EQ73)-1)+1)),6),"")</f>
        <v/>
      </c>
      <c r="ER73" s="150" t="str">
        <f t="shared" si="109"/>
        <v/>
      </c>
      <c r="ES73" s="150" t="str">
        <f t="shared" si="37"/>
        <v/>
      </c>
      <c r="ET73" s="150" t="str">
        <f t="shared" si="38"/>
        <v/>
      </c>
      <c r="EU73" s="150" t="str">
        <f t="shared" si="39"/>
        <v/>
      </c>
      <c r="EV73" s="150" t="str">
        <f t="shared" si="40"/>
        <v/>
      </c>
      <c r="EW73" s="150" t="str">
        <f t="shared" si="41"/>
        <v/>
      </c>
      <c r="EX73" s="150" t="str">
        <f t="shared" si="42"/>
        <v/>
      </c>
      <c r="EY73" s="150" t="str">
        <f t="shared" si="110"/>
        <v/>
      </c>
      <c r="EZ73" s="150" t="str" cm="1">
        <f t="array" ref="EZ73">IFERROR(ROUND(IF($D73="","",INDEX('M04-S08'!EA$18:EA$199,2*(ROWS(EZ$70:EZ73)-1)+1)),6),"")</f>
        <v/>
      </c>
      <c r="FA73" s="150" t="str" cm="1">
        <f t="array" ref="FA73">IFERROR(ROUND(IF($D73="","",INDEX('M04-S08'!EB$18:EB$199,2*(ROWS(FA$70:FA73)-1)+1)),6),"")</f>
        <v/>
      </c>
      <c r="FB73" s="150" t="str" cm="1">
        <f t="array" ref="FB73">IFERROR(ROUND(IF($D73="","",INDEX('M04-S08'!EC$18:EC$199,2*(ROWS(FB$70:FB73)-1)+1)),6),"")</f>
        <v/>
      </c>
      <c r="FC73" s="150" t="str" cm="1">
        <f t="array" ref="FC73">IFERROR(ROUND(IF($D73="","",INDEX('M04-S08'!ED$18:ED$199,2*(ROWS(FC$70:FC73)-1)+1)),6),"")</f>
        <v/>
      </c>
      <c r="FD73" s="150" t="str" cm="1">
        <f t="array" ref="FD73">IFERROR(ROUND(IF($D73="","",INDEX('M04-S08'!EE$18:EE$199,2*(ROWS(FD$70:FD73)-1)+1)),6),"")</f>
        <v/>
      </c>
      <c r="FE73" s="150" t="str" cm="1">
        <f t="array" ref="FE73">IFERROR(ROUND(IF($D73="","",INDEX('M04-S08'!EF$18:EF$199,2*(ROWS(FE$70:FE73)-1)+1)),6),"")</f>
        <v/>
      </c>
      <c r="FF73" s="150" t="str" cm="1">
        <f t="array" ref="FF73">IFERROR(ROUND(IF($D73="","",INDEX('M04-S08'!EG$18:EG$199,2*(ROWS(FF$70:FF73)-1)+1)),6),"")</f>
        <v/>
      </c>
      <c r="FG73" s="150" t="str" cm="1">
        <f t="array" ref="FG73">IFERROR(ROUND(IF($D73="","",INDEX('M04-S08'!EH$18:EH$199,2*(ROWS(FG$70:FG73)-1)+1)),6),"")</f>
        <v/>
      </c>
      <c r="FH73" s="150" t="str" cm="1">
        <f t="array" ref="FH73">IFERROR(ROUND(IF($D73="","",INDEX('M04-S08'!EI$18:EI$199,2*(ROWS(FH$70:FH73)-1)+1)),6),"")</f>
        <v/>
      </c>
      <c r="FI73" s="150" t="str" cm="1">
        <f t="array" ref="FI73">IFERROR(ROUND(IF($D73="","",INDEX('M04-S08'!EJ$18:EJ$199,2*(ROWS(FI$70:FI73)-1)+1)),6),"")</f>
        <v/>
      </c>
      <c r="FJ73" s="150" t="str" cm="1">
        <f t="array" ref="FJ73">IFERROR(ROUND(IF($D73="","",INDEX('M04-S08'!EK$18:EK$199,2*(ROWS(FJ$70:FJ73)-1)+1)),6),"")</f>
        <v/>
      </c>
      <c r="FK73" s="150" t="str" cm="1">
        <f t="array" ref="FK73">IFERROR(ROUND(IF($D73="","",INDEX('M04-S08'!EL$18:EL$199,2*(ROWS(FK$70:FK73)-1)+1)),6),"")</f>
        <v/>
      </c>
      <c r="FL73" s="150" t="str" cm="1">
        <f t="array" ref="FL73">IFERROR(ROUND(IF($D73="","",INDEX('M04-S08'!EM$18:EM$199,2*(ROWS(FL$70:FL73)-1)+1)),6),"")</f>
        <v/>
      </c>
      <c r="FM73" s="150" t="str" cm="1">
        <f t="array" ref="FM73">IFERROR(ROUND(IF($D73="","",INDEX('M04-S08'!EN$18:EN$199,2*(ROWS(FM$70:FM73)-1)+1)),6),"")</f>
        <v/>
      </c>
    </row>
    <row r="74" spans="1:169">
      <c r="A74" t="str">
        <f t="shared" si="102"/>
        <v/>
      </c>
      <c r="B74" t="str">
        <f t="shared" si="111"/>
        <v/>
      </c>
      <c r="C74" t="str" cm="1">
        <f t="array" ref="C74">IFERROR(IF(D74="","",INDEX('M04-S08'!$B$18:$B$199,2*(ROWS(C$70:C74)-1)+1)),"")</f>
        <v/>
      </c>
      <c r="D74" t="str">
        <f t="shared" si="112"/>
        <v/>
      </c>
      <c r="E74" t="str" cm="1">
        <f t="array" ref="E74">IFERROR(IF(INDEX('M04-S08'!$CC$18:$CC$199,2*(ROWS(E$70:E74)-1)+1)="","",INDEX('M04-S08'!$CC$18:$CC$199,2*(ROWS(E$70:E74)-1)+1)),"")</f>
        <v/>
      </c>
      <c r="G74" t="str">
        <f t="shared" si="113"/>
        <v/>
      </c>
      <c r="H74" t="str">
        <f t="shared" si="114"/>
        <v/>
      </c>
      <c r="L74" t="str">
        <f t="shared" si="115"/>
        <v/>
      </c>
      <c r="O74" t="str">
        <f t="shared" si="116"/>
        <v/>
      </c>
      <c r="V74" t="str" cm="1">
        <f t="array" ref="V74">IFERROR(IF(D74="","",INDEX('M04-S08'!$AY$18:$AY$199,2*(ROWS(V$70:V74)-1)+1)),"")</f>
        <v/>
      </c>
      <c r="W74" t="str" cm="1">
        <f t="array" ref="W74">IFERROR(IF(D74="","",INDEX('M04-S08'!$AV$18:$AV$199,2*(ROWS(W$70:W74)-1)+1)),"")</f>
        <v/>
      </c>
      <c r="X74" t="str" cm="1">
        <f t="array" ref="X74">IFERROR(IF(D74="","",INDEX('M04-S08'!$AV$18:$AV$199,2*(ROWS(X$70:X74)-0)+0)),"")</f>
        <v/>
      </c>
      <c r="AG74" s="98" t="str" cm="1">
        <f t="array" ref="AG74">IFERROR(IF(D74="","",IF(INDEX('M04-S08'!$CB$18:$CB$199,2*(ROWS(AG$70:AG74)-1)+1)="","",INDEX('M04-S08'!$CB$18:$CB$199,2*(ROWS(AG$70:AG74)-1)+1))),"")</f>
        <v/>
      </c>
      <c r="AH74" s="98" t="str" cm="1">
        <f t="array" ref="AH74">IFERROR(IF(D74="","",IF(INDEX('M04-S08'!$CU$18:$CU$199,2*(ROWS(AH$70:AH74)-1)+1)="","",INDEX('M04-S08'!$CU$18:$CU$199,2*(ROWS(AH$70:AH74)-1)+1))),"")</f>
        <v/>
      </c>
      <c r="AI74" s="20" t="str" cm="1">
        <f t="array" ref="AI74">IFERROR(IF(D74="","",IF(INDEX('M04-S08'!$CM$18:$CM$199,2*(ROWS(AI$70:AI74)-1)+1)="",0,INDEX('M04-S08'!$CM$18:$CM$199,2*(ROWS(AI$70:AI74)-1)+1))),"")</f>
        <v/>
      </c>
      <c r="AJ74" s="20" t="str">
        <f t="shared" si="86"/>
        <v/>
      </c>
      <c r="AK74" s="487" t="str" cm="1">
        <f t="array" ref="AK74">IFERROR(IF(D74="","",IF(INDEX('M04-S08'!$CN$18:$CN$199,2*(ROWS(AK$70:AK74)-1)+1)="",0,INDEX('M04-S08'!$CN$18:$CN$199,2*(ROWS(AK$70:AK74)-1)+1))),"")</f>
        <v/>
      </c>
      <c r="AL74" s="20" t="str">
        <f t="shared" si="117"/>
        <v/>
      </c>
      <c r="AM74" s="20" t="str">
        <f t="shared" si="104"/>
        <v/>
      </c>
      <c r="AN74" s="20" t="str" cm="1">
        <f t="array" ref="AN74">IFERROR(IF(D74="","",IF(INDEX('M04-S08'!$CO$18:$CO$199,2*(ROWS(AN$70:AN74)-1)+1)="",0,INDEX('M04-S08'!$CO$18:$CO$199,2*(ROWS(AN$70:AN74)-1)+1))),"")</f>
        <v/>
      </c>
      <c r="AO74" s="20" t="str" cm="1">
        <f t="array" ref="AO74">IFERROR(IF(D74="","",INDEX('M04-S08'!$R$18:$R$199,2*(ROWS(AO$70:AO74)-1)+1)),"")</f>
        <v/>
      </c>
      <c r="AP74" s="20" t="str" cm="1">
        <f t="array" ref="AP74">IFERROR(IF(D74="","",INDEX('M04-S08'!$AJ$18:$AJ$199,2*(ROWS(AP$70:AP74)-1)+1)),"")</f>
        <v/>
      </c>
      <c r="AQ74" s="487" t="str" cm="1">
        <f t="array" ref="AQ74">IFERROR(IF(D74="","",INDEX('M04-S08'!$U$18:$U$199,2*(ROWS(AQ$70:AQ74)-1)+1)),"")</f>
        <v/>
      </c>
      <c r="AR74" s="487" t="str" cm="1">
        <f t="array" ref="AR74">IFERROR(IF(D74="","",INDEX('M04-S08'!$AM$18:$AM$199,2*(ROWS(AR$70:AR74)-1)+1)),"")</f>
        <v/>
      </c>
      <c r="AS74" s="20" t="str" cm="1">
        <f t="array" ref="AS74">IFERROR(IF(D74="","",INDEX('M04-S08'!$X$18:$X$199,2*(ROWS(AS$70:AS74)-1)+1)),"")</f>
        <v/>
      </c>
      <c r="AT74" s="20" t="str" cm="1">
        <f t="array" ref="AT74">IFERROR(IF(D74="","",INDEX('M04-S08'!$AP$18:$AP$199,2*(ROWS(AT$70:AT74)-1)+1)),"")</f>
        <v/>
      </c>
      <c r="BP74" t="str" cm="1">
        <f t="array" ref="BP74">IFERROR(IF(D74="","",INDEX('M04-S08'!$CS$18:$CS$199,2*(ROWS(BP$70:BP74)-1)+1)),"")</f>
        <v/>
      </c>
      <c r="BR74" t="str" cm="1">
        <f t="array" ref="BR74">IFERROR(IF(D74="","",LEFT(INDEX('M04-S08'!$C$18:$C$199,2*(ROWS(BR$70:BR74)-1)+1),150)),"")</f>
        <v/>
      </c>
      <c r="BS74" t="str" cm="1">
        <f t="array" ref="BS74">IFERROR(IF(D74="","",INDEX('M04-S08'!$CT$18:$CT$199,2*(ROWS(BS$70:BS74)-1)+1)),"")</f>
        <v/>
      </c>
      <c r="BT74" s="6" t="str" cm="1">
        <f t="array" ref="BT74">IFERROR(ROUND(IF(D74="","",INDEX('M04-S08'!$BB$18:$BB$199,2*(ROWS(BT$70:BT74)-1)+1)),2),"")</f>
        <v/>
      </c>
      <c r="BU74" s="6" t="str" cm="1">
        <f t="array" ref="BU74">IFERROR(IF(D74="","",INDEX('M04-S08'!$CX$18:$CX$199,2*(ROWS(BU$70:BU74)-1)+1)),"")</f>
        <v/>
      </c>
      <c r="BV74" s="6" t="str" cm="1">
        <f t="array" ref="BV74">IFERROR(IF(D74="","",INDEX('M04-S08'!$CY$18:$CY$199,2*(ROWS(BV$70:BV74)-1)+1)),"")</f>
        <v/>
      </c>
      <c r="BW74" t="str">
        <f t="shared" si="118"/>
        <v/>
      </c>
      <c r="BX74" t="str">
        <f t="shared" si="119"/>
        <v/>
      </c>
      <c r="BY74" s="6" t="str" cm="1">
        <f t="array" ref="BY74">IFERROR(IF(D74="","",INDEX('M04-S08'!$CI$18:$CI$199,2*(ROWS(BY$70:BY74)-1)+1)),"")</f>
        <v/>
      </c>
      <c r="BZ74" s="6" t="str">
        <f t="shared" si="105"/>
        <v/>
      </c>
      <c r="CA74" s="6" t="str">
        <f t="shared" si="106"/>
        <v/>
      </c>
      <c r="CB74" s="6" t="str">
        <f t="shared" si="87"/>
        <v/>
      </c>
      <c r="CC74" s="6" t="str">
        <f t="shared" si="107"/>
        <v/>
      </c>
      <c r="CD74" s="6" t="str">
        <f t="shared" si="108"/>
        <v/>
      </c>
      <c r="CS74" t="str" cm="1">
        <f t="array" ref="CS74">IFERROR(IF(D74="","",INDEX('M04-S08'!$F$18:$F$199,2*(ROWS(CS$70:CS74)-1)+1)),"")</f>
        <v/>
      </c>
      <c r="CT74" t="str" cm="1">
        <f t="array" ref="CT74">IFERROR(IF(D74="","",INDEX('M04-S08'!$L$18:$L$199,2*(ROWS(CT$70:CT74)-1)+1)),"")</f>
        <v/>
      </c>
      <c r="CU74" t="str" cm="1">
        <f t="array" ref="CU74">IFERROR(IF(D74="","",INDEX('M04-S08'!$AD$18:$AD$199,2*(ROWS(CU$70:CU74)-1)+1)),"")</f>
        <v/>
      </c>
      <c r="DE74" s="150"/>
      <c r="DF74" s="150" t="str">
        <f>IFERROR(ROUND(IF(OR(D74="",DE74=""),"",TEMPLATE!$V$16),2),"")</f>
        <v/>
      </c>
      <c r="DG74" s="150"/>
      <c r="DH74" s="150" t="str">
        <f>IFERROR(ROUND(IF(OR(D74="",DG74=""),"",TEMPLATE!$V$16),2),"")</f>
        <v/>
      </c>
      <c r="DI74" s="150"/>
      <c r="DJ74" s="150" t="str">
        <f>IFERROR(ROUND(IF(OR(D74="",DI74=""),"",TEMPLATE!$V$16),2),"")</f>
        <v/>
      </c>
      <c r="DK74" s="150"/>
      <c r="DL74" s="150" t="str">
        <f>IFERROR(ROUND(IF(OR(D74="",DK74=""),"",TEMPLATE!$V$16),2),"")</f>
        <v/>
      </c>
      <c r="DM74" s="150"/>
      <c r="DN74" s="150" t="str">
        <f>IFERROR(ROUND(IF(OR(D74="",DM74=""),"",TEMPLATE!$V$16),2),"")</f>
        <v/>
      </c>
      <c r="DO74" s="150"/>
      <c r="DP74" s="150" t="str">
        <f>IFERROR(ROUND(IF(OR(D74="",DO74=""),"",TEMPLATE!$V$16),2),"")</f>
        <v/>
      </c>
      <c r="DQ74" s="150"/>
      <c r="DR74" s="150" t="str">
        <f>IFERROR(ROUND(IF(OR(D74="",DQ74=""),"",TEMPLATE!$V$16),2),"")</f>
        <v/>
      </c>
      <c r="DS74" s="150"/>
      <c r="DT74" s="150" t="str">
        <f>IFERROR(ROUND(IF(OR(D74="",DS74=""),"",TEMPLATE!$V$16),2),"")</f>
        <v/>
      </c>
      <c r="DU74" s="150" t="str" cm="1">
        <f t="array" ref="DU74">IFERROR(ROUND(IF($D74="","",INDEX('M04-S08'!DD$18:DD$199,2*(ROWS(DU$70:DU74)-1)+1)),4),"")</f>
        <v/>
      </c>
      <c r="DV74" s="150" t="str" cm="1">
        <f t="array" ref="DV74">IFERROR(ROUND(IF($D74="","",INDEX('M04-S08'!DE$18:DE$199,2*(ROWS(DV$70:DV74)-1)+1)),4),"")</f>
        <v/>
      </c>
      <c r="DW74" s="150" t="str" cm="1">
        <f t="array" ref="DW74">IFERROR(ROUND(IF($D74="","",INDEX('M04-S08'!DF$18:DF$199,2*(ROWS(DW$70:DW74)-1)+1)),4),"")</f>
        <v/>
      </c>
      <c r="DX74" s="150" t="str" cm="1">
        <f t="array" ref="DX74">IFERROR(ROUND(IF($D74="","",INDEX('M04-S08'!DG$18:DG$199,2*(ROWS(DX$70:DX74)-1)+1)),4),"")</f>
        <v/>
      </c>
      <c r="DY74" s="150" t="str" cm="1">
        <f t="array" ref="DY74">IFERROR(ROUND(IF($D74="","",INDEX('M04-S08'!DH$18:DH$199,2*(ROWS(DY$70:DY74)-1)+1)),4),"")</f>
        <v/>
      </c>
      <c r="DZ74" s="150" t="str" cm="1">
        <f t="array" ref="DZ74">IFERROR(ROUND(IF($D74="","",INDEX('M04-S08'!DI$18:DI$199,2*(ROWS(DZ$70:DZ74)-1)+1)),4),"")</f>
        <v/>
      </c>
      <c r="EA74" s="150" t="str" cm="1">
        <f t="array" ref="EA74">IFERROR(ROUND(IF($D74="","",INDEX('M04-S08'!DJ$18:DJ$199,2*(ROWS(EA$70:EA74)-1)+1)),4),"")</f>
        <v/>
      </c>
      <c r="EB74" s="150" t="str" cm="1">
        <f t="array" ref="EB74">IFERROR(ROUND(IF($D74="","",INDEX('M04-S08'!DK$18:DK$199,2*(ROWS(EB$70:EB74)-1)+1)),6),"")</f>
        <v/>
      </c>
      <c r="EC74" s="150" t="str" cm="1">
        <f t="array" ref="EC74">IFERROR(ROUND(IF($D74="","",INDEX('M04-S08'!DL$18:DL$199,2*(ROWS(EC$70:EC74)-1)+1)),6),"")</f>
        <v/>
      </c>
      <c r="ED74" s="150" t="str" cm="1">
        <f t="array" ref="ED74">IFERROR(ROUND(IF($D74="","",INDEX('M04-S08'!DM$18:DM$199,2*(ROWS(ED$70:ED74)-1)+1)),6),"")</f>
        <v/>
      </c>
      <c r="EE74" s="150" t="str" cm="1">
        <f t="array" ref="EE74">IFERROR(ROUND(IF($D74="","",INDEX('M04-S08'!DN$18:DN$199,2*(ROWS(EE$70:EE74)-1)+1)),6),"")</f>
        <v/>
      </c>
      <c r="EF74" s="150" t="str" cm="1">
        <f t="array" ref="EF74">IFERROR(ROUND(IF($D74="","",INDEX('M04-S08'!DO$18:DO$199,2*(ROWS(EF$70:EF74)-1)+1)),6),"")</f>
        <v/>
      </c>
      <c r="EG74" s="150" t="str" cm="1">
        <f t="array" ref="EG74">IFERROR(ROUND(IF($D74="","",INDEX('M04-S08'!DP$18:DP$199,2*(ROWS(EG$70:EG74)-1)+1)),6),"")</f>
        <v/>
      </c>
      <c r="EH74" s="150" t="str" cm="1">
        <f t="array" ref="EH74">IFERROR(ROUND(IF($D74="","",INDEX('M04-S08'!DQ$18:DQ$199,2*(ROWS(EH$70:EH74)-1)+1)),6),"")</f>
        <v/>
      </c>
      <c r="EI74" s="150" t="str" cm="1">
        <f t="array" ref="EI74">IFERROR(ROUND(IF($D74="","",INDEX('M04-S08'!DR$18:DR$199,2*(ROWS(EI$70:EI74)-1)+1)),6),"")</f>
        <v/>
      </c>
      <c r="EJ74" s="150" t="str" cm="1">
        <f t="array" ref="EJ74">IFERROR(ROUND(IF($D74="","",INDEX('M04-S08'!DS$18:DS$199,2*(ROWS(EJ$70:EJ74)-1)+1)),6),"")</f>
        <v/>
      </c>
      <c r="EK74" s="150" t="str" cm="1">
        <f t="array" ref="EK74">IFERROR(ROUND(IF($D74="","",INDEX('M04-S08'!DT$18:DT$199,2*(ROWS(EK$70:EK74)-1)+1)),6),"")</f>
        <v/>
      </c>
      <c r="EL74" s="150" t="str" cm="1">
        <f t="array" ref="EL74">IFERROR(ROUND(IF($D74="","",INDEX('M04-S08'!DU$18:DU$199,2*(ROWS(EL$70:EL74)-1)+1)),6),"")</f>
        <v/>
      </c>
      <c r="EM74" s="150" t="str" cm="1">
        <f t="array" ref="EM74">IFERROR(ROUND(IF($D74="","",INDEX('M04-S08'!DV$18:DV$199,2*(ROWS(EM$70:EM74)-1)+1)),6),"")</f>
        <v/>
      </c>
      <c r="EN74" s="150" t="str" cm="1">
        <f t="array" ref="EN74">IFERROR(ROUND(IF($D74="","",INDEX('M04-S08'!DW$18:DW$199,2*(ROWS(EN$70:EN74)-1)+1)),6),"")</f>
        <v/>
      </c>
      <c r="EO74" s="150" t="str" cm="1">
        <f t="array" ref="EO74">IFERROR(ROUND(IF($D74="","",INDEX('M04-S08'!DX$18:DX$199,2*(ROWS(EO$70:EO74)-1)+1)),6),"")</f>
        <v/>
      </c>
      <c r="EP74" s="150" t="str" cm="1">
        <f t="array" ref="EP74">IFERROR(ROUND(IF($D74="","",INDEX('M04-S08'!DY$18:DY$199,2*(ROWS(EP$70:EP74)-1)+1)),6),"")</f>
        <v/>
      </c>
      <c r="EQ74" s="150" t="str" cm="1">
        <f t="array" ref="EQ74">IFERROR(ROUND(IF($D74="","",INDEX('M04-S08'!DZ$18:DZ$199,2*(ROWS(EQ$70:EQ74)-1)+1)),6),"")</f>
        <v/>
      </c>
      <c r="ER74" s="150" t="str">
        <f t="shared" si="109"/>
        <v/>
      </c>
      <c r="ES74" s="150" t="str">
        <f t="shared" si="37"/>
        <v/>
      </c>
      <c r="ET74" s="150" t="str">
        <f t="shared" si="38"/>
        <v/>
      </c>
      <c r="EU74" s="150" t="str">
        <f t="shared" si="39"/>
        <v/>
      </c>
      <c r="EV74" s="150" t="str">
        <f t="shared" si="40"/>
        <v/>
      </c>
      <c r="EW74" s="150" t="str">
        <f t="shared" si="41"/>
        <v/>
      </c>
      <c r="EX74" s="150" t="str">
        <f t="shared" si="42"/>
        <v/>
      </c>
      <c r="EY74" s="150" t="str">
        <f t="shared" si="110"/>
        <v/>
      </c>
      <c r="EZ74" s="150" t="str" cm="1">
        <f t="array" ref="EZ74">IFERROR(ROUND(IF($D74="","",INDEX('M04-S08'!EA$18:EA$199,2*(ROWS(EZ$70:EZ74)-1)+1)),6),"")</f>
        <v/>
      </c>
      <c r="FA74" s="150" t="str" cm="1">
        <f t="array" ref="FA74">IFERROR(ROUND(IF($D74="","",INDEX('M04-S08'!EB$18:EB$199,2*(ROWS(FA$70:FA74)-1)+1)),6),"")</f>
        <v/>
      </c>
      <c r="FB74" s="150" t="str" cm="1">
        <f t="array" ref="FB74">IFERROR(ROUND(IF($D74="","",INDEX('M04-S08'!EC$18:EC$199,2*(ROWS(FB$70:FB74)-1)+1)),6),"")</f>
        <v/>
      </c>
      <c r="FC74" s="150" t="str" cm="1">
        <f t="array" ref="FC74">IFERROR(ROUND(IF($D74="","",INDEX('M04-S08'!ED$18:ED$199,2*(ROWS(FC$70:FC74)-1)+1)),6),"")</f>
        <v/>
      </c>
      <c r="FD74" s="150" t="str" cm="1">
        <f t="array" ref="FD74">IFERROR(ROUND(IF($D74="","",INDEX('M04-S08'!EE$18:EE$199,2*(ROWS(FD$70:FD74)-1)+1)),6),"")</f>
        <v/>
      </c>
      <c r="FE74" s="150" t="str" cm="1">
        <f t="array" ref="FE74">IFERROR(ROUND(IF($D74="","",INDEX('M04-S08'!EF$18:EF$199,2*(ROWS(FE$70:FE74)-1)+1)),6),"")</f>
        <v/>
      </c>
      <c r="FF74" s="150" t="str" cm="1">
        <f t="array" ref="FF74">IFERROR(ROUND(IF($D74="","",INDEX('M04-S08'!EG$18:EG$199,2*(ROWS(FF$70:FF74)-1)+1)),6),"")</f>
        <v/>
      </c>
      <c r="FG74" s="150" t="str" cm="1">
        <f t="array" ref="FG74">IFERROR(ROUND(IF($D74="","",INDEX('M04-S08'!EH$18:EH$199,2*(ROWS(FG$70:FG74)-1)+1)),6),"")</f>
        <v/>
      </c>
      <c r="FH74" s="150" t="str" cm="1">
        <f t="array" ref="FH74">IFERROR(ROUND(IF($D74="","",INDEX('M04-S08'!EI$18:EI$199,2*(ROWS(FH$70:FH74)-1)+1)),6),"")</f>
        <v/>
      </c>
      <c r="FI74" s="150" t="str" cm="1">
        <f t="array" ref="FI74">IFERROR(ROUND(IF($D74="","",INDEX('M04-S08'!EJ$18:EJ$199,2*(ROWS(FI$70:FI74)-1)+1)),6),"")</f>
        <v/>
      </c>
      <c r="FJ74" s="150" t="str" cm="1">
        <f t="array" ref="FJ74">IFERROR(ROUND(IF($D74="","",INDEX('M04-S08'!EK$18:EK$199,2*(ROWS(FJ$70:FJ74)-1)+1)),6),"")</f>
        <v/>
      </c>
      <c r="FK74" s="150" t="str" cm="1">
        <f t="array" ref="FK74">IFERROR(ROUND(IF($D74="","",INDEX('M04-S08'!EL$18:EL$199,2*(ROWS(FK$70:FK74)-1)+1)),6),"")</f>
        <v/>
      </c>
      <c r="FL74" s="150" t="str" cm="1">
        <f t="array" ref="FL74">IFERROR(ROUND(IF($D74="","",INDEX('M04-S08'!EM$18:EM$199,2*(ROWS(FL$70:FL74)-1)+1)),6),"")</f>
        <v/>
      </c>
      <c r="FM74" s="150" t="str" cm="1">
        <f t="array" ref="FM74">IFERROR(ROUND(IF($D74="","",INDEX('M04-S08'!EN$18:EN$199,2*(ROWS(FM$70:FM74)-1)+1)),6),"")</f>
        <v/>
      </c>
    </row>
    <row r="75" spans="1:169">
      <c r="A75" t="str">
        <f t="shared" si="102"/>
        <v/>
      </c>
      <c r="B75" t="str">
        <f t="shared" si="111"/>
        <v/>
      </c>
      <c r="C75" t="str" cm="1">
        <f t="array" ref="C75">IFERROR(IF(D75="","",INDEX('M04-S08'!$B$18:$B$199,2*(ROWS(C$70:C75)-1)+1)),"")</f>
        <v/>
      </c>
      <c r="D75" t="str">
        <f t="shared" si="112"/>
        <v/>
      </c>
      <c r="E75" t="str" cm="1">
        <f t="array" ref="E75">IFERROR(IF(INDEX('M04-S08'!$CC$18:$CC$199,2*(ROWS(E$70:E75)-1)+1)="","",INDEX('M04-S08'!$CC$18:$CC$199,2*(ROWS(E$70:E75)-1)+1)),"")</f>
        <v/>
      </c>
      <c r="G75" t="str">
        <f t="shared" si="113"/>
        <v/>
      </c>
      <c r="H75" t="str">
        <f t="shared" si="114"/>
        <v/>
      </c>
      <c r="L75" t="str">
        <f t="shared" si="115"/>
        <v/>
      </c>
      <c r="O75" t="str">
        <f t="shared" si="116"/>
        <v/>
      </c>
      <c r="V75" t="str" cm="1">
        <f t="array" ref="V75">IFERROR(IF(D75="","",INDEX('M04-S08'!$AY$18:$AY$199,2*(ROWS(V$70:V75)-1)+1)),"")</f>
        <v/>
      </c>
      <c r="W75" t="str" cm="1">
        <f t="array" ref="W75">IFERROR(IF(D75="","",INDEX('M04-S08'!$AV$18:$AV$199,2*(ROWS(W$70:W75)-1)+1)),"")</f>
        <v/>
      </c>
      <c r="X75" t="str" cm="1">
        <f t="array" ref="X75">IFERROR(IF(D75="","",INDEX('M04-S08'!$AV$18:$AV$199,2*(ROWS(X$70:X75)-0)+0)),"")</f>
        <v/>
      </c>
      <c r="AG75" s="98" t="str" cm="1">
        <f t="array" ref="AG75">IFERROR(IF(D75="","",IF(INDEX('M04-S08'!$CB$18:$CB$199,2*(ROWS(AG$70:AG75)-1)+1)="","",INDEX('M04-S08'!$CB$18:$CB$199,2*(ROWS(AG$70:AG75)-1)+1))),"")</f>
        <v/>
      </c>
      <c r="AH75" s="98" t="str" cm="1">
        <f t="array" ref="AH75">IFERROR(IF(D75="","",IF(INDEX('M04-S08'!$CU$18:$CU$199,2*(ROWS(AH$70:AH75)-1)+1)="","",INDEX('M04-S08'!$CU$18:$CU$199,2*(ROWS(AH$70:AH75)-1)+1))),"")</f>
        <v/>
      </c>
      <c r="AI75" s="20" t="str" cm="1">
        <f t="array" ref="AI75">IFERROR(IF(D75="","",IF(INDEX('M04-S08'!$CM$18:$CM$199,2*(ROWS(AI$70:AI75)-1)+1)="",0,INDEX('M04-S08'!$CM$18:$CM$199,2*(ROWS(AI$70:AI75)-1)+1))),"")</f>
        <v/>
      </c>
      <c r="AJ75" s="20" t="str">
        <f t="shared" si="86"/>
        <v/>
      </c>
      <c r="AK75" s="487" t="str" cm="1">
        <f t="array" ref="AK75">IFERROR(IF(D75="","",IF(INDEX('M04-S08'!$CN$18:$CN$199,2*(ROWS(AK$70:AK75)-1)+1)="",0,INDEX('M04-S08'!$CN$18:$CN$199,2*(ROWS(AK$70:AK75)-1)+1))),"")</f>
        <v/>
      </c>
      <c r="AL75" s="20" t="str">
        <f t="shared" si="117"/>
        <v/>
      </c>
      <c r="AM75" s="20" t="str">
        <f t="shared" si="104"/>
        <v/>
      </c>
      <c r="AN75" s="20" t="str" cm="1">
        <f t="array" ref="AN75">IFERROR(IF(D75="","",IF(INDEX('M04-S08'!$CO$18:$CO$199,2*(ROWS(AN$70:AN75)-1)+1)="",0,INDEX('M04-S08'!$CO$18:$CO$199,2*(ROWS(AN$70:AN75)-1)+1))),"")</f>
        <v/>
      </c>
      <c r="AO75" s="20" t="str" cm="1">
        <f t="array" ref="AO75">IFERROR(IF(D75="","",INDEX('M04-S08'!$R$18:$R$199,2*(ROWS(AO$70:AO75)-1)+1)),"")</f>
        <v/>
      </c>
      <c r="AP75" s="20" t="str" cm="1">
        <f t="array" ref="AP75">IFERROR(IF(D75="","",INDEX('M04-S08'!$AJ$18:$AJ$199,2*(ROWS(AP$70:AP75)-1)+1)),"")</f>
        <v/>
      </c>
      <c r="AQ75" s="487" t="str" cm="1">
        <f t="array" ref="AQ75">IFERROR(IF(D75="","",INDEX('M04-S08'!$U$18:$U$199,2*(ROWS(AQ$70:AQ75)-1)+1)),"")</f>
        <v/>
      </c>
      <c r="AR75" s="487" t="str" cm="1">
        <f t="array" ref="AR75">IFERROR(IF(D75="","",INDEX('M04-S08'!$AM$18:$AM$199,2*(ROWS(AR$70:AR75)-1)+1)),"")</f>
        <v/>
      </c>
      <c r="AS75" s="20" t="str" cm="1">
        <f t="array" ref="AS75">IFERROR(IF(D75="","",INDEX('M04-S08'!$X$18:$X$199,2*(ROWS(AS$70:AS75)-1)+1)),"")</f>
        <v/>
      </c>
      <c r="AT75" s="20" t="str" cm="1">
        <f t="array" ref="AT75">IFERROR(IF(D75="","",INDEX('M04-S08'!$AP$18:$AP$199,2*(ROWS(AT$70:AT75)-1)+1)),"")</f>
        <v/>
      </c>
      <c r="BP75" t="str" cm="1">
        <f t="array" ref="BP75">IFERROR(IF(D75="","",INDEX('M04-S08'!$CS$18:$CS$199,2*(ROWS(BP$70:BP75)-1)+1)),"")</f>
        <v/>
      </c>
      <c r="BR75" t="str" cm="1">
        <f t="array" ref="BR75">IFERROR(IF(D75="","",LEFT(INDEX('M04-S08'!$C$18:$C$199,2*(ROWS(BR$70:BR75)-1)+1),150)),"")</f>
        <v/>
      </c>
      <c r="BS75" t="str" cm="1">
        <f t="array" ref="BS75">IFERROR(IF(D75="","",INDEX('M04-S08'!$CT$18:$CT$199,2*(ROWS(BS$70:BS75)-1)+1)),"")</f>
        <v/>
      </c>
      <c r="BT75" s="6" t="str" cm="1">
        <f t="array" ref="BT75">IFERROR(ROUND(IF(D75="","",INDEX('M04-S08'!$BB$18:$BB$199,2*(ROWS(BT$70:BT75)-1)+1)),2),"")</f>
        <v/>
      </c>
      <c r="BU75" s="6" t="str" cm="1">
        <f t="array" ref="BU75">IFERROR(IF(D75="","",INDEX('M04-S08'!$CX$18:$CX$199,2*(ROWS(BU$70:BU75)-1)+1)),"")</f>
        <v/>
      </c>
      <c r="BV75" s="6" t="str" cm="1">
        <f t="array" ref="BV75">IFERROR(IF(D75="","",INDEX('M04-S08'!$CY$18:$CY$199,2*(ROWS(BV$70:BV75)-1)+1)),"")</f>
        <v/>
      </c>
      <c r="BW75" t="str">
        <f t="shared" si="118"/>
        <v/>
      </c>
      <c r="BX75" t="str">
        <f t="shared" si="119"/>
        <v/>
      </c>
      <c r="BY75" s="6" t="str" cm="1">
        <f t="array" ref="BY75">IFERROR(IF(D75="","",INDEX('M04-S08'!$CI$18:$CI$199,2*(ROWS(BY$70:BY75)-1)+1)),"")</f>
        <v/>
      </c>
      <c r="BZ75" s="6" t="str">
        <f t="shared" si="105"/>
        <v/>
      </c>
      <c r="CA75" s="6" t="str">
        <f t="shared" si="106"/>
        <v/>
      </c>
      <c r="CB75" s="6" t="str">
        <f t="shared" si="87"/>
        <v/>
      </c>
      <c r="CC75" s="6" t="str">
        <f t="shared" si="107"/>
        <v/>
      </c>
      <c r="CD75" s="6" t="str">
        <f t="shared" si="108"/>
        <v/>
      </c>
      <c r="CS75" t="str" cm="1">
        <f t="array" ref="CS75">IFERROR(IF(D75="","",INDEX('M04-S08'!$F$18:$F$199,2*(ROWS(CS$70:CS75)-1)+1)),"")</f>
        <v/>
      </c>
      <c r="CT75" t="str" cm="1">
        <f t="array" ref="CT75">IFERROR(IF(D75="","",INDEX('M04-S08'!$L$18:$L$199,2*(ROWS(CT$70:CT75)-1)+1)),"")</f>
        <v/>
      </c>
      <c r="CU75" t="str" cm="1">
        <f t="array" ref="CU75">IFERROR(IF(D75="","",INDEX('M04-S08'!$AD$18:$AD$199,2*(ROWS(CU$70:CU75)-1)+1)),"")</f>
        <v/>
      </c>
      <c r="DE75" s="150"/>
      <c r="DF75" s="150" t="str">
        <f>IFERROR(ROUND(IF(OR(D75="",DE75=""),"",TEMPLATE!$V$16),2),"")</f>
        <v/>
      </c>
      <c r="DG75" s="150"/>
      <c r="DH75" s="150" t="str">
        <f>IFERROR(ROUND(IF(OR(D75="",DG75=""),"",TEMPLATE!$V$16),2),"")</f>
        <v/>
      </c>
      <c r="DI75" s="150"/>
      <c r="DJ75" s="150" t="str">
        <f>IFERROR(ROUND(IF(OR(D75="",DI75=""),"",TEMPLATE!$V$16),2),"")</f>
        <v/>
      </c>
      <c r="DK75" s="150"/>
      <c r="DL75" s="150" t="str">
        <f>IFERROR(ROUND(IF(OR(D75="",DK75=""),"",TEMPLATE!$V$16),2),"")</f>
        <v/>
      </c>
      <c r="DM75" s="150"/>
      <c r="DN75" s="150" t="str">
        <f>IFERROR(ROUND(IF(OR(D75="",DM75=""),"",TEMPLATE!$V$16),2),"")</f>
        <v/>
      </c>
      <c r="DO75" s="150"/>
      <c r="DP75" s="150" t="str">
        <f>IFERROR(ROUND(IF(OR(D75="",DO75=""),"",TEMPLATE!$V$16),2),"")</f>
        <v/>
      </c>
      <c r="DQ75" s="150"/>
      <c r="DR75" s="150" t="str">
        <f>IFERROR(ROUND(IF(OR(D75="",DQ75=""),"",TEMPLATE!$V$16),2),"")</f>
        <v/>
      </c>
      <c r="DS75" s="150"/>
      <c r="DT75" s="150" t="str">
        <f>IFERROR(ROUND(IF(OR(D75="",DS75=""),"",TEMPLATE!$V$16),2),"")</f>
        <v/>
      </c>
      <c r="DU75" s="150" t="str" cm="1">
        <f t="array" ref="DU75">IFERROR(ROUND(IF($D75="","",INDEX('M04-S08'!DD$18:DD$199,2*(ROWS(DU$70:DU75)-1)+1)),4),"")</f>
        <v/>
      </c>
      <c r="DV75" s="150" t="str" cm="1">
        <f t="array" ref="DV75">IFERROR(ROUND(IF($D75="","",INDEX('M04-S08'!DE$18:DE$199,2*(ROWS(DV$70:DV75)-1)+1)),4),"")</f>
        <v/>
      </c>
      <c r="DW75" s="150" t="str" cm="1">
        <f t="array" ref="DW75">IFERROR(ROUND(IF($D75="","",INDEX('M04-S08'!DF$18:DF$199,2*(ROWS(DW$70:DW75)-1)+1)),4),"")</f>
        <v/>
      </c>
      <c r="DX75" s="150" t="str" cm="1">
        <f t="array" ref="DX75">IFERROR(ROUND(IF($D75="","",INDEX('M04-S08'!DG$18:DG$199,2*(ROWS(DX$70:DX75)-1)+1)),4),"")</f>
        <v/>
      </c>
      <c r="DY75" s="150" t="str" cm="1">
        <f t="array" ref="DY75">IFERROR(ROUND(IF($D75="","",INDEX('M04-S08'!DH$18:DH$199,2*(ROWS(DY$70:DY75)-1)+1)),4),"")</f>
        <v/>
      </c>
      <c r="DZ75" s="150" t="str" cm="1">
        <f t="array" ref="DZ75">IFERROR(ROUND(IF($D75="","",INDEX('M04-S08'!DI$18:DI$199,2*(ROWS(DZ$70:DZ75)-1)+1)),4),"")</f>
        <v/>
      </c>
      <c r="EA75" s="150" t="str" cm="1">
        <f t="array" ref="EA75">IFERROR(ROUND(IF($D75="","",INDEX('M04-S08'!DJ$18:DJ$199,2*(ROWS(EA$70:EA75)-1)+1)),4),"")</f>
        <v/>
      </c>
      <c r="EB75" s="150" t="str" cm="1">
        <f t="array" ref="EB75">IFERROR(ROUND(IF($D75="","",INDEX('M04-S08'!DK$18:DK$199,2*(ROWS(EB$70:EB75)-1)+1)),6),"")</f>
        <v/>
      </c>
      <c r="EC75" s="150" t="str" cm="1">
        <f t="array" ref="EC75">IFERROR(ROUND(IF($D75="","",INDEX('M04-S08'!DL$18:DL$199,2*(ROWS(EC$70:EC75)-1)+1)),6),"")</f>
        <v/>
      </c>
      <c r="ED75" s="150" t="str" cm="1">
        <f t="array" ref="ED75">IFERROR(ROUND(IF($D75="","",INDEX('M04-S08'!DM$18:DM$199,2*(ROWS(ED$70:ED75)-1)+1)),6),"")</f>
        <v/>
      </c>
      <c r="EE75" s="150" t="str" cm="1">
        <f t="array" ref="EE75">IFERROR(ROUND(IF($D75="","",INDEX('M04-S08'!DN$18:DN$199,2*(ROWS(EE$70:EE75)-1)+1)),6),"")</f>
        <v/>
      </c>
      <c r="EF75" s="150" t="str" cm="1">
        <f t="array" ref="EF75">IFERROR(ROUND(IF($D75="","",INDEX('M04-S08'!DO$18:DO$199,2*(ROWS(EF$70:EF75)-1)+1)),6),"")</f>
        <v/>
      </c>
      <c r="EG75" s="150" t="str" cm="1">
        <f t="array" ref="EG75">IFERROR(ROUND(IF($D75="","",INDEX('M04-S08'!DP$18:DP$199,2*(ROWS(EG$70:EG75)-1)+1)),6),"")</f>
        <v/>
      </c>
      <c r="EH75" s="150" t="str" cm="1">
        <f t="array" ref="EH75">IFERROR(ROUND(IF($D75="","",INDEX('M04-S08'!DQ$18:DQ$199,2*(ROWS(EH$70:EH75)-1)+1)),6),"")</f>
        <v/>
      </c>
      <c r="EI75" s="150" t="str" cm="1">
        <f t="array" ref="EI75">IFERROR(ROUND(IF($D75="","",INDEX('M04-S08'!DR$18:DR$199,2*(ROWS(EI$70:EI75)-1)+1)),6),"")</f>
        <v/>
      </c>
      <c r="EJ75" s="150" t="str" cm="1">
        <f t="array" ref="EJ75">IFERROR(ROUND(IF($D75="","",INDEX('M04-S08'!DS$18:DS$199,2*(ROWS(EJ$70:EJ75)-1)+1)),6),"")</f>
        <v/>
      </c>
      <c r="EK75" s="150" t="str" cm="1">
        <f t="array" ref="EK75">IFERROR(ROUND(IF($D75="","",INDEX('M04-S08'!DT$18:DT$199,2*(ROWS(EK$70:EK75)-1)+1)),6),"")</f>
        <v/>
      </c>
      <c r="EL75" s="150" t="str" cm="1">
        <f t="array" ref="EL75">IFERROR(ROUND(IF($D75="","",INDEX('M04-S08'!DU$18:DU$199,2*(ROWS(EL$70:EL75)-1)+1)),6),"")</f>
        <v/>
      </c>
      <c r="EM75" s="150" t="str" cm="1">
        <f t="array" ref="EM75">IFERROR(ROUND(IF($D75="","",INDEX('M04-S08'!DV$18:DV$199,2*(ROWS(EM$70:EM75)-1)+1)),6),"")</f>
        <v/>
      </c>
      <c r="EN75" s="150" t="str" cm="1">
        <f t="array" ref="EN75">IFERROR(ROUND(IF($D75="","",INDEX('M04-S08'!DW$18:DW$199,2*(ROWS(EN$70:EN75)-1)+1)),6),"")</f>
        <v/>
      </c>
      <c r="EO75" s="150" t="str" cm="1">
        <f t="array" ref="EO75">IFERROR(ROUND(IF($D75="","",INDEX('M04-S08'!DX$18:DX$199,2*(ROWS(EO$70:EO75)-1)+1)),6),"")</f>
        <v/>
      </c>
      <c r="EP75" s="150" t="str" cm="1">
        <f t="array" ref="EP75">IFERROR(ROUND(IF($D75="","",INDEX('M04-S08'!DY$18:DY$199,2*(ROWS(EP$70:EP75)-1)+1)),6),"")</f>
        <v/>
      </c>
      <c r="EQ75" s="150" t="str" cm="1">
        <f t="array" ref="EQ75">IFERROR(ROUND(IF($D75="","",INDEX('M04-S08'!DZ$18:DZ$199,2*(ROWS(EQ$70:EQ75)-1)+1)),6),"")</f>
        <v/>
      </c>
      <c r="ER75" s="150" t="str">
        <f t="shared" si="109"/>
        <v/>
      </c>
      <c r="ES75" s="150" t="str">
        <f t="shared" si="37"/>
        <v/>
      </c>
      <c r="ET75" s="150" t="str">
        <f t="shared" si="38"/>
        <v/>
      </c>
      <c r="EU75" s="150" t="str">
        <f t="shared" si="39"/>
        <v/>
      </c>
      <c r="EV75" s="150" t="str">
        <f t="shared" si="40"/>
        <v/>
      </c>
      <c r="EW75" s="150" t="str">
        <f t="shared" si="41"/>
        <v/>
      </c>
      <c r="EX75" s="150" t="str">
        <f t="shared" si="42"/>
        <v/>
      </c>
      <c r="EY75" s="150" t="str">
        <f t="shared" si="110"/>
        <v/>
      </c>
      <c r="EZ75" s="150" t="str" cm="1">
        <f t="array" ref="EZ75">IFERROR(ROUND(IF($D75="","",INDEX('M04-S08'!EA$18:EA$199,2*(ROWS(EZ$70:EZ75)-1)+1)),6),"")</f>
        <v/>
      </c>
      <c r="FA75" s="150" t="str" cm="1">
        <f t="array" ref="FA75">IFERROR(ROUND(IF($D75="","",INDEX('M04-S08'!EB$18:EB$199,2*(ROWS(FA$70:FA75)-1)+1)),6),"")</f>
        <v/>
      </c>
      <c r="FB75" s="150" t="str" cm="1">
        <f t="array" ref="FB75">IFERROR(ROUND(IF($D75="","",INDEX('M04-S08'!EC$18:EC$199,2*(ROWS(FB$70:FB75)-1)+1)),6),"")</f>
        <v/>
      </c>
      <c r="FC75" s="150" t="str" cm="1">
        <f t="array" ref="FC75">IFERROR(ROUND(IF($D75="","",INDEX('M04-S08'!ED$18:ED$199,2*(ROWS(FC$70:FC75)-1)+1)),6),"")</f>
        <v/>
      </c>
      <c r="FD75" s="150" t="str" cm="1">
        <f t="array" ref="FD75">IFERROR(ROUND(IF($D75="","",INDEX('M04-S08'!EE$18:EE$199,2*(ROWS(FD$70:FD75)-1)+1)),6),"")</f>
        <v/>
      </c>
      <c r="FE75" s="150" t="str" cm="1">
        <f t="array" ref="FE75">IFERROR(ROUND(IF($D75="","",INDEX('M04-S08'!EF$18:EF$199,2*(ROWS(FE$70:FE75)-1)+1)),6),"")</f>
        <v/>
      </c>
      <c r="FF75" s="150" t="str" cm="1">
        <f t="array" ref="FF75">IFERROR(ROUND(IF($D75="","",INDEX('M04-S08'!EG$18:EG$199,2*(ROWS(FF$70:FF75)-1)+1)),6),"")</f>
        <v/>
      </c>
      <c r="FG75" s="150" t="str" cm="1">
        <f t="array" ref="FG75">IFERROR(ROUND(IF($D75="","",INDEX('M04-S08'!EH$18:EH$199,2*(ROWS(FG$70:FG75)-1)+1)),6),"")</f>
        <v/>
      </c>
      <c r="FH75" s="150" t="str" cm="1">
        <f t="array" ref="FH75">IFERROR(ROUND(IF($D75="","",INDEX('M04-S08'!EI$18:EI$199,2*(ROWS(FH$70:FH75)-1)+1)),6),"")</f>
        <v/>
      </c>
      <c r="FI75" s="150" t="str" cm="1">
        <f t="array" ref="FI75">IFERROR(ROUND(IF($D75="","",INDEX('M04-S08'!EJ$18:EJ$199,2*(ROWS(FI$70:FI75)-1)+1)),6),"")</f>
        <v/>
      </c>
      <c r="FJ75" s="150" t="str" cm="1">
        <f t="array" ref="FJ75">IFERROR(ROUND(IF($D75="","",INDEX('M04-S08'!EK$18:EK$199,2*(ROWS(FJ$70:FJ75)-1)+1)),6),"")</f>
        <v/>
      </c>
      <c r="FK75" s="150" t="str" cm="1">
        <f t="array" ref="FK75">IFERROR(ROUND(IF($D75="","",INDEX('M04-S08'!EL$18:EL$199,2*(ROWS(FK$70:FK75)-1)+1)),6),"")</f>
        <v/>
      </c>
      <c r="FL75" s="150" t="str" cm="1">
        <f t="array" ref="FL75">IFERROR(ROUND(IF($D75="","",INDEX('M04-S08'!EM$18:EM$199,2*(ROWS(FL$70:FL75)-1)+1)),6),"")</f>
        <v/>
      </c>
      <c r="FM75" s="150" t="str" cm="1">
        <f t="array" ref="FM75">IFERROR(ROUND(IF($D75="","",INDEX('M04-S08'!EN$18:EN$199,2*(ROWS(FM$70:FM75)-1)+1)),6),"")</f>
        <v/>
      </c>
    </row>
    <row r="76" spans="1:169">
      <c r="A76" t="str">
        <f t="shared" si="102"/>
        <v/>
      </c>
      <c r="B76" t="str">
        <f t="shared" si="111"/>
        <v/>
      </c>
      <c r="C76" t="str" cm="1">
        <f t="array" ref="C76">IFERROR(IF(D76="","",INDEX('M04-S08'!$B$18:$B$199,2*(ROWS(C$70:C76)-1)+1)),"")</f>
        <v/>
      </c>
      <c r="D76" t="str">
        <f t="shared" si="112"/>
        <v/>
      </c>
      <c r="E76" t="str" cm="1">
        <f t="array" ref="E76">IFERROR(IF(INDEX('M04-S08'!$CC$18:$CC$199,2*(ROWS(E$70:E76)-1)+1)="","",INDEX('M04-S08'!$CC$18:$CC$199,2*(ROWS(E$70:E76)-1)+1)),"")</f>
        <v/>
      </c>
      <c r="G76" t="str">
        <f t="shared" si="113"/>
        <v/>
      </c>
      <c r="H76" t="str">
        <f t="shared" si="114"/>
        <v/>
      </c>
      <c r="L76" t="str">
        <f t="shared" si="115"/>
        <v/>
      </c>
      <c r="O76" t="str">
        <f t="shared" si="116"/>
        <v/>
      </c>
      <c r="V76" t="str" cm="1">
        <f t="array" ref="V76">IFERROR(IF(D76="","",INDEX('M04-S08'!$AY$18:$AY$199,2*(ROWS(V$70:V76)-1)+1)),"")</f>
        <v/>
      </c>
      <c r="W76" t="str" cm="1">
        <f t="array" ref="W76">IFERROR(IF(D76="","",INDEX('M04-S08'!$AV$18:$AV$199,2*(ROWS(W$70:W76)-1)+1)),"")</f>
        <v/>
      </c>
      <c r="X76" t="str" cm="1">
        <f t="array" ref="X76">IFERROR(IF(D76="","",INDEX('M04-S08'!$AV$18:$AV$199,2*(ROWS(X$70:X76)-0)+0)),"")</f>
        <v/>
      </c>
      <c r="AG76" s="98" t="str" cm="1">
        <f t="array" ref="AG76">IFERROR(IF(D76="","",IF(INDEX('M04-S08'!$CB$18:$CB$199,2*(ROWS(AG$70:AG76)-1)+1)="","",INDEX('M04-S08'!$CB$18:$CB$199,2*(ROWS(AG$70:AG76)-1)+1))),"")</f>
        <v/>
      </c>
      <c r="AH76" s="98" t="str" cm="1">
        <f t="array" ref="AH76">IFERROR(IF(D76="","",IF(INDEX('M04-S08'!$CU$18:$CU$199,2*(ROWS(AH$70:AH76)-1)+1)="","",INDEX('M04-S08'!$CU$18:$CU$199,2*(ROWS(AH$70:AH76)-1)+1))),"")</f>
        <v/>
      </c>
      <c r="AI76" s="20" t="str" cm="1">
        <f t="array" ref="AI76">IFERROR(IF(D76="","",IF(INDEX('M04-S08'!$CM$18:$CM$199,2*(ROWS(AI$70:AI76)-1)+1)="",0,INDEX('M04-S08'!$CM$18:$CM$199,2*(ROWS(AI$70:AI76)-1)+1))),"")</f>
        <v/>
      </c>
      <c r="AJ76" s="20" t="str">
        <f t="shared" si="86"/>
        <v/>
      </c>
      <c r="AK76" s="487" t="str" cm="1">
        <f t="array" ref="AK76">IFERROR(IF(D76="","",IF(INDEX('M04-S08'!$CN$18:$CN$199,2*(ROWS(AK$70:AK76)-1)+1)="",0,INDEX('M04-S08'!$CN$18:$CN$199,2*(ROWS(AK$70:AK76)-1)+1))),"")</f>
        <v/>
      </c>
      <c r="AL76" s="20" t="str">
        <f t="shared" si="117"/>
        <v/>
      </c>
      <c r="AM76" s="20" t="str">
        <f t="shared" si="104"/>
        <v/>
      </c>
      <c r="AN76" s="20" t="str" cm="1">
        <f t="array" ref="AN76">IFERROR(IF(D76="","",IF(INDEX('M04-S08'!$CO$18:$CO$199,2*(ROWS(AN$70:AN76)-1)+1)="",0,INDEX('M04-S08'!$CO$18:$CO$199,2*(ROWS(AN$70:AN76)-1)+1))),"")</f>
        <v/>
      </c>
      <c r="AO76" s="20" t="str" cm="1">
        <f t="array" ref="AO76">IFERROR(IF(D76="","",INDEX('M04-S08'!$R$18:$R$199,2*(ROWS(AO$70:AO76)-1)+1)),"")</f>
        <v/>
      </c>
      <c r="AP76" s="20" t="str" cm="1">
        <f t="array" ref="AP76">IFERROR(IF(D76="","",INDEX('M04-S08'!$AJ$18:$AJ$199,2*(ROWS(AP$70:AP76)-1)+1)),"")</f>
        <v/>
      </c>
      <c r="AQ76" s="487" t="str" cm="1">
        <f t="array" ref="AQ76">IFERROR(IF(D76="","",INDEX('M04-S08'!$U$18:$U$199,2*(ROWS(AQ$70:AQ76)-1)+1)),"")</f>
        <v/>
      </c>
      <c r="AR76" s="487" t="str" cm="1">
        <f t="array" ref="AR76">IFERROR(IF(D76="","",INDEX('M04-S08'!$AM$18:$AM$199,2*(ROWS(AR$70:AR76)-1)+1)),"")</f>
        <v/>
      </c>
      <c r="AS76" s="20" t="str" cm="1">
        <f t="array" ref="AS76">IFERROR(IF(D76="","",INDEX('M04-S08'!$X$18:$X$199,2*(ROWS(AS$70:AS76)-1)+1)),"")</f>
        <v/>
      </c>
      <c r="AT76" s="20" t="str" cm="1">
        <f t="array" ref="AT76">IFERROR(IF(D76="","",INDEX('M04-S08'!$AP$18:$AP$199,2*(ROWS(AT$70:AT76)-1)+1)),"")</f>
        <v/>
      </c>
      <c r="BP76" t="str" cm="1">
        <f t="array" ref="BP76">IFERROR(IF(D76="","",INDEX('M04-S08'!$CS$18:$CS$199,2*(ROWS(BP$70:BP76)-1)+1)),"")</f>
        <v/>
      </c>
      <c r="BR76" t="str" cm="1">
        <f t="array" ref="BR76">IFERROR(IF(D76="","",LEFT(INDEX('M04-S08'!$C$18:$C$199,2*(ROWS(BR$70:BR76)-1)+1),150)),"")</f>
        <v/>
      </c>
      <c r="BS76" t="str" cm="1">
        <f t="array" ref="BS76">IFERROR(IF(D76="","",INDEX('M04-S08'!$CT$18:$CT$199,2*(ROWS(BS$70:BS76)-1)+1)),"")</f>
        <v/>
      </c>
      <c r="BT76" s="6" t="str" cm="1">
        <f t="array" ref="BT76">IFERROR(ROUND(IF(D76="","",INDEX('M04-S08'!$BB$18:$BB$199,2*(ROWS(BT$70:BT76)-1)+1)),2),"")</f>
        <v/>
      </c>
      <c r="BU76" s="6" t="str" cm="1">
        <f t="array" ref="BU76">IFERROR(IF(D76="","",INDEX('M04-S08'!$CX$18:$CX$199,2*(ROWS(BU$70:BU76)-1)+1)),"")</f>
        <v/>
      </c>
      <c r="BV76" s="6" t="str" cm="1">
        <f t="array" ref="BV76">IFERROR(IF(D76="","",INDEX('M04-S08'!$CY$18:$CY$199,2*(ROWS(BV$70:BV76)-1)+1)),"")</f>
        <v/>
      </c>
      <c r="BW76" t="str">
        <f t="shared" si="118"/>
        <v/>
      </c>
      <c r="BX76" t="str">
        <f t="shared" si="119"/>
        <v/>
      </c>
      <c r="BY76" s="6" t="str" cm="1">
        <f t="array" ref="BY76">IFERROR(IF(D76="","",INDEX('M04-S08'!$CI$18:$CI$199,2*(ROWS(BY$70:BY76)-1)+1)),"")</f>
        <v/>
      </c>
      <c r="BZ76" s="6" t="str">
        <f t="shared" si="105"/>
        <v/>
      </c>
      <c r="CA76" s="6" t="str">
        <f t="shared" si="106"/>
        <v/>
      </c>
      <c r="CB76" s="6" t="str">
        <f t="shared" si="87"/>
        <v/>
      </c>
      <c r="CC76" s="6" t="str">
        <f t="shared" si="107"/>
        <v/>
      </c>
      <c r="CD76" s="6" t="str">
        <f t="shared" si="108"/>
        <v/>
      </c>
      <c r="CS76" t="str" cm="1">
        <f t="array" ref="CS76">IFERROR(IF(D76="","",INDEX('M04-S08'!$F$18:$F$199,2*(ROWS(CS$70:CS76)-1)+1)),"")</f>
        <v/>
      </c>
      <c r="CT76" t="str" cm="1">
        <f t="array" ref="CT76">IFERROR(IF(D76="","",INDEX('M04-S08'!$L$18:$L$199,2*(ROWS(CT$70:CT76)-1)+1)),"")</f>
        <v/>
      </c>
      <c r="CU76" t="str" cm="1">
        <f t="array" ref="CU76">IFERROR(IF(D76="","",INDEX('M04-S08'!$AD$18:$AD$199,2*(ROWS(CU$70:CU76)-1)+1)),"")</f>
        <v/>
      </c>
      <c r="DE76" s="150"/>
      <c r="DF76" s="150" t="str">
        <f>IFERROR(ROUND(IF(OR(D76="",DE76=""),"",TEMPLATE!$V$16),2),"")</f>
        <v/>
      </c>
      <c r="DG76" s="150"/>
      <c r="DH76" s="150" t="str">
        <f>IFERROR(ROUND(IF(OR(D76="",DG76=""),"",TEMPLATE!$V$16),2),"")</f>
        <v/>
      </c>
      <c r="DI76" s="150"/>
      <c r="DJ76" s="150" t="str">
        <f>IFERROR(ROUND(IF(OR(D76="",DI76=""),"",TEMPLATE!$V$16),2),"")</f>
        <v/>
      </c>
      <c r="DK76" s="150"/>
      <c r="DL76" s="150" t="str">
        <f>IFERROR(ROUND(IF(OR(D76="",DK76=""),"",TEMPLATE!$V$16),2),"")</f>
        <v/>
      </c>
      <c r="DM76" s="150"/>
      <c r="DN76" s="150" t="str">
        <f>IFERROR(ROUND(IF(OR(D76="",DM76=""),"",TEMPLATE!$V$16),2),"")</f>
        <v/>
      </c>
      <c r="DO76" s="150"/>
      <c r="DP76" s="150" t="str">
        <f>IFERROR(ROUND(IF(OR(D76="",DO76=""),"",TEMPLATE!$V$16),2),"")</f>
        <v/>
      </c>
      <c r="DQ76" s="150"/>
      <c r="DR76" s="150" t="str">
        <f>IFERROR(ROUND(IF(OR(D76="",DQ76=""),"",TEMPLATE!$V$16),2),"")</f>
        <v/>
      </c>
      <c r="DS76" s="150"/>
      <c r="DT76" s="150" t="str">
        <f>IFERROR(ROUND(IF(OR(D76="",DS76=""),"",TEMPLATE!$V$16),2),"")</f>
        <v/>
      </c>
      <c r="DU76" s="150" t="str" cm="1">
        <f t="array" ref="DU76">IFERROR(ROUND(IF($D76="","",INDEX('M04-S08'!DD$18:DD$199,2*(ROWS(DU$70:DU76)-1)+1)),4),"")</f>
        <v/>
      </c>
      <c r="DV76" s="150" t="str" cm="1">
        <f t="array" ref="DV76">IFERROR(ROUND(IF($D76="","",INDEX('M04-S08'!DE$18:DE$199,2*(ROWS(DV$70:DV76)-1)+1)),4),"")</f>
        <v/>
      </c>
      <c r="DW76" s="150" t="str" cm="1">
        <f t="array" ref="DW76">IFERROR(ROUND(IF($D76="","",INDEX('M04-S08'!DF$18:DF$199,2*(ROWS(DW$70:DW76)-1)+1)),4),"")</f>
        <v/>
      </c>
      <c r="DX76" s="150" t="str" cm="1">
        <f t="array" ref="DX76">IFERROR(ROUND(IF($D76="","",INDEX('M04-S08'!DG$18:DG$199,2*(ROWS(DX$70:DX76)-1)+1)),4),"")</f>
        <v/>
      </c>
      <c r="DY76" s="150" t="str" cm="1">
        <f t="array" ref="DY76">IFERROR(ROUND(IF($D76="","",INDEX('M04-S08'!DH$18:DH$199,2*(ROWS(DY$70:DY76)-1)+1)),4),"")</f>
        <v/>
      </c>
      <c r="DZ76" s="150" t="str" cm="1">
        <f t="array" ref="DZ76">IFERROR(ROUND(IF($D76="","",INDEX('M04-S08'!DI$18:DI$199,2*(ROWS(DZ$70:DZ76)-1)+1)),4),"")</f>
        <v/>
      </c>
      <c r="EA76" s="150" t="str" cm="1">
        <f t="array" ref="EA76">IFERROR(ROUND(IF($D76="","",INDEX('M04-S08'!DJ$18:DJ$199,2*(ROWS(EA$70:EA76)-1)+1)),4),"")</f>
        <v/>
      </c>
      <c r="EB76" s="150" t="str" cm="1">
        <f t="array" ref="EB76">IFERROR(ROUND(IF($D76="","",INDEX('M04-S08'!DK$18:DK$199,2*(ROWS(EB$70:EB76)-1)+1)),6),"")</f>
        <v/>
      </c>
      <c r="EC76" s="150" t="str" cm="1">
        <f t="array" ref="EC76">IFERROR(ROUND(IF($D76="","",INDEX('M04-S08'!DL$18:DL$199,2*(ROWS(EC$70:EC76)-1)+1)),6),"")</f>
        <v/>
      </c>
      <c r="ED76" s="150" t="str" cm="1">
        <f t="array" ref="ED76">IFERROR(ROUND(IF($D76="","",INDEX('M04-S08'!DM$18:DM$199,2*(ROWS(ED$70:ED76)-1)+1)),6),"")</f>
        <v/>
      </c>
      <c r="EE76" s="150" t="str" cm="1">
        <f t="array" ref="EE76">IFERROR(ROUND(IF($D76="","",INDEX('M04-S08'!DN$18:DN$199,2*(ROWS(EE$70:EE76)-1)+1)),6),"")</f>
        <v/>
      </c>
      <c r="EF76" s="150" t="str" cm="1">
        <f t="array" ref="EF76">IFERROR(ROUND(IF($D76="","",INDEX('M04-S08'!DO$18:DO$199,2*(ROWS(EF$70:EF76)-1)+1)),6),"")</f>
        <v/>
      </c>
      <c r="EG76" s="150" t="str" cm="1">
        <f t="array" ref="EG76">IFERROR(ROUND(IF($D76="","",INDEX('M04-S08'!DP$18:DP$199,2*(ROWS(EG$70:EG76)-1)+1)),6),"")</f>
        <v/>
      </c>
      <c r="EH76" s="150" t="str" cm="1">
        <f t="array" ref="EH76">IFERROR(ROUND(IF($D76="","",INDEX('M04-S08'!DQ$18:DQ$199,2*(ROWS(EH$70:EH76)-1)+1)),6),"")</f>
        <v/>
      </c>
      <c r="EI76" s="150" t="str" cm="1">
        <f t="array" ref="EI76">IFERROR(ROUND(IF($D76="","",INDEX('M04-S08'!DR$18:DR$199,2*(ROWS(EI$70:EI76)-1)+1)),6),"")</f>
        <v/>
      </c>
      <c r="EJ76" s="150" t="str" cm="1">
        <f t="array" ref="EJ76">IFERROR(ROUND(IF($D76="","",INDEX('M04-S08'!DS$18:DS$199,2*(ROWS(EJ$70:EJ76)-1)+1)),6),"")</f>
        <v/>
      </c>
      <c r="EK76" s="150" t="str" cm="1">
        <f t="array" ref="EK76">IFERROR(ROUND(IF($D76="","",INDEX('M04-S08'!DT$18:DT$199,2*(ROWS(EK$70:EK76)-1)+1)),6),"")</f>
        <v/>
      </c>
      <c r="EL76" s="150" t="str" cm="1">
        <f t="array" ref="EL76">IFERROR(ROUND(IF($D76="","",INDEX('M04-S08'!DU$18:DU$199,2*(ROWS(EL$70:EL76)-1)+1)),6),"")</f>
        <v/>
      </c>
      <c r="EM76" s="150" t="str" cm="1">
        <f t="array" ref="EM76">IFERROR(ROUND(IF($D76="","",INDEX('M04-S08'!DV$18:DV$199,2*(ROWS(EM$70:EM76)-1)+1)),6),"")</f>
        <v/>
      </c>
      <c r="EN76" s="150" t="str" cm="1">
        <f t="array" ref="EN76">IFERROR(ROUND(IF($D76="","",INDEX('M04-S08'!DW$18:DW$199,2*(ROWS(EN$70:EN76)-1)+1)),6),"")</f>
        <v/>
      </c>
      <c r="EO76" s="150" t="str" cm="1">
        <f t="array" ref="EO76">IFERROR(ROUND(IF($D76="","",INDEX('M04-S08'!DX$18:DX$199,2*(ROWS(EO$70:EO76)-1)+1)),6),"")</f>
        <v/>
      </c>
      <c r="EP76" s="150" t="str" cm="1">
        <f t="array" ref="EP76">IFERROR(ROUND(IF($D76="","",INDEX('M04-S08'!DY$18:DY$199,2*(ROWS(EP$70:EP76)-1)+1)),6),"")</f>
        <v/>
      </c>
      <c r="EQ76" s="150" t="str" cm="1">
        <f t="array" ref="EQ76">IFERROR(ROUND(IF($D76="","",INDEX('M04-S08'!DZ$18:DZ$199,2*(ROWS(EQ$70:EQ76)-1)+1)),6),"")</f>
        <v/>
      </c>
      <c r="ER76" s="150" t="str">
        <f t="shared" si="109"/>
        <v/>
      </c>
      <c r="ES76" s="150" t="str">
        <f t="shared" si="37"/>
        <v/>
      </c>
      <c r="ET76" s="150" t="str">
        <f t="shared" si="38"/>
        <v/>
      </c>
      <c r="EU76" s="150" t="str">
        <f t="shared" si="39"/>
        <v/>
      </c>
      <c r="EV76" s="150" t="str">
        <f t="shared" si="40"/>
        <v/>
      </c>
      <c r="EW76" s="150" t="str">
        <f t="shared" si="41"/>
        <v/>
      </c>
      <c r="EX76" s="150" t="str">
        <f t="shared" si="42"/>
        <v/>
      </c>
      <c r="EY76" s="150" t="str">
        <f t="shared" si="110"/>
        <v/>
      </c>
      <c r="EZ76" s="150" t="str" cm="1">
        <f t="array" ref="EZ76">IFERROR(ROUND(IF($D76="","",INDEX('M04-S08'!EA$18:EA$199,2*(ROWS(EZ$70:EZ76)-1)+1)),6),"")</f>
        <v/>
      </c>
      <c r="FA76" s="150" t="str" cm="1">
        <f t="array" ref="FA76">IFERROR(ROUND(IF($D76="","",INDEX('M04-S08'!EB$18:EB$199,2*(ROWS(FA$70:FA76)-1)+1)),6),"")</f>
        <v/>
      </c>
      <c r="FB76" s="150" t="str" cm="1">
        <f t="array" ref="FB76">IFERROR(ROUND(IF($D76="","",INDEX('M04-S08'!EC$18:EC$199,2*(ROWS(FB$70:FB76)-1)+1)),6),"")</f>
        <v/>
      </c>
      <c r="FC76" s="150" t="str" cm="1">
        <f t="array" ref="FC76">IFERROR(ROUND(IF($D76="","",INDEX('M04-S08'!ED$18:ED$199,2*(ROWS(FC$70:FC76)-1)+1)),6),"")</f>
        <v/>
      </c>
      <c r="FD76" s="150" t="str" cm="1">
        <f t="array" ref="FD76">IFERROR(ROUND(IF($D76="","",INDEX('M04-S08'!EE$18:EE$199,2*(ROWS(FD$70:FD76)-1)+1)),6),"")</f>
        <v/>
      </c>
      <c r="FE76" s="150" t="str" cm="1">
        <f t="array" ref="FE76">IFERROR(ROUND(IF($D76="","",INDEX('M04-S08'!EF$18:EF$199,2*(ROWS(FE$70:FE76)-1)+1)),6),"")</f>
        <v/>
      </c>
      <c r="FF76" s="150" t="str" cm="1">
        <f t="array" ref="FF76">IFERROR(ROUND(IF($D76="","",INDEX('M04-S08'!EG$18:EG$199,2*(ROWS(FF$70:FF76)-1)+1)),6),"")</f>
        <v/>
      </c>
      <c r="FG76" s="150" t="str" cm="1">
        <f t="array" ref="FG76">IFERROR(ROUND(IF($D76="","",INDEX('M04-S08'!EH$18:EH$199,2*(ROWS(FG$70:FG76)-1)+1)),6),"")</f>
        <v/>
      </c>
      <c r="FH76" s="150" t="str" cm="1">
        <f t="array" ref="FH76">IFERROR(ROUND(IF($D76="","",INDEX('M04-S08'!EI$18:EI$199,2*(ROWS(FH$70:FH76)-1)+1)),6),"")</f>
        <v/>
      </c>
      <c r="FI76" s="150" t="str" cm="1">
        <f t="array" ref="FI76">IFERROR(ROUND(IF($D76="","",INDEX('M04-S08'!EJ$18:EJ$199,2*(ROWS(FI$70:FI76)-1)+1)),6),"")</f>
        <v/>
      </c>
      <c r="FJ76" s="150" t="str" cm="1">
        <f t="array" ref="FJ76">IFERROR(ROUND(IF($D76="","",INDEX('M04-S08'!EK$18:EK$199,2*(ROWS(FJ$70:FJ76)-1)+1)),6),"")</f>
        <v/>
      </c>
      <c r="FK76" s="150" t="str" cm="1">
        <f t="array" ref="FK76">IFERROR(ROUND(IF($D76="","",INDEX('M04-S08'!EL$18:EL$199,2*(ROWS(FK$70:FK76)-1)+1)),6),"")</f>
        <v/>
      </c>
      <c r="FL76" s="150" t="str" cm="1">
        <f t="array" ref="FL76">IFERROR(ROUND(IF($D76="","",INDEX('M04-S08'!EM$18:EM$199,2*(ROWS(FL$70:FL76)-1)+1)),6),"")</f>
        <v/>
      </c>
      <c r="FM76" s="150" t="str" cm="1">
        <f t="array" ref="FM76">IFERROR(ROUND(IF($D76="","",INDEX('M04-S08'!EN$18:EN$199,2*(ROWS(FM$70:FM76)-1)+1)),6),"")</f>
        <v/>
      </c>
    </row>
    <row r="77" spans="1:169">
      <c r="A77" t="str">
        <f t="shared" si="102"/>
        <v/>
      </c>
      <c r="B77" t="str">
        <f t="shared" si="111"/>
        <v/>
      </c>
      <c r="C77" t="str" cm="1">
        <f t="array" ref="C77">IFERROR(IF(D77="","",INDEX('M04-S08'!$B$18:$B$199,2*(ROWS(C$70:C77)-1)+1)),"")</f>
        <v/>
      </c>
      <c r="D77" t="str">
        <f t="shared" si="112"/>
        <v/>
      </c>
      <c r="E77" t="str" cm="1">
        <f t="array" ref="E77">IFERROR(IF(INDEX('M04-S08'!$CC$18:$CC$199,2*(ROWS(E$70:E77)-1)+1)="","",INDEX('M04-S08'!$CC$18:$CC$199,2*(ROWS(E$70:E77)-1)+1)),"")</f>
        <v/>
      </c>
      <c r="G77" t="str">
        <f t="shared" si="113"/>
        <v/>
      </c>
      <c r="H77" t="str">
        <f t="shared" si="114"/>
        <v/>
      </c>
      <c r="L77" t="str">
        <f t="shared" si="115"/>
        <v/>
      </c>
      <c r="O77" t="str">
        <f t="shared" si="116"/>
        <v/>
      </c>
      <c r="V77" t="str" cm="1">
        <f t="array" ref="V77">IFERROR(IF(D77="","",INDEX('M04-S08'!$AY$18:$AY$199,2*(ROWS(V$70:V77)-1)+1)),"")</f>
        <v/>
      </c>
      <c r="W77" t="str" cm="1">
        <f t="array" ref="W77">IFERROR(IF(D77="","",INDEX('M04-S08'!$AV$18:$AV$199,2*(ROWS(W$70:W77)-1)+1)),"")</f>
        <v/>
      </c>
      <c r="X77" t="str" cm="1">
        <f t="array" ref="X77">IFERROR(IF(D77="","",INDEX('M04-S08'!$AV$18:$AV$199,2*(ROWS(X$70:X77)-0)+0)),"")</f>
        <v/>
      </c>
      <c r="AG77" s="98" t="str" cm="1">
        <f t="array" ref="AG77">IFERROR(IF(D77="","",IF(INDEX('M04-S08'!$CB$18:$CB$199,2*(ROWS(AG$70:AG77)-1)+1)="","",INDEX('M04-S08'!$CB$18:$CB$199,2*(ROWS(AG$70:AG77)-1)+1))),"")</f>
        <v/>
      </c>
      <c r="AH77" s="98" t="str" cm="1">
        <f t="array" ref="AH77">IFERROR(IF(D77="","",IF(INDEX('M04-S08'!$CU$18:$CU$199,2*(ROWS(AH$70:AH77)-1)+1)="","",INDEX('M04-S08'!$CU$18:$CU$199,2*(ROWS(AH$70:AH77)-1)+1))),"")</f>
        <v/>
      </c>
      <c r="AI77" s="20" t="str" cm="1">
        <f t="array" ref="AI77">IFERROR(IF(D77="","",IF(INDEX('M04-S08'!$CM$18:$CM$199,2*(ROWS(AI$70:AI77)-1)+1)="",0,INDEX('M04-S08'!$CM$18:$CM$199,2*(ROWS(AI$70:AI77)-1)+1))),"")</f>
        <v/>
      </c>
      <c r="AJ77" s="20" t="str">
        <f t="shared" si="86"/>
        <v/>
      </c>
      <c r="AK77" s="487" t="str" cm="1">
        <f t="array" ref="AK77">IFERROR(IF(D77="","",IF(INDEX('M04-S08'!$CN$18:$CN$199,2*(ROWS(AK$70:AK77)-1)+1)="",0,INDEX('M04-S08'!$CN$18:$CN$199,2*(ROWS(AK$70:AK77)-1)+1))),"")</f>
        <v/>
      </c>
      <c r="AL77" s="20" t="str">
        <f t="shared" si="117"/>
        <v/>
      </c>
      <c r="AM77" s="20" t="str">
        <f t="shared" si="104"/>
        <v/>
      </c>
      <c r="AN77" s="20" t="str" cm="1">
        <f t="array" ref="AN77">IFERROR(IF(D77="","",IF(INDEX('M04-S08'!$CO$18:$CO$199,2*(ROWS(AN$70:AN77)-1)+1)="",0,INDEX('M04-S08'!$CO$18:$CO$199,2*(ROWS(AN$70:AN77)-1)+1))),"")</f>
        <v/>
      </c>
      <c r="AO77" s="20" t="str" cm="1">
        <f t="array" ref="AO77">IFERROR(IF(D77="","",INDEX('M04-S08'!$R$18:$R$199,2*(ROWS(AO$70:AO77)-1)+1)),"")</f>
        <v/>
      </c>
      <c r="AP77" s="20" t="str" cm="1">
        <f t="array" ref="AP77">IFERROR(IF(D77="","",INDEX('M04-S08'!$AJ$18:$AJ$199,2*(ROWS(AP$70:AP77)-1)+1)),"")</f>
        <v/>
      </c>
      <c r="AQ77" s="487" t="str" cm="1">
        <f t="array" ref="AQ77">IFERROR(IF(D77="","",INDEX('M04-S08'!$U$18:$U$199,2*(ROWS(AQ$70:AQ77)-1)+1)),"")</f>
        <v/>
      </c>
      <c r="AR77" s="487" t="str" cm="1">
        <f t="array" ref="AR77">IFERROR(IF(D77="","",INDEX('M04-S08'!$AM$18:$AM$199,2*(ROWS(AR$70:AR77)-1)+1)),"")</f>
        <v/>
      </c>
      <c r="AS77" s="20" t="str" cm="1">
        <f t="array" ref="AS77">IFERROR(IF(D77="","",INDEX('M04-S08'!$X$18:$X$199,2*(ROWS(AS$70:AS77)-1)+1)),"")</f>
        <v/>
      </c>
      <c r="AT77" s="20" t="str" cm="1">
        <f t="array" ref="AT77">IFERROR(IF(D77="","",INDEX('M04-S08'!$AP$18:$AP$199,2*(ROWS(AT$70:AT77)-1)+1)),"")</f>
        <v/>
      </c>
      <c r="BP77" t="str" cm="1">
        <f t="array" ref="BP77">IFERROR(IF(D77="","",INDEX('M04-S08'!$CS$18:$CS$199,2*(ROWS(BP$70:BP77)-1)+1)),"")</f>
        <v/>
      </c>
      <c r="BR77" t="str" cm="1">
        <f t="array" ref="BR77">IFERROR(IF(D77="","",LEFT(INDEX('M04-S08'!$C$18:$C$199,2*(ROWS(BR$70:BR77)-1)+1),150)),"")</f>
        <v/>
      </c>
      <c r="BS77" t="str" cm="1">
        <f t="array" ref="BS77">IFERROR(IF(D77="","",INDEX('M04-S08'!$CT$18:$CT$199,2*(ROWS(BS$70:BS77)-1)+1)),"")</f>
        <v/>
      </c>
      <c r="BT77" s="6" t="str" cm="1">
        <f t="array" ref="BT77">IFERROR(ROUND(IF(D77="","",INDEX('M04-S08'!$BB$18:$BB$199,2*(ROWS(BT$70:BT77)-1)+1)),2),"")</f>
        <v/>
      </c>
      <c r="BU77" s="6" t="str" cm="1">
        <f t="array" ref="BU77">IFERROR(IF(D77="","",INDEX('M04-S08'!$CX$18:$CX$199,2*(ROWS(BU$70:BU77)-1)+1)),"")</f>
        <v/>
      </c>
      <c r="BV77" s="6" t="str" cm="1">
        <f t="array" ref="BV77">IFERROR(IF(D77="","",INDEX('M04-S08'!$CY$18:$CY$199,2*(ROWS(BV$70:BV77)-1)+1)),"")</f>
        <v/>
      </c>
      <c r="BW77" t="str">
        <f t="shared" si="118"/>
        <v/>
      </c>
      <c r="BX77" t="str">
        <f t="shared" si="119"/>
        <v/>
      </c>
      <c r="BY77" s="6" t="str" cm="1">
        <f t="array" ref="BY77">IFERROR(IF(D77="","",INDEX('M04-S08'!$CI$18:$CI$199,2*(ROWS(BY$70:BY77)-1)+1)),"")</f>
        <v/>
      </c>
      <c r="BZ77" s="6" t="str">
        <f t="shared" si="105"/>
        <v/>
      </c>
      <c r="CA77" s="6" t="str">
        <f t="shared" si="106"/>
        <v/>
      </c>
      <c r="CB77" s="6" t="str">
        <f t="shared" si="87"/>
        <v/>
      </c>
      <c r="CC77" s="6" t="str">
        <f t="shared" si="107"/>
        <v/>
      </c>
      <c r="CD77" s="6" t="str">
        <f t="shared" si="108"/>
        <v/>
      </c>
      <c r="CS77" t="str" cm="1">
        <f t="array" ref="CS77">IFERROR(IF(D77="","",INDEX('M04-S08'!$F$18:$F$199,2*(ROWS(CS$70:CS77)-1)+1)),"")</f>
        <v/>
      </c>
      <c r="CT77" t="str" cm="1">
        <f t="array" ref="CT77">IFERROR(IF(D77="","",INDEX('M04-S08'!$L$18:$L$199,2*(ROWS(CT$70:CT77)-1)+1)),"")</f>
        <v/>
      </c>
      <c r="CU77" t="str" cm="1">
        <f t="array" ref="CU77">IFERROR(IF(D77="","",INDEX('M04-S08'!$AD$18:$AD$199,2*(ROWS(CU$70:CU77)-1)+1)),"")</f>
        <v/>
      </c>
      <c r="DE77" s="150"/>
      <c r="DF77" s="150" t="str">
        <f>IFERROR(ROUND(IF(OR(D77="",DE77=""),"",TEMPLATE!$V$16),2),"")</f>
        <v/>
      </c>
      <c r="DG77" s="150"/>
      <c r="DH77" s="150" t="str">
        <f>IFERROR(ROUND(IF(OR(D77="",DG77=""),"",TEMPLATE!$V$16),2),"")</f>
        <v/>
      </c>
      <c r="DI77" s="150"/>
      <c r="DJ77" s="150" t="str">
        <f>IFERROR(ROUND(IF(OR(D77="",DI77=""),"",TEMPLATE!$V$16),2),"")</f>
        <v/>
      </c>
      <c r="DK77" s="150"/>
      <c r="DL77" s="150" t="str">
        <f>IFERROR(ROUND(IF(OR(D77="",DK77=""),"",TEMPLATE!$V$16),2),"")</f>
        <v/>
      </c>
      <c r="DM77" s="150"/>
      <c r="DN77" s="150" t="str">
        <f>IFERROR(ROUND(IF(OR(D77="",DM77=""),"",TEMPLATE!$V$16),2),"")</f>
        <v/>
      </c>
      <c r="DO77" s="150"/>
      <c r="DP77" s="150" t="str">
        <f>IFERROR(ROUND(IF(OR(D77="",DO77=""),"",TEMPLATE!$V$16),2),"")</f>
        <v/>
      </c>
      <c r="DQ77" s="150"/>
      <c r="DR77" s="150" t="str">
        <f>IFERROR(ROUND(IF(OR(D77="",DQ77=""),"",TEMPLATE!$V$16),2),"")</f>
        <v/>
      </c>
      <c r="DS77" s="150"/>
      <c r="DT77" s="150" t="str">
        <f>IFERROR(ROUND(IF(OR(D77="",DS77=""),"",TEMPLATE!$V$16),2),"")</f>
        <v/>
      </c>
      <c r="DU77" s="150" t="str" cm="1">
        <f t="array" ref="DU77">IFERROR(ROUND(IF($D77="","",INDEX('M04-S08'!DD$18:DD$199,2*(ROWS(DU$70:DU77)-1)+1)),4),"")</f>
        <v/>
      </c>
      <c r="DV77" s="150" t="str" cm="1">
        <f t="array" ref="DV77">IFERROR(ROUND(IF($D77="","",INDEX('M04-S08'!DE$18:DE$199,2*(ROWS(DV$70:DV77)-1)+1)),4),"")</f>
        <v/>
      </c>
      <c r="DW77" s="150" t="str" cm="1">
        <f t="array" ref="DW77">IFERROR(ROUND(IF($D77="","",INDEX('M04-S08'!DF$18:DF$199,2*(ROWS(DW$70:DW77)-1)+1)),4),"")</f>
        <v/>
      </c>
      <c r="DX77" s="150" t="str" cm="1">
        <f t="array" ref="DX77">IFERROR(ROUND(IF($D77="","",INDEX('M04-S08'!DG$18:DG$199,2*(ROWS(DX$70:DX77)-1)+1)),4),"")</f>
        <v/>
      </c>
      <c r="DY77" s="150" t="str" cm="1">
        <f t="array" ref="DY77">IFERROR(ROUND(IF($D77="","",INDEX('M04-S08'!DH$18:DH$199,2*(ROWS(DY$70:DY77)-1)+1)),4),"")</f>
        <v/>
      </c>
      <c r="DZ77" s="150" t="str" cm="1">
        <f t="array" ref="DZ77">IFERROR(ROUND(IF($D77="","",INDEX('M04-S08'!DI$18:DI$199,2*(ROWS(DZ$70:DZ77)-1)+1)),4),"")</f>
        <v/>
      </c>
      <c r="EA77" s="150" t="str" cm="1">
        <f t="array" ref="EA77">IFERROR(ROUND(IF($D77="","",INDEX('M04-S08'!DJ$18:DJ$199,2*(ROWS(EA$70:EA77)-1)+1)),4),"")</f>
        <v/>
      </c>
      <c r="EB77" s="150" t="str" cm="1">
        <f t="array" ref="EB77">IFERROR(ROUND(IF($D77="","",INDEX('M04-S08'!DK$18:DK$199,2*(ROWS(EB$70:EB77)-1)+1)),6),"")</f>
        <v/>
      </c>
      <c r="EC77" s="150" t="str" cm="1">
        <f t="array" ref="EC77">IFERROR(ROUND(IF($D77="","",INDEX('M04-S08'!DL$18:DL$199,2*(ROWS(EC$70:EC77)-1)+1)),6),"")</f>
        <v/>
      </c>
      <c r="ED77" s="150" t="str" cm="1">
        <f t="array" ref="ED77">IFERROR(ROUND(IF($D77="","",INDEX('M04-S08'!DM$18:DM$199,2*(ROWS(ED$70:ED77)-1)+1)),6),"")</f>
        <v/>
      </c>
      <c r="EE77" s="150" t="str" cm="1">
        <f t="array" ref="EE77">IFERROR(ROUND(IF($D77="","",INDEX('M04-S08'!DN$18:DN$199,2*(ROWS(EE$70:EE77)-1)+1)),6),"")</f>
        <v/>
      </c>
      <c r="EF77" s="150" t="str" cm="1">
        <f t="array" ref="EF77">IFERROR(ROUND(IF($D77="","",INDEX('M04-S08'!DO$18:DO$199,2*(ROWS(EF$70:EF77)-1)+1)),6),"")</f>
        <v/>
      </c>
      <c r="EG77" s="150" t="str" cm="1">
        <f t="array" ref="EG77">IFERROR(ROUND(IF($D77="","",INDEX('M04-S08'!DP$18:DP$199,2*(ROWS(EG$70:EG77)-1)+1)),6),"")</f>
        <v/>
      </c>
      <c r="EH77" s="150" t="str" cm="1">
        <f t="array" ref="EH77">IFERROR(ROUND(IF($D77="","",INDEX('M04-S08'!DQ$18:DQ$199,2*(ROWS(EH$70:EH77)-1)+1)),6),"")</f>
        <v/>
      </c>
      <c r="EI77" s="150" t="str" cm="1">
        <f t="array" ref="EI77">IFERROR(ROUND(IF($D77="","",INDEX('M04-S08'!DR$18:DR$199,2*(ROWS(EI$70:EI77)-1)+1)),6),"")</f>
        <v/>
      </c>
      <c r="EJ77" s="150" t="str" cm="1">
        <f t="array" ref="EJ77">IFERROR(ROUND(IF($D77="","",INDEX('M04-S08'!DS$18:DS$199,2*(ROWS(EJ$70:EJ77)-1)+1)),6),"")</f>
        <v/>
      </c>
      <c r="EK77" s="150" t="str" cm="1">
        <f t="array" ref="EK77">IFERROR(ROUND(IF($D77="","",INDEX('M04-S08'!DT$18:DT$199,2*(ROWS(EK$70:EK77)-1)+1)),6),"")</f>
        <v/>
      </c>
      <c r="EL77" s="150" t="str" cm="1">
        <f t="array" ref="EL77">IFERROR(ROUND(IF($D77="","",INDEX('M04-S08'!DU$18:DU$199,2*(ROWS(EL$70:EL77)-1)+1)),6),"")</f>
        <v/>
      </c>
      <c r="EM77" s="150" t="str" cm="1">
        <f t="array" ref="EM77">IFERROR(ROUND(IF($D77="","",INDEX('M04-S08'!DV$18:DV$199,2*(ROWS(EM$70:EM77)-1)+1)),6),"")</f>
        <v/>
      </c>
      <c r="EN77" s="150" t="str" cm="1">
        <f t="array" ref="EN77">IFERROR(ROUND(IF($D77="","",INDEX('M04-S08'!DW$18:DW$199,2*(ROWS(EN$70:EN77)-1)+1)),6),"")</f>
        <v/>
      </c>
      <c r="EO77" s="150" t="str" cm="1">
        <f t="array" ref="EO77">IFERROR(ROUND(IF($D77="","",INDEX('M04-S08'!DX$18:DX$199,2*(ROWS(EO$70:EO77)-1)+1)),6),"")</f>
        <v/>
      </c>
      <c r="EP77" s="150" t="str" cm="1">
        <f t="array" ref="EP77">IFERROR(ROUND(IF($D77="","",INDEX('M04-S08'!DY$18:DY$199,2*(ROWS(EP$70:EP77)-1)+1)),6),"")</f>
        <v/>
      </c>
      <c r="EQ77" s="150" t="str" cm="1">
        <f t="array" ref="EQ77">IFERROR(ROUND(IF($D77="","",INDEX('M04-S08'!DZ$18:DZ$199,2*(ROWS(EQ$70:EQ77)-1)+1)),6),"")</f>
        <v/>
      </c>
      <c r="ER77" s="150" t="str">
        <f t="shared" si="109"/>
        <v/>
      </c>
      <c r="ES77" s="150" t="str">
        <f t="shared" si="37"/>
        <v/>
      </c>
      <c r="ET77" s="150" t="str">
        <f t="shared" si="38"/>
        <v/>
      </c>
      <c r="EU77" s="150" t="str">
        <f t="shared" si="39"/>
        <v/>
      </c>
      <c r="EV77" s="150" t="str">
        <f t="shared" si="40"/>
        <v/>
      </c>
      <c r="EW77" s="150" t="str">
        <f t="shared" si="41"/>
        <v/>
      </c>
      <c r="EX77" s="150" t="str">
        <f t="shared" si="42"/>
        <v/>
      </c>
      <c r="EY77" s="150" t="str">
        <f t="shared" si="110"/>
        <v/>
      </c>
      <c r="EZ77" s="150" t="str" cm="1">
        <f t="array" ref="EZ77">IFERROR(ROUND(IF($D77="","",INDEX('M04-S08'!EA$18:EA$199,2*(ROWS(EZ$70:EZ77)-1)+1)),6),"")</f>
        <v/>
      </c>
      <c r="FA77" s="150" t="str" cm="1">
        <f t="array" ref="FA77">IFERROR(ROUND(IF($D77="","",INDEX('M04-S08'!EB$18:EB$199,2*(ROWS(FA$70:FA77)-1)+1)),6),"")</f>
        <v/>
      </c>
      <c r="FB77" s="150" t="str" cm="1">
        <f t="array" ref="FB77">IFERROR(ROUND(IF($D77="","",INDEX('M04-S08'!EC$18:EC$199,2*(ROWS(FB$70:FB77)-1)+1)),6),"")</f>
        <v/>
      </c>
      <c r="FC77" s="150" t="str" cm="1">
        <f t="array" ref="FC77">IFERROR(ROUND(IF($D77="","",INDEX('M04-S08'!ED$18:ED$199,2*(ROWS(FC$70:FC77)-1)+1)),6),"")</f>
        <v/>
      </c>
      <c r="FD77" s="150" t="str" cm="1">
        <f t="array" ref="FD77">IFERROR(ROUND(IF($D77="","",INDEX('M04-S08'!EE$18:EE$199,2*(ROWS(FD$70:FD77)-1)+1)),6),"")</f>
        <v/>
      </c>
      <c r="FE77" s="150" t="str" cm="1">
        <f t="array" ref="FE77">IFERROR(ROUND(IF($D77="","",INDEX('M04-S08'!EF$18:EF$199,2*(ROWS(FE$70:FE77)-1)+1)),6),"")</f>
        <v/>
      </c>
      <c r="FF77" s="150" t="str" cm="1">
        <f t="array" ref="FF77">IFERROR(ROUND(IF($D77="","",INDEX('M04-S08'!EG$18:EG$199,2*(ROWS(FF$70:FF77)-1)+1)),6),"")</f>
        <v/>
      </c>
      <c r="FG77" s="150" t="str" cm="1">
        <f t="array" ref="FG77">IFERROR(ROUND(IF($D77="","",INDEX('M04-S08'!EH$18:EH$199,2*(ROWS(FG$70:FG77)-1)+1)),6),"")</f>
        <v/>
      </c>
      <c r="FH77" s="150" t="str" cm="1">
        <f t="array" ref="FH77">IFERROR(ROUND(IF($D77="","",INDEX('M04-S08'!EI$18:EI$199,2*(ROWS(FH$70:FH77)-1)+1)),6),"")</f>
        <v/>
      </c>
      <c r="FI77" s="150" t="str" cm="1">
        <f t="array" ref="FI77">IFERROR(ROUND(IF($D77="","",INDEX('M04-S08'!EJ$18:EJ$199,2*(ROWS(FI$70:FI77)-1)+1)),6),"")</f>
        <v/>
      </c>
      <c r="FJ77" s="150" t="str" cm="1">
        <f t="array" ref="FJ77">IFERROR(ROUND(IF($D77="","",INDEX('M04-S08'!EK$18:EK$199,2*(ROWS(FJ$70:FJ77)-1)+1)),6),"")</f>
        <v/>
      </c>
      <c r="FK77" s="150" t="str" cm="1">
        <f t="array" ref="FK77">IFERROR(ROUND(IF($D77="","",INDEX('M04-S08'!EL$18:EL$199,2*(ROWS(FK$70:FK77)-1)+1)),6),"")</f>
        <v/>
      </c>
      <c r="FL77" s="150" t="str" cm="1">
        <f t="array" ref="FL77">IFERROR(ROUND(IF($D77="","",INDEX('M04-S08'!EM$18:EM$199,2*(ROWS(FL$70:FL77)-1)+1)),6),"")</f>
        <v/>
      </c>
      <c r="FM77" s="150" t="str" cm="1">
        <f t="array" ref="FM77">IFERROR(ROUND(IF($D77="","",INDEX('M04-S08'!EN$18:EN$199,2*(ROWS(FM$70:FM77)-1)+1)),6),"")</f>
        <v/>
      </c>
    </row>
    <row r="78" spans="1:169">
      <c r="A78" t="str">
        <f t="shared" si="102"/>
        <v/>
      </c>
      <c r="B78" t="str">
        <f t="shared" si="111"/>
        <v/>
      </c>
      <c r="C78" t="str" cm="1">
        <f t="array" ref="C78">IFERROR(IF(D78="","",INDEX('M04-S08'!$B$18:$B$199,2*(ROWS(C$70:C78)-1)+1)),"")</f>
        <v/>
      </c>
      <c r="D78" t="str">
        <f t="shared" si="112"/>
        <v/>
      </c>
      <c r="E78" t="str" cm="1">
        <f t="array" ref="E78">IFERROR(IF(INDEX('M04-S08'!$CC$18:$CC$199,2*(ROWS(E$70:E78)-1)+1)="","",INDEX('M04-S08'!$CC$18:$CC$199,2*(ROWS(E$70:E78)-1)+1)),"")</f>
        <v/>
      </c>
      <c r="G78" t="str">
        <f t="shared" si="113"/>
        <v/>
      </c>
      <c r="H78" t="str">
        <f t="shared" si="114"/>
        <v/>
      </c>
      <c r="L78" t="str">
        <f t="shared" si="115"/>
        <v/>
      </c>
      <c r="O78" t="str">
        <f t="shared" si="116"/>
        <v/>
      </c>
      <c r="V78" t="str" cm="1">
        <f t="array" ref="V78">IFERROR(IF(D78="","",INDEX('M04-S08'!$AY$18:$AY$199,2*(ROWS(V$70:V78)-1)+1)),"")</f>
        <v/>
      </c>
      <c r="W78" t="str" cm="1">
        <f t="array" ref="W78">IFERROR(IF(D78="","",INDEX('M04-S08'!$AV$18:$AV$199,2*(ROWS(W$70:W78)-1)+1)),"")</f>
        <v/>
      </c>
      <c r="X78" t="str" cm="1">
        <f t="array" ref="X78">IFERROR(IF(D78="","",INDEX('M04-S08'!$AV$18:$AV$199,2*(ROWS(X$70:X78)-0)+0)),"")</f>
        <v/>
      </c>
      <c r="AG78" s="98" t="str" cm="1">
        <f t="array" ref="AG78">IFERROR(IF(D78="","",IF(INDEX('M04-S08'!$CB$18:$CB$199,2*(ROWS(AG$70:AG78)-1)+1)="","",INDEX('M04-S08'!$CB$18:$CB$199,2*(ROWS(AG$70:AG78)-1)+1))),"")</f>
        <v/>
      </c>
      <c r="AH78" s="98" t="str" cm="1">
        <f t="array" ref="AH78">IFERROR(IF(D78="","",IF(INDEX('M04-S08'!$CU$18:$CU$199,2*(ROWS(AH$70:AH78)-1)+1)="","",INDEX('M04-S08'!$CU$18:$CU$199,2*(ROWS(AH$70:AH78)-1)+1))),"")</f>
        <v/>
      </c>
      <c r="AI78" s="20" t="str" cm="1">
        <f t="array" ref="AI78">IFERROR(IF(D78="","",IF(INDEX('M04-S08'!$CM$18:$CM$199,2*(ROWS(AI$70:AI78)-1)+1)="",0,INDEX('M04-S08'!$CM$18:$CM$199,2*(ROWS(AI$70:AI78)-1)+1))),"")</f>
        <v/>
      </c>
      <c r="AJ78" s="20" t="str">
        <f t="shared" si="86"/>
        <v/>
      </c>
      <c r="AK78" s="487" t="str" cm="1">
        <f t="array" ref="AK78">IFERROR(IF(D78="","",IF(INDEX('M04-S08'!$CN$18:$CN$199,2*(ROWS(AK$70:AK78)-1)+1)="",0,INDEX('M04-S08'!$CN$18:$CN$199,2*(ROWS(AK$70:AK78)-1)+1))),"")</f>
        <v/>
      </c>
      <c r="AL78" s="20" t="str">
        <f t="shared" si="117"/>
        <v/>
      </c>
      <c r="AM78" s="20" t="str">
        <f t="shared" si="104"/>
        <v/>
      </c>
      <c r="AN78" s="20" t="str" cm="1">
        <f t="array" ref="AN78">IFERROR(IF(D78="","",IF(INDEX('M04-S08'!$CO$18:$CO$199,2*(ROWS(AN$70:AN78)-1)+1)="",0,INDEX('M04-S08'!$CO$18:$CO$199,2*(ROWS(AN$70:AN78)-1)+1))),"")</f>
        <v/>
      </c>
      <c r="AO78" s="20" t="str" cm="1">
        <f t="array" ref="AO78">IFERROR(IF(D78="","",INDEX('M04-S08'!$R$18:$R$199,2*(ROWS(AO$70:AO78)-1)+1)),"")</f>
        <v/>
      </c>
      <c r="AP78" s="20" t="str" cm="1">
        <f t="array" ref="AP78">IFERROR(IF(D78="","",INDEX('M04-S08'!$AJ$18:$AJ$199,2*(ROWS(AP$70:AP78)-1)+1)),"")</f>
        <v/>
      </c>
      <c r="AQ78" s="487" t="str" cm="1">
        <f t="array" ref="AQ78">IFERROR(IF(D78="","",INDEX('M04-S08'!$U$18:$U$199,2*(ROWS(AQ$70:AQ78)-1)+1)),"")</f>
        <v/>
      </c>
      <c r="AR78" s="487" t="str" cm="1">
        <f t="array" ref="AR78">IFERROR(IF(D78="","",INDEX('M04-S08'!$AM$18:$AM$199,2*(ROWS(AR$70:AR78)-1)+1)),"")</f>
        <v/>
      </c>
      <c r="AS78" s="20" t="str" cm="1">
        <f t="array" ref="AS78">IFERROR(IF(D78="","",INDEX('M04-S08'!$X$18:$X$199,2*(ROWS(AS$70:AS78)-1)+1)),"")</f>
        <v/>
      </c>
      <c r="AT78" s="20" t="str" cm="1">
        <f t="array" ref="AT78">IFERROR(IF(D78="","",INDEX('M04-S08'!$AP$18:$AP$199,2*(ROWS(AT$70:AT78)-1)+1)),"")</f>
        <v/>
      </c>
      <c r="BP78" t="str" cm="1">
        <f t="array" ref="BP78">IFERROR(IF(D78="","",INDEX('M04-S08'!$CS$18:$CS$199,2*(ROWS(BP$70:BP78)-1)+1)),"")</f>
        <v/>
      </c>
      <c r="BR78" t="str" cm="1">
        <f t="array" ref="BR78">IFERROR(IF(D78="","",LEFT(INDEX('M04-S08'!$C$18:$C$199,2*(ROWS(BR$70:BR78)-1)+1),150)),"")</f>
        <v/>
      </c>
      <c r="BS78" t="str" cm="1">
        <f t="array" ref="BS78">IFERROR(IF(D78="","",INDEX('M04-S08'!$CT$18:$CT$199,2*(ROWS(BS$70:BS78)-1)+1)),"")</f>
        <v/>
      </c>
      <c r="BT78" s="6" t="str" cm="1">
        <f t="array" ref="BT78">IFERROR(ROUND(IF(D78="","",INDEX('M04-S08'!$BB$18:$BB$199,2*(ROWS(BT$70:BT78)-1)+1)),2),"")</f>
        <v/>
      </c>
      <c r="BU78" s="6" t="str" cm="1">
        <f t="array" ref="BU78">IFERROR(IF(D78="","",INDEX('M04-S08'!$CX$18:$CX$199,2*(ROWS(BU$70:BU78)-1)+1)),"")</f>
        <v/>
      </c>
      <c r="BV78" s="6" t="str" cm="1">
        <f t="array" ref="BV78">IFERROR(IF(D78="","",INDEX('M04-S08'!$CY$18:$CY$199,2*(ROWS(BV$70:BV78)-1)+1)),"")</f>
        <v/>
      </c>
      <c r="BW78" t="str">
        <f t="shared" si="118"/>
        <v/>
      </c>
      <c r="BX78" t="str">
        <f t="shared" si="119"/>
        <v/>
      </c>
      <c r="BY78" s="6" t="str" cm="1">
        <f t="array" ref="BY78">IFERROR(IF(D78="","",INDEX('M04-S08'!$CI$18:$CI$199,2*(ROWS(BY$70:BY78)-1)+1)),"")</f>
        <v/>
      </c>
      <c r="BZ78" s="6" t="str">
        <f t="shared" si="105"/>
        <v/>
      </c>
      <c r="CA78" s="6" t="str">
        <f t="shared" si="106"/>
        <v/>
      </c>
      <c r="CB78" s="6" t="str">
        <f t="shared" si="87"/>
        <v/>
      </c>
      <c r="CC78" s="6" t="str">
        <f t="shared" si="107"/>
        <v/>
      </c>
      <c r="CD78" s="6" t="str">
        <f t="shared" si="108"/>
        <v/>
      </c>
      <c r="CS78" t="str" cm="1">
        <f t="array" ref="CS78">IFERROR(IF(D78="","",INDEX('M04-S08'!$F$18:$F$199,2*(ROWS(CS$70:CS78)-1)+1)),"")</f>
        <v/>
      </c>
      <c r="CT78" t="str" cm="1">
        <f t="array" ref="CT78">IFERROR(IF(D78="","",INDEX('M04-S08'!$L$18:$L$199,2*(ROWS(CT$70:CT78)-1)+1)),"")</f>
        <v/>
      </c>
      <c r="CU78" t="str" cm="1">
        <f t="array" ref="CU78">IFERROR(IF(D78="","",INDEX('M04-S08'!$AD$18:$AD$199,2*(ROWS(CU$70:CU78)-1)+1)),"")</f>
        <v/>
      </c>
      <c r="DE78" s="150"/>
      <c r="DF78" s="150" t="str">
        <f>IFERROR(ROUND(IF(OR(D78="",DE78=""),"",TEMPLATE!$V$16),2),"")</f>
        <v/>
      </c>
      <c r="DG78" s="150"/>
      <c r="DH78" s="150" t="str">
        <f>IFERROR(ROUND(IF(OR(D78="",DG78=""),"",TEMPLATE!$V$16),2),"")</f>
        <v/>
      </c>
      <c r="DI78" s="150"/>
      <c r="DJ78" s="150" t="str">
        <f>IFERROR(ROUND(IF(OR(D78="",DI78=""),"",TEMPLATE!$V$16),2),"")</f>
        <v/>
      </c>
      <c r="DK78" s="150"/>
      <c r="DL78" s="150" t="str">
        <f>IFERROR(ROUND(IF(OR(D78="",DK78=""),"",TEMPLATE!$V$16),2),"")</f>
        <v/>
      </c>
      <c r="DM78" s="150"/>
      <c r="DN78" s="150" t="str">
        <f>IFERROR(ROUND(IF(OR(D78="",DM78=""),"",TEMPLATE!$V$16),2),"")</f>
        <v/>
      </c>
      <c r="DO78" s="150"/>
      <c r="DP78" s="150" t="str">
        <f>IFERROR(ROUND(IF(OR(D78="",DO78=""),"",TEMPLATE!$V$16),2),"")</f>
        <v/>
      </c>
      <c r="DQ78" s="150"/>
      <c r="DR78" s="150" t="str">
        <f>IFERROR(ROUND(IF(OR(D78="",DQ78=""),"",TEMPLATE!$V$16),2),"")</f>
        <v/>
      </c>
      <c r="DS78" s="150"/>
      <c r="DT78" s="150" t="str">
        <f>IFERROR(ROUND(IF(OR(D78="",DS78=""),"",TEMPLATE!$V$16),2),"")</f>
        <v/>
      </c>
      <c r="DU78" s="150" t="str" cm="1">
        <f t="array" ref="DU78">IFERROR(ROUND(IF($D78="","",INDEX('M04-S08'!DD$18:DD$199,2*(ROWS(DU$70:DU78)-1)+1)),4),"")</f>
        <v/>
      </c>
      <c r="DV78" s="150" t="str" cm="1">
        <f t="array" ref="DV78">IFERROR(ROUND(IF($D78="","",INDEX('M04-S08'!DE$18:DE$199,2*(ROWS(DV$70:DV78)-1)+1)),4),"")</f>
        <v/>
      </c>
      <c r="DW78" s="150" t="str" cm="1">
        <f t="array" ref="DW78">IFERROR(ROUND(IF($D78="","",INDEX('M04-S08'!DF$18:DF$199,2*(ROWS(DW$70:DW78)-1)+1)),4),"")</f>
        <v/>
      </c>
      <c r="DX78" s="150" t="str" cm="1">
        <f t="array" ref="DX78">IFERROR(ROUND(IF($D78="","",INDEX('M04-S08'!DG$18:DG$199,2*(ROWS(DX$70:DX78)-1)+1)),4),"")</f>
        <v/>
      </c>
      <c r="DY78" s="150" t="str" cm="1">
        <f t="array" ref="DY78">IFERROR(ROUND(IF($D78="","",INDEX('M04-S08'!DH$18:DH$199,2*(ROWS(DY$70:DY78)-1)+1)),4),"")</f>
        <v/>
      </c>
      <c r="DZ78" s="150" t="str" cm="1">
        <f t="array" ref="DZ78">IFERROR(ROUND(IF($D78="","",INDEX('M04-S08'!DI$18:DI$199,2*(ROWS(DZ$70:DZ78)-1)+1)),4),"")</f>
        <v/>
      </c>
      <c r="EA78" s="150" t="str" cm="1">
        <f t="array" ref="EA78">IFERROR(ROUND(IF($D78="","",INDEX('M04-S08'!DJ$18:DJ$199,2*(ROWS(EA$70:EA78)-1)+1)),4),"")</f>
        <v/>
      </c>
      <c r="EB78" s="150" t="str" cm="1">
        <f t="array" ref="EB78">IFERROR(ROUND(IF($D78="","",INDEX('M04-S08'!DK$18:DK$199,2*(ROWS(EB$70:EB78)-1)+1)),6),"")</f>
        <v/>
      </c>
      <c r="EC78" s="150" t="str" cm="1">
        <f t="array" ref="EC78">IFERROR(ROUND(IF($D78="","",INDEX('M04-S08'!DL$18:DL$199,2*(ROWS(EC$70:EC78)-1)+1)),6),"")</f>
        <v/>
      </c>
      <c r="ED78" s="150" t="str" cm="1">
        <f t="array" ref="ED78">IFERROR(ROUND(IF($D78="","",INDEX('M04-S08'!DM$18:DM$199,2*(ROWS(ED$70:ED78)-1)+1)),6),"")</f>
        <v/>
      </c>
      <c r="EE78" s="150" t="str" cm="1">
        <f t="array" ref="EE78">IFERROR(ROUND(IF($D78="","",INDEX('M04-S08'!DN$18:DN$199,2*(ROWS(EE$70:EE78)-1)+1)),6),"")</f>
        <v/>
      </c>
      <c r="EF78" s="150" t="str" cm="1">
        <f t="array" ref="EF78">IFERROR(ROUND(IF($D78="","",INDEX('M04-S08'!DO$18:DO$199,2*(ROWS(EF$70:EF78)-1)+1)),6),"")</f>
        <v/>
      </c>
      <c r="EG78" s="150" t="str" cm="1">
        <f t="array" ref="EG78">IFERROR(ROUND(IF($D78="","",INDEX('M04-S08'!DP$18:DP$199,2*(ROWS(EG$70:EG78)-1)+1)),6),"")</f>
        <v/>
      </c>
      <c r="EH78" s="150" t="str" cm="1">
        <f t="array" ref="EH78">IFERROR(ROUND(IF($D78="","",INDEX('M04-S08'!DQ$18:DQ$199,2*(ROWS(EH$70:EH78)-1)+1)),6),"")</f>
        <v/>
      </c>
      <c r="EI78" s="150" t="str" cm="1">
        <f t="array" ref="EI78">IFERROR(ROUND(IF($D78="","",INDEX('M04-S08'!DR$18:DR$199,2*(ROWS(EI$70:EI78)-1)+1)),6),"")</f>
        <v/>
      </c>
      <c r="EJ78" s="150" t="str" cm="1">
        <f t="array" ref="EJ78">IFERROR(ROUND(IF($D78="","",INDEX('M04-S08'!DS$18:DS$199,2*(ROWS(EJ$70:EJ78)-1)+1)),6),"")</f>
        <v/>
      </c>
      <c r="EK78" s="150" t="str" cm="1">
        <f t="array" ref="EK78">IFERROR(ROUND(IF($D78="","",INDEX('M04-S08'!DT$18:DT$199,2*(ROWS(EK$70:EK78)-1)+1)),6),"")</f>
        <v/>
      </c>
      <c r="EL78" s="150" t="str" cm="1">
        <f t="array" ref="EL78">IFERROR(ROUND(IF($D78="","",INDEX('M04-S08'!DU$18:DU$199,2*(ROWS(EL$70:EL78)-1)+1)),6),"")</f>
        <v/>
      </c>
      <c r="EM78" s="150" t="str" cm="1">
        <f t="array" ref="EM78">IFERROR(ROUND(IF($D78="","",INDEX('M04-S08'!DV$18:DV$199,2*(ROWS(EM$70:EM78)-1)+1)),6),"")</f>
        <v/>
      </c>
      <c r="EN78" s="150" t="str" cm="1">
        <f t="array" ref="EN78">IFERROR(ROUND(IF($D78="","",INDEX('M04-S08'!DW$18:DW$199,2*(ROWS(EN$70:EN78)-1)+1)),6),"")</f>
        <v/>
      </c>
      <c r="EO78" s="150" t="str" cm="1">
        <f t="array" ref="EO78">IFERROR(ROUND(IF($D78="","",INDEX('M04-S08'!DX$18:DX$199,2*(ROWS(EO$70:EO78)-1)+1)),6),"")</f>
        <v/>
      </c>
      <c r="EP78" s="150" t="str" cm="1">
        <f t="array" ref="EP78">IFERROR(ROUND(IF($D78="","",INDEX('M04-S08'!DY$18:DY$199,2*(ROWS(EP$70:EP78)-1)+1)),6),"")</f>
        <v/>
      </c>
      <c r="EQ78" s="150" t="str" cm="1">
        <f t="array" ref="EQ78">IFERROR(ROUND(IF($D78="","",INDEX('M04-S08'!DZ$18:DZ$199,2*(ROWS(EQ$70:EQ78)-1)+1)),6),"")</f>
        <v/>
      </c>
      <c r="ER78" s="150" t="str">
        <f t="shared" si="109"/>
        <v/>
      </c>
      <c r="ES78" s="150" t="str">
        <f t="shared" si="37"/>
        <v/>
      </c>
      <c r="ET78" s="150" t="str">
        <f t="shared" si="38"/>
        <v/>
      </c>
      <c r="EU78" s="150" t="str">
        <f t="shared" si="39"/>
        <v/>
      </c>
      <c r="EV78" s="150" t="str">
        <f t="shared" si="40"/>
        <v/>
      </c>
      <c r="EW78" s="150" t="str">
        <f t="shared" si="41"/>
        <v/>
      </c>
      <c r="EX78" s="150" t="str">
        <f t="shared" si="42"/>
        <v/>
      </c>
      <c r="EY78" s="150" t="str">
        <f t="shared" si="110"/>
        <v/>
      </c>
      <c r="EZ78" s="150" t="str" cm="1">
        <f t="array" ref="EZ78">IFERROR(ROUND(IF($D78="","",INDEX('M04-S08'!EA$18:EA$199,2*(ROWS(EZ$70:EZ78)-1)+1)),6),"")</f>
        <v/>
      </c>
      <c r="FA78" s="150" t="str" cm="1">
        <f t="array" ref="FA78">IFERROR(ROUND(IF($D78="","",INDEX('M04-S08'!EB$18:EB$199,2*(ROWS(FA$70:FA78)-1)+1)),6),"")</f>
        <v/>
      </c>
      <c r="FB78" s="150" t="str" cm="1">
        <f t="array" ref="FB78">IFERROR(ROUND(IF($D78="","",INDEX('M04-S08'!EC$18:EC$199,2*(ROWS(FB$70:FB78)-1)+1)),6),"")</f>
        <v/>
      </c>
      <c r="FC78" s="150" t="str" cm="1">
        <f t="array" ref="FC78">IFERROR(ROUND(IF($D78="","",INDEX('M04-S08'!ED$18:ED$199,2*(ROWS(FC$70:FC78)-1)+1)),6),"")</f>
        <v/>
      </c>
      <c r="FD78" s="150" t="str" cm="1">
        <f t="array" ref="FD78">IFERROR(ROUND(IF($D78="","",INDEX('M04-S08'!EE$18:EE$199,2*(ROWS(FD$70:FD78)-1)+1)),6),"")</f>
        <v/>
      </c>
      <c r="FE78" s="150" t="str" cm="1">
        <f t="array" ref="FE78">IFERROR(ROUND(IF($D78="","",INDEX('M04-S08'!EF$18:EF$199,2*(ROWS(FE$70:FE78)-1)+1)),6),"")</f>
        <v/>
      </c>
      <c r="FF78" s="150" t="str" cm="1">
        <f t="array" ref="FF78">IFERROR(ROUND(IF($D78="","",INDEX('M04-S08'!EG$18:EG$199,2*(ROWS(FF$70:FF78)-1)+1)),6),"")</f>
        <v/>
      </c>
      <c r="FG78" s="150" t="str" cm="1">
        <f t="array" ref="FG78">IFERROR(ROUND(IF($D78="","",INDEX('M04-S08'!EH$18:EH$199,2*(ROWS(FG$70:FG78)-1)+1)),6),"")</f>
        <v/>
      </c>
      <c r="FH78" s="150" t="str" cm="1">
        <f t="array" ref="FH78">IFERROR(ROUND(IF($D78="","",INDEX('M04-S08'!EI$18:EI$199,2*(ROWS(FH$70:FH78)-1)+1)),6),"")</f>
        <v/>
      </c>
      <c r="FI78" s="150" t="str" cm="1">
        <f t="array" ref="FI78">IFERROR(ROUND(IF($D78="","",INDEX('M04-S08'!EJ$18:EJ$199,2*(ROWS(FI$70:FI78)-1)+1)),6),"")</f>
        <v/>
      </c>
      <c r="FJ78" s="150" t="str" cm="1">
        <f t="array" ref="FJ78">IFERROR(ROUND(IF($D78="","",INDEX('M04-S08'!EK$18:EK$199,2*(ROWS(FJ$70:FJ78)-1)+1)),6),"")</f>
        <v/>
      </c>
      <c r="FK78" s="150" t="str" cm="1">
        <f t="array" ref="FK78">IFERROR(ROUND(IF($D78="","",INDEX('M04-S08'!EL$18:EL$199,2*(ROWS(FK$70:FK78)-1)+1)),6),"")</f>
        <v/>
      </c>
      <c r="FL78" s="150" t="str" cm="1">
        <f t="array" ref="FL78">IFERROR(ROUND(IF($D78="","",INDEX('M04-S08'!EM$18:EM$199,2*(ROWS(FL$70:FL78)-1)+1)),6),"")</f>
        <v/>
      </c>
      <c r="FM78" s="150" t="str" cm="1">
        <f t="array" ref="FM78">IFERROR(ROUND(IF($D78="","",INDEX('M04-S08'!EN$18:EN$199,2*(ROWS(FM$70:FM78)-1)+1)),6),"")</f>
        <v/>
      </c>
    </row>
    <row r="79" spans="1:169">
      <c r="A79" t="str">
        <f t="shared" si="102"/>
        <v/>
      </c>
      <c r="B79" t="str">
        <f t="shared" si="111"/>
        <v/>
      </c>
      <c r="C79" t="str" cm="1">
        <f t="array" ref="C79">IFERROR(IF(D79="","",INDEX('M04-S08'!$B$18:$B$199,2*(ROWS(C$70:C79)-1)+1)),"")</f>
        <v/>
      </c>
      <c r="D79" t="str">
        <f t="shared" si="112"/>
        <v/>
      </c>
      <c r="E79" t="str" cm="1">
        <f t="array" ref="E79">IFERROR(IF(INDEX('M04-S08'!$CC$18:$CC$199,2*(ROWS(E$70:E79)-1)+1)="","",INDEX('M04-S08'!$CC$18:$CC$199,2*(ROWS(E$70:E79)-1)+1)),"")</f>
        <v/>
      </c>
      <c r="G79" t="str">
        <f t="shared" si="113"/>
        <v/>
      </c>
      <c r="H79" t="str">
        <f t="shared" si="114"/>
        <v/>
      </c>
      <c r="L79" t="str">
        <f t="shared" si="115"/>
        <v/>
      </c>
      <c r="O79" t="str">
        <f t="shared" si="116"/>
        <v/>
      </c>
      <c r="V79" t="str" cm="1">
        <f t="array" ref="V79">IFERROR(IF(D79="","",INDEX('M04-S08'!$AY$18:$AY$199,2*(ROWS(V$70:V79)-1)+1)),"")</f>
        <v/>
      </c>
      <c r="W79" t="str" cm="1">
        <f t="array" ref="W79">IFERROR(IF(D79="","",INDEX('M04-S08'!$AV$18:$AV$199,2*(ROWS(W$70:W79)-1)+1)),"")</f>
        <v/>
      </c>
      <c r="X79" t="str" cm="1">
        <f t="array" ref="X79">IFERROR(IF(D79="","",INDEX('M04-S08'!$AV$18:$AV$199,2*(ROWS(X$70:X79)-0)+0)),"")</f>
        <v/>
      </c>
      <c r="AG79" s="98" t="str" cm="1">
        <f t="array" ref="AG79">IFERROR(IF(D79="","",IF(INDEX('M04-S08'!$CB$18:$CB$199,2*(ROWS(AG$70:AG79)-1)+1)="","",INDEX('M04-S08'!$CB$18:$CB$199,2*(ROWS(AG$70:AG79)-1)+1))),"")</f>
        <v/>
      </c>
      <c r="AH79" s="98" t="str" cm="1">
        <f t="array" ref="AH79">IFERROR(IF(D79="","",IF(INDEX('M04-S08'!$CU$18:$CU$199,2*(ROWS(AH$70:AH79)-1)+1)="","",INDEX('M04-S08'!$CU$18:$CU$199,2*(ROWS(AH$70:AH79)-1)+1))),"")</f>
        <v/>
      </c>
      <c r="AI79" s="20" t="str" cm="1">
        <f t="array" ref="AI79">IFERROR(IF(D79="","",IF(INDEX('M04-S08'!$CM$18:$CM$199,2*(ROWS(AI$70:AI79)-1)+1)="",0,INDEX('M04-S08'!$CM$18:$CM$199,2*(ROWS(AI$70:AI79)-1)+1))),"")</f>
        <v/>
      </c>
      <c r="AJ79" s="20" t="str">
        <f t="shared" si="86"/>
        <v/>
      </c>
      <c r="AK79" s="487" t="str" cm="1">
        <f t="array" ref="AK79">IFERROR(IF(D79="","",IF(INDEX('M04-S08'!$CN$18:$CN$199,2*(ROWS(AK$70:AK79)-1)+1)="",0,INDEX('M04-S08'!$CN$18:$CN$199,2*(ROWS(AK$70:AK79)-1)+1))),"")</f>
        <v/>
      </c>
      <c r="AL79" s="20" t="str">
        <f t="shared" si="117"/>
        <v/>
      </c>
      <c r="AM79" s="20" t="str">
        <f t="shared" si="104"/>
        <v/>
      </c>
      <c r="AN79" s="20" t="str" cm="1">
        <f t="array" ref="AN79">IFERROR(IF(D79="","",IF(INDEX('M04-S08'!$CO$18:$CO$199,2*(ROWS(AN$70:AN79)-1)+1)="",0,INDEX('M04-S08'!$CO$18:$CO$199,2*(ROWS(AN$70:AN79)-1)+1))),"")</f>
        <v/>
      </c>
      <c r="AO79" s="20" t="str" cm="1">
        <f t="array" ref="AO79">IFERROR(IF(D79="","",INDEX('M04-S08'!$R$18:$R$199,2*(ROWS(AO$70:AO79)-1)+1)),"")</f>
        <v/>
      </c>
      <c r="AP79" s="20" t="str" cm="1">
        <f t="array" ref="AP79">IFERROR(IF(D79="","",INDEX('M04-S08'!$AJ$18:$AJ$199,2*(ROWS(AP$70:AP79)-1)+1)),"")</f>
        <v/>
      </c>
      <c r="AQ79" s="487" t="str" cm="1">
        <f t="array" ref="AQ79">IFERROR(IF(D79="","",INDEX('M04-S08'!$U$18:$U$199,2*(ROWS(AQ$70:AQ79)-1)+1)),"")</f>
        <v/>
      </c>
      <c r="AR79" s="487" t="str" cm="1">
        <f t="array" ref="AR79">IFERROR(IF(D79="","",INDEX('M04-S08'!$AM$18:$AM$199,2*(ROWS(AR$70:AR79)-1)+1)),"")</f>
        <v/>
      </c>
      <c r="AS79" s="20" t="str" cm="1">
        <f t="array" ref="AS79">IFERROR(IF(D79="","",INDEX('M04-S08'!$X$18:$X$199,2*(ROWS(AS$70:AS79)-1)+1)),"")</f>
        <v/>
      </c>
      <c r="AT79" s="20" t="str" cm="1">
        <f t="array" ref="AT79">IFERROR(IF(D79="","",INDEX('M04-S08'!$AP$18:$AP$199,2*(ROWS(AT$70:AT79)-1)+1)),"")</f>
        <v/>
      </c>
      <c r="BP79" t="str" cm="1">
        <f t="array" ref="BP79">IFERROR(IF(D79="","",INDEX('M04-S08'!$CS$18:$CS$199,2*(ROWS(BP$70:BP79)-1)+1)),"")</f>
        <v/>
      </c>
      <c r="BR79" t="str" cm="1">
        <f t="array" ref="BR79">IFERROR(IF(D79="","",LEFT(INDEX('M04-S08'!$C$18:$C$199,2*(ROWS(BR$70:BR79)-1)+1),150)),"")</f>
        <v/>
      </c>
      <c r="BS79" t="str" cm="1">
        <f t="array" ref="BS79">IFERROR(IF(D79="","",INDEX('M04-S08'!$CT$18:$CT$199,2*(ROWS(BS$70:BS79)-1)+1)),"")</f>
        <v/>
      </c>
      <c r="BT79" s="6" t="str" cm="1">
        <f t="array" ref="BT79">IFERROR(ROUND(IF(D79="","",INDEX('M04-S08'!$BB$18:$BB$199,2*(ROWS(BT$70:BT79)-1)+1)),2),"")</f>
        <v/>
      </c>
      <c r="BU79" s="6" t="str" cm="1">
        <f t="array" ref="BU79">IFERROR(IF(D79="","",INDEX('M04-S08'!$CX$18:$CX$199,2*(ROWS(BU$70:BU79)-1)+1)),"")</f>
        <v/>
      </c>
      <c r="BV79" s="6" t="str" cm="1">
        <f t="array" ref="BV79">IFERROR(IF(D79="","",INDEX('M04-S08'!$CY$18:$CY$199,2*(ROWS(BV$70:BV79)-1)+1)),"")</f>
        <v/>
      </c>
      <c r="BW79" t="str">
        <f t="shared" si="118"/>
        <v/>
      </c>
      <c r="BX79" t="str">
        <f t="shared" si="119"/>
        <v/>
      </c>
      <c r="BY79" s="6" t="str" cm="1">
        <f t="array" ref="BY79">IFERROR(IF(D79="","",INDEX('M04-S08'!$CI$18:$CI$199,2*(ROWS(BY$70:BY79)-1)+1)),"")</f>
        <v/>
      </c>
      <c r="BZ79" s="6" t="str">
        <f t="shared" si="105"/>
        <v/>
      </c>
      <c r="CA79" s="6" t="str">
        <f t="shared" si="106"/>
        <v/>
      </c>
      <c r="CB79" s="6" t="str">
        <f t="shared" si="87"/>
        <v/>
      </c>
      <c r="CC79" s="6" t="str">
        <f t="shared" si="107"/>
        <v/>
      </c>
      <c r="CD79" s="6" t="str">
        <f t="shared" si="108"/>
        <v/>
      </c>
      <c r="CS79" t="str" cm="1">
        <f t="array" ref="CS79">IFERROR(IF(D79="","",INDEX('M04-S08'!$F$18:$F$199,2*(ROWS(CS$70:CS79)-1)+1)),"")</f>
        <v/>
      </c>
      <c r="CT79" t="str" cm="1">
        <f t="array" ref="CT79">IFERROR(IF(D79="","",INDEX('M04-S08'!$L$18:$L$199,2*(ROWS(CT$70:CT79)-1)+1)),"")</f>
        <v/>
      </c>
      <c r="CU79" t="str" cm="1">
        <f t="array" ref="CU79">IFERROR(IF(D79="","",INDEX('M04-S08'!$AD$18:$AD$199,2*(ROWS(CU$70:CU79)-1)+1)),"")</f>
        <v/>
      </c>
      <c r="DE79" s="150"/>
      <c r="DF79" s="150" t="str">
        <f>IFERROR(ROUND(IF(OR(D79="",DE79=""),"",TEMPLATE!$V$16),2),"")</f>
        <v/>
      </c>
      <c r="DG79" s="150"/>
      <c r="DH79" s="150" t="str">
        <f>IFERROR(ROUND(IF(OR(D79="",DG79=""),"",TEMPLATE!$V$16),2),"")</f>
        <v/>
      </c>
      <c r="DI79" s="150"/>
      <c r="DJ79" s="150" t="str">
        <f>IFERROR(ROUND(IF(OR(D79="",DI79=""),"",TEMPLATE!$V$16),2),"")</f>
        <v/>
      </c>
      <c r="DK79" s="150"/>
      <c r="DL79" s="150" t="str">
        <f>IFERROR(ROUND(IF(OR(D79="",DK79=""),"",TEMPLATE!$V$16),2),"")</f>
        <v/>
      </c>
      <c r="DM79" s="150"/>
      <c r="DN79" s="150" t="str">
        <f>IFERROR(ROUND(IF(OR(D79="",DM79=""),"",TEMPLATE!$V$16),2),"")</f>
        <v/>
      </c>
      <c r="DO79" s="150"/>
      <c r="DP79" s="150" t="str">
        <f>IFERROR(ROUND(IF(OR(D79="",DO79=""),"",TEMPLATE!$V$16),2),"")</f>
        <v/>
      </c>
      <c r="DQ79" s="150"/>
      <c r="DR79" s="150" t="str">
        <f>IFERROR(ROUND(IF(OR(D79="",DQ79=""),"",TEMPLATE!$V$16),2),"")</f>
        <v/>
      </c>
      <c r="DS79" s="150"/>
      <c r="DT79" s="150" t="str">
        <f>IFERROR(ROUND(IF(OR(D79="",DS79=""),"",TEMPLATE!$V$16),2),"")</f>
        <v/>
      </c>
      <c r="DU79" s="150" t="str" cm="1">
        <f t="array" ref="DU79">IFERROR(ROUND(IF($D79="","",INDEX('M04-S08'!DD$18:DD$199,2*(ROWS(DU$70:DU79)-1)+1)),4),"")</f>
        <v/>
      </c>
      <c r="DV79" s="150" t="str" cm="1">
        <f t="array" ref="DV79">IFERROR(ROUND(IF($D79="","",INDEX('M04-S08'!DE$18:DE$199,2*(ROWS(DV$70:DV79)-1)+1)),4),"")</f>
        <v/>
      </c>
      <c r="DW79" s="150" t="str" cm="1">
        <f t="array" ref="DW79">IFERROR(ROUND(IF($D79="","",INDEX('M04-S08'!DF$18:DF$199,2*(ROWS(DW$70:DW79)-1)+1)),4),"")</f>
        <v/>
      </c>
      <c r="DX79" s="150" t="str" cm="1">
        <f t="array" ref="DX79">IFERROR(ROUND(IF($D79="","",INDEX('M04-S08'!DG$18:DG$199,2*(ROWS(DX$70:DX79)-1)+1)),4),"")</f>
        <v/>
      </c>
      <c r="DY79" s="150" t="str" cm="1">
        <f t="array" ref="DY79">IFERROR(ROUND(IF($D79="","",INDEX('M04-S08'!DH$18:DH$199,2*(ROWS(DY$70:DY79)-1)+1)),4),"")</f>
        <v/>
      </c>
      <c r="DZ79" s="150" t="str" cm="1">
        <f t="array" ref="DZ79">IFERROR(ROUND(IF($D79="","",INDEX('M04-S08'!DI$18:DI$199,2*(ROWS(DZ$70:DZ79)-1)+1)),4),"")</f>
        <v/>
      </c>
      <c r="EA79" s="150" t="str" cm="1">
        <f t="array" ref="EA79">IFERROR(ROUND(IF($D79="","",INDEX('M04-S08'!DJ$18:DJ$199,2*(ROWS(EA$70:EA79)-1)+1)),4),"")</f>
        <v/>
      </c>
      <c r="EB79" s="150" t="str" cm="1">
        <f t="array" ref="EB79">IFERROR(ROUND(IF($D79="","",INDEX('M04-S08'!DK$18:DK$199,2*(ROWS(EB$70:EB79)-1)+1)),6),"")</f>
        <v/>
      </c>
      <c r="EC79" s="150" t="str" cm="1">
        <f t="array" ref="EC79">IFERROR(ROUND(IF($D79="","",INDEX('M04-S08'!DL$18:DL$199,2*(ROWS(EC$70:EC79)-1)+1)),6),"")</f>
        <v/>
      </c>
      <c r="ED79" s="150" t="str" cm="1">
        <f t="array" ref="ED79">IFERROR(ROUND(IF($D79="","",INDEX('M04-S08'!DM$18:DM$199,2*(ROWS(ED$70:ED79)-1)+1)),6),"")</f>
        <v/>
      </c>
      <c r="EE79" s="150" t="str" cm="1">
        <f t="array" ref="EE79">IFERROR(ROUND(IF($D79="","",INDEX('M04-S08'!DN$18:DN$199,2*(ROWS(EE$70:EE79)-1)+1)),6),"")</f>
        <v/>
      </c>
      <c r="EF79" s="150" t="str" cm="1">
        <f t="array" ref="EF79">IFERROR(ROUND(IF($D79="","",INDEX('M04-S08'!DO$18:DO$199,2*(ROWS(EF$70:EF79)-1)+1)),6),"")</f>
        <v/>
      </c>
      <c r="EG79" s="150" t="str" cm="1">
        <f t="array" ref="EG79">IFERROR(ROUND(IF($D79="","",INDEX('M04-S08'!DP$18:DP$199,2*(ROWS(EG$70:EG79)-1)+1)),6),"")</f>
        <v/>
      </c>
      <c r="EH79" s="150" t="str" cm="1">
        <f t="array" ref="EH79">IFERROR(ROUND(IF($D79="","",INDEX('M04-S08'!DQ$18:DQ$199,2*(ROWS(EH$70:EH79)-1)+1)),6),"")</f>
        <v/>
      </c>
      <c r="EI79" s="150" t="str" cm="1">
        <f t="array" ref="EI79">IFERROR(ROUND(IF($D79="","",INDEX('M04-S08'!DR$18:DR$199,2*(ROWS(EI$70:EI79)-1)+1)),6),"")</f>
        <v/>
      </c>
      <c r="EJ79" s="150" t="str" cm="1">
        <f t="array" ref="EJ79">IFERROR(ROUND(IF($D79="","",INDEX('M04-S08'!DS$18:DS$199,2*(ROWS(EJ$70:EJ79)-1)+1)),6),"")</f>
        <v/>
      </c>
      <c r="EK79" s="150" t="str" cm="1">
        <f t="array" ref="EK79">IFERROR(ROUND(IF($D79="","",INDEX('M04-S08'!DT$18:DT$199,2*(ROWS(EK$70:EK79)-1)+1)),6),"")</f>
        <v/>
      </c>
      <c r="EL79" s="150" t="str" cm="1">
        <f t="array" ref="EL79">IFERROR(ROUND(IF($D79="","",INDEX('M04-S08'!DU$18:DU$199,2*(ROWS(EL$70:EL79)-1)+1)),6),"")</f>
        <v/>
      </c>
      <c r="EM79" s="150" t="str" cm="1">
        <f t="array" ref="EM79">IFERROR(ROUND(IF($D79="","",INDEX('M04-S08'!DV$18:DV$199,2*(ROWS(EM$70:EM79)-1)+1)),6),"")</f>
        <v/>
      </c>
      <c r="EN79" s="150" t="str" cm="1">
        <f t="array" ref="EN79">IFERROR(ROUND(IF($D79="","",INDEX('M04-S08'!DW$18:DW$199,2*(ROWS(EN$70:EN79)-1)+1)),6),"")</f>
        <v/>
      </c>
      <c r="EO79" s="150" t="str" cm="1">
        <f t="array" ref="EO79">IFERROR(ROUND(IF($D79="","",INDEX('M04-S08'!DX$18:DX$199,2*(ROWS(EO$70:EO79)-1)+1)),6),"")</f>
        <v/>
      </c>
      <c r="EP79" s="150" t="str" cm="1">
        <f t="array" ref="EP79">IFERROR(ROUND(IF($D79="","",INDEX('M04-S08'!DY$18:DY$199,2*(ROWS(EP$70:EP79)-1)+1)),6),"")</f>
        <v/>
      </c>
      <c r="EQ79" s="150" t="str" cm="1">
        <f t="array" ref="EQ79">IFERROR(ROUND(IF($D79="","",INDEX('M04-S08'!DZ$18:DZ$199,2*(ROWS(EQ$70:EQ79)-1)+1)),6),"")</f>
        <v/>
      </c>
      <c r="ER79" s="150" t="str">
        <f t="shared" si="109"/>
        <v/>
      </c>
      <c r="ES79" s="150" t="str">
        <f t="shared" si="37"/>
        <v/>
      </c>
      <c r="ET79" s="150" t="str">
        <f t="shared" si="38"/>
        <v/>
      </c>
      <c r="EU79" s="150" t="str">
        <f t="shared" si="39"/>
        <v/>
      </c>
      <c r="EV79" s="150" t="str">
        <f t="shared" si="40"/>
        <v/>
      </c>
      <c r="EW79" s="150" t="str">
        <f t="shared" si="41"/>
        <v/>
      </c>
      <c r="EX79" s="150" t="str">
        <f t="shared" si="42"/>
        <v/>
      </c>
      <c r="EY79" s="150" t="str">
        <f t="shared" si="110"/>
        <v/>
      </c>
      <c r="EZ79" s="150" t="str" cm="1">
        <f t="array" ref="EZ79">IFERROR(ROUND(IF($D79="","",INDEX('M04-S08'!EA$18:EA$199,2*(ROWS(EZ$70:EZ79)-1)+1)),6),"")</f>
        <v/>
      </c>
      <c r="FA79" s="150" t="str" cm="1">
        <f t="array" ref="FA79">IFERROR(ROUND(IF($D79="","",INDEX('M04-S08'!EB$18:EB$199,2*(ROWS(FA$70:FA79)-1)+1)),6),"")</f>
        <v/>
      </c>
      <c r="FB79" s="150" t="str" cm="1">
        <f t="array" ref="FB79">IFERROR(ROUND(IF($D79="","",INDEX('M04-S08'!EC$18:EC$199,2*(ROWS(FB$70:FB79)-1)+1)),6),"")</f>
        <v/>
      </c>
      <c r="FC79" s="150" t="str" cm="1">
        <f t="array" ref="FC79">IFERROR(ROUND(IF($D79="","",INDEX('M04-S08'!ED$18:ED$199,2*(ROWS(FC$70:FC79)-1)+1)),6),"")</f>
        <v/>
      </c>
      <c r="FD79" s="150" t="str" cm="1">
        <f t="array" ref="FD79">IFERROR(ROUND(IF($D79="","",INDEX('M04-S08'!EE$18:EE$199,2*(ROWS(FD$70:FD79)-1)+1)),6),"")</f>
        <v/>
      </c>
      <c r="FE79" s="150" t="str" cm="1">
        <f t="array" ref="FE79">IFERROR(ROUND(IF($D79="","",INDEX('M04-S08'!EF$18:EF$199,2*(ROWS(FE$70:FE79)-1)+1)),6),"")</f>
        <v/>
      </c>
      <c r="FF79" s="150" t="str" cm="1">
        <f t="array" ref="FF79">IFERROR(ROUND(IF($D79="","",INDEX('M04-S08'!EG$18:EG$199,2*(ROWS(FF$70:FF79)-1)+1)),6),"")</f>
        <v/>
      </c>
      <c r="FG79" s="150" t="str" cm="1">
        <f t="array" ref="FG79">IFERROR(ROUND(IF($D79="","",INDEX('M04-S08'!EH$18:EH$199,2*(ROWS(FG$70:FG79)-1)+1)),6),"")</f>
        <v/>
      </c>
      <c r="FH79" s="150" t="str" cm="1">
        <f t="array" ref="FH79">IFERROR(ROUND(IF($D79="","",INDEX('M04-S08'!EI$18:EI$199,2*(ROWS(FH$70:FH79)-1)+1)),6),"")</f>
        <v/>
      </c>
      <c r="FI79" s="150" t="str" cm="1">
        <f t="array" ref="FI79">IFERROR(ROUND(IF($D79="","",INDEX('M04-S08'!EJ$18:EJ$199,2*(ROWS(FI$70:FI79)-1)+1)),6),"")</f>
        <v/>
      </c>
      <c r="FJ79" s="150" t="str" cm="1">
        <f t="array" ref="FJ79">IFERROR(ROUND(IF($D79="","",INDEX('M04-S08'!EK$18:EK$199,2*(ROWS(FJ$70:FJ79)-1)+1)),6),"")</f>
        <v/>
      </c>
      <c r="FK79" s="150" t="str" cm="1">
        <f t="array" ref="FK79">IFERROR(ROUND(IF($D79="","",INDEX('M04-S08'!EL$18:EL$199,2*(ROWS(FK$70:FK79)-1)+1)),6),"")</f>
        <v/>
      </c>
      <c r="FL79" s="150" t="str" cm="1">
        <f t="array" ref="FL79">IFERROR(ROUND(IF($D79="","",INDEX('M04-S08'!EM$18:EM$199,2*(ROWS(FL$70:FL79)-1)+1)),6),"")</f>
        <v/>
      </c>
      <c r="FM79" s="150" t="str" cm="1">
        <f t="array" ref="FM79">IFERROR(ROUND(IF($D79="","",INDEX('M04-S08'!EN$18:EN$199,2*(ROWS(FM$70:FM79)-1)+1)),6),"")</f>
        <v/>
      </c>
    </row>
    <row r="80" spans="1:169">
      <c r="A80" s="218" t="str">
        <f>"Custom "&amp;M4S9</f>
        <v>Custom Plug Load</v>
      </c>
      <c r="B80" s="218"/>
      <c r="C80" s="218"/>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218"/>
      <c r="BU80" s="218"/>
      <c r="BV80" s="218"/>
      <c r="BW80" s="218"/>
      <c r="BX80" s="218"/>
      <c r="BY80" s="218"/>
      <c r="BZ80" s="218"/>
      <c r="CA80" s="218"/>
      <c r="CB80" s="218"/>
      <c r="CC80" s="218"/>
      <c r="CD80" s="218"/>
      <c r="CE80" s="218"/>
      <c r="CF80" s="218"/>
      <c r="CG80" s="218"/>
      <c r="CH80" s="218"/>
      <c r="CI80" s="218"/>
      <c r="CJ80" s="218"/>
      <c r="CK80" s="218"/>
      <c r="CL80" s="218"/>
      <c r="CM80" s="218"/>
      <c r="CN80" s="218"/>
      <c r="CO80" s="218"/>
      <c r="CP80" s="218"/>
      <c r="CQ80" s="218"/>
      <c r="CR80" s="218"/>
      <c r="CS80" s="218"/>
      <c r="CT80" s="218"/>
      <c r="CU80" s="218"/>
      <c r="CV80" s="218"/>
      <c r="CW80" s="218"/>
      <c r="CX80" s="218"/>
      <c r="CY80" s="218"/>
      <c r="CZ80" s="218"/>
      <c r="DA80" s="218"/>
      <c r="DB80" s="218"/>
      <c r="DC80" s="21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218"/>
      <c r="ER80" s="218"/>
      <c r="ES80" s="218"/>
      <c r="ET80" s="218"/>
      <c r="EU80" s="218"/>
      <c r="EV80" s="218"/>
      <c r="EW80" s="218"/>
      <c r="EX80" s="218"/>
      <c r="EY80" s="218"/>
      <c r="EZ80" s="218"/>
      <c r="FA80" s="218"/>
      <c r="FB80" s="218"/>
      <c r="FC80" s="218"/>
      <c r="FD80" s="218"/>
      <c r="FE80" s="218"/>
      <c r="FF80" s="218"/>
      <c r="FG80" s="218"/>
      <c r="FH80" s="218"/>
      <c r="FI80" s="218"/>
      <c r="FJ80" s="218"/>
      <c r="FK80" s="218"/>
      <c r="FL80" s="218"/>
      <c r="FM80" s="218"/>
    </row>
    <row r="81" spans="1:169">
      <c r="A81" t="str">
        <f t="shared" ref="A81:A90" si="120">IFERROR(IF(D81="","",PROJID),"")</f>
        <v/>
      </c>
      <c r="B81" t="str">
        <f>IFERROR(IF(D81="","",CONCATENATE(ROW(),"-",D81)),"")</f>
        <v/>
      </c>
      <c r="C81" t="str" cm="1">
        <f t="array" ref="C81">IFERROR(IF(D81="","",INDEX('M04-S09'!$B$18:$B$199,2*(ROWS(C$81:C81)-1)+1)),"")</f>
        <v/>
      </c>
      <c r="D81" t="str">
        <f>IFERROR(IF(E81="","",E81),"")</f>
        <v/>
      </c>
      <c r="E81" t="str" cm="1">
        <f t="array" ref="E81">IFERROR(IF(INDEX('M04-S09'!$CC$18:$CC$199,2*(ROWS(E$81:E81)-1)+1)="","",INDEX('M04-S09'!$CC$18:$CC$199,2*(ROWS(E$81:E81)-1)+1)),"")</f>
        <v/>
      </c>
      <c r="G81" t="str">
        <f>IFERROR(IF(C81&lt;&gt;"","Custom",""),"")</f>
        <v/>
      </c>
      <c r="H81" t="str">
        <f t="shared" ref="H81" si="121">IFERROR(IF(C81&lt;&gt;"","Downstream",""),"")</f>
        <v/>
      </c>
      <c r="L81" t="str">
        <f>IF($C81="","",IF(AND(AI81&gt;0,AN81&gt;0),"Electric &amp; Gas",IF(AI81&gt;0,"Electric",IF(AN81&gt;0,"Gas",""))))</f>
        <v/>
      </c>
      <c r="O81" t="str">
        <f>IF($C81="","",TRUE)</f>
        <v/>
      </c>
      <c r="V81" t="str" cm="1">
        <f t="array" ref="V81">IFERROR(IF(D81="","",INDEX('M04-S09'!$AY$18:$AY$199,2*(ROWS(V$81:V81)-1)+1)),"")</f>
        <v/>
      </c>
      <c r="W81" t="str" cm="1">
        <f t="array" ref="W81">IFERROR(IF(D81="","",INDEX('M04-S09'!$AV$18:$AV$199,2*(ROWS(W$81:W81)-1)+1)),"")</f>
        <v/>
      </c>
      <c r="X81" t="str" cm="1">
        <f t="array" ref="X81">IFERROR(IF(D81="","",INDEX('M04-S09'!$AV$18:$AV$199,2*(ROWS(X$81:X81)-0)+0)),"")</f>
        <v/>
      </c>
      <c r="AG81" s="98" t="str" cm="1">
        <f t="array" ref="AG81">IFERROR(IF(D81="","",IF(INDEX('M04-S09'!$CB$18:$CB$199,2*(ROWS(AG$81:AG81)-1)+1)="","",INDEX('M04-S09'!$CB$18:$CB$199,2*(ROWS(AG$81:AG81)-1)+1))),"")</f>
        <v/>
      </c>
      <c r="AH81" s="98" t="str" cm="1">
        <f t="array" ref="AH81">IFERROR(IF(D81="","",IF(INDEX('M04-S09'!$CU$18:$CU$199,2*(ROWS(AH$81:AH81)-1)+1)="","",INDEX('M04-S09'!$CU$18:$CU$199,2*(ROWS(AH$81:AH81)-1)+1))),"")</f>
        <v/>
      </c>
      <c r="AI81" s="20" t="str" cm="1">
        <f t="array" ref="AI81">IFERROR(IF(D81="","",IF(INDEX('M04-S09'!$CM$18:$CM$199,2*(ROWS(AI$81:AI81)-1)+1)="",0,INDEX('M04-S09'!$CM$18:$CM$199,2*(ROWS(AI$81:AI81)-1)+1))),"")</f>
        <v/>
      </c>
      <c r="AJ81" s="20" t="str">
        <f t="shared" si="86"/>
        <v/>
      </c>
      <c r="AK81" s="487" t="str" cm="1">
        <f t="array" ref="AK81">IFERROR(IF(D81="","",IF(INDEX('M04-S09'!$CN$18:$CN$199,2*(ROWS(AK$81:AK81)-1)+1)="",0,INDEX('M04-S09'!$CN$18:$CN$199,2*(ROWS(AK$81:AK81)-1)+1))),"")</f>
        <v/>
      </c>
      <c r="AL81" s="20" t="str">
        <f>IF(AN81&gt;=0,AN81,0)</f>
        <v/>
      </c>
      <c r="AM81" s="20" t="str">
        <f t="shared" ref="AM81:AM90" si="122">IFERROR(ROUND(IF(D81="","",AL81/10),6),"")</f>
        <v/>
      </c>
      <c r="AN81" s="20" t="str" cm="1">
        <f t="array" ref="AN81">IFERROR(IF(D81="","",IF(INDEX('M04-S09'!$CO$18:$CO$199,2*(ROWS(AN$81:AN81)-1)+1)="",0,INDEX('M04-S09'!$CO$18:$CO$199,2*(ROWS(AN$81:AN81)-1)+1))),"")</f>
        <v/>
      </c>
      <c r="AO81" s="20" t="str" cm="1">
        <f t="array" ref="AO81">IFERROR(IF(D81="","",INDEX('M04-S09'!$R$18:$R$199,2*(ROWS(AO$81:AO81)-1)+1)),"")</f>
        <v/>
      </c>
      <c r="AP81" s="20" t="str" cm="1">
        <f t="array" ref="AP81">IFERROR(IF(D81="","",INDEX('M04-S09'!$AJ$18:$AJ$199,2*(ROWS(AP$81:AP81)-1)+1)),"")</f>
        <v/>
      </c>
      <c r="AQ81" s="487" t="str" cm="1">
        <f t="array" ref="AQ81">IFERROR(IF(D81="","",INDEX('M04-S09'!$U$18:$U$199,2*(ROWS(AQ$81:AQ81)-1)+1)),"")</f>
        <v/>
      </c>
      <c r="AR81" s="487" t="str" cm="1">
        <f t="array" ref="AR81">IFERROR(IF(D81="","",INDEX('M04-S09'!$AM$18:$AM$199,2*(ROWS(AR$81:AR81)-1)+1)),"")</f>
        <v/>
      </c>
      <c r="AS81" s="20" t="str" cm="1">
        <f t="array" ref="AS81">IFERROR(IF(D81="","",INDEX('M04-S09'!$X$18:$X$199,2*(ROWS(AS$81:AS81)-1)+1)),"")</f>
        <v/>
      </c>
      <c r="AT81" s="20" t="str" cm="1">
        <f t="array" ref="AT81">IFERROR(IF(D81="","",INDEX('M04-S09'!$AP$18:$AP$199,2*(ROWS(AT$81:AT81)-1)+1)),"")</f>
        <v/>
      </c>
      <c r="BP81" t="str" cm="1">
        <f t="array" ref="BP81">IFERROR(IF(D81="","",INDEX('M04-S09'!$CS$18:$CS$199,2*(ROWS(BP$81:BP81)-1)+1)),"")</f>
        <v/>
      </c>
      <c r="BR81" t="str" cm="1">
        <f t="array" ref="BR81">IFERROR(IF(D81="","",LEFT(INDEX('M04-S09'!$C$18:$C$199,2*(ROWS(BR$81:BR81)-1)+1),150)),"")</f>
        <v/>
      </c>
      <c r="BS81" t="str" cm="1">
        <f t="array" ref="BS81">IFERROR(IF(D81="","",INDEX('M04-S09'!$CT$18:$CT$199,2*(ROWS(BS$81:BS81)-1)+1)),"")</f>
        <v/>
      </c>
      <c r="BT81" s="6" t="str" cm="1">
        <f t="array" ref="BT81">IFERROR(ROUND(IF(D81="","",INDEX('M04-S09'!$BB$18:$BB$199,2*(ROWS(BT$81:BT81)-1)+1)),2),"")</f>
        <v/>
      </c>
      <c r="BU81" s="6" t="str" cm="1">
        <f t="array" ref="BU81">IFERROR(IF(D81="","",INDEX('M04-S09'!$CX$18:$CX$199,2*(ROWS(BU$81:BU81)-1)+1)),"")</f>
        <v/>
      </c>
      <c r="BV81" s="6" t="str" cm="1">
        <f t="array" ref="BV81">IFERROR(IF(D81="","",INDEX('M04-S09'!$CY$18:$CY$199,2*(ROWS(BV$81:BV81)-1)+1)),"")</f>
        <v/>
      </c>
      <c r="BW81" t="str">
        <f>IF(D81="","","Measure")</f>
        <v/>
      </c>
      <c r="BX81" t="str">
        <f>IF(D81="","",1)</f>
        <v/>
      </c>
      <c r="BY81" s="6" t="str" cm="1">
        <f t="array" ref="BY81">IFERROR(IF(D81="","",INDEX('M04-S09'!$CI$18:$CI$199,2*(ROWS(BY$81:BY81)-1)+1)),"")</f>
        <v/>
      </c>
      <c r="BZ81" s="6" t="str">
        <f t="shared" si="105"/>
        <v/>
      </c>
      <c r="CA81" s="6" t="str">
        <f t="shared" si="106"/>
        <v/>
      </c>
      <c r="CB81" s="6" t="str">
        <f t="shared" si="87"/>
        <v/>
      </c>
      <c r="CC81" s="6" t="str">
        <f t="shared" ref="CC81:CC90" si="123">IFERROR(IF(D81="","",AJ81/(AJ81+AM81)*CB81),"")</f>
        <v/>
      </c>
      <c r="CD81" s="6" t="str">
        <f t="shared" ref="CD81:CD90" si="124">IFERROR(IF(D81="","",AM81/(AJ81+AM81)*CB81),"")</f>
        <v/>
      </c>
      <c r="CS81" t="str" cm="1">
        <f t="array" ref="CS81">IFERROR(IF(D81="","",INDEX('M04-S09'!$F$18:$F$199,2*(ROWS(CS$81:CS81)-1)+1)),"")</f>
        <v/>
      </c>
      <c r="CT81" t="str" cm="1">
        <f t="array" ref="CT81">IFERROR(IF(D81="","",INDEX('M04-S09'!$L$18:$L$199,2*(ROWS(CT$81:CT81)-1)+1)),"")</f>
        <v/>
      </c>
      <c r="CU81" t="str" cm="1">
        <f t="array" ref="CU81">IFERROR(IF(D81="","",INDEX('M04-S09'!$AD$18:$AD$199,2*(ROWS(CU$81:CU81)-1)+1)),"")</f>
        <v/>
      </c>
      <c r="DE81" s="150"/>
      <c r="DF81" s="150" t="str">
        <f>IFERROR(ROUND(IF(OR(D81="",DE81=""),"",TEMPLATE!$V$17),2),"")</f>
        <v/>
      </c>
      <c r="DG81" s="150"/>
      <c r="DH81" s="150" t="str">
        <f>IFERROR(ROUND(IF(OR(D81="",DG81=""),"",TEMPLATE!$V$17),2),"")</f>
        <v/>
      </c>
      <c r="DI81" s="150"/>
      <c r="DJ81" s="150" t="str">
        <f>IFERROR(ROUND(IF(OR(D81="",DI81=""),"",TEMPLATE!$V$17),2),"")</f>
        <v/>
      </c>
      <c r="DK81" s="150"/>
      <c r="DL81" s="150" t="str">
        <f>IFERROR(ROUND(IF(OR(D81="",DK81=""),"",TEMPLATE!$V$17),2),"")</f>
        <v/>
      </c>
      <c r="DM81" s="150"/>
      <c r="DN81" s="150" t="str">
        <f>IFERROR(ROUND(IF(OR(D81="",DM81=""),"",TEMPLATE!$V$17),2),"")</f>
        <v/>
      </c>
      <c r="DO81" s="150"/>
      <c r="DP81" s="150" t="str">
        <f>IFERROR(ROUND(IF(OR(D81="",DO81=""),"",TEMPLATE!$V$17),2),"")</f>
        <v/>
      </c>
      <c r="DQ81" s="150"/>
      <c r="DR81" s="150" t="str">
        <f>IFERROR(ROUND(IF(OR(D81="",DQ81=""),"",TEMPLATE!$V$17),2),"")</f>
        <v/>
      </c>
      <c r="DS81" s="150"/>
      <c r="DT81" s="150" t="str">
        <f>IFERROR(ROUND(IF(OR(D81="",DS81=""),"",TEMPLATE!$V$17),2),"")</f>
        <v/>
      </c>
      <c r="DU81" s="150" t="str" cm="1">
        <f t="array" ref="DU81">IFERROR(ROUND(IF($D81="","",INDEX('M04-S09'!DD$18:DD$199,2*(ROWS(DU$81:DU81)-1)+1)),4),"")</f>
        <v/>
      </c>
      <c r="DV81" s="150" t="str" cm="1">
        <f t="array" ref="DV81">IFERROR(ROUND(IF($D81="","",INDEX('M04-S09'!DE$18:DE$199,2*(ROWS(DV$81:DV81)-1)+1)),4),"")</f>
        <v/>
      </c>
      <c r="DW81" s="150" t="str" cm="1">
        <f t="array" ref="DW81">IFERROR(ROUND(IF($D81="","",INDEX('M04-S09'!DF$18:DF$199,2*(ROWS(DW$81:DW81)-1)+1)),4),"")</f>
        <v/>
      </c>
      <c r="DX81" s="150" t="str" cm="1">
        <f t="array" ref="DX81">IFERROR(ROUND(IF($D81="","",INDEX('M04-S09'!DG$18:DG$199,2*(ROWS(DX$81:DX81)-1)+1)),4),"")</f>
        <v/>
      </c>
      <c r="DY81" s="150" t="str" cm="1">
        <f t="array" ref="DY81">IFERROR(ROUND(IF($D81="","",INDEX('M04-S09'!DH$18:DH$199,2*(ROWS(DY$81:DY81)-1)+1)),4),"")</f>
        <v/>
      </c>
      <c r="DZ81" s="150" t="str" cm="1">
        <f t="array" ref="DZ81">IFERROR(ROUND(IF($D81="","",INDEX('M04-S09'!DI$18:DI$199,2*(ROWS(DZ$81:DZ81)-1)+1)),4),"")</f>
        <v/>
      </c>
      <c r="EA81" s="150" t="str" cm="1">
        <f t="array" ref="EA81">IFERROR(ROUND(IF($D81="","",INDEX('M04-S09'!DJ$18:DJ$199,2*(ROWS(EA$81:EA81)-1)+1)),4),"")</f>
        <v/>
      </c>
      <c r="EB81" s="150" t="str" cm="1">
        <f t="array" ref="EB81">IFERROR(ROUND(IF($D81="","",INDEX('M04-S09'!DK$18:DK$199,2*(ROWS(EB$81:EB81)-1)+1)),6),"")</f>
        <v/>
      </c>
      <c r="EC81" s="150" t="str" cm="1">
        <f t="array" ref="EC81">IFERROR(ROUND(IF($D81="","",INDEX('M04-S09'!DL$18:DL$199,2*(ROWS(EC$81:EC81)-1)+1)),6),"")</f>
        <v/>
      </c>
      <c r="ED81" s="150" t="str" cm="1">
        <f t="array" ref="ED81">IFERROR(ROUND(IF($D81="","",INDEX('M04-S09'!DM$18:DM$199,2*(ROWS(ED$81:ED81)-1)+1)),6),"")</f>
        <v/>
      </c>
      <c r="EE81" s="150" t="str" cm="1">
        <f t="array" ref="EE81">IFERROR(ROUND(IF($D81="","",INDEX('M04-S09'!DN$18:DN$199,2*(ROWS(EE$81:EE81)-1)+1)),6),"")</f>
        <v/>
      </c>
      <c r="EF81" s="150" t="str" cm="1">
        <f t="array" ref="EF81">IFERROR(ROUND(IF($D81="","",INDEX('M04-S09'!DO$18:DO$199,2*(ROWS(EF$81:EF81)-1)+1)),6),"")</f>
        <v/>
      </c>
      <c r="EG81" s="150" t="str" cm="1">
        <f t="array" ref="EG81">IFERROR(ROUND(IF($D81="","",INDEX('M04-S09'!DP$18:DP$199,2*(ROWS(EG$81:EG81)-1)+1)),6),"")</f>
        <v/>
      </c>
      <c r="EH81" s="150" t="str" cm="1">
        <f t="array" ref="EH81">IFERROR(ROUND(IF($D81="","",INDEX('M04-S09'!DQ$18:DQ$199,2*(ROWS(EH$81:EH81)-1)+1)),6),"")</f>
        <v/>
      </c>
      <c r="EI81" s="150" t="str" cm="1">
        <f t="array" ref="EI81">IFERROR(ROUND(IF($D81="","",INDEX('M04-S09'!DR$18:DR$199,2*(ROWS(EI$81:EI81)-1)+1)),6),"")</f>
        <v/>
      </c>
      <c r="EJ81" s="150" t="str" cm="1">
        <f t="array" ref="EJ81">IFERROR(ROUND(IF($D81="","",INDEX('M04-S09'!DS$18:DS$199,2*(ROWS(EJ$81:EJ81)-1)+1)),6),"")</f>
        <v/>
      </c>
      <c r="EK81" s="150" t="str" cm="1">
        <f t="array" ref="EK81">IFERROR(ROUND(IF($D81="","",INDEX('M04-S09'!DT$18:DT$199,2*(ROWS(EK$81:EK81)-1)+1)),6),"")</f>
        <v/>
      </c>
      <c r="EL81" s="150" t="str" cm="1">
        <f t="array" ref="EL81">IFERROR(ROUND(IF($D81="","",INDEX('M04-S09'!DU$18:DU$199,2*(ROWS(EL$81:EL81)-1)+1)),6),"")</f>
        <v/>
      </c>
      <c r="EM81" s="150" t="str" cm="1">
        <f t="array" ref="EM81">IFERROR(ROUND(IF($D81="","",INDEX('M04-S09'!DV$18:DV$199,2*(ROWS(EM$81:EM81)-1)+1)),6),"")</f>
        <v/>
      </c>
      <c r="EN81" s="150" t="str" cm="1">
        <f t="array" ref="EN81">IFERROR(ROUND(IF($D81="","",INDEX('M04-S09'!DW$18:DW$199,2*(ROWS(EN$81:EN81)-1)+1)),6),"")</f>
        <v/>
      </c>
      <c r="EO81" s="150" t="str" cm="1">
        <f t="array" ref="EO81">IFERROR(ROUND(IF($D81="","",INDEX('M04-S09'!DX$18:DX$199,2*(ROWS(EO$81:EO81)-1)+1)),6),"")</f>
        <v/>
      </c>
      <c r="EP81" s="150" t="str" cm="1">
        <f t="array" ref="EP81">IFERROR(ROUND(IF($D81="","",INDEX('M04-S09'!DY$18:DY$199,2*(ROWS(EP$81:EP81)-1)+1)),6),"")</f>
        <v/>
      </c>
      <c r="EQ81" s="150" t="str" cm="1">
        <f t="array" ref="EQ81">IFERROR(ROUND(IF($D81="","",INDEX('M04-S09'!DZ$18:DZ$199,2*(ROWS(EQ$81:EQ81)-1)+1)),6),"")</f>
        <v/>
      </c>
      <c r="ER81" s="150" t="str">
        <f t="shared" si="109"/>
        <v/>
      </c>
      <c r="ES81" s="150" t="str">
        <f t="shared" si="37"/>
        <v/>
      </c>
      <c r="ET81" s="150" t="str">
        <f t="shared" si="38"/>
        <v/>
      </c>
      <c r="EU81" s="150" t="str">
        <f t="shared" si="39"/>
        <v/>
      </c>
      <c r="EV81" s="150" t="str">
        <f t="shared" si="40"/>
        <v/>
      </c>
      <c r="EW81" s="150" t="str">
        <f t="shared" si="41"/>
        <v/>
      </c>
      <c r="EX81" s="150" t="str">
        <f t="shared" si="42"/>
        <v/>
      </c>
      <c r="EY81" s="150" t="str">
        <f t="shared" si="110"/>
        <v/>
      </c>
      <c r="EZ81" s="150" t="str" cm="1">
        <f t="array" ref="EZ81">IFERROR(ROUND(IF($D81="","",INDEX('M04-S09'!EA$18:EA$199,2*(ROWS(EZ$81:EZ81)-1)+1)),6),"")</f>
        <v/>
      </c>
      <c r="FA81" s="150" t="str" cm="1">
        <f t="array" ref="FA81">IFERROR(ROUND(IF($D81="","",INDEX('M04-S09'!EB$18:EB$199,2*(ROWS(FA$81:FA81)-1)+1)),6),"")</f>
        <v/>
      </c>
      <c r="FB81" s="150" t="str" cm="1">
        <f t="array" ref="FB81">IFERROR(ROUND(IF($D81="","",INDEX('M04-S09'!EC$18:EC$199,2*(ROWS(FB$81:FB81)-1)+1)),6),"")</f>
        <v/>
      </c>
      <c r="FC81" s="150" t="str" cm="1">
        <f t="array" ref="FC81">IFERROR(ROUND(IF($D81="","",INDEX('M04-S09'!ED$18:ED$199,2*(ROWS(FC$81:FC81)-1)+1)),6),"")</f>
        <v/>
      </c>
      <c r="FD81" s="150" t="str" cm="1">
        <f t="array" ref="FD81">IFERROR(ROUND(IF($D81="","",INDEX('M04-S09'!EE$18:EE$199,2*(ROWS(FD$81:FD81)-1)+1)),6),"")</f>
        <v/>
      </c>
      <c r="FE81" s="150" t="str" cm="1">
        <f t="array" ref="FE81">IFERROR(ROUND(IF($D81="","",INDEX('M04-S09'!EF$18:EF$199,2*(ROWS(FE$81:FE81)-1)+1)),6),"")</f>
        <v/>
      </c>
      <c r="FF81" s="150" t="str" cm="1">
        <f t="array" ref="FF81">IFERROR(ROUND(IF($D81="","",INDEX('M04-S09'!EG$18:EG$199,2*(ROWS(FF$81:FF81)-1)+1)),6),"")</f>
        <v/>
      </c>
      <c r="FG81" s="150" t="str" cm="1">
        <f t="array" ref="FG81">IFERROR(ROUND(IF($D81="","",INDEX('M04-S09'!EH$18:EH$199,2*(ROWS(FG$81:FG81)-1)+1)),6),"")</f>
        <v/>
      </c>
      <c r="FH81" s="150" t="str" cm="1">
        <f t="array" ref="FH81">IFERROR(ROUND(IF($D81="","",INDEX('M04-S09'!EI$18:EI$199,2*(ROWS(FH$81:FH81)-1)+1)),6),"")</f>
        <v/>
      </c>
      <c r="FI81" s="150" t="str" cm="1">
        <f t="array" ref="FI81">IFERROR(ROUND(IF($D81="","",INDEX('M04-S09'!EJ$18:EJ$199,2*(ROWS(FI$81:FI81)-1)+1)),6),"")</f>
        <v/>
      </c>
      <c r="FJ81" s="150" t="str" cm="1">
        <f t="array" ref="FJ81">IFERROR(ROUND(IF($D81="","",INDEX('M04-S09'!EK$18:EK$199,2*(ROWS(FJ$81:FJ81)-1)+1)),6),"")</f>
        <v/>
      </c>
      <c r="FK81" s="150" t="str" cm="1">
        <f t="array" ref="FK81">IFERROR(ROUND(IF($D81="","",INDEX('M04-S09'!EL$18:EL$199,2*(ROWS(FK$81:FK81)-1)+1)),6),"")</f>
        <v/>
      </c>
      <c r="FL81" s="150" t="str" cm="1">
        <f t="array" ref="FL81">IFERROR(ROUND(IF($D81="","",INDEX('M04-S09'!EM$18:EM$199,2*(ROWS(FL$81:FL81)-1)+1)),6),"")</f>
        <v/>
      </c>
      <c r="FM81" s="150" t="str" cm="1">
        <f t="array" ref="FM81">IFERROR(ROUND(IF($D81="","",INDEX('M04-S09'!EN$18:EN$199,2*(ROWS(FM$81:FM81)-1)+1)),6),"")</f>
        <v/>
      </c>
    </row>
    <row r="82" spans="1:169">
      <c r="A82" t="str">
        <f t="shared" si="120"/>
        <v/>
      </c>
      <c r="B82" t="str">
        <f t="shared" ref="B82:B90" si="125">IFERROR(IF(D82="","",CONCATENATE(ROW(),"-",D82)),"")</f>
        <v/>
      </c>
      <c r="C82" t="str" cm="1">
        <f t="array" ref="C82">IFERROR(IF(D82="","",INDEX('M04-S09'!$B$18:$B$199,2*(ROWS(C$81:C82)-1)+1)),"")</f>
        <v/>
      </c>
      <c r="D82" t="str">
        <f t="shared" ref="D82:D90" si="126">IFERROR(IF(E82="","",E82),"")</f>
        <v/>
      </c>
      <c r="E82" t="str" cm="1">
        <f t="array" ref="E82">IFERROR(IF(INDEX('M04-S09'!$CC$18:$CC$199,2*(ROWS(E$81:E82)-1)+1)="","",INDEX('M04-S09'!$CC$18:$CC$199,2*(ROWS(E$81:E82)-1)+1)),"")</f>
        <v/>
      </c>
      <c r="G82" t="str">
        <f t="shared" ref="G82:G90" si="127">IFERROR(IF(C82&lt;&gt;"","Custom",""),"")</f>
        <v/>
      </c>
      <c r="H82" t="str">
        <f t="shared" ref="H82:H90" si="128">IFERROR(IF(C82&lt;&gt;"","Downstream",""),"")</f>
        <v/>
      </c>
      <c r="L82" t="str">
        <f t="shared" ref="L82:L90" si="129">IF($C82="","",IF(AND(AI82&gt;0,AN82&gt;0),"Electric &amp; Gas",IF(AI82&gt;0,"Electric",IF(AN82&gt;0,"Gas",""))))</f>
        <v/>
      </c>
      <c r="O82" t="str">
        <f t="shared" ref="O82:O90" si="130">IF($C82="","",TRUE)</f>
        <v/>
      </c>
      <c r="V82" t="str" cm="1">
        <f t="array" ref="V82">IFERROR(IF(D82="","",INDEX('M04-S09'!$AY$18:$AY$199,2*(ROWS(V$81:V82)-1)+1)),"")</f>
        <v/>
      </c>
      <c r="W82" t="str" cm="1">
        <f t="array" ref="W82">IFERROR(IF(D82="","",INDEX('M04-S09'!$AV$18:$AV$199,2*(ROWS(W$81:W82)-1)+1)),"")</f>
        <v/>
      </c>
      <c r="X82" t="str" cm="1">
        <f t="array" ref="X82">IFERROR(IF(D82="","",INDEX('M04-S09'!$AV$18:$AV$199,2*(ROWS(X$81:X82)-0)+0)),"")</f>
        <v/>
      </c>
      <c r="AG82" s="98" t="str" cm="1">
        <f t="array" ref="AG82">IFERROR(IF(D82="","",IF(INDEX('M04-S09'!$CB$18:$CB$199,2*(ROWS(AG$81:AG82)-1)+1)="","",INDEX('M04-S09'!$CB$18:$CB$199,2*(ROWS(AG$81:AG82)-1)+1))),"")</f>
        <v/>
      </c>
      <c r="AH82" s="98" t="str" cm="1">
        <f t="array" ref="AH82">IFERROR(IF(D82="","",IF(INDEX('M04-S09'!$CU$18:$CU$199,2*(ROWS(AH$81:AH82)-1)+1)="","",INDEX('M04-S09'!$CU$18:$CU$199,2*(ROWS(AH$81:AH82)-1)+1))),"")</f>
        <v/>
      </c>
      <c r="AI82" s="20" t="str" cm="1">
        <f t="array" ref="AI82">IFERROR(IF(D82="","",IF(INDEX('M04-S09'!$CM$18:$CM$199,2*(ROWS(AI$81:AI82)-1)+1)="",0,INDEX('M04-S09'!$CM$18:$CM$199,2*(ROWS(AI$81:AI82)-1)+1))),"")</f>
        <v/>
      </c>
      <c r="AJ82" s="20" t="str">
        <f t="shared" si="86"/>
        <v/>
      </c>
      <c r="AK82" s="487" t="str" cm="1">
        <f t="array" ref="AK82">IFERROR(IF(D82="","",IF(INDEX('M04-S09'!$CN$18:$CN$199,2*(ROWS(AK$81:AK82)-1)+1)="",0,INDEX('M04-S09'!$CN$18:$CN$199,2*(ROWS(AK$81:AK82)-1)+1))),"")</f>
        <v/>
      </c>
      <c r="AL82" s="20" t="str">
        <f t="shared" ref="AL82:AL90" si="131">IF(AN82&gt;=0,AN82,0)</f>
        <v/>
      </c>
      <c r="AM82" s="20" t="str">
        <f t="shared" si="122"/>
        <v/>
      </c>
      <c r="AN82" s="20" t="str" cm="1">
        <f t="array" ref="AN82">IFERROR(IF(D82="","",IF(INDEX('M04-S09'!$CO$18:$CO$199,2*(ROWS(AN$81:AN82)-1)+1)="",0,INDEX('M04-S09'!$CO$18:$CO$199,2*(ROWS(AN$81:AN82)-1)+1))),"")</f>
        <v/>
      </c>
      <c r="AO82" s="20" t="str" cm="1">
        <f t="array" ref="AO82">IFERROR(IF(D82="","",INDEX('M04-S09'!$R$18:$R$199,2*(ROWS(AO$81:AO82)-1)+1)),"")</f>
        <v/>
      </c>
      <c r="AP82" s="20" t="str" cm="1">
        <f t="array" ref="AP82">IFERROR(IF(D82="","",INDEX('M04-S09'!$AJ$18:$AJ$199,2*(ROWS(AP$81:AP82)-1)+1)),"")</f>
        <v/>
      </c>
      <c r="AQ82" s="487" t="str" cm="1">
        <f t="array" ref="AQ82">IFERROR(IF(D82="","",INDEX('M04-S09'!$U$18:$U$199,2*(ROWS(AQ$81:AQ82)-1)+1)),"")</f>
        <v/>
      </c>
      <c r="AR82" s="487" t="str" cm="1">
        <f t="array" ref="AR82">IFERROR(IF(D82="","",INDEX('M04-S09'!$AM$18:$AM$199,2*(ROWS(AR$81:AR82)-1)+1)),"")</f>
        <v/>
      </c>
      <c r="AS82" s="20" t="str" cm="1">
        <f t="array" ref="AS82">IFERROR(IF(D82="","",INDEX('M04-S09'!$X$18:$X$199,2*(ROWS(AS$81:AS82)-1)+1)),"")</f>
        <v/>
      </c>
      <c r="AT82" s="20" t="str" cm="1">
        <f t="array" ref="AT82">IFERROR(IF(D82="","",INDEX('M04-S09'!$AP$18:$AP$199,2*(ROWS(AT$81:AT82)-1)+1)),"")</f>
        <v/>
      </c>
      <c r="BP82" t="str" cm="1">
        <f t="array" ref="BP82">IFERROR(IF(D82="","",INDEX('M04-S09'!$CS$18:$CS$199,2*(ROWS(BP$81:BP82)-1)+1)),"")</f>
        <v/>
      </c>
      <c r="BR82" t="str" cm="1">
        <f t="array" ref="BR82">IFERROR(IF(D82="","",LEFT(INDEX('M04-S09'!$C$18:$C$199,2*(ROWS(BR$81:BR82)-1)+1),150)),"")</f>
        <v/>
      </c>
      <c r="BS82" t="str" cm="1">
        <f t="array" ref="BS82">IFERROR(IF(D82="","",INDEX('M04-S09'!$CT$18:$CT$199,2*(ROWS(BS$81:BS82)-1)+1)),"")</f>
        <v/>
      </c>
      <c r="BT82" s="6" t="str" cm="1">
        <f t="array" ref="BT82">IFERROR(ROUND(IF(D82="","",INDEX('M04-S09'!$BB$18:$BB$199,2*(ROWS(BT$81:BT82)-1)+1)),2),"")</f>
        <v/>
      </c>
      <c r="BU82" s="6" t="str" cm="1">
        <f t="array" ref="BU82">IFERROR(IF(D82="","",INDEX('M04-S09'!$CX$18:$CX$199,2*(ROWS(BU$81:BU82)-1)+1)),"")</f>
        <v/>
      </c>
      <c r="BV82" s="6" t="str" cm="1">
        <f t="array" ref="BV82">IFERROR(IF(D82="","",INDEX('M04-S09'!$CY$18:$CY$199,2*(ROWS(BV$81:BV82)-1)+1)),"")</f>
        <v/>
      </c>
      <c r="BW82" t="str">
        <f t="shared" ref="BW82:BW90" si="132">IF(D82="","","Measure")</f>
        <v/>
      </c>
      <c r="BX82" t="str">
        <f t="shared" ref="BX82:BX90" si="133">IF(D82="","",1)</f>
        <v/>
      </c>
      <c r="BY82" s="6" t="str" cm="1">
        <f t="array" ref="BY82">IFERROR(IF(D82="","",INDEX('M04-S09'!$CI$18:$CI$199,2*(ROWS(BY$81:BY82)-1)+1)),"")</f>
        <v/>
      </c>
      <c r="BZ82" s="6" t="str">
        <f t="shared" si="105"/>
        <v/>
      </c>
      <c r="CA82" s="6" t="str">
        <f t="shared" si="106"/>
        <v/>
      </c>
      <c r="CB82" s="6" t="str">
        <f t="shared" si="87"/>
        <v/>
      </c>
      <c r="CC82" s="6" t="str">
        <f t="shared" si="123"/>
        <v/>
      </c>
      <c r="CD82" s="6" t="str">
        <f t="shared" si="124"/>
        <v/>
      </c>
      <c r="CS82" t="str" cm="1">
        <f t="array" ref="CS82">IFERROR(IF(D82="","",INDEX('M04-S09'!$F$18:$F$199,2*(ROWS(CS$81:CS82)-1)+1)),"")</f>
        <v/>
      </c>
      <c r="CT82" t="str" cm="1">
        <f t="array" ref="CT82">IFERROR(IF(D82="","",INDEX('M04-S09'!$L$18:$L$199,2*(ROWS(CT$81:CT82)-1)+1)),"")</f>
        <v/>
      </c>
      <c r="CU82" t="str" cm="1">
        <f t="array" ref="CU82">IFERROR(IF(D82="","",INDEX('M04-S09'!$AD$18:$AD$199,2*(ROWS(CU$81:CU82)-1)+1)),"")</f>
        <v/>
      </c>
      <c r="DE82" s="150"/>
      <c r="DF82" s="150" t="str">
        <f>IFERROR(ROUND(IF(OR(D82="",DE82=""),"",TEMPLATE!$V$17),2),"")</f>
        <v/>
      </c>
      <c r="DG82" s="150"/>
      <c r="DH82" s="150" t="str">
        <f>IFERROR(ROUND(IF(OR(D82="",DG82=""),"",TEMPLATE!$V$17),2),"")</f>
        <v/>
      </c>
      <c r="DI82" s="150"/>
      <c r="DJ82" s="150" t="str">
        <f>IFERROR(ROUND(IF(OR(D82="",DI82=""),"",TEMPLATE!$V$17),2),"")</f>
        <v/>
      </c>
      <c r="DK82" s="150"/>
      <c r="DL82" s="150" t="str">
        <f>IFERROR(ROUND(IF(OR(D82="",DK82=""),"",TEMPLATE!$V$17),2),"")</f>
        <v/>
      </c>
      <c r="DM82" s="150"/>
      <c r="DN82" s="150" t="str">
        <f>IFERROR(ROUND(IF(OR(D82="",DM82=""),"",TEMPLATE!$V$17),2),"")</f>
        <v/>
      </c>
      <c r="DO82" s="150"/>
      <c r="DP82" s="150" t="str">
        <f>IFERROR(ROUND(IF(OR(D82="",DO82=""),"",TEMPLATE!$V$17),2),"")</f>
        <v/>
      </c>
      <c r="DQ82" s="150"/>
      <c r="DR82" s="150" t="str">
        <f>IFERROR(ROUND(IF(OR(D82="",DQ82=""),"",TEMPLATE!$V$17),2),"")</f>
        <v/>
      </c>
      <c r="DS82" s="150"/>
      <c r="DT82" s="150" t="str">
        <f>IFERROR(ROUND(IF(OR(D82="",DS82=""),"",TEMPLATE!$V$17),2),"")</f>
        <v/>
      </c>
      <c r="DU82" s="150" t="str" cm="1">
        <f t="array" ref="DU82">IFERROR(ROUND(IF($D82="","",INDEX('M04-S09'!DD$18:DD$199,2*(ROWS(DU$81:DU82)-1)+1)),4),"")</f>
        <v/>
      </c>
      <c r="DV82" s="150" t="str" cm="1">
        <f t="array" ref="DV82">IFERROR(ROUND(IF($D82="","",INDEX('M04-S09'!DE$18:DE$199,2*(ROWS(DV$81:DV82)-1)+1)),4),"")</f>
        <v/>
      </c>
      <c r="DW82" s="150" t="str" cm="1">
        <f t="array" ref="DW82">IFERROR(ROUND(IF($D82="","",INDEX('M04-S09'!DF$18:DF$199,2*(ROWS(DW$81:DW82)-1)+1)),4),"")</f>
        <v/>
      </c>
      <c r="DX82" s="150" t="str" cm="1">
        <f t="array" ref="DX82">IFERROR(ROUND(IF($D82="","",INDEX('M04-S09'!DG$18:DG$199,2*(ROWS(DX$81:DX82)-1)+1)),4),"")</f>
        <v/>
      </c>
      <c r="DY82" s="150" t="str" cm="1">
        <f t="array" ref="DY82">IFERROR(ROUND(IF($D82="","",INDEX('M04-S09'!DH$18:DH$199,2*(ROWS(DY$81:DY82)-1)+1)),4),"")</f>
        <v/>
      </c>
      <c r="DZ82" s="150" t="str" cm="1">
        <f t="array" ref="DZ82">IFERROR(ROUND(IF($D82="","",INDEX('M04-S09'!DI$18:DI$199,2*(ROWS(DZ$81:DZ82)-1)+1)),4),"")</f>
        <v/>
      </c>
      <c r="EA82" s="150" t="str" cm="1">
        <f t="array" ref="EA82">IFERROR(ROUND(IF($D82="","",INDEX('M04-S09'!DJ$18:DJ$199,2*(ROWS(EA$81:EA82)-1)+1)),4),"")</f>
        <v/>
      </c>
      <c r="EB82" s="150" t="str" cm="1">
        <f t="array" ref="EB82">IFERROR(ROUND(IF($D82="","",INDEX('M04-S09'!DK$18:DK$199,2*(ROWS(EB$81:EB82)-1)+1)),6),"")</f>
        <v/>
      </c>
      <c r="EC82" s="150" t="str" cm="1">
        <f t="array" ref="EC82">IFERROR(ROUND(IF($D82="","",INDEX('M04-S09'!DL$18:DL$199,2*(ROWS(EC$81:EC82)-1)+1)),6),"")</f>
        <v/>
      </c>
      <c r="ED82" s="150" t="str" cm="1">
        <f t="array" ref="ED82">IFERROR(ROUND(IF($D82="","",INDEX('M04-S09'!DM$18:DM$199,2*(ROWS(ED$81:ED82)-1)+1)),6),"")</f>
        <v/>
      </c>
      <c r="EE82" s="150" t="str" cm="1">
        <f t="array" ref="EE82">IFERROR(ROUND(IF($D82="","",INDEX('M04-S09'!DN$18:DN$199,2*(ROWS(EE$81:EE82)-1)+1)),6),"")</f>
        <v/>
      </c>
      <c r="EF82" s="150" t="str" cm="1">
        <f t="array" ref="EF82">IFERROR(ROUND(IF($D82="","",INDEX('M04-S09'!DO$18:DO$199,2*(ROWS(EF$81:EF82)-1)+1)),6),"")</f>
        <v/>
      </c>
      <c r="EG82" s="150" t="str" cm="1">
        <f t="array" ref="EG82">IFERROR(ROUND(IF($D82="","",INDEX('M04-S09'!DP$18:DP$199,2*(ROWS(EG$81:EG82)-1)+1)),6),"")</f>
        <v/>
      </c>
      <c r="EH82" s="150" t="str" cm="1">
        <f t="array" ref="EH82">IFERROR(ROUND(IF($D82="","",INDEX('M04-S09'!DQ$18:DQ$199,2*(ROWS(EH$81:EH82)-1)+1)),6),"")</f>
        <v/>
      </c>
      <c r="EI82" s="150" t="str" cm="1">
        <f t="array" ref="EI82">IFERROR(ROUND(IF($D82="","",INDEX('M04-S09'!DR$18:DR$199,2*(ROWS(EI$81:EI82)-1)+1)),6),"")</f>
        <v/>
      </c>
      <c r="EJ82" s="150" t="str" cm="1">
        <f t="array" ref="EJ82">IFERROR(ROUND(IF($D82="","",INDEX('M04-S09'!DS$18:DS$199,2*(ROWS(EJ$81:EJ82)-1)+1)),6),"")</f>
        <v/>
      </c>
      <c r="EK82" s="150" t="str" cm="1">
        <f t="array" ref="EK82">IFERROR(ROUND(IF($D82="","",INDEX('M04-S09'!DT$18:DT$199,2*(ROWS(EK$81:EK82)-1)+1)),6),"")</f>
        <v/>
      </c>
      <c r="EL82" s="150" t="str" cm="1">
        <f t="array" ref="EL82">IFERROR(ROUND(IF($D82="","",INDEX('M04-S09'!DU$18:DU$199,2*(ROWS(EL$81:EL82)-1)+1)),6),"")</f>
        <v/>
      </c>
      <c r="EM82" s="150" t="str" cm="1">
        <f t="array" ref="EM82">IFERROR(ROUND(IF($D82="","",INDEX('M04-S09'!DV$18:DV$199,2*(ROWS(EM$81:EM82)-1)+1)),6),"")</f>
        <v/>
      </c>
      <c r="EN82" s="150" t="str" cm="1">
        <f t="array" ref="EN82">IFERROR(ROUND(IF($D82="","",INDEX('M04-S09'!DW$18:DW$199,2*(ROWS(EN$81:EN82)-1)+1)),6),"")</f>
        <v/>
      </c>
      <c r="EO82" s="150" t="str" cm="1">
        <f t="array" ref="EO82">IFERROR(ROUND(IF($D82="","",INDEX('M04-S09'!DX$18:DX$199,2*(ROWS(EO$81:EO82)-1)+1)),6),"")</f>
        <v/>
      </c>
      <c r="EP82" s="150" t="str" cm="1">
        <f t="array" ref="EP82">IFERROR(ROUND(IF($D82="","",INDEX('M04-S09'!DY$18:DY$199,2*(ROWS(EP$81:EP82)-1)+1)),6),"")</f>
        <v/>
      </c>
      <c r="EQ82" s="150" t="str" cm="1">
        <f t="array" ref="EQ82">IFERROR(ROUND(IF($D82="","",INDEX('M04-S09'!DZ$18:DZ$199,2*(ROWS(EQ$81:EQ82)-1)+1)),6),"")</f>
        <v/>
      </c>
      <c r="ER82" s="150" t="str">
        <f t="shared" si="109"/>
        <v/>
      </c>
      <c r="ES82" s="150" t="str">
        <f t="shared" si="37"/>
        <v/>
      </c>
      <c r="ET82" s="150" t="str">
        <f t="shared" si="38"/>
        <v/>
      </c>
      <c r="EU82" s="150" t="str">
        <f t="shared" si="39"/>
        <v/>
      </c>
      <c r="EV82" s="150" t="str">
        <f t="shared" si="40"/>
        <v/>
      </c>
      <c r="EW82" s="150" t="str">
        <f t="shared" si="41"/>
        <v/>
      </c>
      <c r="EX82" s="150" t="str">
        <f t="shared" si="42"/>
        <v/>
      </c>
      <c r="EY82" s="150" t="str">
        <f t="shared" si="110"/>
        <v/>
      </c>
      <c r="EZ82" s="150" t="str" cm="1">
        <f t="array" ref="EZ82">IFERROR(ROUND(IF($D82="","",INDEX('M04-S09'!EA$18:EA$199,2*(ROWS(EZ$81:EZ82)-1)+1)),6),"")</f>
        <v/>
      </c>
      <c r="FA82" s="150" t="str" cm="1">
        <f t="array" ref="FA82">IFERROR(ROUND(IF($D82="","",INDEX('M04-S09'!EB$18:EB$199,2*(ROWS(FA$81:FA82)-1)+1)),6),"")</f>
        <v/>
      </c>
      <c r="FB82" s="150" t="str" cm="1">
        <f t="array" ref="FB82">IFERROR(ROUND(IF($D82="","",INDEX('M04-S09'!EC$18:EC$199,2*(ROWS(FB$81:FB82)-1)+1)),6),"")</f>
        <v/>
      </c>
      <c r="FC82" s="150" t="str" cm="1">
        <f t="array" ref="FC82">IFERROR(ROUND(IF($D82="","",INDEX('M04-S09'!ED$18:ED$199,2*(ROWS(FC$81:FC82)-1)+1)),6),"")</f>
        <v/>
      </c>
      <c r="FD82" s="150" t="str" cm="1">
        <f t="array" ref="FD82">IFERROR(ROUND(IF($D82="","",INDEX('M04-S09'!EE$18:EE$199,2*(ROWS(FD$81:FD82)-1)+1)),6),"")</f>
        <v/>
      </c>
      <c r="FE82" s="150" t="str" cm="1">
        <f t="array" ref="FE82">IFERROR(ROUND(IF($D82="","",INDEX('M04-S09'!EF$18:EF$199,2*(ROWS(FE$81:FE82)-1)+1)),6),"")</f>
        <v/>
      </c>
      <c r="FF82" s="150" t="str" cm="1">
        <f t="array" ref="FF82">IFERROR(ROUND(IF($D82="","",INDEX('M04-S09'!EG$18:EG$199,2*(ROWS(FF$81:FF82)-1)+1)),6),"")</f>
        <v/>
      </c>
      <c r="FG82" s="150" t="str" cm="1">
        <f t="array" ref="FG82">IFERROR(ROUND(IF($D82="","",INDEX('M04-S09'!EH$18:EH$199,2*(ROWS(FG$81:FG82)-1)+1)),6),"")</f>
        <v/>
      </c>
      <c r="FH82" s="150" t="str" cm="1">
        <f t="array" ref="FH82">IFERROR(ROUND(IF($D82="","",INDEX('M04-S09'!EI$18:EI$199,2*(ROWS(FH$81:FH82)-1)+1)),6),"")</f>
        <v/>
      </c>
      <c r="FI82" s="150" t="str" cm="1">
        <f t="array" ref="FI82">IFERROR(ROUND(IF($D82="","",INDEX('M04-S09'!EJ$18:EJ$199,2*(ROWS(FI$81:FI82)-1)+1)),6),"")</f>
        <v/>
      </c>
      <c r="FJ82" s="150" t="str" cm="1">
        <f t="array" ref="FJ82">IFERROR(ROUND(IF($D82="","",INDEX('M04-S09'!EK$18:EK$199,2*(ROWS(FJ$81:FJ82)-1)+1)),6),"")</f>
        <v/>
      </c>
      <c r="FK82" s="150" t="str" cm="1">
        <f t="array" ref="FK82">IFERROR(ROUND(IF($D82="","",INDEX('M04-S09'!EL$18:EL$199,2*(ROWS(FK$81:FK82)-1)+1)),6),"")</f>
        <v/>
      </c>
      <c r="FL82" s="150" t="str" cm="1">
        <f t="array" ref="FL82">IFERROR(ROUND(IF($D82="","",INDEX('M04-S09'!EM$18:EM$199,2*(ROWS(FL$81:FL82)-1)+1)),6),"")</f>
        <v/>
      </c>
      <c r="FM82" s="150" t="str" cm="1">
        <f t="array" ref="FM82">IFERROR(ROUND(IF($D82="","",INDEX('M04-S09'!EN$18:EN$199,2*(ROWS(FM$81:FM82)-1)+1)),6),"")</f>
        <v/>
      </c>
    </row>
    <row r="83" spans="1:169">
      <c r="A83" t="str">
        <f t="shared" si="120"/>
        <v/>
      </c>
      <c r="B83" t="str">
        <f t="shared" si="125"/>
        <v/>
      </c>
      <c r="C83" t="str" cm="1">
        <f t="array" ref="C83">IFERROR(IF(D83="","",INDEX('M04-S09'!$B$18:$B$199,2*(ROWS(C$81:C83)-1)+1)),"")</f>
        <v/>
      </c>
      <c r="D83" t="str">
        <f t="shared" si="126"/>
        <v/>
      </c>
      <c r="E83" t="str" cm="1">
        <f t="array" ref="E83">IFERROR(IF(INDEX('M04-S09'!$CC$18:$CC$199,2*(ROWS(E$81:E83)-1)+1)="","",INDEX('M04-S09'!$CC$18:$CC$199,2*(ROWS(E$81:E83)-1)+1)),"")</f>
        <v/>
      </c>
      <c r="G83" t="str">
        <f t="shared" si="127"/>
        <v/>
      </c>
      <c r="H83" t="str">
        <f t="shared" si="128"/>
        <v/>
      </c>
      <c r="L83" t="str">
        <f t="shared" si="129"/>
        <v/>
      </c>
      <c r="O83" t="str">
        <f t="shared" si="130"/>
        <v/>
      </c>
      <c r="V83" t="str" cm="1">
        <f t="array" ref="V83">IFERROR(IF(D83="","",INDEX('M04-S09'!$AY$18:$AY$199,2*(ROWS(V$81:V83)-1)+1)),"")</f>
        <v/>
      </c>
      <c r="W83" t="str" cm="1">
        <f t="array" ref="W83">IFERROR(IF(D83="","",INDEX('M04-S09'!$AV$18:$AV$199,2*(ROWS(W$81:W83)-1)+1)),"")</f>
        <v/>
      </c>
      <c r="X83" t="str" cm="1">
        <f t="array" ref="X83">IFERROR(IF(D83="","",INDEX('M04-S09'!$AV$18:$AV$199,2*(ROWS(X$81:X83)-0)+0)),"")</f>
        <v/>
      </c>
      <c r="AG83" s="98" t="str" cm="1">
        <f t="array" ref="AG83">IFERROR(IF(D83="","",IF(INDEX('M04-S09'!$CB$18:$CB$199,2*(ROWS(AG$81:AG83)-1)+1)="","",INDEX('M04-S09'!$CB$18:$CB$199,2*(ROWS(AG$81:AG83)-1)+1))),"")</f>
        <v/>
      </c>
      <c r="AH83" s="98" t="str" cm="1">
        <f t="array" ref="AH83">IFERROR(IF(D83="","",IF(INDEX('M04-S09'!$CU$18:$CU$199,2*(ROWS(AH$81:AH83)-1)+1)="","",INDEX('M04-S09'!$CU$18:$CU$199,2*(ROWS(AH$81:AH83)-1)+1))),"")</f>
        <v/>
      </c>
      <c r="AI83" s="20" t="str" cm="1">
        <f t="array" ref="AI83">IFERROR(IF(D83="","",IF(INDEX('M04-S09'!$CM$18:$CM$199,2*(ROWS(AI$81:AI83)-1)+1)="",0,INDEX('M04-S09'!$CM$18:$CM$199,2*(ROWS(AI$81:AI83)-1)+1))),"")</f>
        <v/>
      </c>
      <c r="AJ83" s="20" t="str">
        <f t="shared" si="86"/>
        <v/>
      </c>
      <c r="AK83" s="487" t="str" cm="1">
        <f t="array" ref="AK83">IFERROR(IF(D83="","",IF(INDEX('M04-S09'!$CN$18:$CN$199,2*(ROWS(AK$81:AK83)-1)+1)="",0,INDEX('M04-S09'!$CN$18:$CN$199,2*(ROWS(AK$81:AK83)-1)+1))),"")</f>
        <v/>
      </c>
      <c r="AL83" s="20" t="str">
        <f t="shared" si="131"/>
        <v/>
      </c>
      <c r="AM83" s="20" t="str">
        <f t="shared" si="122"/>
        <v/>
      </c>
      <c r="AN83" s="20" t="str" cm="1">
        <f t="array" ref="AN83">IFERROR(IF(D83="","",IF(INDEX('M04-S09'!$CO$18:$CO$199,2*(ROWS(AN$81:AN83)-1)+1)="",0,INDEX('M04-S09'!$CO$18:$CO$199,2*(ROWS(AN$81:AN83)-1)+1))),"")</f>
        <v/>
      </c>
      <c r="AO83" s="20" t="str" cm="1">
        <f t="array" ref="AO83">IFERROR(IF(D83="","",INDEX('M04-S09'!$R$18:$R$199,2*(ROWS(AO$81:AO83)-1)+1)),"")</f>
        <v/>
      </c>
      <c r="AP83" s="20" t="str" cm="1">
        <f t="array" ref="AP83">IFERROR(IF(D83="","",INDEX('M04-S09'!$AJ$18:$AJ$199,2*(ROWS(AP$81:AP83)-1)+1)),"")</f>
        <v/>
      </c>
      <c r="AQ83" s="487" t="str" cm="1">
        <f t="array" ref="AQ83">IFERROR(IF(D83="","",INDEX('M04-S09'!$U$18:$U$199,2*(ROWS(AQ$81:AQ83)-1)+1)),"")</f>
        <v/>
      </c>
      <c r="AR83" s="487" t="str" cm="1">
        <f t="array" ref="AR83">IFERROR(IF(D83="","",INDEX('M04-S09'!$AM$18:$AM$199,2*(ROWS(AR$81:AR83)-1)+1)),"")</f>
        <v/>
      </c>
      <c r="AS83" s="20" t="str" cm="1">
        <f t="array" ref="AS83">IFERROR(IF(D83="","",INDEX('M04-S09'!$X$18:$X$199,2*(ROWS(AS$81:AS83)-1)+1)),"")</f>
        <v/>
      </c>
      <c r="AT83" s="20" t="str" cm="1">
        <f t="array" ref="AT83">IFERROR(IF(D83="","",INDEX('M04-S09'!$AP$18:$AP$199,2*(ROWS(AT$81:AT83)-1)+1)),"")</f>
        <v/>
      </c>
      <c r="BP83" t="str" cm="1">
        <f t="array" ref="BP83">IFERROR(IF(D83="","",INDEX('M04-S09'!$CS$18:$CS$199,2*(ROWS(BP$81:BP83)-1)+1)),"")</f>
        <v/>
      </c>
      <c r="BR83" t="str" cm="1">
        <f t="array" ref="BR83">IFERROR(IF(D83="","",LEFT(INDEX('M04-S09'!$C$18:$C$199,2*(ROWS(BR$81:BR83)-1)+1),150)),"")</f>
        <v/>
      </c>
      <c r="BS83" t="str" cm="1">
        <f t="array" ref="BS83">IFERROR(IF(D83="","",INDEX('M04-S09'!$CT$18:$CT$199,2*(ROWS(BS$81:BS83)-1)+1)),"")</f>
        <v/>
      </c>
      <c r="BT83" s="6" t="str" cm="1">
        <f t="array" ref="BT83">IFERROR(ROUND(IF(D83="","",INDEX('M04-S09'!$BB$18:$BB$199,2*(ROWS(BT$81:BT83)-1)+1)),2),"")</f>
        <v/>
      </c>
      <c r="BU83" s="6" t="str" cm="1">
        <f t="array" ref="BU83">IFERROR(IF(D83="","",INDEX('M04-S09'!$CX$18:$CX$199,2*(ROWS(BU$81:BU83)-1)+1)),"")</f>
        <v/>
      </c>
      <c r="BV83" s="6" t="str" cm="1">
        <f t="array" ref="BV83">IFERROR(IF(D83="","",INDEX('M04-S09'!$CY$18:$CY$199,2*(ROWS(BV$81:BV83)-1)+1)),"")</f>
        <v/>
      </c>
      <c r="BW83" t="str">
        <f t="shared" si="132"/>
        <v/>
      </c>
      <c r="BX83" t="str">
        <f t="shared" si="133"/>
        <v/>
      </c>
      <c r="BY83" s="6" t="str" cm="1">
        <f t="array" ref="BY83">IFERROR(IF(D83="","",INDEX('M04-S09'!$CI$18:$CI$199,2*(ROWS(BY$81:BY83)-1)+1)),"")</f>
        <v/>
      </c>
      <c r="BZ83" s="6" t="str">
        <f t="shared" si="105"/>
        <v/>
      </c>
      <c r="CA83" s="6" t="str">
        <f t="shared" si="106"/>
        <v/>
      </c>
      <c r="CB83" s="6" t="str">
        <f t="shared" si="87"/>
        <v/>
      </c>
      <c r="CC83" s="6" t="str">
        <f t="shared" si="123"/>
        <v/>
      </c>
      <c r="CD83" s="6" t="str">
        <f t="shared" si="124"/>
        <v/>
      </c>
      <c r="CS83" t="str" cm="1">
        <f t="array" ref="CS83">IFERROR(IF(D83="","",INDEX('M04-S09'!$F$18:$F$199,2*(ROWS(CS$81:CS83)-1)+1)),"")</f>
        <v/>
      </c>
      <c r="CT83" t="str" cm="1">
        <f t="array" ref="CT83">IFERROR(IF(D83="","",INDEX('M04-S09'!$L$18:$L$199,2*(ROWS(CT$81:CT83)-1)+1)),"")</f>
        <v/>
      </c>
      <c r="CU83" t="str" cm="1">
        <f t="array" ref="CU83">IFERROR(IF(D83="","",INDEX('M04-S09'!$AD$18:$AD$199,2*(ROWS(CU$81:CU83)-1)+1)),"")</f>
        <v/>
      </c>
      <c r="DE83" s="150"/>
      <c r="DF83" s="150" t="str">
        <f>IFERROR(ROUND(IF(OR(D83="",DE83=""),"",TEMPLATE!$V$17),2),"")</f>
        <v/>
      </c>
      <c r="DG83" s="150"/>
      <c r="DH83" s="150" t="str">
        <f>IFERROR(ROUND(IF(OR(D83="",DG83=""),"",TEMPLATE!$V$17),2),"")</f>
        <v/>
      </c>
      <c r="DI83" s="150"/>
      <c r="DJ83" s="150" t="str">
        <f>IFERROR(ROUND(IF(OR(D83="",DI83=""),"",TEMPLATE!$V$17),2),"")</f>
        <v/>
      </c>
      <c r="DK83" s="150"/>
      <c r="DL83" s="150" t="str">
        <f>IFERROR(ROUND(IF(OR(D83="",DK83=""),"",TEMPLATE!$V$17),2),"")</f>
        <v/>
      </c>
      <c r="DM83" s="150"/>
      <c r="DN83" s="150" t="str">
        <f>IFERROR(ROUND(IF(OR(D83="",DM83=""),"",TEMPLATE!$V$17),2),"")</f>
        <v/>
      </c>
      <c r="DO83" s="150"/>
      <c r="DP83" s="150" t="str">
        <f>IFERROR(ROUND(IF(OR(D83="",DO83=""),"",TEMPLATE!$V$17),2),"")</f>
        <v/>
      </c>
      <c r="DQ83" s="150"/>
      <c r="DR83" s="150" t="str">
        <f>IFERROR(ROUND(IF(OR(D83="",DQ83=""),"",TEMPLATE!$V$17),2),"")</f>
        <v/>
      </c>
      <c r="DS83" s="150"/>
      <c r="DT83" s="150" t="str">
        <f>IFERROR(ROUND(IF(OR(D83="",DS83=""),"",TEMPLATE!$V$17),2),"")</f>
        <v/>
      </c>
      <c r="DU83" s="150" t="str" cm="1">
        <f t="array" ref="DU83">IFERROR(ROUND(IF($D83="","",INDEX('M04-S09'!DD$18:DD$199,2*(ROWS(DU$81:DU83)-1)+1)),4),"")</f>
        <v/>
      </c>
      <c r="DV83" s="150" t="str" cm="1">
        <f t="array" ref="DV83">IFERROR(ROUND(IF($D83="","",INDEX('M04-S09'!DE$18:DE$199,2*(ROWS(DV$81:DV83)-1)+1)),4),"")</f>
        <v/>
      </c>
      <c r="DW83" s="150" t="str" cm="1">
        <f t="array" ref="DW83">IFERROR(ROUND(IF($D83="","",INDEX('M04-S09'!DF$18:DF$199,2*(ROWS(DW$81:DW83)-1)+1)),4),"")</f>
        <v/>
      </c>
      <c r="DX83" s="150" t="str" cm="1">
        <f t="array" ref="DX83">IFERROR(ROUND(IF($D83="","",INDEX('M04-S09'!DG$18:DG$199,2*(ROWS(DX$81:DX83)-1)+1)),4),"")</f>
        <v/>
      </c>
      <c r="DY83" s="150" t="str" cm="1">
        <f t="array" ref="DY83">IFERROR(ROUND(IF($D83="","",INDEX('M04-S09'!DH$18:DH$199,2*(ROWS(DY$81:DY83)-1)+1)),4),"")</f>
        <v/>
      </c>
      <c r="DZ83" s="150" t="str" cm="1">
        <f t="array" ref="DZ83">IFERROR(ROUND(IF($D83="","",INDEX('M04-S09'!DI$18:DI$199,2*(ROWS(DZ$81:DZ83)-1)+1)),4),"")</f>
        <v/>
      </c>
      <c r="EA83" s="150" t="str" cm="1">
        <f t="array" ref="EA83">IFERROR(ROUND(IF($D83="","",INDEX('M04-S09'!DJ$18:DJ$199,2*(ROWS(EA$81:EA83)-1)+1)),4),"")</f>
        <v/>
      </c>
      <c r="EB83" s="150" t="str" cm="1">
        <f t="array" ref="EB83">IFERROR(ROUND(IF($D83="","",INDEX('M04-S09'!DK$18:DK$199,2*(ROWS(EB$81:EB83)-1)+1)),6),"")</f>
        <v/>
      </c>
      <c r="EC83" s="150" t="str" cm="1">
        <f t="array" ref="EC83">IFERROR(ROUND(IF($D83="","",INDEX('M04-S09'!DL$18:DL$199,2*(ROWS(EC$81:EC83)-1)+1)),6),"")</f>
        <v/>
      </c>
      <c r="ED83" s="150" t="str" cm="1">
        <f t="array" ref="ED83">IFERROR(ROUND(IF($D83="","",INDEX('M04-S09'!DM$18:DM$199,2*(ROWS(ED$81:ED83)-1)+1)),6),"")</f>
        <v/>
      </c>
      <c r="EE83" s="150" t="str" cm="1">
        <f t="array" ref="EE83">IFERROR(ROUND(IF($D83="","",INDEX('M04-S09'!DN$18:DN$199,2*(ROWS(EE$81:EE83)-1)+1)),6),"")</f>
        <v/>
      </c>
      <c r="EF83" s="150" t="str" cm="1">
        <f t="array" ref="EF83">IFERROR(ROUND(IF($D83="","",INDEX('M04-S09'!DO$18:DO$199,2*(ROWS(EF$81:EF83)-1)+1)),6),"")</f>
        <v/>
      </c>
      <c r="EG83" s="150" t="str" cm="1">
        <f t="array" ref="EG83">IFERROR(ROUND(IF($D83="","",INDEX('M04-S09'!DP$18:DP$199,2*(ROWS(EG$81:EG83)-1)+1)),6),"")</f>
        <v/>
      </c>
      <c r="EH83" s="150" t="str" cm="1">
        <f t="array" ref="EH83">IFERROR(ROUND(IF($D83="","",INDEX('M04-S09'!DQ$18:DQ$199,2*(ROWS(EH$81:EH83)-1)+1)),6),"")</f>
        <v/>
      </c>
      <c r="EI83" s="150" t="str" cm="1">
        <f t="array" ref="EI83">IFERROR(ROUND(IF($D83="","",INDEX('M04-S09'!DR$18:DR$199,2*(ROWS(EI$81:EI83)-1)+1)),6),"")</f>
        <v/>
      </c>
      <c r="EJ83" s="150" t="str" cm="1">
        <f t="array" ref="EJ83">IFERROR(ROUND(IF($D83="","",INDEX('M04-S09'!DS$18:DS$199,2*(ROWS(EJ$81:EJ83)-1)+1)),6),"")</f>
        <v/>
      </c>
      <c r="EK83" s="150" t="str" cm="1">
        <f t="array" ref="EK83">IFERROR(ROUND(IF($D83="","",INDEX('M04-S09'!DT$18:DT$199,2*(ROWS(EK$81:EK83)-1)+1)),6),"")</f>
        <v/>
      </c>
      <c r="EL83" s="150" t="str" cm="1">
        <f t="array" ref="EL83">IFERROR(ROUND(IF($D83="","",INDEX('M04-S09'!DU$18:DU$199,2*(ROWS(EL$81:EL83)-1)+1)),6),"")</f>
        <v/>
      </c>
      <c r="EM83" s="150" t="str" cm="1">
        <f t="array" ref="EM83">IFERROR(ROUND(IF($D83="","",INDEX('M04-S09'!DV$18:DV$199,2*(ROWS(EM$81:EM83)-1)+1)),6),"")</f>
        <v/>
      </c>
      <c r="EN83" s="150" t="str" cm="1">
        <f t="array" ref="EN83">IFERROR(ROUND(IF($D83="","",INDEX('M04-S09'!DW$18:DW$199,2*(ROWS(EN$81:EN83)-1)+1)),6),"")</f>
        <v/>
      </c>
      <c r="EO83" s="150" t="str" cm="1">
        <f t="array" ref="EO83">IFERROR(ROUND(IF($D83="","",INDEX('M04-S09'!DX$18:DX$199,2*(ROWS(EO$81:EO83)-1)+1)),6),"")</f>
        <v/>
      </c>
      <c r="EP83" s="150" t="str" cm="1">
        <f t="array" ref="EP83">IFERROR(ROUND(IF($D83="","",INDEX('M04-S09'!DY$18:DY$199,2*(ROWS(EP$81:EP83)-1)+1)),6),"")</f>
        <v/>
      </c>
      <c r="EQ83" s="150" t="str" cm="1">
        <f t="array" ref="EQ83">IFERROR(ROUND(IF($D83="","",INDEX('M04-S09'!DZ$18:DZ$199,2*(ROWS(EQ$81:EQ83)-1)+1)),6),"")</f>
        <v/>
      </c>
      <c r="ER83" s="150" t="str">
        <f t="shared" si="109"/>
        <v/>
      </c>
      <c r="ES83" s="150" t="str">
        <f t="shared" si="37"/>
        <v/>
      </c>
      <c r="ET83" s="150" t="str">
        <f t="shared" si="38"/>
        <v/>
      </c>
      <c r="EU83" s="150" t="str">
        <f t="shared" si="39"/>
        <v/>
      </c>
      <c r="EV83" s="150" t="str">
        <f t="shared" si="40"/>
        <v/>
      </c>
      <c r="EW83" s="150" t="str">
        <f t="shared" si="41"/>
        <v/>
      </c>
      <c r="EX83" s="150" t="str">
        <f t="shared" si="42"/>
        <v/>
      </c>
      <c r="EY83" s="150" t="str">
        <f t="shared" si="110"/>
        <v/>
      </c>
      <c r="EZ83" s="150" t="str" cm="1">
        <f t="array" ref="EZ83">IFERROR(ROUND(IF($D83="","",INDEX('M04-S09'!EA$18:EA$199,2*(ROWS(EZ$81:EZ83)-1)+1)),6),"")</f>
        <v/>
      </c>
      <c r="FA83" s="150" t="str" cm="1">
        <f t="array" ref="FA83">IFERROR(ROUND(IF($D83="","",INDEX('M04-S09'!EB$18:EB$199,2*(ROWS(FA$81:FA83)-1)+1)),6),"")</f>
        <v/>
      </c>
      <c r="FB83" s="150" t="str" cm="1">
        <f t="array" ref="FB83">IFERROR(ROUND(IF($D83="","",INDEX('M04-S09'!EC$18:EC$199,2*(ROWS(FB$81:FB83)-1)+1)),6),"")</f>
        <v/>
      </c>
      <c r="FC83" s="150" t="str" cm="1">
        <f t="array" ref="FC83">IFERROR(ROUND(IF($D83="","",INDEX('M04-S09'!ED$18:ED$199,2*(ROWS(FC$81:FC83)-1)+1)),6),"")</f>
        <v/>
      </c>
      <c r="FD83" s="150" t="str" cm="1">
        <f t="array" ref="FD83">IFERROR(ROUND(IF($D83="","",INDEX('M04-S09'!EE$18:EE$199,2*(ROWS(FD$81:FD83)-1)+1)),6),"")</f>
        <v/>
      </c>
      <c r="FE83" s="150" t="str" cm="1">
        <f t="array" ref="FE83">IFERROR(ROUND(IF($D83="","",INDEX('M04-S09'!EF$18:EF$199,2*(ROWS(FE$81:FE83)-1)+1)),6),"")</f>
        <v/>
      </c>
      <c r="FF83" s="150" t="str" cm="1">
        <f t="array" ref="FF83">IFERROR(ROUND(IF($D83="","",INDEX('M04-S09'!EG$18:EG$199,2*(ROWS(FF$81:FF83)-1)+1)),6),"")</f>
        <v/>
      </c>
      <c r="FG83" s="150" t="str" cm="1">
        <f t="array" ref="FG83">IFERROR(ROUND(IF($D83="","",INDEX('M04-S09'!EH$18:EH$199,2*(ROWS(FG$81:FG83)-1)+1)),6),"")</f>
        <v/>
      </c>
      <c r="FH83" s="150" t="str" cm="1">
        <f t="array" ref="FH83">IFERROR(ROUND(IF($D83="","",INDEX('M04-S09'!EI$18:EI$199,2*(ROWS(FH$81:FH83)-1)+1)),6),"")</f>
        <v/>
      </c>
      <c r="FI83" s="150" t="str" cm="1">
        <f t="array" ref="FI83">IFERROR(ROUND(IF($D83="","",INDEX('M04-S09'!EJ$18:EJ$199,2*(ROWS(FI$81:FI83)-1)+1)),6),"")</f>
        <v/>
      </c>
      <c r="FJ83" s="150" t="str" cm="1">
        <f t="array" ref="FJ83">IFERROR(ROUND(IF($D83="","",INDEX('M04-S09'!EK$18:EK$199,2*(ROWS(FJ$81:FJ83)-1)+1)),6),"")</f>
        <v/>
      </c>
      <c r="FK83" s="150" t="str" cm="1">
        <f t="array" ref="FK83">IFERROR(ROUND(IF($D83="","",INDEX('M04-S09'!EL$18:EL$199,2*(ROWS(FK$81:FK83)-1)+1)),6),"")</f>
        <v/>
      </c>
      <c r="FL83" s="150" t="str" cm="1">
        <f t="array" ref="FL83">IFERROR(ROUND(IF($D83="","",INDEX('M04-S09'!EM$18:EM$199,2*(ROWS(FL$81:FL83)-1)+1)),6),"")</f>
        <v/>
      </c>
      <c r="FM83" s="150" t="str" cm="1">
        <f t="array" ref="FM83">IFERROR(ROUND(IF($D83="","",INDEX('M04-S09'!EN$18:EN$199,2*(ROWS(FM$81:FM83)-1)+1)),6),"")</f>
        <v/>
      </c>
    </row>
    <row r="84" spans="1:169">
      <c r="A84" t="str">
        <f t="shared" si="120"/>
        <v/>
      </c>
      <c r="B84" t="str">
        <f t="shared" si="125"/>
        <v/>
      </c>
      <c r="C84" t="str" cm="1">
        <f t="array" ref="C84">IFERROR(IF(D84="","",INDEX('M04-S09'!$B$18:$B$199,2*(ROWS(C$81:C84)-1)+1)),"")</f>
        <v/>
      </c>
      <c r="D84" t="str">
        <f t="shared" si="126"/>
        <v/>
      </c>
      <c r="E84" t="str" cm="1">
        <f t="array" ref="E84">IFERROR(IF(INDEX('M04-S09'!$CC$18:$CC$199,2*(ROWS(E$81:E84)-1)+1)="","",INDEX('M04-S09'!$CC$18:$CC$199,2*(ROWS(E$81:E84)-1)+1)),"")</f>
        <v/>
      </c>
      <c r="G84" t="str">
        <f t="shared" si="127"/>
        <v/>
      </c>
      <c r="H84" t="str">
        <f t="shared" si="128"/>
        <v/>
      </c>
      <c r="L84" t="str">
        <f t="shared" si="129"/>
        <v/>
      </c>
      <c r="O84" t="str">
        <f t="shared" si="130"/>
        <v/>
      </c>
      <c r="V84" t="str" cm="1">
        <f t="array" ref="V84">IFERROR(IF(D84="","",INDEX('M04-S09'!$AY$18:$AY$199,2*(ROWS(V$81:V84)-1)+1)),"")</f>
        <v/>
      </c>
      <c r="W84" t="str" cm="1">
        <f t="array" ref="W84">IFERROR(IF(D84="","",INDEX('M04-S09'!$AV$18:$AV$199,2*(ROWS(W$81:W84)-1)+1)),"")</f>
        <v/>
      </c>
      <c r="X84" t="str" cm="1">
        <f t="array" ref="X84">IFERROR(IF(D84="","",INDEX('M04-S09'!$AV$18:$AV$199,2*(ROWS(X$81:X84)-0)+0)),"")</f>
        <v/>
      </c>
      <c r="AG84" s="98" t="str" cm="1">
        <f t="array" ref="AG84">IFERROR(IF(D84="","",IF(INDEX('M04-S09'!$CB$18:$CB$199,2*(ROWS(AG$81:AG84)-1)+1)="","",INDEX('M04-S09'!$CB$18:$CB$199,2*(ROWS(AG$81:AG84)-1)+1))),"")</f>
        <v/>
      </c>
      <c r="AH84" s="98" t="str" cm="1">
        <f t="array" ref="AH84">IFERROR(IF(D84="","",IF(INDEX('M04-S09'!$CU$18:$CU$199,2*(ROWS(AH$81:AH84)-1)+1)="","",INDEX('M04-S09'!$CU$18:$CU$199,2*(ROWS(AH$81:AH84)-1)+1))),"")</f>
        <v/>
      </c>
      <c r="AI84" s="20" t="str" cm="1">
        <f t="array" ref="AI84">IFERROR(IF(D84="","",IF(INDEX('M04-S09'!$CM$18:$CM$199,2*(ROWS(AI$81:AI84)-1)+1)="",0,INDEX('M04-S09'!$CM$18:$CM$199,2*(ROWS(AI$81:AI84)-1)+1))),"")</f>
        <v/>
      </c>
      <c r="AJ84" s="20" t="str">
        <f t="shared" si="86"/>
        <v/>
      </c>
      <c r="AK84" s="487" t="str" cm="1">
        <f t="array" ref="AK84">IFERROR(IF(D84="","",IF(INDEX('M04-S09'!$CN$18:$CN$199,2*(ROWS(AK$81:AK84)-1)+1)="",0,INDEX('M04-S09'!$CN$18:$CN$199,2*(ROWS(AK$81:AK84)-1)+1))),"")</f>
        <v/>
      </c>
      <c r="AL84" s="20" t="str">
        <f t="shared" si="131"/>
        <v/>
      </c>
      <c r="AM84" s="20" t="str">
        <f t="shared" si="122"/>
        <v/>
      </c>
      <c r="AN84" s="20" t="str" cm="1">
        <f t="array" ref="AN84">IFERROR(IF(D84="","",IF(INDEX('M04-S09'!$CO$18:$CO$199,2*(ROWS(AN$81:AN84)-1)+1)="",0,INDEX('M04-S09'!$CO$18:$CO$199,2*(ROWS(AN$81:AN84)-1)+1))),"")</f>
        <v/>
      </c>
      <c r="AO84" s="20" t="str" cm="1">
        <f t="array" ref="AO84">IFERROR(IF(D84="","",INDEX('M04-S09'!$R$18:$R$199,2*(ROWS(AO$81:AO84)-1)+1)),"")</f>
        <v/>
      </c>
      <c r="AP84" s="20" t="str" cm="1">
        <f t="array" ref="AP84">IFERROR(IF(D84="","",INDEX('M04-S09'!$AJ$18:$AJ$199,2*(ROWS(AP$81:AP84)-1)+1)),"")</f>
        <v/>
      </c>
      <c r="AQ84" s="487" t="str" cm="1">
        <f t="array" ref="AQ84">IFERROR(IF(D84="","",INDEX('M04-S09'!$U$18:$U$199,2*(ROWS(AQ$81:AQ84)-1)+1)),"")</f>
        <v/>
      </c>
      <c r="AR84" s="487" t="str" cm="1">
        <f t="array" ref="AR84">IFERROR(IF(D84="","",INDEX('M04-S09'!$AM$18:$AM$199,2*(ROWS(AR$81:AR84)-1)+1)),"")</f>
        <v/>
      </c>
      <c r="AS84" s="20" t="str" cm="1">
        <f t="array" ref="AS84">IFERROR(IF(D84="","",INDEX('M04-S09'!$X$18:$X$199,2*(ROWS(AS$81:AS84)-1)+1)),"")</f>
        <v/>
      </c>
      <c r="AT84" s="20" t="str" cm="1">
        <f t="array" ref="AT84">IFERROR(IF(D84="","",INDEX('M04-S09'!$AP$18:$AP$199,2*(ROWS(AT$81:AT84)-1)+1)),"")</f>
        <v/>
      </c>
      <c r="BP84" t="str" cm="1">
        <f t="array" ref="BP84">IFERROR(IF(D84="","",INDEX('M04-S09'!$CS$18:$CS$199,2*(ROWS(BP$81:BP84)-1)+1)),"")</f>
        <v/>
      </c>
      <c r="BR84" t="str" cm="1">
        <f t="array" ref="BR84">IFERROR(IF(D84="","",LEFT(INDEX('M04-S09'!$C$18:$C$199,2*(ROWS(BR$81:BR84)-1)+1),150)),"")</f>
        <v/>
      </c>
      <c r="BS84" t="str" cm="1">
        <f t="array" ref="BS84">IFERROR(IF(D84="","",INDEX('M04-S09'!$CT$18:$CT$199,2*(ROWS(BS$81:BS84)-1)+1)),"")</f>
        <v/>
      </c>
      <c r="BT84" s="6" t="str" cm="1">
        <f t="array" ref="BT84">IFERROR(ROUND(IF(D84="","",INDEX('M04-S09'!$BB$18:$BB$199,2*(ROWS(BT$81:BT84)-1)+1)),2),"")</f>
        <v/>
      </c>
      <c r="BU84" s="6" t="str" cm="1">
        <f t="array" ref="BU84">IFERROR(IF(D84="","",INDEX('M04-S09'!$CX$18:$CX$199,2*(ROWS(BU$81:BU84)-1)+1)),"")</f>
        <v/>
      </c>
      <c r="BV84" s="6" t="str" cm="1">
        <f t="array" ref="BV84">IFERROR(IF(D84="","",INDEX('M04-S09'!$CY$18:$CY$199,2*(ROWS(BV$81:BV84)-1)+1)),"")</f>
        <v/>
      </c>
      <c r="BW84" t="str">
        <f t="shared" si="132"/>
        <v/>
      </c>
      <c r="BX84" t="str">
        <f t="shared" si="133"/>
        <v/>
      </c>
      <c r="BY84" s="6" t="str" cm="1">
        <f t="array" ref="BY84">IFERROR(IF(D84="","",INDEX('M04-S09'!$CI$18:$CI$199,2*(ROWS(BY$81:BY84)-1)+1)),"")</f>
        <v/>
      </c>
      <c r="BZ84" s="6" t="str">
        <f t="shared" si="105"/>
        <v/>
      </c>
      <c r="CA84" s="6" t="str">
        <f t="shared" si="106"/>
        <v/>
      </c>
      <c r="CB84" s="6" t="str">
        <f t="shared" si="87"/>
        <v/>
      </c>
      <c r="CC84" s="6" t="str">
        <f t="shared" si="123"/>
        <v/>
      </c>
      <c r="CD84" s="6" t="str">
        <f t="shared" si="124"/>
        <v/>
      </c>
      <c r="CS84" t="str" cm="1">
        <f t="array" ref="CS84">IFERROR(IF(D84="","",INDEX('M04-S09'!$F$18:$F$199,2*(ROWS(CS$81:CS84)-1)+1)),"")</f>
        <v/>
      </c>
      <c r="CT84" t="str" cm="1">
        <f t="array" ref="CT84">IFERROR(IF(D84="","",INDEX('M04-S09'!$L$18:$L$199,2*(ROWS(CT$81:CT84)-1)+1)),"")</f>
        <v/>
      </c>
      <c r="CU84" t="str" cm="1">
        <f t="array" ref="CU84">IFERROR(IF(D84="","",INDEX('M04-S09'!$AD$18:$AD$199,2*(ROWS(CU$81:CU84)-1)+1)),"")</f>
        <v/>
      </c>
      <c r="DE84" s="150"/>
      <c r="DF84" s="150" t="str">
        <f>IFERROR(ROUND(IF(OR(D84="",DE84=""),"",TEMPLATE!$V$17),2),"")</f>
        <v/>
      </c>
      <c r="DG84" s="150"/>
      <c r="DH84" s="150" t="str">
        <f>IFERROR(ROUND(IF(OR(D84="",DG84=""),"",TEMPLATE!$V$17),2),"")</f>
        <v/>
      </c>
      <c r="DI84" s="150"/>
      <c r="DJ84" s="150" t="str">
        <f>IFERROR(ROUND(IF(OR(D84="",DI84=""),"",TEMPLATE!$V$17),2),"")</f>
        <v/>
      </c>
      <c r="DK84" s="150"/>
      <c r="DL84" s="150" t="str">
        <f>IFERROR(ROUND(IF(OR(D84="",DK84=""),"",TEMPLATE!$V$17),2),"")</f>
        <v/>
      </c>
      <c r="DM84" s="150"/>
      <c r="DN84" s="150" t="str">
        <f>IFERROR(ROUND(IF(OR(D84="",DM84=""),"",TEMPLATE!$V$17),2),"")</f>
        <v/>
      </c>
      <c r="DO84" s="150"/>
      <c r="DP84" s="150" t="str">
        <f>IFERROR(ROUND(IF(OR(D84="",DO84=""),"",TEMPLATE!$V$17),2),"")</f>
        <v/>
      </c>
      <c r="DQ84" s="150"/>
      <c r="DR84" s="150" t="str">
        <f>IFERROR(ROUND(IF(OR(D84="",DQ84=""),"",TEMPLATE!$V$17),2),"")</f>
        <v/>
      </c>
      <c r="DS84" s="150"/>
      <c r="DT84" s="150" t="str">
        <f>IFERROR(ROUND(IF(OR(D84="",DS84=""),"",TEMPLATE!$V$17),2),"")</f>
        <v/>
      </c>
      <c r="DU84" s="150" t="str" cm="1">
        <f t="array" ref="DU84">IFERROR(ROUND(IF($D84="","",INDEX('M04-S09'!DD$18:DD$199,2*(ROWS(DU$81:DU84)-1)+1)),4),"")</f>
        <v/>
      </c>
      <c r="DV84" s="150" t="str" cm="1">
        <f t="array" ref="DV84">IFERROR(ROUND(IF($D84="","",INDEX('M04-S09'!DE$18:DE$199,2*(ROWS(DV$81:DV84)-1)+1)),4),"")</f>
        <v/>
      </c>
      <c r="DW84" s="150" t="str" cm="1">
        <f t="array" ref="DW84">IFERROR(ROUND(IF($D84="","",INDEX('M04-S09'!DF$18:DF$199,2*(ROWS(DW$81:DW84)-1)+1)),4),"")</f>
        <v/>
      </c>
      <c r="DX84" s="150" t="str" cm="1">
        <f t="array" ref="DX84">IFERROR(ROUND(IF($D84="","",INDEX('M04-S09'!DG$18:DG$199,2*(ROWS(DX$81:DX84)-1)+1)),4),"")</f>
        <v/>
      </c>
      <c r="DY84" s="150" t="str" cm="1">
        <f t="array" ref="DY84">IFERROR(ROUND(IF($D84="","",INDEX('M04-S09'!DH$18:DH$199,2*(ROWS(DY$81:DY84)-1)+1)),4),"")</f>
        <v/>
      </c>
      <c r="DZ84" s="150" t="str" cm="1">
        <f t="array" ref="DZ84">IFERROR(ROUND(IF($D84="","",INDEX('M04-S09'!DI$18:DI$199,2*(ROWS(DZ$81:DZ84)-1)+1)),4),"")</f>
        <v/>
      </c>
      <c r="EA84" s="150" t="str" cm="1">
        <f t="array" ref="EA84">IFERROR(ROUND(IF($D84="","",INDEX('M04-S09'!DJ$18:DJ$199,2*(ROWS(EA$81:EA84)-1)+1)),4),"")</f>
        <v/>
      </c>
      <c r="EB84" s="150" t="str" cm="1">
        <f t="array" ref="EB84">IFERROR(ROUND(IF($D84="","",INDEX('M04-S09'!DK$18:DK$199,2*(ROWS(EB$81:EB84)-1)+1)),6),"")</f>
        <v/>
      </c>
      <c r="EC84" s="150" t="str" cm="1">
        <f t="array" ref="EC84">IFERROR(ROUND(IF($D84="","",INDEX('M04-S09'!DL$18:DL$199,2*(ROWS(EC$81:EC84)-1)+1)),6),"")</f>
        <v/>
      </c>
      <c r="ED84" s="150" t="str" cm="1">
        <f t="array" ref="ED84">IFERROR(ROUND(IF($D84="","",INDEX('M04-S09'!DM$18:DM$199,2*(ROWS(ED$81:ED84)-1)+1)),6),"")</f>
        <v/>
      </c>
      <c r="EE84" s="150" t="str" cm="1">
        <f t="array" ref="EE84">IFERROR(ROUND(IF($D84="","",INDEX('M04-S09'!DN$18:DN$199,2*(ROWS(EE$81:EE84)-1)+1)),6),"")</f>
        <v/>
      </c>
      <c r="EF84" s="150" t="str" cm="1">
        <f t="array" ref="EF84">IFERROR(ROUND(IF($D84="","",INDEX('M04-S09'!DO$18:DO$199,2*(ROWS(EF$81:EF84)-1)+1)),6),"")</f>
        <v/>
      </c>
      <c r="EG84" s="150" t="str" cm="1">
        <f t="array" ref="EG84">IFERROR(ROUND(IF($D84="","",INDEX('M04-S09'!DP$18:DP$199,2*(ROWS(EG$81:EG84)-1)+1)),6),"")</f>
        <v/>
      </c>
      <c r="EH84" s="150" t="str" cm="1">
        <f t="array" ref="EH84">IFERROR(ROUND(IF($D84="","",INDEX('M04-S09'!DQ$18:DQ$199,2*(ROWS(EH$81:EH84)-1)+1)),6),"")</f>
        <v/>
      </c>
      <c r="EI84" s="150" t="str" cm="1">
        <f t="array" ref="EI84">IFERROR(ROUND(IF($D84="","",INDEX('M04-S09'!DR$18:DR$199,2*(ROWS(EI$81:EI84)-1)+1)),6),"")</f>
        <v/>
      </c>
      <c r="EJ84" s="150" t="str" cm="1">
        <f t="array" ref="EJ84">IFERROR(ROUND(IF($D84="","",INDEX('M04-S09'!DS$18:DS$199,2*(ROWS(EJ$81:EJ84)-1)+1)),6),"")</f>
        <v/>
      </c>
      <c r="EK84" s="150" t="str" cm="1">
        <f t="array" ref="EK84">IFERROR(ROUND(IF($D84="","",INDEX('M04-S09'!DT$18:DT$199,2*(ROWS(EK$81:EK84)-1)+1)),6),"")</f>
        <v/>
      </c>
      <c r="EL84" s="150" t="str" cm="1">
        <f t="array" ref="EL84">IFERROR(ROUND(IF($D84="","",INDEX('M04-S09'!DU$18:DU$199,2*(ROWS(EL$81:EL84)-1)+1)),6),"")</f>
        <v/>
      </c>
      <c r="EM84" s="150" t="str" cm="1">
        <f t="array" ref="EM84">IFERROR(ROUND(IF($D84="","",INDEX('M04-S09'!DV$18:DV$199,2*(ROWS(EM$81:EM84)-1)+1)),6),"")</f>
        <v/>
      </c>
      <c r="EN84" s="150" t="str" cm="1">
        <f t="array" ref="EN84">IFERROR(ROUND(IF($D84="","",INDEX('M04-S09'!DW$18:DW$199,2*(ROWS(EN$81:EN84)-1)+1)),6),"")</f>
        <v/>
      </c>
      <c r="EO84" s="150" t="str" cm="1">
        <f t="array" ref="EO84">IFERROR(ROUND(IF($D84="","",INDEX('M04-S09'!DX$18:DX$199,2*(ROWS(EO$81:EO84)-1)+1)),6),"")</f>
        <v/>
      </c>
      <c r="EP84" s="150" t="str" cm="1">
        <f t="array" ref="EP84">IFERROR(ROUND(IF($D84="","",INDEX('M04-S09'!DY$18:DY$199,2*(ROWS(EP$81:EP84)-1)+1)),6),"")</f>
        <v/>
      </c>
      <c r="EQ84" s="150" t="str" cm="1">
        <f t="array" ref="EQ84">IFERROR(ROUND(IF($D84="","",INDEX('M04-S09'!DZ$18:DZ$199,2*(ROWS(EQ$81:EQ84)-1)+1)),6),"")</f>
        <v/>
      </c>
      <c r="ER84" s="150" t="str">
        <f t="shared" si="109"/>
        <v/>
      </c>
      <c r="ES84" s="150" t="str">
        <f t="shared" ref="ES84:ES112" si="134">IFERROR(ROUND(IF($D84="","",EC84),6),"")</f>
        <v/>
      </c>
      <c r="ET84" s="150" t="str">
        <f t="shared" ref="ET84:ET112" si="135">IFERROR(ROUND(IF($D84="","",ED84),6),"")</f>
        <v/>
      </c>
      <c r="EU84" s="150" t="str">
        <f t="shared" ref="EU84:EU112" si="136">IFERROR(ROUND(IF($D84="","",EE84),6),"")</f>
        <v/>
      </c>
      <c r="EV84" s="150" t="str">
        <f t="shared" ref="EV84:EV112" si="137">IFERROR(ROUND(IF($D84="","",EF84),6),"")</f>
        <v/>
      </c>
      <c r="EW84" s="150" t="str">
        <f t="shared" ref="EW84:EW112" si="138">IFERROR(ROUND(IF($D84="","",EG84),6),"")</f>
        <v/>
      </c>
      <c r="EX84" s="150" t="str">
        <f t="shared" ref="EX84:EX112" si="139">IFERROR(ROUND(IF($D84="","",EH84),6),"")</f>
        <v/>
      </c>
      <c r="EY84" s="150" t="str">
        <f t="shared" si="110"/>
        <v/>
      </c>
      <c r="EZ84" s="150" t="str" cm="1">
        <f t="array" ref="EZ84">IFERROR(ROUND(IF($D84="","",INDEX('M04-S09'!EA$18:EA$199,2*(ROWS(EZ$81:EZ84)-1)+1)),6),"")</f>
        <v/>
      </c>
      <c r="FA84" s="150" t="str" cm="1">
        <f t="array" ref="FA84">IFERROR(ROUND(IF($D84="","",INDEX('M04-S09'!EB$18:EB$199,2*(ROWS(FA$81:FA84)-1)+1)),6),"")</f>
        <v/>
      </c>
      <c r="FB84" s="150" t="str" cm="1">
        <f t="array" ref="FB84">IFERROR(ROUND(IF($D84="","",INDEX('M04-S09'!EC$18:EC$199,2*(ROWS(FB$81:FB84)-1)+1)),6),"")</f>
        <v/>
      </c>
      <c r="FC84" s="150" t="str" cm="1">
        <f t="array" ref="FC84">IFERROR(ROUND(IF($D84="","",INDEX('M04-S09'!ED$18:ED$199,2*(ROWS(FC$81:FC84)-1)+1)),6),"")</f>
        <v/>
      </c>
      <c r="FD84" s="150" t="str" cm="1">
        <f t="array" ref="FD84">IFERROR(ROUND(IF($D84="","",INDEX('M04-S09'!EE$18:EE$199,2*(ROWS(FD$81:FD84)-1)+1)),6),"")</f>
        <v/>
      </c>
      <c r="FE84" s="150" t="str" cm="1">
        <f t="array" ref="FE84">IFERROR(ROUND(IF($D84="","",INDEX('M04-S09'!EF$18:EF$199,2*(ROWS(FE$81:FE84)-1)+1)),6),"")</f>
        <v/>
      </c>
      <c r="FF84" s="150" t="str" cm="1">
        <f t="array" ref="FF84">IFERROR(ROUND(IF($D84="","",INDEX('M04-S09'!EG$18:EG$199,2*(ROWS(FF$81:FF84)-1)+1)),6),"")</f>
        <v/>
      </c>
      <c r="FG84" s="150" t="str" cm="1">
        <f t="array" ref="FG84">IFERROR(ROUND(IF($D84="","",INDEX('M04-S09'!EH$18:EH$199,2*(ROWS(FG$81:FG84)-1)+1)),6),"")</f>
        <v/>
      </c>
      <c r="FH84" s="150" t="str" cm="1">
        <f t="array" ref="FH84">IFERROR(ROUND(IF($D84="","",INDEX('M04-S09'!EI$18:EI$199,2*(ROWS(FH$81:FH84)-1)+1)),6),"")</f>
        <v/>
      </c>
      <c r="FI84" s="150" t="str" cm="1">
        <f t="array" ref="FI84">IFERROR(ROUND(IF($D84="","",INDEX('M04-S09'!EJ$18:EJ$199,2*(ROWS(FI$81:FI84)-1)+1)),6),"")</f>
        <v/>
      </c>
      <c r="FJ84" s="150" t="str" cm="1">
        <f t="array" ref="FJ84">IFERROR(ROUND(IF($D84="","",INDEX('M04-S09'!EK$18:EK$199,2*(ROWS(FJ$81:FJ84)-1)+1)),6),"")</f>
        <v/>
      </c>
      <c r="FK84" s="150" t="str" cm="1">
        <f t="array" ref="FK84">IFERROR(ROUND(IF($D84="","",INDEX('M04-S09'!EL$18:EL$199,2*(ROWS(FK$81:FK84)-1)+1)),6),"")</f>
        <v/>
      </c>
      <c r="FL84" s="150" t="str" cm="1">
        <f t="array" ref="FL84">IFERROR(ROUND(IF($D84="","",INDEX('M04-S09'!EM$18:EM$199,2*(ROWS(FL$81:FL84)-1)+1)),6),"")</f>
        <v/>
      </c>
      <c r="FM84" s="150" t="str" cm="1">
        <f t="array" ref="FM84">IFERROR(ROUND(IF($D84="","",INDEX('M04-S09'!EN$18:EN$199,2*(ROWS(FM$81:FM84)-1)+1)),6),"")</f>
        <v/>
      </c>
    </row>
    <row r="85" spans="1:169">
      <c r="A85" t="str">
        <f t="shared" si="120"/>
        <v/>
      </c>
      <c r="B85" t="str">
        <f t="shared" si="125"/>
        <v/>
      </c>
      <c r="C85" t="str" cm="1">
        <f t="array" ref="C85">IFERROR(IF(D85="","",INDEX('M04-S09'!$B$18:$B$199,2*(ROWS(C$81:C85)-1)+1)),"")</f>
        <v/>
      </c>
      <c r="D85" t="str">
        <f t="shared" si="126"/>
        <v/>
      </c>
      <c r="E85" t="str" cm="1">
        <f t="array" ref="E85">IFERROR(IF(INDEX('M04-S09'!$CC$18:$CC$199,2*(ROWS(E$81:E85)-1)+1)="","",INDEX('M04-S09'!$CC$18:$CC$199,2*(ROWS(E$81:E85)-1)+1)),"")</f>
        <v/>
      </c>
      <c r="G85" t="str">
        <f t="shared" si="127"/>
        <v/>
      </c>
      <c r="H85" t="str">
        <f t="shared" si="128"/>
        <v/>
      </c>
      <c r="L85" t="str">
        <f t="shared" si="129"/>
        <v/>
      </c>
      <c r="O85" t="str">
        <f t="shared" si="130"/>
        <v/>
      </c>
      <c r="V85" t="str" cm="1">
        <f t="array" ref="V85">IFERROR(IF(D85="","",INDEX('M04-S09'!$AY$18:$AY$199,2*(ROWS(V$81:V85)-1)+1)),"")</f>
        <v/>
      </c>
      <c r="W85" t="str" cm="1">
        <f t="array" ref="W85">IFERROR(IF(D85="","",INDEX('M04-S09'!$AV$18:$AV$199,2*(ROWS(W$81:W85)-1)+1)),"")</f>
        <v/>
      </c>
      <c r="X85" t="str" cm="1">
        <f t="array" ref="X85">IFERROR(IF(D85="","",INDEX('M04-S09'!$AV$18:$AV$199,2*(ROWS(X$81:X85)-0)+0)),"")</f>
        <v/>
      </c>
      <c r="AG85" s="98" t="str" cm="1">
        <f t="array" ref="AG85">IFERROR(IF(D85="","",IF(INDEX('M04-S09'!$CB$18:$CB$199,2*(ROWS(AG$81:AG85)-1)+1)="","",INDEX('M04-S09'!$CB$18:$CB$199,2*(ROWS(AG$81:AG85)-1)+1))),"")</f>
        <v/>
      </c>
      <c r="AH85" s="98" t="str" cm="1">
        <f t="array" ref="AH85">IFERROR(IF(D85="","",IF(INDEX('M04-S09'!$CU$18:$CU$199,2*(ROWS(AH$81:AH85)-1)+1)="","",INDEX('M04-S09'!$CU$18:$CU$199,2*(ROWS(AH$81:AH85)-1)+1))),"")</f>
        <v/>
      </c>
      <c r="AI85" s="20" t="str" cm="1">
        <f t="array" ref="AI85">IFERROR(IF(D85="","",IF(INDEX('M04-S09'!$CM$18:$CM$199,2*(ROWS(AI$81:AI85)-1)+1)="",0,INDEX('M04-S09'!$CM$18:$CM$199,2*(ROWS(AI$81:AI85)-1)+1))),"")</f>
        <v/>
      </c>
      <c r="AJ85" s="20" t="str">
        <f t="shared" si="86"/>
        <v/>
      </c>
      <c r="AK85" s="487" t="str" cm="1">
        <f t="array" ref="AK85">IFERROR(IF(D85="","",IF(INDEX('M04-S09'!$CN$18:$CN$199,2*(ROWS(AK$81:AK85)-1)+1)="",0,INDEX('M04-S09'!$CN$18:$CN$199,2*(ROWS(AK$81:AK85)-1)+1))),"")</f>
        <v/>
      </c>
      <c r="AL85" s="20" t="str">
        <f t="shared" si="131"/>
        <v/>
      </c>
      <c r="AM85" s="20" t="str">
        <f t="shared" si="122"/>
        <v/>
      </c>
      <c r="AN85" s="20" t="str" cm="1">
        <f t="array" ref="AN85">IFERROR(IF(D85="","",IF(INDEX('M04-S09'!$CO$18:$CO$199,2*(ROWS(AN$81:AN85)-1)+1)="",0,INDEX('M04-S09'!$CO$18:$CO$199,2*(ROWS(AN$81:AN85)-1)+1))),"")</f>
        <v/>
      </c>
      <c r="AO85" s="20" t="str" cm="1">
        <f t="array" ref="AO85">IFERROR(IF(D85="","",INDEX('M04-S09'!$R$18:$R$199,2*(ROWS(AO$81:AO85)-1)+1)),"")</f>
        <v/>
      </c>
      <c r="AP85" s="20" t="str" cm="1">
        <f t="array" ref="AP85">IFERROR(IF(D85="","",INDEX('M04-S09'!$AJ$18:$AJ$199,2*(ROWS(AP$81:AP85)-1)+1)),"")</f>
        <v/>
      </c>
      <c r="AQ85" s="487" t="str" cm="1">
        <f t="array" ref="AQ85">IFERROR(IF(D85="","",INDEX('M04-S09'!$U$18:$U$199,2*(ROWS(AQ$81:AQ85)-1)+1)),"")</f>
        <v/>
      </c>
      <c r="AR85" s="487" t="str" cm="1">
        <f t="array" ref="AR85">IFERROR(IF(D85="","",INDEX('M04-S09'!$AM$18:$AM$199,2*(ROWS(AR$81:AR85)-1)+1)),"")</f>
        <v/>
      </c>
      <c r="AS85" s="20" t="str" cm="1">
        <f t="array" ref="AS85">IFERROR(IF(D85="","",INDEX('M04-S09'!$X$18:$X$199,2*(ROWS(AS$81:AS85)-1)+1)),"")</f>
        <v/>
      </c>
      <c r="AT85" s="20" t="str" cm="1">
        <f t="array" ref="AT85">IFERROR(IF(D85="","",INDEX('M04-S09'!$AP$18:$AP$199,2*(ROWS(AT$81:AT85)-1)+1)),"")</f>
        <v/>
      </c>
      <c r="BP85" t="str" cm="1">
        <f t="array" ref="BP85">IFERROR(IF(D85="","",INDEX('M04-S09'!$CS$18:$CS$199,2*(ROWS(BP$81:BP85)-1)+1)),"")</f>
        <v/>
      </c>
      <c r="BR85" t="str" cm="1">
        <f t="array" ref="BR85">IFERROR(IF(D85="","",LEFT(INDEX('M04-S09'!$C$18:$C$199,2*(ROWS(BR$81:BR85)-1)+1),150)),"")</f>
        <v/>
      </c>
      <c r="BS85" t="str" cm="1">
        <f t="array" ref="BS85">IFERROR(IF(D85="","",INDEX('M04-S09'!$CT$18:$CT$199,2*(ROWS(BS$81:BS85)-1)+1)),"")</f>
        <v/>
      </c>
      <c r="BT85" s="6" t="str" cm="1">
        <f t="array" ref="BT85">IFERROR(ROUND(IF(D85="","",INDEX('M04-S09'!$BB$18:$BB$199,2*(ROWS(BT$81:BT85)-1)+1)),2),"")</f>
        <v/>
      </c>
      <c r="BU85" s="6" t="str" cm="1">
        <f t="array" ref="BU85">IFERROR(IF(D85="","",INDEX('M04-S09'!$CX$18:$CX$199,2*(ROWS(BU$81:BU85)-1)+1)),"")</f>
        <v/>
      </c>
      <c r="BV85" s="6" t="str" cm="1">
        <f t="array" ref="BV85">IFERROR(IF(D85="","",INDEX('M04-S09'!$CY$18:$CY$199,2*(ROWS(BV$81:BV85)-1)+1)),"")</f>
        <v/>
      </c>
      <c r="BW85" t="str">
        <f t="shared" si="132"/>
        <v/>
      </c>
      <c r="BX85" t="str">
        <f t="shared" si="133"/>
        <v/>
      </c>
      <c r="BY85" s="6" t="str" cm="1">
        <f t="array" ref="BY85">IFERROR(IF(D85="","",INDEX('M04-S09'!$CI$18:$CI$199,2*(ROWS(BY$81:BY85)-1)+1)),"")</f>
        <v/>
      </c>
      <c r="BZ85" s="6" t="str">
        <f t="shared" si="105"/>
        <v/>
      </c>
      <c r="CA85" s="6" t="str">
        <f t="shared" si="106"/>
        <v/>
      </c>
      <c r="CB85" s="6" t="str">
        <f t="shared" si="87"/>
        <v/>
      </c>
      <c r="CC85" s="6" t="str">
        <f t="shared" si="123"/>
        <v/>
      </c>
      <c r="CD85" s="6" t="str">
        <f t="shared" si="124"/>
        <v/>
      </c>
      <c r="CS85" t="str" cm="1">
        <f t="array" ref="CS85">IFERROR(IF(D85="","",INDEX('M04-S09'!$F$18:$F$199,2*(ROWS(CS$81:CS85)-1)+1)),"")</f>
        <v/>
      </c>
      <c r="CT85" t="str" cm="1">
        <f t="array" ref="CT85">IFERROR(IF(D85="","",INDEX('M04-S09'!$L$18:$L$199,2*(ROWS(CT$81:CT85)-1)+1)),"")</f>
        <v/>
      </c>
      <c r="CU85" t="str" cm="1">
        <f t="array" ref="CU85">IFERROR(IF(D85="","",INDEX('M04-S09'!$AD$18:$AD$199,2*(ROWS(CU$81:CU85)-1)+1)),"")</f>
        <v/>
      </c>
      <c r="DE85" s="150"/>
      <c r="DF85" s="150" t="str">
        <f>IFERROR(ROUND(IF(OR(D85="",DE85=""),"",TEMPLATE!$V$17),2),"")</f>
        <v/>
      </c>
      <c r="DG85" s="150"/>
      <c r="DH85" s="150" t="str">
        <f>IFERROR(ROUND(IF(OR(D85="",DG85=""),"",TEMPLATE!$V$17),2),"")</f>
        <v/>
      </c>
      <c r="DI85" s="150"/>
      <c r="DJ85" s="150" t="str">
        <f>IFERROR(ROUND(IF(OR(D85="",DI85=""),"",TEMPLATE!$V$17),2),"")</f>
        <v/>
      </c>
      <c r="DK85" s="150"/>
      <c r="DL85" s="150" t="str">
        <f>IFERROR(ROUND(IF(OR(D85="",DK85=""),"",TEMPLATE!$V$17),2),"")</f>
        <v/>
      </c>
      <c r="DM85" s="150"/>
      <c r="DN85" s="150" t="str">
        <f>IFERROR(ROUND(IF(OR(D85="",DM85=""),"",TEMPLATE!$V$17),2),"")</f>
        <v/>
      </c>
      <c r="DO85" s="150"/>
      <c r="DP85" s="150" t="str">
        <f>IFERROR(ROUND(IF(OR(D85="",DO85=""),"",TEMPLATE!$V$17),2),"")</f>
        <v/>
      </c>
      <c r="DQ85" s="150"/>
      <c r="DR85" s="150" t="str">
        <f>IFERROR(ROUND(IF(OR(D85="",DQ85=""),"",TEMPLATE!$V$17),2),"")</f>
        <v/>
      </c>
      <c r="DS85" s="150"/>
      <c r="DT85" s="150" t="str">
        <f>IFERROR(ROUND(IF(OR(D85="",DS85=""),"",TEMPLATE!$V$17),2),"")</f>
        <v/>
      </c>
      <c r="DU85" s="150" t="str" cm="1">
        <f t="array" ref="DU85">IFERROR(ROUND(IF($D85="","",INDEX('M04-S09'!DD$18:DD$199,2*(ROWS(DU$81:DU85)-1)+1)),4),"")</f>
        <v/>
      </c>
      <c r="DV85" s="150" t="str" cm="1">
        <f t="array" ref="DV85">IFERROR(ROUND(IF($D85="","",INDEX('M04-S09'!DE$18:DE$199,2*(ROWS(DV$81:DV85)-1)+1)),4),"")</f>
        <v/>
      </c>
      <c r="DW85" s="150" t="str" cm="1">
        <f t="array" ref="DW85">IFERROR(ROUND(IF($D85="","",INDEX('M04-S09'!DF$18:DF$199,2*(ROWS(DW$81:DW85)-1)+1)),4),"")</f>
        <v/>
      </c>
      <c r="DX85" s="150" t="str" cm="1">
        <f t="array" ref="DX85">IFERROR(ROUND(IF($D85="","",INDEX('M04-S09'!DG$18:DG$199,2*(ROWS(DX$81:DX85)-1)+1)),4),"")</f>
        <v/>
      </c>
      <c r="DY85" s="150" t="str" cm="1">
        <f t="array" ref="DY85">IFERROR(ROUND(IF($D85="","",INDEX('M04-S09'!DH$18:DH$199,2*(ROWS(DY$81:DY85)-1)+1)),4),"")</f>
        <v/>
      </c>
      <c r="DZ85" s="150" t="str" cm="1">
        <f t="array" ref="DZ85">IFERROR(ROUND(IF($D85="","",INDEX('M04-S09'!DI$18:DI$199,2*(ROWS(DZ$81:DZ85)-1)+1)),4),"")</f>
        <v/>
      </c>
      <c r="EA85" s="150" t="str" cm="1">
        <f t="array" ref="EA85">IFERROR(ROUND(IF($D85="","",INDEX('M04-S09'!DJ$18:DJ$199,2*(ROWS(EA$81:EA85)-1)+1)),4),"")</f>
        <v/>
      </c>
      <c r="EB85" s="150" t="str" cm="1">
        <f t="array" ref="EB85">IFERROR(ROUND(IF($D85="","",INDEX('M04-S09'!DK$18:DK$199,2*(ROWS(EB$81:EB85)-1)+1)),6),"")</f>
        <v/>
      </c>
      <c r="EC85" s="150" t="str" cm="1">
        <f t="array" ref="EC85">IFERROR(ROUND(IF($D85="","",INDEX('M04-S09'!DL$18:DL$199,2*(ROWS(EC$81:EC85)-1)+1)),6),"")</f>
        <v/>
      </c>
      <c r="ED85" s="150" t="str" cm="1">
        <f t="array" ref="ED85">IFERROR(ROUND(IF($D85="","",INDEX('M04-S09'!DM$18:DM$199,2*(ROWS(ED$81:ED85)-1)+1)),6),"")</f>
        <v/>
      </c>
      <c r="EE85" s="150" t="str" cm="1">
        <f t="array" ref="EE85">IFERROR(ROUND(IF($D85="","",INDEX('M04-S09'!DN$18:DN$199,2*(ROWS(EE$81:EE85)-1)+1)),6),"")</f>
        <v/>
      </c>
      <c r="EF85" s="150" t="str" cm="1">
        <f t="array" ref="EF85">IFERROR(ROUND(IF($D85="","",INDEX('M04-S09'!DO$18:DO$199,2*(ROWS(EF$81:EF85)-1)+1)),6),"")</f>
        <v/>
      </c>
      <c r="EG85" s="150" t="str" cm="1">
        <f t="array" ref="EG85">IFERROR(ROUND(IF($D85="","",INDEX('M04-S09'!DP$18:DP$199,2*(ROWS(EG$81:EG85)-1)+1)),6),"")</f>
        <v/>
      </c>
      <c r="EH85" s="150" t="str" cm="1">
        <f t="array" ref="EH85">IFERROR(ROUND(IF($D85="","",INDEX('M04-S09'!DQ$18:DQ$199,2*(ROWS(EH$81:EH85)-1)+1)),6),"")</f>
        <v/>
      </c>
      <c r="EI85" s="150" t="str" cm="1">
        <f t="array" ref="EI85">IFERROR(ROUND(IF($D85="","",INDEX('M04-S09'!DR$18:DR$199,2*(ROWS(EI$81:EI85)-1)+1)),6),"")</f>
        <v/>
      </c>
      <c r="EJ85" s="150" t="str" cm="1">
        <f t="array" ref="EJ85">IFERROR(ROUND(IF($D85="","",INDEX('M04-S09'!DS$18:DS$199,2*(ROWS(EJ$81:EJ85)-1)+1)),6),"")</f>
        <v/>
      </c>
      <c r="EK85" s="150" t="str" cm="1">
        <f t="array" ref="EK85">IFERROR(ROUND(IF($D85="","",INDEX('M04-S09'!DT$18:DT$199,2*(ROWS(EK$81:EK85)-1)+1)),6),"")</f>
        <v/>
      </c>
      <c r="EL85" s="150" t="str" cm="1">
        <f t="array" ref="EL85">IFERROR(ROUND(IF($D85="","",INDEX('M04-S09'!DU$18:DU$199,2*(ROWS(EL$81:EL85)-1)+1)),6),"")</f>
        <v/>
      </c>
      <c r="EM85" s="150" t="str" cm="1">
        <f t="array" ref="EM85">IFERROR(ROUND(IF($D85="","",INDEX('M04-S09'!DV$18:DV$199,2*(ROWS(EM$81:EM85)-1)+1)),6),"")</f>
        <v/>
      </c>
      <c r="EN85" s="150" t="str" cm="1">
        <f t="array" ref="EN85">IFERROR(ROUND(IF($D85="","",INDEX('M04-S09'!DW$18:DW$199,2*(ROWS(EN$81:EN85)-1)+1)),6),"")</f>
        <v/>
      </c>
      <c r="EO85" s="150" t="str" cm="1">
        <f t="array" ref="EO85">IFERROR(ROUND(IF($D85="","",INDEX('M04-S09'!DX$18:DX$199,2*(ROWS(EO$81:EO85)-1)+1)),6),"")</f>
        <v/>
      </c>
      <c r="EP85" s="150" t="str" cm="1">
        <f t="array" ref="EP85">IFERROR(ROUND(IF($D85="","",INDEX('M04-S09'!DY$18:DY$199,2*(ROWS(EP$81:EP85)-1)+1)),6),"")</f>
        <v/>
      </c>
      <c r="EQ85" s="150" t="str" cm="1">
        <f t="array" ref="EQ85">IFERROR(ROUND(IF($D85="","",INDEX('M04-S09'!DZ$18:DZ$199,2*(ROWS(EQ$81:EQ85)-1)+1)),6),"")</f>
        <v/>
      </c>
      <c r="ER85" s="150" t="str">
        <f t="shared" si="109"/>
        <v/>
      </c>
      <c r="ES85" s="150" t="str">
        <f t="shared" si="134"/>
        <v/>
      </c>
      <c r="ET85" s="150" t="str">
        <f t="shared" si="135"/>
        <v/>
      </c>
      <c r="EU85" s="150" t="str">
        <f t="shared" si="136"/>
        <v/>
      </c>
      <c r="EV85" s="150" t="str">
        <f t="shared" si="137"/>
        <v/>
      </c>
      <c r="EW85" s="150" t="str">
        <f t="shared" si="138"/>
        <v/>
      </c>
      <c r="EX85" s="150" t="str">
        <f t="shared" si="139"/>
        <v/>
      </c>
      <c r="EY85" s="150" t="str">
        <f t="shared" si="110"/>
        <v/>
      </c>
      <c r="EZ85" s="150" t="str" cm="1">
        <f t="array" ref="EZ85">IFERROR(ROUND(IF($D85="","",INDEX('M04-S09'!EA$18:EA$199,2*(ROWS(EZ$81:EZ85)-1)+1)),6),"")</f>
        <v/>
      </c>
      <c r="FA85" s="150" t="str" cm="1">
        <f t="array" ref="FA85">IFERROR(ROUND(IF($D85="","",INDEX('M04-S09'!EB$18:EB$199,2*(ROWS(FA$81:FA85)-1)+1)),6),"")</f>
        <v/>
      </c>
      <c r="FB85" s="150" t="str" cm="1">
        <f t="array" ref="FB85">IFERROR(ROUND(IF($D85="","",INDEX('M04-S09'!EC$18:EC$199,2*(ROWS(FB$81:FB85)-1)+1)),6),"")</f>
        <v/>
      </c>
      <c r="FC85" s="150" t="str" cm="1">
        <f t="array" ref="FC85">IFERROR(ROUND(IF($D85="","",INDEX('M04-S09'!ED$18:ED$199,2*(ROWS(FC$81:FC85)-1)+1)),6),"")</f>
        <v/>
      </c>
      <c r="FD85" s="150" t="str" cm="1">
        <f t="array" ref="FD85">IFERROR(ROUND(IF($D85="","",INDEX('M04-S09'!EE$18:EE$199,2*(ROWS(FD$81:FD85)-1)+1)),6),"")</f>
        <v/>
      </c>
      <c r="FE85" s="150" t="str" cm="1">
        <f t="array" ref="FE85">IFERROR(ROUND(IF($D85="","",INDEX('M04-S09'!EF$18:EF$199,2*(ROWS(FE$81:FE85)-1)+1)),6),"")</f>
        <v/>
      </c>
      <c r="FF85" s="150" t="str" cm="1">
        <f t="array" ref="FF85">IFERROR(ROUND(IF($D85="","",INDEX('M04-S09'!EG$18:EG$199,2*(ROWS(FF$81:FF85)-1)+1)),6),"")</f>
        <v/>
      </c>
      <c r="FG85" s="150" t="str" cm="1">
        <f t="array" ref="FG85">IFERROR(ROUND(IF($D85="","",INDEX('M04-S09'!EH$18:EH$199,2*(ROWS(FG$81:FG85)-1)+1)),6),"")</f>
        <v/>
      </c>
      <c r="FH85" s="150" t="str" cm="1">
        <f t="array" ref="FH85">IFERROR(ROUND(IF($D85="","",INDEX('M04-S09'!EI$18:EI$199,2*(ROWS(FH$81:FH85)-1)+1)),6),"")</f>
        <v/>
      </c>
      <c r="FI85" s="150" t="str" cm="1">
        <f t="array" ref="FI85">IFERROR(ROUND(IF($D85="","",INDEX('M04-S09'!EJ$18:EJ$199,2*(ROWS(FI$81:FI85)-1)+1)),6),"")</f>
        <v/>
      </c>
      <c r="FJ85" s="150" t="str" cm="1">
        <f t="array" ref="FJ85">IFERROR(ROUND(IF($D85="","",INDEX('M04-S09'!EK$18:EK$199,2*(ROWS(FJ$81:FJ85)-1)+1)),6),"")</f>
        <v/>
      </c>
      <c r="FK85" s="150" t="str" cm="1">
        <f t="array" ref="FK85">IFERROR(ROUND(IF($D85="","",INDEX('M04-S09'!EL$18:EL$199,2*(ROWS(FK$81:FK85)-1)+1)),6),"")</f>
        <v/>
      </c>
      <c r="FL85" s="150" t="str" cm="1">
        <f t="array" ref="FL85">IFERROR(ROUND(IF($D85="","",INDEX('M04-S09'!EM$18:EM$199,2*(ROWS(FL$81:FL85)-1)+1)),6),"")</f>
        <v/>
      </c>
      <c r="FM85" s="150" t="str" cm="1">
        <f t="array" ref="FM85">IFERROR(ROUND(IF($D85="","",INDEX('M04-S09'!EN$18:EN$199,2*(ROWS(FM$81:FM85)-1)+1)),6),"")</f>
        <v/>
      </c>
    </row>
    <row r="86" spans="1:169">
      <c r="A86" t="str">
        <f t="shared" si="120"/>
        <v/>
      </c>
      <c r="B86" t="str">
        <f t="shared" si="125"/>
        <v/>
      </c>
      <c r="C86" t="str" cm="1">
        <f t="array" ref="C86">IFERROR(IF(D86="","",INDEX('M04-S09'!$B$18:$B$199,2*(ROWS(C$81:C86)-1)+1)),"")</f>
        <v/>
      </c>
      <c r="D86" t="str">
        <f t="shared" si="126"/>
        <v/>
      </c>
      <c r="E86" t="str" cm="1">
        <f t="array" ref="E86">IFERROR(IF(INDEX('M04-S09'!$CC$18:$CC$199,2*(ROWS(E$81:E86)-1)+1)="","",INDEX('M04-S09'!$CC$18:$CC$199,2*(ROWS(E$81:E86)-1)+1)),"")</f>
        <v/>
      </c>
      <c r="G86" t="str">
        <f t="shared" si="127"/>
        <v/>
      </c>
      <c r="H86" t="str">
        <f t="shared" si="128"/>
        <v/>
      </c>
      <c r="L86" t="str">
        <f t="shared" si="129"/>
        <v/>
      </c>
      <c r="O86" t="str">
        <f t="shared" si="130"/>
        <v/>
      </c>
      <c r="V86" t="str" cm="1">
        <f t="array" ref="V86">IFERROR(IF(D86="","",INDEX('M04-S09'!$AY$18:$AY$199,2*(ROWS(V$81:V86)-1)+1)),"")</f>
        <v/>
      </c>
      <c r="W86" t="str" cm="1">
        <f t="array" ref="W86">IFERROR(IF(D86="","",INDEX('M04-S09'!$AV$18:$AV$199,2*(ROWS(W$81:W86)-1)+1)),"")</f>
        <v/>
      </c>
      <c r="X86" t="str" cm="1">
        <f t="array" ref="X86">IFERROR(IF(D86="","",INDEX('M04-S09'!$AV$18:$AV$199,2*(ROWS(X$81:X86)-0)+0)),"")</f>
        <v/>
      </c>
      <c r="AG86" s="98" t="str" cm="1">
        <f t="array" ref="AG86">IFERROR(IF(D86="","",IF(INDEX('M04-S09'!$CB$18:$CB$199,2*(ROWS(AG$81:AG86)-1)+1)="","",INDEX('M04-S09'!$CB$18:$CB$199,2*(ROWS(AG$81:AG86)-1)+1))),"")</f>
        <v/>
      </c>
      <c r="AH86" s="98" t="str" cm="1">
        <f t="array" ref="AH86">IFERROR(IF(D86="","",IF(INDEX('M04-S09'!$CU$18:$CU$199,2*(ROWS(AH$81:AH86)-1)+1)="","",INDEX('M04-S09'!$CU$18:$CU$199,2*(ROWS(AH$81:AH86)-1)+1))),"")</f>
        <v/>
      </c>
      <c r="AI86" s="20" t="str" cm="1">
        <f t="array" ref="AI86">IFERROR(IF(D86="","",IF(INDEX('M04-S09'!$CM$18:$CM$199,2*(ROWS(AI$81:AI86)-1)+1)="",0,INDEX('M04-S09'!$CM$18:$CM$199,2*(ROWS(AI$81:AI86)-1)+1))),"")</f>
        <v/>
      </c>
      <c r="AJ86" s="20" t="str">
        <f t="shared" si="86"/>
        <v/>
      </c>
      <c r="AK86" s="487" t="str" cm="1">
        <f t="array" ref="AK86">IFERROR(IF(D86="","",IF(INDEX('M04-S09'!$CN$18:$CN$199,2*(ROWS(AK$81:AK86)-1)+1)="",0,INDEX('M04-S09'!$CN$18:$CN$199,2*(ROWS(AK$81:AK86)-1)+1))),"")</f>
        <v/>
      </c>
      <c r="AL86" s="20" t="str">
        <f t="shared" si="131"/>
        <v/>
      </c>
      <c r="AM86" s="20" t="str">
        <f t="shared" si="122"/>
        <v/>
      </c>
      <c r="AN86" s="20" t="str" cm="1">
        <f t="array" ref="AN86">IFERROR(IF(D86="","",IF(INDEX('M04-S09'!$CO$18:$CO$199,2*(ROWS(AN$81:AN86)-1)+1)="",0,INDEX('M04-S09'!$CO$18:$CO$199,2*(ROWS(AN$81:AN86)-1)+1))),"")</f>
        <v/>
      </c>
      <c r="AO86" s="20" t="str" cm="1">
        <f t="array" ref="AO86">IFERROR(IF(D86="","",INDEX('M04-S09'!$R$18:$R$199,2*(ROWS(AO$81:AO86)-1)+1)),"")</f>
        <v/>
      </c>
      <c r="AP86" s="20" t="str" cm="1">
        <f t="array" ref="AP86">IFERROR(IF(D86="","",INDEX('M04-S09'!$AJ$18:$AJ$199,2*(ROWS(AP$81:AP86)-1)+1)),"")</f>
        <v/>
      </c>
      <c r="AQ86" s="487" t="str" cm="1">
        <f t="array" ref="AQ86">IFERROR(IF(D86="","",INDEX('M04-S09'!$U$18:$U$199,2*(ROWS(AQ$81:AQ86)-1)+1)),"")</f>
        <v/>
      </c>
      <c r="AR86" s="487" t="str" cm="1">
        <f t="array" ref="AR86">IFERROR(IF(D86="","",INDEX('M04-S09'!$AM$18:$AM$199,2*(ROWS(AR$81:AR86)-1)+1)),"")</f>
        <v/>
      </c>
      <c r="AS86" s="20" t="str" cm="1">
        <f t="array" ref="AS86">IFERROR(IF(D86="","",INDEX('M04-S09'!$X$18:$X$199,2*(ROWS(AS$81:AS86)-1)+1)),"")</f>
        <v/>
      </c>
      <c r="AT86" s="20" t="str" cm="1">
        <f t="array" ref="AT86">IFERROR(IF(D86="","",INDEX('M04-S09'!$AP$18:$AP$199,2*(ROWS(AT$81:AT86)-1)+1)),"")</f>
        <v/>
      </c>
      <c r="BP86" t="str" cm="1">
        <f t="array" ref="BP86">IFERROR(IF(D86="","",INDEX('M04-S09'!$CS$18:$CS$199,2*(ROWS(BP$81:BP86)-1)+1)),"")</f>
        <v/>
      </c>
      <c r="BR86" t="str" cm="1">
        <f t="array" ref="BR86">IFERROR(IF(D86="","",LEFT(INDEX('M04-S09'!$C$18:$C$199,2*(ROWS(BR$81:BR86)-1)+1),150)),"")</f>
        <v/>
      </c>
      <c r="BS86" t="str" cm="1">
        <f t="array" ref="BS86">IFERROR(IF(D86="","",INDEX('M04-S09'!$CT$18:$CT$199,2*(ROWS(BS$81:BS86)-1)+1)),"")</f>
        <v/>
      </c>
      <c r="BT86" s="6" t="str" cm="1">
        <f t="array" ref="BT86">IFERROR(ROUND(IF(D86="","",INDEX('M04-S09'!$BB$18:$BB$199,2*(ROWS(BT$81:BT86)-1)+1)),2),"")</f>
        <v/>
      </c>
      <c r="BU86" s="6" t="str" cm="1">
        <f t="array" ref="BU86">IFERROR(IF(D86="","",INDEX('M04-S09'!$CX$18:$CX$199,2*(ROWS(BU$81:BU86)-1)+1)),"")</f>
        <v/>
      </c>
      <c r="BV86" s="6" t="str" cm="1">
        <f t="array" ref="BV86">IFERROR(IF(D86="","",INDEX('M04-S09'!$CY$18:$CY$199,2*(ROWS(BV$81:BV86)-1)+1)),"")</f>
        <v/>
      </c>
      <c r="BW86" t="str">
        <f t="shared" si="132"/>
        <v/>
      </c>
      <c r="BX86" t="str">
        <f t="shared" si="133"/>
        <v/>
      </c>
      <c r="BY86" s="6" t="str" cm="1">
        <f t="array" ref="BY86">IFERROR(IF(D86="","",INDEX('M04-S09'!$CI$18:$CI$199,2*(ROWS(BY$81:BY86)-1)+1)),"")</f>
        <v/>
      </c>
      <c r="BZ86" s="6" t="str">
        <f t="shared" si="105"/>
        <v/>
      </c>
      <c r="CA86" s="6" t="str">
        <f t="shared" si="106"/>
        <v/>
      </c>
      <c r="CB86" s="6" t="str">
        <f t="shared" si="87"/>
        <v/>
      </c>
      <c r="CC86" s="6" t="str">
        <f t="shared" si="123"/>
        <v/>
      </c>
      <c r="CD86" s="6" t="str">
        <f t="shared" si="124"/>
        <v/>
      </c>
      <c r="CS86" t="str" cm="1">
        <f t="array" ref="CS86">IFERROR(IF(D86="","",INDEX('M04-S09'!$F$18:$F$199,2*(ROWS(CS$81:CS86)-1)+1)),"")</f>
        <v/>
      </c>
      <c r="CT86" t="str" cm="1">
        <f t="array" ref="CT86">IFERROR(IF(D86="","",INDEX('M04-S09'!$L$18:$L$199,2*(ROWS(CT$81:CT86)-1)+1)),"")</f>
        <v/>
      </c>
      <c r="CU86" t="str" cm="1">
        <f t="array" ref="CU86">IFERROR(IF(D86="","",INDEX('M04-S09'!$AD$18:$AD$199,2*(ROWS(CU$81:CU86)-1)+1)),"")</f>
        <v/>
      </c>
      <c r="DE86" s="150"/>
      <c r="DF86" s="150" t="str">
        <f>IFERROR(ROUND(IF(OR(D86="",DE86=""),"",TEMPLATE!$V$17),2),"")</f>
        <v/>
      </c>
      <c r="DG86" s="150"/>
      <c r="DH86" s="150" t="str">
        <f>IFERROR(ROUND(IF(OR(D86="",DG86=""),"",TEMPLATE!$V$17),2),"")</f>
        <v/>
      </c>
      <c r="DI86" s="150"/>
      <c r="DJ86" s="150" t="str">
        <f>IFERROR(ROUND(IF(OR(D86="",DI86=""),"",TEMPLATE!$V$17),2),"")</f>
        <v/>
      </c>
      <c r="DK86" s="150"/>
      <c r="DL86" s="150" t="str">
        <f>IFERROR(ROUND(IF(OR(D86="",DK86=""),"",TEMPLATE!$V$17),2),"")</f>
        <v/>
      </c>
      <c r="DM86" s="150"/>
      <c r="DN86" s="150" t="str">
        <f>IFERROR(ROUND(IF(OR(D86="",DM86=""),"",TEMPLATE!$V$17),2),"")</f>
        <v/>
      </c>
      <c r="DO86" s="150"/>
      <c r="DP86" s="150" t="str">
        <f>IFERROR(ROUND(IF(OR(D86="",DO86=""),"",TEMPLATE!$V$17),2),"")</f>
        <v/>
      </c>
      <c r="DQ86" s="150"/>
      <c r="DR86" s="150" t="str">
        <f>IFERROR(ROUND(IF(OR(D86="",DQ86=""),"",TEMPLATE!$V$17),2),"")</f>
        <v/>
      </c>
      <c r="DS86" s="150"/>
      <c r="DT86" s="150" t="str">
        <f>IFERROR(ROUND(IF(OR(D86="",DS86=""),"",TEMPLATE!$V$17),2),"")</f>
        <v/>
      </c>
      <c r="DU86" s="150" t="str" cm="1">
        <f t="array" ref="DU86">IFERROR(ROUND(IF($D86="","",INDEX('M04-S09'!DD$18:DD$199,2*(ROWS(DU$81:DU86)-1)+1)),4),"")</f>
        <v/>
      </c>
      <c r="DV86" s="150" t="str" cm="1">
        <f t="array" ref="DV86">IFERROR(ROUND(IF($D86="","",INDEX('M04-S09'!DE$18:DE$199,2*(ROWS(DV$81:DV86)-1)+1)),4),"")</f>
        <v/>
      </c>
      <c r="DW86" s="150" t="str" cm="1">
        <f t="array" ref="DW86">IFERROR(ROUND(IF($D86="","",INDEX('M04-S09'!DF$18:DF$199,2*(ROWS(DW$81:DW86)-1)+1)),4),"")</f>
        <v/>
      </c>
      <c r="DX86" s="150" t="str" cm="1">
        <f t="array" ref="DX86">IFERROR(ROUND(IF($D86="","",INDEX('M04-S09'!DG$18:DG$199,2*(ROWS(DX$81:DX86)-1)+1)),4),"")</f>
        <v/>
      </c>
      <c r="DY86" s="150" t="str" cm="1">
        <f t="array" ref="DY86">IFERROR(ROUND(IF($D86="","",INDEX('M04-S09'!DH$18:DH$199,2*(ROWS(DY$81:DY86)-1)+1)),4),"")</f>
        <v/>
      </c>
      <c r="DZ86" s="150" t="str" cm="1">
        <f t="array" ref="DZ86">IFERROR(ROUND(IF($D86="","",INDEX('M04-S09'!DI$18:DI$199,2*(ROWS(DZ$81:DZ86)-1)+1)),4),"")</f>
        <v/>
      </c>
      <c r="EA86" s="150" t="str" cm="1">
        <f t="array" ref="EA86">IFERROR(ROUND(IF($D86="","",INDEX('M04-S09'!DJ$18:DJ$199,2*(ROWS(EA$81:EA86)-1)+1)),4),"")</f>
        <v/>
      </c>
      <c r="EB86" s="150" t="str" cm="1">
        <f t="array" ref="EB86">IFERROR(ROUND(IF($D86="","",INDEX('M04-S09'!DK$18:DK$199,2*(ROWS(EB$81:EB86)-1)+1)),6),"")</f>
        <v/>
      </c>
      <c r="EC86" s="150" t="str" cm="1">
        <f t="array" ref="EC86">IFERROR(ROUND(IF($D86="","",INDEX('M04-S09'!DL$18:DL$199,2*(ROWS(EC$81:EC86)-1)+1)),6),"")</f>
        <v/>
      </c>
      <c r="ED86" s="150" t="str" cm="1">
        <f t="array" ref="ED86">IFERROR(ROUND(IF($D86="","",INDEX('M04-S09'!DM$18:DM$199,2*(ROWS(ED$81:ED86)-1)+1)),6),"")</f>
        <v/>
      </c>
      <c r="EE86" s="150" t="str" cm="1">
        <f t="array" ref="EE86">IFERROR(ROUND(IF($D86="","",INDEX('M04-S09'!DN$18:DN$199,2*(ROWS(EE$81:EE86)-1)+1)),6),"")</f>
        <v/>
      </c>
      <c r="EF86" s="150" t="str" cm="1">
        <f t="array" ref="EF86">IFERROR(ROUND(IF($D86="","",INDEX('M04-S09'!DO$18:DO$199,2*(ROWS(EF$81:EF86)-1)+1)),6),"")</f>
        <v/>
      </c>
      <c r="EG86" s="150" t="str" cm="1">
        <f t="array" ref="EG86">IFERROR(ROUND(IF($D86="","",INDEX('M04-S09'!DP$18:DP$199,2*(ROWS(EG$81:EG86)-1)+1)),6),"")</f>
        <v/>
      </c>
      <c r="EH86" s="150" t="str" cm="1">
        <f t="array" ref="EH86">IFERROR(ROUND(IF($D86="","",INDEX('M04-S09'!DQ$18:DQ$199,2*(ROWS(EH$81:EH86)-1)+1)),6),"")</f>
        <v/>
      </c>
      <c r="EI86" s="150" t="str" cm="1">
        <f t="array" ref="EI86">IFERROR(ROUND(IF($D86="","",INDEX('M04-S09'!DR$18:DR$199,2*(ROWS(EI$81:EI86)-1)+1)),6),"")</f>
        <v/>
      </c>
      <c r="EJ86" s="150" t="str" cm="1">
        <f t="array" ref="EJ86">IFERROR(ROUND(IF($D86="","",INDEX('M04-S09'!DS$18:DS$199,2*(ROWS(EJ$81:EJ86)-1)+1)),6),"")</f>
        <v/>
      </c>
      <c r="EK86" s="150" t="str" cm="1">
        <f t="array" ref="EK86">IFERROR(ROUND(IF($D86="","",INDEX('M04-S09'!DT$18:DT$199,2*(ROWS(EK$81:EK86)-1)+1)),6),"")</f>
        <v/>
      </c>
      <c r="EL86" s="150" t="str" cm="1">
        <f t="array" ref="EL86">IFERROR(ROUND(IF($D86="","",INDEX('M04-S09'!DU$18:DU$199,2*(ROWS(EL$81:EL86)-1)+1)),6),"")</f>
        <v/>
      </c>
      <c r="EM86" s="150" t="str" cm="1">
        <f t="array" ref="EM86">IFERROR(ROUND(IF($D86="","",INDEX('M04-S09'!DV$18:DV$199,2*(ROWS(EM$81:EM86)-1)+1)),6),"")</f>
        <v/>
      </c>
      <c r="EN86" s="150" t="str" cm="1">
        <f t="array" ref="EN86">IFERROR(ROUND(IF($D86="","",INDEX('M04-S09'!DW$18:DW$199,2*(ROWS(EN$81:EN86)-1)+1)),6),"")</f>
        <v/>
      </c>
      <c r="EO86" s="150" t="str" cm="1">
        <f t="array" ref="EO86">IFERROR(ROUND(IF($D86="","",INDEX('M04-S09'!DX$18:DX$199,2*(ROWS(EO$81:EO86)-1)+1)),6),"")</f>
        <v/>
      </c>
      <c r="EP86" s="150" t="str" cm="1">
        <f t="array" ref="EP86">IFERROR(ROUND(IF($D86="","",INDEX('M04-S09'!DY$18:DY$199,2*(ROWS(EP$81:EP86)-1)+1)),6),"")</f>
        <v/>
      </c>
      <c r="EQ86" s="150" t="str" cm="1">
        <f t="array" ref="EQ86">IFERROR(ROUND(IF($D86="","",INDEX('M04-S09'!DZ$18:DZ$199,2*(ROWS(EQ$81:EQ86)-1)+1)),6),"")</f>
        <v/>
      </c>
      <c r="ER86" s="150" t="str">
        <f t="shared" si="109"/>
        <v/>
      </c>
      <c r="ES86" s="150" t="str">
        <f t="shared" si="134"/>
        <v/>
      </c>
      <c r="ET86" s="150" t="str">
        <f t="shared" si="135"/>
        <v/>
      </c>
      <c r="EU86" s="150" t="str">
        <f t="shared" si="136"/>
        <v/>
      </c>
      <c r="EV86" s="150" t="str">
        <f t="shared" si="137"/>
        <v/>
      </c>
      <c r="EW86" s="150" t="str">
        <f t="shared" si="138"/>
        <v/>
      </c>
      <c r="EX86" s="150" t="str">
        <f t="shared" si="139"/>
        <v/>
      </c>
      <c r="EY86" s="150" t="str">
        <f t="shared" si="110"/>
        <v/>
      </c>
      <c r="EZ86" s="150" t="str" cm="1">
        <f t="array" ref="EZ86">IFERROR(ROUND(IF($D86="","",INDEX('M04-S09'!EA$18:EA$199,2*(ROWS(EZ$81:EZ86)-1)+1)),6),"")</f>
        <v/>
      </c>
      <c r="FA86" s="150" t="str" cm="1">
        <f t="array" ref="FA86">IFERROR(ROUND(IF($D86="","",INDEX('M04-S09'!EB$18:EB$199,2*(ROWS(FA$81:FA86)-1)+1)),6),"")</f>
        <v/>
      </c>
      <c r="FB86" s="150" t="str" cm="1">
        <f t="array" ref="FB86">IFERROR(ROUND(IF($D86="","",INDEX('M04-S09'!EC$18:EC$199,2*(ROWS(FB$81:FB86)-1)+1)),6),"")</f>
        <v/>
      </c>
      <c r="FC86" s="150" t="str" cm="1">
        <f t="array" ref="FC86">IFERROR(ROUND(IF($D86="","",INDEX('M04-S09'!ED$18:ED$199,2*(ROWS(FC$81:FC86)-1)+1)),6),"")</f>
        <v/>
      </c>
      <c r="FD86" s="150" t="str" cm="1">
        <f t="array" ref="FD86">IFERROR(ROUND(IF($D86="","",INDEX('M04-S09'!EE$18:EE$199,2*(ROWS(FD$81:FD86)-1)+1)),6),"")</f>
        <v/>
      </c>
      <c r="FE86" s="150" t="str" cm="1">
        <f t="array" ref="FE86">IFERROR(ROUND(IF($D86="","",INDEX('M04-S09'!EF$18:EF$199,2*(ROWS(FE$81:FE86)-1)+1)),6),"")</f>
        <v/>
      </c>
      <c r="FF86" s="150" t="str" cm="1">
        <f t="array" ref="FF86">IFERROR(ROUND(IF($D86="","",INDEX('M04-S09'!EG$18:EG$199,2*(ROWS(FF$81:FF86)-1)+1)),6),"")</f>
        <v/>
      </c>
      <c r="FG86" s="150" t="str" cm="1">
        <f t="array" ref="FG86">IFERROR(ROUND(IF($D86="","",INDEX('M04-S09'!EH$18:EH$199,2*(ROWS(FG$81:FG86)-1)+1)),6),"")</f>
        <v/>
      </c>
      <c r="FH86" s="150" t="str" cm="1">
        <f t="array" ref="FH86">IFERROR(ROUND(IF($D86="","",INDEX('M04-S09'!EI$18:EI$199,2*(ROWS(FH$81:FH86)-1)+1)),6),"")</f>
        <v/>
      </c>
      <c r="FI86" s="150" t="str" cm="1">
        <f t="array" ref="FI86">IFERROR(ROUND(IF($D86="","",INDEX('M04-S09'!EJ$18:EJ$199,2*(ROWS(FI$81:FI86)-1)+1)),6),"")</f>
        <v/>
      </c>
      <c r="FJ86" s="150" t="str" cm="1">
        <f t="array" ref="FJ86">IFERROR(ROUND(IF($D86="","",INDEX('M04-S09'!EK$18:EK$199,2*(ROWS(FJ$81:FJ86)-1)+1)),6),"")</f>
        <v/>
      </c>
      <c r="FK86" s="150" t="str" cm="1">
        <f t="array" ref="FK86">IFERROR(ROUND(IF($D86="","",INDEX('M04-S09'!EL$18:EL$199,2*(ROWS(FK$81:FK86)-1)+1)),6),"")</f>
        <v/>
      </c>
      <c r="FL86" s="150" t="str" cm="1">
        <f t="array" ref="FL86">IFERROR(ROUND(IF($D86="","",INDEX('M04-S09'!EM$18:EM$199,2*(ROWS(FL$81:FL86)-1)+1)),6),"")</f>
        <v/>
      </c>
      <c r="FM86" s="150" t="str" cm="1">
        <f t="array" ref="FM86">IFERROR(ROUND(IF($D86="","",INDEX('M04-S09'!EN$18:EN$199,2*(ROWS(FM$81:FM86)-1)+1)),6),"")</f>
        <v/>
      </c>
    </row>
    <row r="87" spans="1:169">
      <c r="A87" t="str">
        <f t="shared" si="120"/>
        <v/>
      </c>
      <c r="B87" t="str">
        <f t="shared" si="125"/>
        <v/>
      </c>
      <c r="C87" t="str" cm="1">
        <f t="array" ref="C87">IFERROR(IF(D87="","",INDEX('M04-S09'!$B$18:$B$199,2*(ROWS(C$81:C87)-1)+1)),"")</f>
        <v/>
      </c>
      <c r="D87" t="str">
        <f t="shared" si="126"/>
        <v/>
      </c>
      <c r="E87" t="str" cm="1">
        <f t="array" ref="E87">IFERROR(IF(INDEX('M04-S09'!$CC$18:$CC$199,2*(ROWS(E$81:E87)-1)+1)="","",INDEX('M04-S09'!$CC$18:$CC$199,2*(ROWS(E$81:E87)-1)+1)),"")</f>
        <v/>
      </c>
      <c r="G87" t="str">
        <f t="shared" si="127"/>
        <v/>
      </c>
      <c r="H87" t="str">
        <f t="shared" si="128"/>
        <v/>
      </c>
      <c r="L87" t="str">
        <f t="shared" si="129"/>
        <v/>
      </c>
      <c r="O87" t="str">
        <f t="shared" si="130"/>
        <v/>
      </c>
      <c r="V87" t="str" cm="1">
        <f t="array" ref="V87">IFERROR(IF(D87="","",INDEX('M04-S09'!$AY$18:$AY$199,2*(ROWS(V$81:V87)-1)+1)),"")</f>
        <v/>
      </c>
      <c r="W87" t="str" cm="1">
        <f t="array" ref="W87">IFERROR(IF(D87="","",INDEX('M04-S09'!$AV$18:$AV$199,2*(ROWS(W$81:W87)-1)+1)),"")</f>
        <v/>
      </c>
      <c r="X87" t="str" cm="1">
        <f t="array" ref="X87">IFERROR(IF(D87="","",INDEX('M04-S09'!$AV$18:$AV$199,2*(ROWS(X$81:X87)-0)+0)),"")</f>
        <v/>
      </c>
      <c r="AG87" s="98" t="str" cm="1">
        <f t="array" ref="AG87">IFERROR(IF(D87="","",IF(INDEX('M04-S09'!$CB$18:$CB$199,2*(ROWS(AG$81:AG87)-1)+1)="","",INDEX('M04-S09'!$CB$18:$CB$199,2*(ROWS(AG$81:AG87)-1)+1))),"")</f>
        <v/>
      </c>
      <c r="AH87" s="98" t="str" cm="1">
        <f t="array" ref="AH87">IFERROR(IF(D87="","",IF(INDEX('M04-S09'!$CU$18:$CU$199,2*(ROWS(AH$81:AH87)-1)+1)="","",INDEX('M04-S09'!$CU$18:$CU$199,2*(ROWS(AH$81:AH87)-1)+1))),"")</f>
        <v/>
      </c>
      <c r="AI87" s="20" t="str" cm="1">
        <f t="array" ref="AI87">IFERROR(IF(D87="","",IF(INDEX('M04-S09'!$CM$18:$CM$199,2*(ROWS(AI$81:AI87)-1)+1)="",0,INDEX('M04-S09'!$CM$18:$CM$199,2*(ROWS(AI$81:AI87)-1)+1))),"")</f>
        <v/>
      </c>
      <c r="AJ87" s="20" t="str">
        <f t="shared" si="86"/>
        <v/>
      </c>
      <c r="AK87" s="487" t="str" cm="1">
        <f t="array" ref="AK87">IFERROR(IF(D87="","",IF(INDEX('M04-S09'!$CN$18:$CN$199,2*(ROWS(AK$81:AK87)-1)+1)="",0,INDEX('M04-S09'!$CN$18:$CN$199,2*(ROWS(AK$81:AK87)-1)+1))),"")</f>
        <v/>
      </c>
      <c r="AL87" s="20" t="str">
        <f t="shared" si="131"/>
        <v/>
      </c>
      <c r="AM87" s="20" t="str">
        <f t="shared" si="122"/>
        <v/>
      </c>
      <c r="AN87" s="20" t="str" cm="1">
        <f t="array" ref="AN87">IFERROR(IF(D87="","",IF(INDEX('M04-S09'!$CO$18:$CO$199,2*(ROWS(AN$81:AN87)-1)+1)="",0,INDEX('M04-S09'!$CO$18:$CO$199,2*(ROWS(AN$81:AN87)-1)+1))),"")</f>
        <v/>
      </c>
      <c r="AO87" s="20" t="str" cm="1">
        <f t="array" ref="AO87">IFERROR(IF(D87="","",INDEX('M04-S09'!$R$18:$R$199,2*(ROWS(AO$81:AO87)-1)+1)),"")</f>
        <v/>
      </c>
      <c r="AP87" s="20" t="str" cm="1">
        <f t="array" ref="AP87">IFERROR(IF(D87="","",INDEX('M04-S09'!$AJ$18:$AJ$199,2*(ROWS(AP$81:AP87)-1)+1)),"")</f>
        <v/>
      </c>
      <c r="AQ87" s="487" t="str" cm="1">
        <f t="array" ref="AQ87">IFERROR(IF(D87="","",INDEX('M04-S09'!$U$18:$U$199,2*(ROWS(AQ$81:AQ87)-1)+1)),"")</f>
        <v/>
      </c>
      <c r="AR87" s="487" t="str" cm="1">
        <f t="array" ref="AR87">IFERROR(IF(D87="","",INDEX('M04-S09'!$AM$18:$AM$199,2*(ROWS(AR$81:AR87)-1)+1)),"")</f>
        <v/>
      </c>
      <c r="AS87" s="20" t="str" cm="1">
        <f t="array" ref="AS87">IFERROR(IF(D87="","",INDEX('M04-S09'!$X$18:$X$199,2*(ROWS(AS$81:AS87)-1)+1)),"")</f>
        <v/>
      </c>
      <c r="AT87" s="20" t="str" cm="1">
        <f t="array" ref="AT87">IFERROR(IF(D87="","",INDEX('M04-S09'!$AP$18:$AP$199,2*(ROWS(AT$81:AT87)-1)+1)),"")</f>
        <v/>
      </c>
      <c r="BP87" t="str" cm="1">
        <f t="array" ref="BP87">IFERROR(IF(D87="","",INDEX('M04-S09'!$CS$18:$CS$199,2*(ROWS(BP$81:BP87)-1)+1)),"")</f>
        <v/>
      </c>
      <c r="BR87" t="str" cm="1">
        <f t="array" ref="BR87">IFERROR(IF(D87="","",LEFT(INDEX('M04-S09'!$C$18:$C$199,2*(ROWS(BR$81:BR87)-1)+1),150)),"")</f>
        <v/>
      </c>
      <c r="BS87" t="str" cm="1">
        <f t="array" ref="BS87">IFERROR(IF(D87="","",INDEX('M04-S09'!$CT$18:$CT$199,2*(ROWS(BS$81:BS87)-1)+1)),"")</f>
        <v/>
      </c>
      <c r="BT87" s="6" t="str" cm="1">
        <f t="array" ref="BT87">IFERROR(ROUND(IF(D87="","",INDEX('M04-S09'!$BB$18:$BB$199,2*(ROWS(BT$81:BT87)-1)+1)),2),"")</f>
        <v/>
      </c>
      <c r="BU87" s="6" t="str" cm="1">
        <f t="array" ref="BU87">IFERROR(IF(D87="","",INDEX('M04-S09'!$CX$18:$CX$199,2*(ROWS(BU$81:BU87)-1)+1)),"")</f>
        <v/>
      </c>
      <c r="BV87" s="6" t="str" cm="1">
        <f t="array" ref="BV87">IFERROR(IF(D87="","",INDEX('M04-S09'!$CY$18:$CY$199,2*(ROWS(BV$81:BV87)-1)+1)),"")</f>
        <v/>
      </c>
      <c r="BW87" t="str">
        <f t="shared" si="132"/>
        <v/>
      </c>
      <c r="BX87" t="str">
        <f t="shared" si="133"/>
        <v/>
      </c>
      <c r="BY87" s="6" t="str" cm="1">
        <f t="array" ref="BY87">IFERROR(IF(D87="","",INDEX('M04-S09'!$CI$18:$CI$199,2*(ROWS(BY$81:BY87)-1)+1)),"")</f>
        <v/>
      </c>
      <c r="BZ87" s="6" t="str">
        <f t="shared" si="105"/>
        <v/>
      </c>
      <c r="CA87" s="6" t="str">
        <f t="shared" si="106"/>
        <v/>
      </c>
      <c r="CB87" s="6" t="str">
        <f t="shared" si="87"/>
        <v/>
      </c>
      <c r="CC87" s="6" t="str">
        <f t="shared" si="123"/>
        <v/>
      </c>
      <c r="CD87" s="6" t="str">
        <f t="shared" si="124"/>
        <v/>
      </c>
      <c r="CS87" t="str" cm="1">
        <f t="array" ref="CS87">IFERROR(IF(D87="","",INDEX('M04-S09'!$F$18:$F$199,2*(ROWS(CS$81:CS87)-1)+1)),"")</f>
        <v/>
      </c>
      <c r="CT87" t="str" cm="1">
        <f t="array" ref="CT87">IFERROR(IF(D87="","",INDEX('M04-S09'!$L$18:$L$199,2*(ROWS(CT$81:CT87)-1)+1)),"")</f>
        <v/>
      </c>
      <c r="CU87" t="str" cm="1">
        <f t="array" ref="CU87">IFERROR(IF(D87="","",INDEX('M04-S09'!$AD$18:$AD$199,2*(ROWS(CU$81:CU87)-1)+1)),"")</f>
        <v/>
      </c>
      <c r="DE87" s="150"/>
      <c r="DF87" s="150" t="str">
        <f>IFERROR(ROUND(IF(OR(D87="",DE87=""),"",TEMPLATE!$V$17),2),"")</f>
        <v/>
      </c>
      <c r="DG87" s="150"/>
      <c r="DH87" s="150" t="str">
        <f>IFERROR(ROUND(IF(OR(D87="",DG87=""),"",TEMPLATE!$V$17),2),"")</f>
        <v/>
      </c>
      <c r="DI87" s="150"/>
      <c r="DJ87" s="150" t="str">
        <f>IFERROR(ROUND(IF(OR(D87="",DI87=""),"",TEMPLATE!$V$17),2),"")</f>
        <v/>
      </c>
      <c r="DK87" s="150"/>
      <c r="DL87" s="150" t="str">
        <f>IFERROR(ROUND(IF(OR(D87="",DK87=""),"",TEMPLATE!$V$17),2),"")</f>
        <v/>
      </c>
      <c r="DM87" s="150"/>
      <c r="DN87" s="150" t="str">
        <f>IFERROR(ROUND(IF(OR(D87="",DM87=""),"",TEMPLATE!$V$17),2),"")</f>
        <v/>
      </c>
      <c r="DO87" s="150"/>
      <c r="DP87" s="150" t="str">
        <f>IFERROR(ROUND(IF(OR(D87="",DO87=""),"",TEMPLATE!$V$17),2),"")</f>
        <v/>
      </c>
      <c r="DQ87" s="150"/>
      <c r="DR87" s="150" t="str">
        <f>IFERROR(ROUND(IF(OR(D87="",DQ87=""),"",TEMPLATE!$V$17),2),"")</f>
        <v/>
      </c>
      <c r="DS87" s="150"/>
      <c r="DT87" s="150" t="str">
        <f>IFERROR(ROUND(IF(OR(D87="",DS87=""),"",TEMPLATE!$V$17),2),"")</f>
        <v/>
      </c>
      <c r="DU87" s="150" t="str" cm="1">
        <f t="array" ref="DU87">IFERROR(ROUND(IF($D87="","",INDEX('M04-S09'!DD$18:DD$199,2*(ROWS(DU$81:DU87)-1)+1)),4),"")</f>
        <v/>
      </c>
      <c r="DV87" s="150" t="str" cm="1">
        <f t="array" ref="DV87">IFERROR(ROUND(IF($D87="","",INDEX('M04-S09'!DE$18:DE$199,2*(ROWS(DV$81:DV87)-1)+1)),4),"")</f>
        <v/>
      </c>
      <c r="DW87" s="150" t="str" cm="1">
        <f t="array" ref="DW87">IFERROR(ROUND(IF($D87="","",INDEX('M04-S09'!DF$18:DF$199,2*(ROWS(DW$81:DW87)-1)+1)),4),"")</f>
        <v/>
      </c>
      <c r="DX87" s="150" t="str" cm="1">
        <f t="array" ref="DX87">IFERROR(ROUND(IF($D87="","",INDEX('M04-S09'!DG$18:DG$199,2*(ROWS(DX$81:DX87)-1)+1)),4),"")</f>
        <v/>
      </c>
      <c r="DY87" s="150" t="str" cm="1">
        <f t="array" ref="DY87">IFERROR(ROUND(IF($D87="","",INDEX('M04-S09'!DH$18:DH$199,2*(ROWS(DY$81:DY87)-1)+1)),4),"")</f>
        <v/>
      </c>
      <c r="DZ87" s="150" t="str" cm="1">
        <f t="array" ref="DZ87">IFERROR(ROUND(IF($D87="","",INDEX('M04-S09'!DI$18:DI$199,2*(ROWS(DZ$81:DZ87)-1)+1)),4),"")</f>
        <v/>
      </c>
      <c r="EA87" s="150" t="str" cm="1">
        <f t="array" ref="EA87">IFERROR(ROUND(IF($D87="","",INDEX('M04-S09'!DJ$18:DJ$199,2*(ROWS(EA$81:EA87)-1)+1)),4),"")</f>
        <v/>
      </c>
      <c r="EB87" s="150" t="str" cm="1">
        <f t="array" ref="EB87">IFERROR(ROUND(IF($D87="","",INDEX('M04-S09'!DK$18:DK$199,2*(ROWS(EB$81:EB87)-1)+1)),6),"")</f>
        <v/>
      </c>
      <c r="EC87" s="150" t="str" cm="1">
        <f t="array" ref="EC87">IFERROR(ROUND(IF($D87="","",INDEX('M04-S09'!DL$18:DL$199,2*(ROWS(EC$81:EC87)-1)+1)),6),"")</f>
        <v/>
      </c>
      <c r="ED87" s="150" t="str" cm="1">
        <f t="array" ref="ED87">IFERROR(ROUND(IF($D87="","",INDEX('M04-S09'!DM$18:DM$199,2*(ROWS(ED$81:ED87)-1)+1)),6),"")</f>
        <v/>
      </c>
      <c r="EE87" s="150" t="str" cm="1">
        <f t="array" ref="EE87">IFERROR(ROUND(IF($D87="","",INDEX('M04-S09'!DN$18:DN$199,2*(ROWS(EE$81:EE87)-1)+1)),6),"")</f>
        <v/>
      </c>
      <c r="EF87" s="150" t="str" cm="1">
        <f t="array" ref="EF87">IFERROR(ROUND(IF($D87="","",INDEX('M04-S09'!DO$18:DO$199,2*(ROWS(EF$81:EF87)-1)+1)),6),"")</f>
        <v/>
      </c>
      <c r="EG87" s="150" t="str" cm="1">
        <f t="array" ref="EG87">IFERROR(ROUND(IF($D87="","",INDEX('M04-S09'!DP$18:DP$199,2*(ROWS(EG$81:EG87)-1)+1)),6),"")</f>
        <v/>
      </c>
      <c r="EH87" s="150" t="str" cm="1">
        <f t="array" ref="EH87">IFERROR(ROUND(IF($D87="","",INDEX('M04-S09'!DQ$18:DQ$199,2*(ROWS(EH$81:EH87)-1)+1)),6),"")</f>
        <v/>
      </c>
      <c r="EI87" s="150" t="str" cm="1">
        <f t="array" ref="EI87">IFERROR(ROUND(IF($D87="","",INDEX('M04-S09'!DR$18:DR$199,2*(ROWS(EI$81:EI87)-1)+1)),6),"")</f>
        <v/>
      </c>
      <c r="EJ87" s="150" t="str" cm="1">
        <f t="array" ref="EJ87">IFERROR(ROUND(IF($D87="","",INDEX('M04-S09'!DS$18:DS$199,2*(ROWS(EJ$81:EJ87)-1)+1)),6),"")</f>
        <v/>
      </c>
      <c r="EK87" s="150" t="str" cm="1">
        <f t="array" ref="EK87">IFERROR(ROUND(IF($D87="","",INDEX('M04-S09'!DT$18:DT$199,2*(ROWS(EK$81:EK87)-1)+1)),6),"")</f>
        <v/>
      </c>
      <c r="EL87" s="150" t="str" cm="1">
        <f t="array" ref="EL87">IFERROR(ROUND(IF($D87="","",INDEX('M04-S09'!DU$18:DU$199,2*(ROWS(EL$81:EL87)-1)+1)),6),"")</f>
        <v/>
      </c>
      <c r="EM87" s="150" t="str" cm="1">
        <f t="array" ref="EM87">IFERROR(ROUND(IF($D87="","",INDEX('M04-S09'!DV$18:DV$199,2*(ROWS(EM$81:EM87)-1)+1)),6),"")</f>
        <v/>
      </c>
      <c r="EN87" s="150" t="str" cm="1">
        <f t="array" ref="EN87">IFERROR(ROUND(IF($D87="","",INDEX('M04-S09'!DW$18:DW$199,2*(ROWS(EN$81:EN87)-1)+1)),6),"")</f>
        <v/>
      </c>
      <c r="EO87" s="150" t="str" cm="1">
        <f t="array" ref="EO87">IFERROR(ROUND(IF($D87="","",INDEX('M04-S09'!DX$18:DX$199,2*(ROWS(EO$81:EO87)-1)+1)),6),"")</f>
        <v/>
      </c>
      <c r="EP87" s="150" t="str" cm="1">
        <f t="array" ref="EP87">IFERROR(ROUND(IF($D87="","",INDEX('M04-S09'!DY$18:DY$199,2*(ROWS(EP$81:EP87)-1)+1)),6),"")</f>
        <v/>
      </c>
      <c r="EQ87" s="150" t="str" cm="1">
        <f t="array" ref="EQ87">IFERROR(ROUND(IF($D87="","",INDEX('M04-S09'!DZ$18:DZ$199,2*(ROWS(EQ$81:EQ87)-1)+1)),6),"")</f>
        <v/>
      </c>
      <c r="ER87" s="150" t="str">
        <f t="shared" si="109"/>
        <v/>
      </c>
      <c r="ES87" s="150" t="str">
        <f t="shared" si="134"/>
        <v/>
      </c>
      <c r="ET87" s="150" t="str">
        <f t="shared" si="135"/>
        <v/>
      </c>
      <c r="EU87" s="150" t="str">
        <f t="shared" si="136"/>
        <v/>
      </c>
      <c r="EV87" s="150" t="str">
        <f t="shared" si="137"/>
        <v/>
      </c>
      <c r="EW87" s="150" t="str">
        <f t="shared" si="138"/>
        <v/>
      </c>
      <c r="EX87" s="150" t="str">
        <f t="shared" si="139"/>
        <v/>
      </c>
      <c r="EY87" s="150" t="str">
        <f t="shared" si="110"/>
        <v/>
      </c>
      <c r="EZ87" s="150" t="str" cm="1">
        <f t="array" ref="EZ87">IFERROR(ROUND(IF($D87="","",INDEX('M04-S09'!EA$18:EA$199,2*(ROWS(EZ$81:EZ87)-1)+1)),6),"")</f>
        <v/>
      </c>
      <c r="FA87" s="150" t="str" cm="1">
        <f t="array" ref="FA87">IFERROR(ROUND(IF($D87="","",INDEX('M04-S09'!EB$18:EB$199,2*(ROWS(FA$81:FA87)-1)+1)),6),"")</f>
        <v/>
      </c>
      <c r="FB87" s="150" t="str" cm="1">
        <f t="array" ref="FB87">IFERROR(ROUND(IF($D87="","",INDEX('M04-S09'!EC$18:EC$199,2*(ROWS(FB$81:FB87)-1)+1)),6),"")</f>
        <v/>
      </c>
      <c r="FC87" s="150" t="str" cm="1">
        <f t="array" ref="FC87">IFERROR(ROUND(IF($D87="","",INDEX('M04-S09'!ED$18:ED$199,2*(ROWS(FC$81:FC87)-1)+1)),6),"")</f>
        <v/>
      </c>
      <c r="FD87" s="150" t="str" cm="1">
        <f t="array" ref="FD87">IFERROR(ROUND(IF($D87="","",INDEX('M04-S09'!EE$18:EE$199,2*(ROWS(FD$81:FD87)-1)+1)),6),"")</f>
        <v/>
      </c>
      <c r="FE87" s="150" t="str" cm="1">
        <f t="array" ref="FE87">IFERROR(ROUND(IF($D87="","",INDEX('M04-S09'!EF$18:EF$199,2*(ROWS(FE$81:FE87)-1)+1)),6),"")</f>
        <v/>
      </c>
      <c r="FF87" s="150" t="str" cm="1">
        <f t="array" ref="FF87">IFERROR(ROUND(IF($D87="","",INDEX('M04-S09'!EG$18:EG$199,2*(ROWS(FF$81:FF87)-1)+1)),6),"")</f>
        <v/>
      </c>
      <c r="FG87" s="150" t="str" cm="1">
        <f t="array" ref="FG87">IFERROR(ROUND(IF($D87="","",INDEX('M04-S09'!EH$18:EH$199,2*(ROWS(FG$81:FG87)-1)+1)),6),"")</f>
        <v/>
      </c>
      <c r="FH87" s="150" t="str" cm="1">
        <f t="array" ref="FH87">IFERROR(ROUND(IF($D87="","",INDEX('M04-S09'!EI$18:EI$199,2*(ROWS(FH$81:FH87)-1)+1)),6),"")</f>
        <v/>
      </c>
      <c r="FI87" s="150" t="str" cm="1">
        <f t="array" ref="FI87">IFERROR(ROUND(IF($D87="","",INDEX('M04-S09'!EJ$18:EJ$199,2*(ROWS(FI$81:FI87)-1)+1)),6),"")</f>
        <v/>
      </c>
      <c r="FJ87" s="150" t="str" cm="1">
        <f t="array" ref="FJ87">IFERROR(ROUND(IF($D87="","",INDEX('M04-S09'!EK$18:EK$199,2*(ROWS(FJ$81:FJ87)-1)+1)),6),"")</f>
        <v/>
      </c>
      <c r="FK87" s="150" t="str" cm="1">
        <f t="array" ref="FK87">IFERROR(ROUND(IF($D87="","",INDEX('M04-S09'!EL$18:EL$199,2*(ROWS(FK$81:FK87)-1)+1)),6),"")</f>
        <v/>
      </c>
      <c r="FL87" s="150" t="str" cm="1">
        <f t="array" ref="FL87">IFERROR(ROUND(IF($D87="","",INDEX('M04-S09'!EM$18:EM$199,2*(ROWS(FL$81:FL87)-1)+1)),6),"")</f>
        <v/>
      </c>
      <c r="FM87" s="150" t="str" cm="1">
        <f t="array" ref="FM87">IFERROR(ROUND(IF($D87="","",INDEX('M04-S09'!EN$18:EN$199,2*(ROWS(FM$81:FM87)-1)+1)),6),"")</f>
        <v/>
      </c>
    </row>
    <row r="88" spans="1:169">
      <c r="A88" t="str">
        <f t="shared" si="120"/>
        <v/>
      </c>
      <c r="B88" t="str">
        <f t="shared" si="125"/>
        <v/>
      </c>
      <c r="C88" t="str" cm="1">
        <f t="array" ref="C88">IFERROR(IF(D88="","",INDEX('M04-S09'!$B$18:$B$199,2*(ROWS(C$81:C88)-1)+1)),"")</f>
        <v/>
      </c>
      <c r="D88" t="str">
        <f t="shared" si="126"/>
        <v/>
      </c>
      <c r="E88" t="str" cm="1">
        <f t="array" ref="E88">IFERROR(IF(INDEX('M04-S09'!$CC$18:$CC$199,2*(ROWS(E$81:E88)-1)+1)="","",INDEX('M04-S09'!$CC$18:$CC$199,2*(ROWS(E$81:E88)-1)+1)),"")</f>
        <v/>
      </c>
      <c r="G88" t="str">
        <f t="shared" si="127"/>
        <v/>
      </c>
      <c r="H88" t="str">
        <f t="shared" si="128"/>
        <v/>
      </c>
      <c r="L88" t="str">
        <f t="shared" si="129"/>
        <v/>
      </c>
      <c r="O88" t="str">
        <f t="shared" si="130"/>
        <v/>
      </c>
      <c r="V88" t="str" cm="1">
        <f t="array" ref="V88">IFERROR(IF(D88="","",INDEX('M04-S09'!$AY$18:$AY$199,2*(ROWS(V$81:V88)-1)+1)),"")</f>
        <v/>
      </c>
      <c r="W88" t="str" cm="1">
        <f t="array" ref="W88">IFERROR(IF(D88="","",INDEX('M04-S09'!$AV$18:$AV$199,2*(ROWS(W$81:W88)-1)+1)),"")</f>
        <v/>
      </c>
      <c r="X88" t="str" cm="1">
        <f t="array" ref="X88">IFERROR(IF(D88="","",INDEX('M04-S09'!$AV$18:$AV$199,2*(ROWS(X$81:X88)-0)+0)),"")</f>
        <v/>
      </c>
      <c r="AG88" s="98" t="str" cm="1">
        <f t="array" ref="AG88">IFERROR(IF(D88="","",IF(INDEX('M04-S09'!$CB$18:$CB$199,2*(ROWS(AG$81:AG88)-1)+1)="","",INDEX('M04-S09'!$CB$18:$CB$199,2*(ROWS(AG$81:AG88)-1)+1))),"")</f>
        <v/>
      </c>
      <c r="AH88" s="98" t="str" cm="1">
        <f t="array" ref="AH88">IFERROR(IF(D88="","",IF(INDEX('M04-S09'!$CU$18:$CU$199,2*(ROWS(AH$81:AH88)-1)+1)="","",INDEX('M04-S09'!$CU$18:$CU$199,2*(ROWS(AH$81:AH88)-1)+1))),"")</f>
        <v/>
      </c>
      <c r="AI88" s="20" t="str" cm="1">
        <f t="array" ref="AI88">IFERROR(IF(D88="","",IF(INDEX('M04-S09'!$CM$18:$CM$199,2*(ROWS(AI$81:AI88)-1)+1)="",0,INDEX('M04-S09'!$CM$18:$CM$199,2*(ROWS(AI$81:AI88)-1)+1))),"")</f>
        <v/>
      </c>
      <c r="AJ88" s="20" t="str">
        <f t="shared" si="86"/>
        <v/>
      </c>
      <c r="AK88" s="487" t="str" cm="1">
        <f t="array" ref="AK88">IFERROR(IF(D88="","",IF(INDEX('M04-S09'!$CN$18:$CN$199,2*(ROWS(AK$81:AK88)-1)+1)="",0,INDEX('M04-S09'!$CN$18:$CN$199,2*(ROWS(AK$81:AK88)-1)+1))),"")</f>
        <v/>
      </c>
      <c r="AL88" s="20" t="str">
        <f t="shared" si="131"/>
        <v/>
      </c>
      <c r="AM88" s="20" t="str">
        <f t="shared" si="122"/>
        <v/>
      </c>
      <c r="AN88" s="20" t="str" cm="1">
        <f t="array" ref="AN88">IFERROR(IF(D88="","",IF(INDEX('M04-S09'!$CO$18:$CO$199,2*(ROWS(AN$81:AN88)-1)+1)="",0,INDEX('M04-S09'!$CO$18:$CO$199,2*(ROWS(AN$81:AN88)-1)+1))),"")</f>
        <v/>
      </c>
      <c r="AO88" s="20" t="str" cm="1">
        <f t="array" ref="AO88">IFERROR(IF(D88="","",INDEX('M04-S09'!$R$18:$R$199,2*(ROWS(AO$81:AO88)-1)+1)),"")</f>
        <v/>
      </c>
      <c r="AP88" s="20" t="str" cm="1">
        <f t="array" ref="AP88">IFERROR(IF(D88="","",INDEX('M04-S09'!$AJ$18:$AJ$199,2*(ROWS(AP$81:AP88)-1)+1)),"")</f>
        <v/>
      </c>
      <c r="AQ88" s="487" t="str" cm="1">
        <f t="array" ref="AQ88">IFERROR(IF(D88="","",INDEX('M04-S09'!$U$18:$U$199,2*(ROWS(AQ$81:AQ88)-1)+1)),"")</f>
        <v/>
      </c>
      <c r="AR88" s="487" t="str" cm="1">
        <f t="array" ref="AR88">IFERROR(IF(D88="","",INDEX('M04-S09'!$AM$18:$AM$199,2*(ROWS(AR$81:AR88)-1)+1)),"")</f>
        <v/>
      </c>
      <c r="AS88" s="20" t="str" cm="1">
        <f t="array" ref="AS88">IFERROR(IF(D88="","",INDEX('M04-S09'!$X$18:$X$199,2*(ROWS(AS$81:AS88)-1)+1)),"")</f>
        <v/>
      </c>
      <c r="AT88" s="20" t="str" cm="1">
        <f t="array" ref="AT88">IFERROR(IF(D88="","",INDEX('M04-S09'!$AP$18:$AP$199,2*(ROWS(AT$81:AT88)-1)+1)),"")</f>
        <v/>
      </c>
      <c r="BP88" t="str" cm="1">
        <f t="array" ref="BP88">IFERROR(IF(D88="","",INDEX('M04-S09'!$CS$18:$CS$199,2*(ROWS(BP$81:BP88)-1)+1)),"")</f>
        <v/>
      </c>
      <c r="BR88" t="str" cm="1">
        <f t="array" ref="BR88">IFERROR(IF(D88="","",LEFT(INDEX('M04-S09'!$C$18:$C$199,2*(ROWS(BR$81:BR88)-1)+1),150)),"")</f>
        <v/>
      </c>
      <c r="BS88" t="str" cm="1">
        <f t="array" ref="BS88">IFERROR(IF(D88="","",INDEX('M04-S09'!$CT$18:$CT$199,2*(ROWS(BS$81:BS88)-1)+1)),"")</f>
        <v/>
      </c>
      <c r="BT88" s="6" t="str" cm="1">
        <f t="array" ref="BT88">IFERROR(ROUND(IF(D88="","",INDEX('M04-S09'!$BB$18:$BB$199,2*(ROWS(BT$81:BT88)-1)+1)),2),"")</f>
        <v/>
      </c>
      <c r="BU88" s="6" t="str" cm="1">
        <f t="array" ref="BU88">IFERROR(IF(D88="","",INDEX('M04-S09'!$CX$18:$CX$199,2*(ROWS(BU$81:BU88)-1)+1)),"")</f>
        <v/>
      </c>
      <c r="BV88" s="6" t="str" cm="1">
        <f t="array" ref="BV88">IFERROR(IF(D88="","",INDEX('M04-S09'!$CY$18:$CY$199,2*(ROWS(BV$81:BV88)-1)+1)),"")</f>
        <v/>
      </c>
      <c r="BW88" t="str">
        <f t="shared" si="132"/>
        <v/>
      </c>
      <c r="BX88" t="str">
        <f t="shared" si="133"/>
        <v/>
      </c>
      <c r="BY88" s="6" t="str" cm="1">
        <f t="array" ref="BY88">IFERROR(IF(D88="","",INDEX('M04-S09'!$CI$18:$CI$199,2*(ROWS(BY$81:BY88)-1)+1)),"")</f>
        <v/>
      </c>
      <c r="BZ88" s="6" t="str">
        <f t="shared" si="105"/>
        <v/>
      </c>
      <c r="CA88" s="6" t="str">
        <f t="shared" si="106"/>
        <v/>
      </c>
      <c r="CB88" s="6" t="str">
        <f t="shared" si="87"/>
        <v/>
      </c>
      <c r="CC88" s="6" t="str">
        <f t="shared" si="123"/>
        <v/>
      </c>
      <c r="CD88" s="6" t="str">
        <f t="shared" si="124"/>
        <v/>
      </c>
      <c r="CS88" t="str" cm="1">
        <f t="array" ref="CS88">IFERROR(IF(D88="","",INDEX('M04-S09'!$F$18:$F$199,2*(ROWS(CS$81:CS88)-1)+1)),"")</f>
        <v/>
      </c>
      <c r="CT88" t="str" cm="1">
        <f t="array" ref="CT88">IFERROR(IF(D88="","",INDEX('M04-S09'!$L$18:$L$199,2*(ROWS(CT$81:CT88)-1)+1)),"")</f>
        <v/>
      </c>
      <c r="CU88" t="str" cm="1">
        <f t="array" ref="CU88">IFERROR(IF(D88="","",INDEX('M04-S09'!$AD$18:$AD$199,2*(ROWS(CU$81:CU88)-1)+1)),"")</f>
        <v/>
      </c>
      <c r="DE88" s="150"/>
      <c r="DF88" s="150" t="str">
        <f>IFERROR(ROUND(IF(OR(D88="",DE88=""),"",TEMPLATE!$V$17),2),"")</f>
        <v/>
      </c>
      <c r="DG88" s="150"/>
      <c r="DH88" s="150" t="str">
        <f>IFERROR(ROUND(IF(OR(D88="",DG88=""),"",TEMPLATE!$V$17),2),"")</f>
        <v/>
      </c>
      <c r="DI88" s="150"/>
      <c r="DJ88" s="150" t="str">
        <f>IFERROR(ROUND(IF(OR(D88="",DI88=""),"",TEMPLATE!$V$17),2),"")</f>
        <v/>
      </c>
      <c r="DK88" s="150"/>
      <c r="DL88" s="150" t="str">
        <f>IFERROR(ROUND(IF(OR(D88="",DK88=""),"",TEMPLATE!$V$17),2),"")</f>
        <v/>
      </c>
      <c r="DM88" s="150"/>
      <c r="DN88" s="150" t="str">
        <f>IFERROR(ROUND(IF(OR(D88="",DM88=""),"",TEMPLATE!$V$17),2),"")</f>
        <v/>
      </c>
      <c r="DO88" s="150"/>
      <c r="DP88" s="150" t="str">
        <f>IFERROR(ROUND(IF(OR(D88="",DO88=""),"",TEMPLATE!$V$17),2),"")</f>
        <v/>
      </c>
      <c r="DQ88" s="150"/>
      <c r="DR88" s="150" t="str">
        <f>IFERROR(ROUND(IF(OR(D88="",DQ88=""),"",TEMPLATE!$V$17),2),"")</f>
        <v/>
      </c>
      <c r="DS88" s="150"/>
      <c r="DT88" s="150" t="str">
        <f>IFERROR(ROUND(IF(OR(D88="",DS88=""),"",TEMPLATE!$V$17),2),"")</f>
        <v/>
      </c>
      <c r="DU88" s="150" t="str" cm="1">
        <f t="array" ref="DU88">IFERROR(ROUND(IF($D88="","",INDEX('M04-S09'!DD$18:DD$199,2*(ROWS(DU$81:DU88)-1)+1)),4),"")</f>
        <v/>
      </c>
      <c r="DV88" s="150" t="str" cm="1">
        <f t="array" ref="DV88">IFERROR(ROUND(IF($D88="","",INDEX('M04-S09'!DE$18:DE$199,2*(ROWS(DV$81:DV88)-1)+1)),4),"")</f>
        <v/>
      </c>
      <c r="DW88" s="150" t="str" cm="1">
        <f t="array" ref="DW88">IFERROR(ROUND(IF($D88="","",INDEX('M04-S09'!DF$18:DF$199,2*(ROWS(DW$81:DW88)-1)+1)),4),"")</f>
        <v/>
      </c>
      <c r="DX88" s="150" t="str" cm="1">
        <f t="array" ref="DX88">IFERROR(ROUND(IF($D88="","",INDEX('M04-S09'!DG$18:DG$199,2*(ROWS(DX$81:DX88)-1)+1)),4),"")</f>
        <v/>
      </c>
      <c r="DY88" s="150" t="str" cm="1">
        <f t="array" ref="DY88">IFERROR(ROUND(IF($D88="","",INDEX('M04-S09'!DH$18:DH$199,2*(ROWS(DY$81:DY88)-1)+1)),4),"")</f>
        <v/>
      </c>
      <c r="DZ88" s="150" t="str" cm="1">
        <f t="array" ref="DZ88">IFERROR(ROUND(IF($D88="","",INDEX('M04-S09'!DI$18:DI$199,2*(ROWS(DZ$81:DZ88)-1)+1)),4),"")</f>
        <v/>
      </c>
      <c r="EA88" s="150" t="str" cm="1">
        <f t="array" ref="EA88">IFERROR(ROUND(IF($D88="","",INDEX('M04-S09'!DJ$18:DJ$199,2*(ROWS(EA$81:EA88)-1)+1)),4),"")</f>
        <v/>
      </c>
      <c r="EB88" s="150" t="str" cm="1">
        <f t="array" ref="EB88">IFERROR(ROUND(IF($D88="","",INDEX('M04-S09'!DK$18:DK$199,2*(ROWS(EB$81:EB88)-1)+1)),6),"")</f>
        <v/>
      </c>
      <c r="EC88" s="150" t="str" cm="1">
        <f t="array" ref="EC88">IFERROR(ROUND(IF($D88="","",INDEX('M04-S09'!DL$18:DL$199,2*(ROWS(EC$81:EC88)-1)+1)),6),"")</f>
        <v/>
      </c>
      <c r="ED88" s="150" t="str" cm="1">
        <f t="array" ref="ED88">IFERROR(ROUND(IF($D88="","",INDEX('M04-S09'!DM$18:DM$199,2*(ROWS(ED$81:ED88)-1)+1)),6),"")</f>
        <v/>
      </c>
      <c r="EE88" s="150" t="str" cm="1">
        <f t="array" ref="EE88">IFERROR(ROUND(IF($D88="","",INDEX('M04-S09'!DN$18:DN$199,2*(ROWS(EE$81:EE88)-1)+1)),6),"")</f>
        <v/>
      </c>
      <c r="EF88" s="150" t="str" cm="1">
        <f t="array" ref="EF88">IFERROR(ROUND(IF($D88="","",INDEX('M04-S09'!DO$18:DO$199,2*(ROWS(EF$81:EF88)-1)+1)),6),"")</f>
        <v/>
      </c>
      <c r="EG88" s="150" t="str" cm="1">
        <f t="array" ref="EG88">IFERROR(ROUND(IF($D88="","",INDEX('M04-S09'!DP$18:DP$199,2*(ROWS(EG$81:EG88)-1)+1)),6),"")</f>
        <v/>
      </c>
      <c r="EH88" s="150" t="str" cm="1">
        <f t="array" ref="EH88">IFERROR(ROUND(IF($D88="","",INDEX('M04-S09'!DQ$18:DQ$199,2*(ROWS(EH$81:EH88)-1)+1)),6),"")</f>
        <v/>
      </c>
      <c r="EI88" s="150" t="str" cm="1">
        <f t="array" ref="EI88">IFERROR(ROUND(IF($D88="","",INDEX('M04-S09'!DR$18:DR$199,2*(ROWS(EI$81:EI88)-1)+1)),6),"")</f>
        <v/>
      </c>
      <c r="EJ88" s="150" t="str" cm="1">
        <f t="array" ref="EJ88">IFERROR(ROUND(IF($D88="","",INDEX('M04-S09'!DS$18:DS$199,2*(ROWS(EJ$81:EJ88)-1)+1)),6),"")</f>
        <v/>
      </c>
      <c r="EK88" s="150" t="str" cm="1">
        <f t="array" ref="EK88">IFERROR(ROUND(IF($D88="","",INDEX('M04-S09'!DT$18:DT$199,2*(ROWS(EK$81:EK88)-1)+1)),6),"")</f>
        <v/>
      </c>
      <c r="EL88" s="150" t="str" cm="1">
        <f t="array" ref="EL88">IFERROR(ROUND(IF($D88="","",INDEX('M04-S09'!DU$18:DU$199,2*(ROWS(EL$81:EL88)-1)+1)),6),"")</f>
        <v/>
      </c>
      <c r="EM88" s="150" t="str" cm="1">
        <f t="array" ref="EM88">IFERROR(ROUND(IF($D88="","",INDEX('M04-S09'!DV$18:DV$199,2*(ROWS(EM$81:EM88)-1)+1)),6),"")</f>
        <v/>
      </c>
      <c r="EN88" s="150" t="str" cm="1">
        <f t="array" ref="EN88">IFERROR(ROUND(IF($D88="","",INDEX('M04-S09'!DW$18:DW$199,2*(ROWS(EN$81:EN88)-1)+1)),6),"")</f>
        <v/>
      </c>
      <c r="EO88" s="150" t="str" cm="1">
        <f t="array" ref="EO88">IFERROR(ROUND(IF($D88="","",INDEX('M04-S09'!DX$18:DX$199,2*(ROWS(EO$81:EO88)-1)+1)),6),"")</f>
        <v/>
      </c>
      <c r="EP88" s="150" t="str" cm="1">
        <f t="array" ref="EP88">IFERROR(ROUND(IF($D88="","",INDEX('M04-S09'!DY$18:DY$199,2*(ROWS(EP$81:EP88)-1)+1)),6),"")</f>
        <v/>
      </c>
      <c r="EQ88" s="150" t="str" cm="1">
        <f t="array" ref="EQ88">IFERROR(ROUND(IF($D88="","",INDEX('M04-S09'!DZ$18:DZ$199,2*(ROWS(EQ$81:EQ88)-1)+1)),6),"")</f>
        <v/>
      </c>
      <c r="ER88" s="150" t="str">
        <f t="shared" si="109"/>
        <v/>
      </c>
      <c r="ES88" s="150" t="str">
        <f t="shared" si="134"/>
        <v/>
      </c>
      <c r="ET88" s="150" t="str">
        <f t="shared" si="135"/>
        <v/>
      </c>
      <c r="EU88" s="150" t="str">
        <f t="shared" si="136"/>
        <v/>
      </c>
      <c r="EV88" s="150" t="str">
        <f t="shared" si="137"/>
        <v/>
      </c>
      <c r="EW88" s="150" t="str">
        <f t="shared" si="138"/>
        <v/>
      </c>
      <c r="EX88" s="150" t="str">
        <f t="shared" si="139"/>
        <v/>
      </c>
      <c r="EY88" s="150" t="str">
        <f t="shared" si="110"/>
        <v/>
      </c>
      <c r="EZ88" s="150" t="str" cm="1">
        <f t="array" ref="EZ88">IFERROR(ROUND(IF($D88="","",INDEX('M04-S09'!EA$18:EA$199,2*(ROWS(EZ$81:EZ88)-1)+1)),6),"")</f>
        <v/>
      </c>
      <c r="FA88" s="150" t="str" cm="1">
        <f t="array" ref="FA88">IFERROR(ROUND(IF($D88="","",INDEX('M04-S09'!EB$18:EB$199,2*(ROWS(FA$81:FA88)-1)+1)),6),"")</f>
        <v/>
      </c>
      <c r="FB88" s="150" t="str" cm="1">
        <f t="array" ref="FB88">IFERROR(ROUND(IF($D88="","",INDEX('M04-S09'!EC$18:EC$199,2*(ROWS(FB$81:FB88)-1)+1)),6),"")</f>
        <v/>
      </c>
      <c r="FC88" s="150" t="str" cm="1">
        <f t="array" ref="FC88">IFERROR(ROUND(IF($D88="","",INDEX('M04-S09'!ED$18:ED$199,2*(ROWS(FC$81:FC88)-1)+1)),6),"")</f>
        <v/>
      </c>
      <c r="FD88" s="150" t="str" cm="1">
        <f t="array" ref="FD88">IFERROR(ROUND(IF($D88="","",INDEX('M04-S09'!EE$18:EE$199,2*(ROWS(FD$81:FD88)-1)+1)),6),"")</f>
        <v/>
      </c>
      <c r="FE88" s="150" t="str" cm="1">
        <f t="array" ref="FE88">IFERROR(ROUND(IF($D88="","",INDEX('M04-S09'!EF$18:EF$199,2*(ROWS(FE$81:FE88)-1)+1)),6),"")</f>
        <v/>
      </c>
      <c r="FF88" s="150" t="str" cm="1">
        <f t="array" ref="FF88">IFERROR(ROUND(IF($D88="","",INDEX('M04-S09'!EG$18:EG$199,2*(ROWS(FF$81:FF88)-1)+1)),6),"")</f>
        <v/>
      </c>
      <c r="FG88" s="150" t="str" cm="1">
        <f t="array" ref="FG88">IFERROR(ROUND(IF($D88="","",INDEX('M04-S09'!EH$18:EH$199,2*(ROWS(FG$81:FG88)-1)+1)),6),"")</f>
        <v/>
      </c>
      <c r="FH88" s="150" t="str" cm="1">
        <f t="array" ref="FH88">IFERROR(ROUND(IF($D88="","",INDEX('M04-S09'!EI$18:EI$199,2*(ROWS(FH$81:FH88)-1)+1)),6),"")</f>
        <v/>
      </c>
      <c r="FI88" s="150" t="str" cm="1">
        <f t="array" ref="FI88">IFERROR(ROUND(IF($D88="","",INDEX('M04-S09'!EJ$18:EJ$199,2*(ROWS(FI$81:FI88)-1)+1)),6),"")</f>
        <v/>
      </c>
      <c r="FJ88" s="150" t="str" cm="1">
        <f t="array" ref="FJ88">IFERROR(ROUND(IF($D88="","",INDEX('M04-S09'!EK$18:EK$199,2*(ROWS(FJ$81:FJ88)-1)+1)),6),"")</f>
        <v/>
      </c>
      <c r="FK88" s="150" t="str" cm="1">
        <f t="array" ref="FK88">IFERROR(ROUND(IF($D88="","",INDEX('M04-S09'!EL$18:EL$199,2*(ROWS(FK$81:FK88)-1)+1)),6),"")</f>
        <v/>
      </c>
      <c r="FL88" s="150" t="str" cm="1">
        <f t="array" ref="FL88">IFERROR(ROUND(IF($D88="","",INDEX('M04-S09'!EM$18:EM$199,2*(ROWS(FL$81:FL88)-1)+1)),6),"")</f>
        <v/>
      </c>
      <c r="FM88" s="150" t="str" cm="1">
        <f t="array" ref="FM88">IFERROR(ROUND(IF($D88="","",INDEX('M04-S09'!EN$18:EN$199,2*(ROWS(FM$81:FM88)-1)+1)),6),"")</f>
        <v/>
      </c>
    </row>
    <row r="89" spans="1:169">
      <c r="A89" t="str">
        <f t="shared" si="120"/>
        <v/>
      </c>
      <c r="B89" t="str">
        <f t="shared" si="125"/>
        <v/>
      </c>
      <c r="C89" t="str" cm="1">
        <f t="array" ref="C89">IFERROR(IF(D89="","",INDEX('M04-S09'!$B$18:$B$199,2*(ROWS(C$81:C89)-1)+1)),"")</f>
        <v/>
      </c>
      <c r="D89" t="str">
        <f t="shared" si="126"/>
        <v/>
      </c>
      <c r="E89" t="str" cm="1">
        <f t="array" ref="E89">IFERROR(IF(INDEX('M04-S09'!$CC$18:$CC$199,2*(ROWS(E$81:E89)-1)+1)="","",INDEX('M04-S09'!$CC$18:$CC$199,2*(ROWS(E$81:E89)-1)+1)),"")</f>
        <v/>
      </c>
      <c r="G89" t="str">
        <f t="shared" si="127"/>
        <v/>
      </c>
      <c r="H89" t="str">
        <f t="shared" si="128"/>
        <v/>
      </c>
      <c r="L89" t="str">
        <f t="shared" si="129"/>
        <v/>
      </c>
      <c r="O89" t="str">
        <f t="shared" si="130"/>
        <v/>
      </c>
      <c r="V89" t="str" cm="1">
        <f t="array" ref="V89">IFERROR(IF(D89="","",INDEX('M04-S09'!$AY$18:$AY$199,2*(ROWS(V$81:V89)-1)+1)),"")</f>
        <v/>
      </c>
      <c r="W89" t="str" cm="1">
        <f t="array" ref="W89">IFERROR(IF(D89="","",INDEX('M04-S09'!$AV$18:$AV$199,2*(ROWS(W$81:W89)-1)+1)),"")</f>
        <v/>
      </c>
      <c r="X89" t="str" cm="1">
        <f t="array" ref="X89">IFERROR(IF(D89="","",INDEX('M04-S09'!$AV$18:$AV$199,2*(ROWS(X$81:X89)-0)+0)),"")</f>
        <v/>
      </c>
      <c r="AG89" s="98" t="str" cm="1">
        <f t="array" ref="AG89">IFERROR(IF(D89="","",IF(INDEX('M04-S09'!$CB$18:$CB$199,2*(ROWS(AG$81:AG89)-1)+1)="","",INDEX('M04-S09'!$CB$18:$CB$199,2*(ROWS(AG$81:AG89)-1)+1))),"")</f>
        <v/>
      </c>
      <c r="AH89" s="98" t="str" cm="1">
        <f t="array" ref="AH89">IFERROR(IF(D89="","",IF(INDEX('M04-S09'!$CU$18:$CU$199,2*(ROWS(AH$81:AH89)-1)+1)="","",INDEX('M04-S09'!$CU$18:$CU$199,2*(ROWS(AH$81:AH89)-1)+1))),"")</f>
        <v/>
      </c>
      <c r="AI89" s="20" t="str" cm="1">
        <f t="array" ref="AI89">IFERROR(IF(D89="","",IF(INDEX('M04-S09'!$CM$18:$CM$199,2*(ROWS(AI$81:AI89)-1)+1)="",0,INDEX('M04-S09'!$CM$18:$CM$199,2*(ROWS(AI$81:AI89)-1)+1))),"")</f>
        <v/>
      </c>
      <c r="AJ89" s="20" t="str">
        <f t="shared" si="86"/>
        <v/>
      </c>
      <c r="AK89" s="487" t="str" cm="1">
        <f t="array" ref="AK89">IFERROR(IF(D89="","",IF(INDEX('M04-S09'!$CN$18:$CN$199,2*(ROWS(AK$81:AK89)-1)+1)="",0,INDEX('M04-S09'!$CN$18:$CN$199,2*(ROWS(AK$81:AK89)-1)+1))),"")</f>
        <v/>
      </c>
      <c r="AL89" s="20" t="str">
        <f t="shared" si="131"/>
        <v/>
      </c>
      <c r="AM89" s="20" t="str">
        <f t="shared" si="122"/>
        <v/>
      </c>
      <c r="AN89" s="20" t="str" cm="1">
        <f t="array" ref="AN89">IFERROR(IF(D89="","",IF(INDEX('M04-S09'!$CO$18:$CO$199,2*(ROWS(AN$81:AN89)-1)+1)="",0,INDEX('M04-S09'!$CO$18:$CO$199,2*(ROWS(AN$81:AN89)-1)+1))),"")</f>
        <v/>
      </c>
      <c r="AO89" s="20" t="str" cm="1">
        <f t="array" ref="AO89">IFERROR(IF(D89="","",INDEX('M04-S09'!$R$18:$R$199,2*(ROWS(AO$81:AO89)-1)+1)),"")</f>
        <v/>
      </c>
      <c r="AP89" s="20" t="str" cm="1">
        <f t="array" ref="AP89">IFERROR(IF(D89="","",INDEX('M04-S09'!$AJ$18:$AJ$199,2*(ROWS(AP$81:AP89)-1)+1)),"")</f>
        <v/>
      </c>
      <c r="AQ89" s="487" t="str" cm="1">
        <f t="array" ref="AQ89">IFERROR(IF(D89="","",INDEX('M04-S09'!$U$18:$U$199,2*(ROWS(AQ$81:AQ89)-1)+1)),"")</f>
        <v/>
      </c>
      <c r="AR89" s="487" t="str" cm="1">
        <f t="array" ref="AR89">IFERROR(IF(D89="","",INDEX('M04-S09'!$AM$18:$AM$199,2*(ROWS(AR$81:AR89)-1)+1)),"")</f>
        <v/>
      </c>
      <c r="AS89" s="20" t="str" cm="1">
        <f t="array" ref="AS89">IFERROR(IF(D89="","",INDEX('M04-S09'!$X$18:$X$199,2*(ROWS(AS$81:AS89)-1)+1)),"")</f>
        <v/>
      </c>
      <c r="AT89" s="20" t="str" cm="1">
        <f t="array" ref="AT89">IFERROR(IF(D89="","",INDEX('M04-S09'!$AP$18:$AP$199,2*(ROWS(AT$81:AT89)-1)+1)),"")</f>
        <v/>
      </c>
      <c r="BP89" t="str" cm="1">
        <f t="array" ref="BP89">IFERROR(IF(D89="","",INDEX('M04-S09'!$CS$18:$CS$199,2*(ROWS(BP$81:BP89)-1)+1)),"")</f>
        <v/>
      </c>
      <c r="BR89" t="str" cm="1">
        <f t="array" ref="BR89">IFERROR(IF(D89="","",LEFT(INDEX('M04-S09'!$C$18:$C$199,2*(ROWS(BR$81:BR89)-1)+1),150)),"")</f>
        <v/>
      </c>
      <c r="BS89" t="str" cm="1">
        <f t="array" ref="BS89">IFERROR(IF(D89="","",INDEX('M04-S09'!$CT$18:$CT$199,2*(ROWS(BS$81:BS89)-1)+1)),"")</f>
        <v/>
      </c>
      <c r="BT89" s="6" t="str" cm="1">
        <f t="array" ref="BT89">IFERROR(ROUND(IF(D89="","",INDEX('M04-S09'!$BB$18:$BB$199,2*(ROWS(BT$81:BT89)-1)+1)),2),"")</f>
        <v/>
      </c>
      <c r="BU89" s="6" t="str" cm="1">
        <f t="array" ref="BU89">IFERROR(IF(D89="","",INDEX('M04-S09'!$CX$18:$CX$199,2*(ROWS(BU$81:BU89)-1)+1)),"")</f>
        <v/>
      </c>
      <c r="BV89" s="6" t="str" cm="1">
        <f t="array" ref="BV89">IFERROR(IF(D89="","",INDEX('M04-S09'!$CY$18:$CY$199,2*(ROWS(BV$81:BV89)-1)+1)),"")</f>
        <v/>
      </c>
      <c r="BW89" t="str">
        <f t="shared" si="132"/>
        <v/>
      </c>
      <c r="BX89" t="str">
        <f t="shared" si="133"/>
        <v/>
      </c>
      <c r="BY89" s="6" t="str" cm="1">
        <f t="array" ref="BY89">IFERROR(IF(D89="","",INDEX('M04-S09'!$CI$18:$CI$199,2*(ROWS(BY$81:BY89)-1)+1)),"")</f>
        <v/>
      </c>
      <c r="BZ89" s="6" t="str">
        <f t="shared" si="105"/>
        <v/>
      </c>
      <c r="CA89" s="6" t="str">
        <f t="shared" si="106"/>
        <v/>
      </c>
      <c r="CB89" s="6" t="str">
        <f t="shared" si="87"/>
        <v/>
      </c>
      <c r="CC89" s="6" t="str">
        <f t="shared" si="123"/>
        <v/>
      </c>
      <c r="CD89" s="6" t="str">
        <f t="shared" si="124"/>
        <v/>
      </c>
      <c r="CS89" t="str" cm="1">
        <f t="array" ref="CS89">IFERROR(IF(D89="","",INDEX('M04-S09'!$F$18:$F$199,2*(ROWS(CS$81:CS89)-1)+1)),"")</f>
        <v/>
      </c>
      <c r="CT89" t="str" cm="1">
        <f t="array" ref="CT89">IFERROR(IF(D89="","",INDEX('M04-S09'!$L$18:$L$199,2*(ROWS(CT$81:CT89)-1)+1)),"")</f>
        <v/>
      </c>
      <c r="CU89" t="str" cm="1">
        <f t="array" ref="CU89">IFERROR(IF(D89="","",INDEX('M04-S09'!$AD$18:$AD$199,2*(ROWS(CU$81:CU89)-1)+1)),"")</f>
        <v/>
      </c>
      <c r="DE89" s="150"/>
      <c r="DF89" s="150" t="str">
        <f>IFERROR(ROUND(IF(OR(D89="",DE89=""),"",TEMPLATE!$V$17),2),"")</f>
        <v/>
      </c>
      <c r="DG89" s="150"/>
      <c r="DH89" s="150" t="str">
        <f>IFERROR(ROUND(IF(OR(D89="",DG89=""),"",TEMPLATE!$V$17),2),"")</f>
        <v/>
      </c>
      <c r="DI89" s="150"/>
      <c r="DJ89" s="150" t="str">
        <f>IFERROR(ROUND(IF(OR(D89="",DI89=""),"",TEMPLATE!$V$17),2),"")</f>
        <v/>
      </c>
      <c r="DK89" s="150"/>
      <c r="DL89" s="150" t="str">
        <f>IFERROR(ROUND(IF(OR(D89="",DK89=""),"",TEMPLATE!$V$17),2),"")</f>
        <v/>
      </c>
      <c r="DM89" s="150"/>
      <c r="DN89" s="150" t="str">
        <f>IFERROR(ROUND(IF(OR(D89="",DM89=""),"",TEMPLATE!$V$17),2),"")</f>
        <v/>
      </c>
      <c r="DO89" s="150"/>
      <c r="DP89" s="150" t="str">
        <f>IFERROR(ROUND(IF(OR(D89="",DO89=""),"",TEMPLATE!$V$17),2),"")</f>
        <v/>
      </c>
      <c r="DQ89" s="150"/>
      <c r="DR89" s="150" t="str">
        <f>IFERROR(ROUND(IF(OR(D89="",DQ89=""),"",TEMPLATE!$V$17),2),"")</f>
        <v/>
      </c>
      <c r="DS89" s="150"/>
      <c r="DT89" s="150" t="str">
        <f>IFERROR(ROUND(IF(OR(D89="",DS89=""),"",TEMPLATE!$V$17),2),"")</f>
        <v/>
      </c>
      <c r="DU89" s="150" t="str" cm="1">
        <f t="array" ref="DU89">IFERROR(ROUND(IF($D89="","",INDEX('M04-S09'!DD$18:DD$199,2*(ROWS(DU$81:DU89)-1)+1)),4),"")</f>
        <v/>
      </c>
      <c r="DV89" s="150" t="str" cm="1">
        <f t="array" ref="DV89">IFERROR(ROUND(IF($D89="","",INDEX('M04-S09'!DE$18:DE$199,2*(ROWS(DV$81:DV89)-1)+1)),4),"")</f>
        <v/>
      </c>
      <c r="DW89" s="150" t="str" cm="1">
        <f t="array" ref="DW89">IFERROR(ROUND(IF($D89="","",INDEX('M04-S09'!DF$18:DF$199,2*(ROWS(DW$81:DW89)-1)+1)),4),"")</f>
        <v/>
      </c>
      <c r="DX89" s="150" t="str" cm="1">
        <f t="array" ref="DX89">IFERROR(ROUND(IF($D89="","",INDEX('M04-S09'!DG$18:DG$199,2*(ROWS(DX$81:DX89)-1)+1)),4),"")</f>
        <v/>
      </c>
      <c r="DY89" s="150" t="str" cm="1">
        <f t="array" ref="DY89">IFERROR(ROUND(IF($D89="","",INDEX('M04-S09'!DH$18:DH$199,2*(ROWS(DY$81:DY89)-1)+1)),4),"")</f>
        <v/>
      </c>
      <c r="DZ89" s="150" t="str" cm="1">
        <f t="array" ref="DZ89">IFERROR(ROUND(IF($D89="","",INDEX('M04-S09'!DI$18:DI$199,2*(ROWS(DZ$81:DZ89)-1)+1)),4),"")</f>
        <v/>
      </c>
      <c r="EA89" s="150" t="str" cm="1">
        <f t="array" ref="EA89">IFERROR(ROUND(IF($D89="","",INDEX('M04-S09'!DJ$18:DJ$199,2*(ROWS(EA$81:EA89)-1)+1)),4),"")</f>
        <v/>
      </c>
      <c r="EB89" s="150" t="str" cm="1">
        <f t="array" ref="EB89">IFERROR(ROUND(IF($D89="","",INDEX('M04-S09'!DK$18:DK$199,2*(ROWS(EB$81:EB89)-1)+1)),6),"")</f>
        <v/>
      </c>
      <c r="EC89" s="150" t="str" cm="1">
        <f t="array" ref="EC89">IFERROR(ROUND(IF($D89="","",INDEX('M04-S09'!DL$18:DL$199,2*(ROWS(EC$81:EC89)-1)+1)),6),"")</f>
        <v/>
      </c>
      <c r="ED89" s="150" t="str" cm="1">
        <f t="array" ref="ED89">IFERROR(ROUND(IF($D89="","",INDEX('M04-S09'!DM$18:DM$199,2*(ROWS(ED$81:ED89)-1)+1)),6),"")</f>
        <v/>
      </c>
      <c r="EE89" s="150" t="str" cm="1">
        <f t="array" ref="EE89">IFERROR(ROUND(IF($D89="","",INDEX('M04-S09'!DN$18:DN$199,2*(ROWS(EE$81:EE89)-1)+1)),6),"")</f>
        <v/>
      </c>
      <c r="EF89" s="150" t="str" cm="1">
        <f t="array" ref="EF89">IFERROR(ROUND(IF($D89="","",INDEX('M04-S09'!DO$18:DO$199,2*(ROWS(EF$81:EF89)-1)+1)),6),"")</f>
        <v/>
      </c>
      <c r="EG89" s="150" t="str" cm="1">
        <f t="array" ref="EG89">IFERROR(ROUND(IF($D89="","",INDEX('M04-S09'!DP$18:DP$199,2*(ROWS(EG$81:EG89)-1)+1)),6),"")</f>
        <v/>
      </c>
      <c r="EH89" s="150" t="str" cm="1">
        <f t="array" ref="EH89">IFERROR(ROUND(IF($D89="","",INDEX('M04-S09'!DQ$18:DQ$199,2*(ROWS(EH$81:EH89)-1)+1)),6),"")</f>
        <v/>
      </c>
      <c r="EI89" s="150" t="str" cm="1">
        <f t="array" ref="EI89">IFERROR(ROUND(IF($D89="","",INDEX('M04-S09'!DR$18:DR$199,2*(ROWS(EI$81:EI89)-1)+1)),6),"")</f>
        <v/>
      </c>
      <c r="EJ89" s="150" t="str" cm="1">
        <f t="array" ref="EJ89">IFERROR(ROUND(IF($D89="","",INDEX('M04-S09'!DS$18:DS$199,2*(ROWS(EJ$81:EJ89)-1)+1)),6),"")</f>
        <v/>
      </c>
      <c r="EK89" s="150" t="str" cm="1">
        <f t="array" ref="EK89">IFERROR(ROUND(IF($D89="","",INDEX('M04-S09'!DT$18:DT$199,2*(ROWS(EK$81:EK89)-1)+1)),6),"")</f>
        <v/>
      </c>
      <c r="EL89" s="150" t="str" cm="1">
        <f t="array" ref="EL89">IFERROR(ROUND(IF($D89="","",INDEX('M04-S09'!DU$18:DU$199,2*(ROWS(EL$81:EL89)-1)+1)),6),"")</f>
        <v/>
      </c>
      <c r="EM89" s="150" t="str" cm="1">
        <f t="array" ref="EM89">IFERROR(ROUND(IF($D89="","",INDEX('M04-S09'!DV$18:DV$199,2*(ROWS(EM$81:EM89)-1)+1)),6),"")</f>
        <v/>
      </c>
      <c r="EN89" s="150" t="str" cm="1">
        <f t="array" ref="EN89">IFERROR(ROUND(IF($D89="","",INDEX('M04-S09'!DW$18:DW$199,2*(ROWS(EN$81:EN89)-1)+1)),6),"")</f>
        <v/>
      </c>
      <c r="EO89" s="150" t="str" cm="1">
        <f t="array" ref="EO89">IFERROR(ROUND(IF($D89="","",INDEX('M04-S09'!DX$18:DX$199,2*(ROWS(EO$81:EO89)-1)+1)),6),"")</f>
        <v/>
      </c>
      <c r="EP89" s="150" t="str" cm="1">
        <f t="array" ref="EP89">IFERROR(ROUND(IF($D89="","",INDEX('M04-S09'!DY$18:DY$199,2*(ROWS(EP$81:EP89)-1)+1)),6),"")</f>
        <v/>
      </c>
      <c r="EQ89" s="150" t="str" cm="1">
        <f t="array" ref="EQ89">IFERROR(ROUND(IF($D89="","",INDEX('M04-S09'!DZ$18:DZ$199,2*(ROWS(EQ$81:EQ89)-1)+1)),6),"")</f>
        <v/>
      </c>
      <c r="ER89" s="150" t="str">
        <f t="shared" si="109"/>
        <v/>
      </c>
      <c r="ES89" s="150" t="str">
        <f t="shared" si="134"/>
        <v/>
      </c>
      <c r="ET89" s="150" t="str">
        <f t="shared" si="135"/>
        <v/>
      </c>
      <c r="EU89" s="150" t="str">
        <f t="shared" si="136"/>
        <v/>
      </c>
      <c r="EV89" s="150" t="str">
        <f t="shared" si="137"/>
        <v/>
      </c>
      <c r="EW89" s="150" t="str">
        <f t="shared" si="138"/>
        <v/>
      </c>
      <c r="EX89" s="150" t="str">
        <f t="shared" si="139"/>
        <v/>
      </c>
      <c r="EY89" s="150" t="str">
        <f t="shared" si="110"/>
        <v/>
      </c>
      <c r="EZ89" s="150" t="str" cm="1">
        <f t="array" ref="EZ89">IFERROR(ROUND(IF($D89="","",INDEX('M04-S09'!EA$18:EA$199,2*(ROWS(EZ$81:EZ89)-1)+1)),6),"")</f>
        <v/>
      </c>
      <c r="FA89" s="150" t="str" cm="1">
        <f t="array" ref="FA89">IFERROR(ROUND(IF($D89="","",INDEX('M04-S09'!EB$18:EB$199,2*(ROWS(FA$81:FA89)-1)+1)),6),"")</f>
        <v/>
      </c>
      <c r="FB89" s="150" t="str" cm="1">
        <f t="array" ref="FB89">IFERROR(ROUND(IF($D89="","",INDEX('M04-S09'!EC$18:EC$199,2*(ROWS(FB$81:FB89)-1)+1)),6),"")</f>
        <v/>
      </c>
      <c r="FC89" s="150" t="str" cm="1">
        <f t="array" ref="FC89">IFERROR(ROUND(IF($D89="","",INDEX('M04-S09'!ED$18:ED$199,2*(ROWS(FC$81:FC89)-1)+1)),6),"")</f>
        <v/>
      </c>
      <c r="FD89" s="150" t="str" cm="1">
        <f t="array" ref="FD89">IFERROR(ROUND(IF($D89="","",INDEX('M04-S09'!EE$18:EE$199,2*(ROWS(FD$81:FD89)-1)+1)),6),"")</f>
        <v/>
      </c>
      <c r="FE89" s="150" t="str" cm="1">
        <f t="array" ref="FE89">IFERROR(ROUND(IF($D89="","",INDEX('M04-S09'!EF$18:EF$199,2*(ROWS(FE$81:FE89)-1)+1)),6),"")</f>
        <v/>
      </c>
      <c r="FF89" s="150" t="str" cm="1">
        <f t="array" ref="FF89">IFERROR(ROUND(IF($D89="","",INDEX('M04-S09'!EG$18:EG$199,2*(ROWS(FF$81:FF89)-1)+1)),6),"")</f>
        <v/>
      </c>
      <c r="FG89" s="150" t="str" cm="1">
        <f t="array" ref="FG89">IFERROR(ROUND(IF($D89="","",INDEX('M04-S09'!EH$18:EH$199,2*(ROWS(FG$81:FG89)-1)+1)),6),"")</f>
        <v/>
      </c>
      <c r="FH89" s="150" t="str" cm="1">
        <f t="array" ref="FH89">IFERROR(ROUND(IF($D89="","",INDEX('M04-S09'!EI$18:EI$199,2*(ROWS(FH$81:FH89)-1)+1)),6),"")</f>
        <v/>
      </c>
      <c r="FI89" s="150" t="str" cm="1">
        <f t="array" ref="FI89">IFERROR(ROUND(IF($D89="","",INDEX('M04-S09'!EJ$18:EJ$199,2*(ROWS(FI$81:FI89)-1)+1)),6),"")</f>
        <v/>
      </c>
      <c r="FJ89" s="150" t="str" cm="1">
        <f t="array" ref="FJ89">IFERROR(ROUND(IF($D89="","",INDEX('M04-S09'!EK$18:EK$199,2*(ROWS(FJ$81:FJ89)-1)+1)),6),"")</f>
        <v/>
      </c>
      <c r="FK89" s="150" t="str" cm="1">
        <f t="array" ref="FK89">IFERROR(ROUND(IF($D89="","",INDEX('M04-S09'!EL$18:EL$199,2*(ROWS(FK$81:FK89)-1)+1)),6),"")</f>
        <v/>
      </c>
      <c r="FL89" s="150" t="str" cm="1">
        <f t="array" ref="FL89">IFERROR(ROUND(IF($D89="","",INDEX('M04-S09'!EM$18:EM$199,2*(ROWS(FL$81:FL89)-1)+1)),6),"")</f>
        <v/>
      </c>
      <c r="FM89" s="150" t="str" cm="1">
        <f t="array" ref="FM89">IFERROR(ROUND(IF($D89="","",INDEX('M04-S09'!EN$18:EN$199,2*(ROWS(FM$81:FM89)-1)+1)),6),"")</f>
        <v/>
      </c>
    </row>
    <row r="90" spans="1:169">
      <c r="A90" t="str">
        <f t="shared" si="120"/>
        <v/>
      </c>
      <c r="B90" t="str">
        <f t="shared" si="125"/>
        <v/>
      </c>
      <c r="C90" t="str" cm="1">
        <f t="array" ref="C90">IFERROR(IF(D90="","",INDEX('M04-S09'!$B$18:$B$199,2*(ROWS(C$81:C90)-1)+1)),"")</f>
        <v/>
      </c>
      <c r="D90" t="str">
        <f t="shared" si="126"/>
        <v/>
      </c>
      <c r="E90" t="str" cm="1">
        <f t="array" ref="E90">IFERROR(IF(INDEX('M04-S09'!$CC$18:$CC$199,2*(ROWS(E$81:E90)-1)+1)="","",INDEX('M04-S09'!$CC$18:$CC$199,2*(ROWS(E$81:E90)-1)+1)),"")</f>
        <v/>
      </c>
      <c r="G90" t="str">
        <f t="shared" si="127"/>
        <v/>
      </c>
      <c r="H90" t="str">
        <f t="shared" si="128"/>
        <v/>
      </c>
      <c r="L90" t="str">
        <f t="shared" si="129"/>
        <v/>
      </c>
      <c r="O90" t="str">
        <f t="shared" si="130"/>
        <v/>
      </c>
      <c r="V90" t="str" cm="1">
        <f t="array" ref="V90">IFERROR(IF(D90="","",INDEX('M04-S09'!$AY$18:$AY$199,2*(ROWS(V$81:V90)-1)+1)),"")</f>
        <v/>
      </c>
      <c r="W90" t="str" cm="1">
        <f t="array" ref="W90">IFERROR(IF(D90="","",INDEX('M04-S09'!$AV$18:$AV$199,2*(ROWS(W$81:W90)-1)+1)),"")</f>
        <v/>
      </c>
      <c r="X90" t="str" cm="1">
        <f t="array" ref="X90">IFERROR(IF(D90="","",INDEX('M04-S09'!$AV$18:$AV$199,2*(ROWS(X$81:X90)-0)+0)),"")</f>
        <v/>
      </c>
      <c r="AG90" s="98" t="str" cm="1">
        <f t="array" ref="AG90">IFERROR(IF(D90="","",IF(INDEX('M04-S09'!$CB$18:$CB$199,2*(ROWS(AG$81:AG90)-1)+1)="","",INDEX('M04-S09'!$CB$18:$CB$199,2*(ROWS(AG$81:AG90)-1)+1))),"")</f>
        <v/>
      </c>
      <c r="AH90" s="98" t="str" cm="1">
        <f t="array" ref="AH90">IFERROR(IF(D90="","",IF(INDEX('M04-S09'!$CU$18:$CU$199,2*(ROWS(AH$81:AH90)-1)+1)="","",INDEX('M04-S09'!$CU$18:$CU$199,2*(ROWS(AH$81:AH90)-1)+1))),"")</f>
        <v/>
      </c>
      <c r="AI90" s="20" t="str" cm="1">
        <f t="array" ref="AI90">IFERROR(IF(D90="","",IF(INDEX('M04-S09'!$CM$18:$CM$199,2*(ROWS(AI$81:AI90)-1)+1)="",0,INDEX('M04-S09'!$CM$18:$CM$199,2*(ROWS(AI$81:AI90)-1)+1))),"")</f>
        <v/>
      </c>
      <c r="AJ90" s="20" t="str">
        <f t="shared" si="86"/>
        <v/>
      </c>
      <c r="AK90" s="487" t="str" cm="1">
        <f t="array" ref="AK90">IFERROR(IF(D90="","",IF(INDEX('M04-S09'!$CN$18:$CN$199,2*(ROWS(AK$81:AK90)-1)+1)="",0,INDEX('M04-S09'!$CN$18:$CN$199,2*(ROWS(AK$81:AK90)-1)+1))),"")</f>
        <v/>
      </c>
      <c r="AL90" s="20" t="str">
        <f t="shared" si="131"/>
        <v/>
      </c>
      <c r="AM90" s="20" t="str">
        <f t="shared" si="122"/>
        <v/>
      </c>
      <c r="AN90" s="20" t="str" cm="1">
        <f t="array" ref="AN90">IFERROR(IF(D90="","",IF(INDEX('M04-S09'!$CO$18:$CO$199,2*(ROWS(AN$81:AN90)-1)+1)="",0,INDEX('M04-S09'!$CO$18:$CO$199,2*(ROWS(AN$81:AN90)-1)+1))),"")</f>
        <v/>
      </c>
      <c r="AO90" s="20" t="str" cm="1">
        <f t="array" ref="AO90">IFERROR(IF(D90="","",INDEX('M04-S09'!$R$18:$R$199,2*(ROWS(AO$81:AO90)-1)+1)),"")</f>
        <v/>
      </c>
      <c r="AP90" s="20" t="str" cm="1">
        <f t="array" ref="AP90">IFERROR(IF(D90="","",INDEX('M04-S09'!$AJ$18:$AJ$199,2*(ROWS(AP$81:AP90)-1)+1)),"")</f>
        <v/>
      </c>
      <c r="AQ90" s="487" t="str" cm="1">
        <f t="array" ref="AQ90">IFERROR(IF(D90="","",INDEX('M04-S09'!$U$18:$U$199,2*(ROWS(AQ$81:AQ90)-1)+1)),"")</f>
        <v/>
      </c>
      <c r="AR90" s="487" t="str" cm="1">
        <f t="array" ref="AR90">IFERROR(IF(D90="","",INDEX('M04-S09'!$AM$18:$AM$199,2*(ROWS(AR$81:AR90)-1)+1)),"")</f>
        <v/>
      </c>
      <c r="AS90" s="20" t="str" cm="1">
        <f t="array" ref="AS90">IFERROR(IF(D90="","",INDEX('M04-S09'!$X$18:$X$199,2*(ROWS(AS$81:AS90)-1)+1)),"")</f>
        <v/>
      </c>
      <c r="AT90" s="20" t="str" cm="1">
        <f t="array" ref="AT90">IFERROR(IF(D90="","",INDEX('M04-S09'!$AP$18:$AP$199,2*(ROWS(AT$81:AT90)-1)+1)),"")</f>
        <v/>
      </c>
      <c r="BP90" t="str" cm="1">
        <f t="array" ref="BP90">IFERROR(IF(D90="","",INDEX('M04-S09'!$CS$18:$CS$199,2*(ROWS(BP$81:BP90)-1)+1)),"")</f>
        <v/>
      </c>
      <c r="BR90" t="str" cm="1">
        <f t="array" ref="BR90">IFERROR(IF(D90="","",LEFT(INDEX('M04-S09'!$C$18:$C$199,2*(ROWS(BR$81:BR90)-1)+1),150)),"")</f>
        <v/>
      </c>
      <c r="BS90" t="str" cm="1">
        <f t="array" ref="BS90">IFERROR(IF(D90="","",INDEX('M04-S09'!$CT$18:$CT$199,2*(ROWS(BS$81:BS90)-1)+1)),"")</f>
        <v/>
      </c>
      <c r="BT90" s="6" t="str" cm="1">
        <f t="array" ref="BT90">IFERROR(ROUND(IF(D90="","",INDEX('M04-S09'!$BB$18:$BB$199,2*(ROWS(BT$81:BT90)-1)+1)),2),"")</f>
        <v/>
      </c>
      <c r="BU90" s="6" t="str" cm="1">
        <f t="array" ref="BU90">IFERROR(IF(D90="","",INDEX('M04-S09'!$CX$18:$CX$199,2*(ROWS(BU$81:BU90)-1)+1)),"")</f>
        <v/>
      </c>
      <c r="BV90" s="6" t="str" cm="1">
        <f t="array" ref="BV90">IFERROR(IF(D90="","",INDEX('M04-S09'!$CY$18:$CY$199,2*(ROWS(BV$81:BV90)-1)+1)),"")</f>
        <v/>
      </c>
      <c r="BW90" t="str">
        <f t="shared" si="132"/>
        <v/>
      </c>
      <c r="BX90" t="str">
        <f t="shared" si="133"/>
        <v/>
      </c>
      <c r="BY90" s="6" t="str" cm="1">
        <f t="array" ref="BY90">IFERROR(IF(D90="","",INDEX('M04-S09'!$CI$18:$CI$199,2*(ROWS(BY$81:BY90)-1)+1)),"")</f>
        <v/>
      </c>
      <c r="BZ90" s="6" t="str">
        <f t="shared" si="105"/>
        <v/>
      </c>
      <c r="CA90" s="6" t="str">
        <f t="shared" si="106"/>
        <v/>
      </c>
      <c r="CB90" s="6" t="str">
        <f t="shared" si="87"/>
        <v/>
      </c>
      <c r="CC90" s="6" t="str">
        <f t="shared" si="123"/>
        <v/>
      </c>
      <c r="CD90" s="6" t="str">
        <f t="shared" si="124"/>
        <v/>
      </c>
      <c r="CS90" t="str" cm="1">
        <f t="array" ref="CS90">IFERROR(IF(D90="","",INDEX('M04-S09'!$F$18:$F$199,2*(ROWS(CS$81:CS90)-1)+1)),"")</f>
        <v/>
      </c>
      <c r="CT90" t="str" cm="1">
        <f t="array" ref="CT90">IFERROR(IF(D90="","",INDEX('M04-S09'!$L$18:$L$199,2*(ROWS(CT$81:CT90)-1)+1)),"")</f>
        <v/>
      </c>
      <c r="CU90" t="str" cm="1">
        <f t="array" ref="CU90">IFERROR(IF(D90="","",INDEX('M04-S09'!$AD$18:$AD$199,2*(ROWS(CU$81:CU90)-1)+1)),"")</f>
        <v/>
      </c>
      <c r="DE90" s="150"/>
      <c r="DF90" s="150" t="str">
        <f>IFERROR(ROUND(IF(OR(D90="",DE90=""),"",TEMPLATE!$V$17),2),"")</f>
        <v/>
      </c>
      <c r="DG90" s="150"/>
      <c r="DH90" s="150" t="str">
        <f>IFERROR(ROUND(IF(OR(D90="",DG90=""),"",TEMPLATE!$V$17),2),"")</f>
        <v/>
      </c>
      <c r="DI90" s="150"/>
      <c r="DJ90" s="150" t="str">
        <f>IFERROR(ROUND(IF(OR(D90="",DI90=""),"",TEMPLATE!$V$17),2),"")</f>
        <v/>
      </c>
      <c r="DK90" s="150"/>
      <c r="DL90" s="150" t="str">
        <f>IFERROR(ROUND(IF(OR(D90="",DK90=""),"",TEMPLATE!$V$17),2),"")</f>
        <v/>
      </c>
      <c r="DM90" s="150"/>
      <c r="DN90" s="150" t="str">
        <f>IFERROR(ROUND(IF(OR(D90="",DM90=""),"",TEMPLATE!$V$17),2),"")</f>
        <v/>
      </c>
      <c r="DO90" s="150"/>
      <c r="DP90" s="150" t="str">
        <f>IFERROR(ROUND(IF(OR(D90="",DO90=""),"",TEMPLATE!$V$17),2),"")</f>
        <v/>
      </c>
      <c r="DQ90" s="150"/>
      <c r="DR90" s="150" t="str">
        <f>IFERROR(ROUND(IF(OR(D90="",DQ90=""),"",TEMPLATE!$V$17),2),"")</f>
        <v/>
      </c>
      <c r="DS90" s="150"/>
      <c r="DT90" s="150" t="str">
        <f>IFERROR(ROUND(IF(OR(D90="",DS90=""),"",TEMPLATE!$V$17),2),"")</f>
        <v/>
      </c>
      <c r="DU90" s="150" t="str" cm="1">
        <f t="array" ref="DU90">IFERROR(ROUND(IF($D90="","",INDEX('M04-S09'!DD$18:DD$199,2*(ROWS(DU$81:DU90)-1)+1)),4),"")</f>
        <v/>
      </c>
      <c r="DV90" s="150" t="str" cm="1">
        <f t="array" ref="DV90">IFERROR(ROUND(IF($D90="","",INDEX('M04-S09'!DE$18:DE$199,2*(ROWS(DV$81:DV90)-1)+1)),4),"")</f>
        <v/>
      </c>
      <c r="DW90" s="150" t="str" cm="1">
        <f t="array" ref="DW90">IFERROR(ROUND(IF($D90="","",INDEX('M04-S09'!DF$18:DF$199,2*(ROWS(DW$81:DW90)-1)+1)),4),"")</f>
        <v/>
      </c>
      <c r="DX90" s="150" t="str" cm="1">
        <f t="array" ref="DX90">IFERROR(ROUND(IF($D90="","",INDEX('M04-S09'!DG$18:DG$199,2*(ROWS(DX$81:DX90)-1)+1)),4),"")</f>
        <v/>
      </c>
      <c r="DY90" s="150" t="str" cm="1">
        <f t="array" ref="DY90">IFERROR(ROUND(IF($D90="","",INDEX('M04-S09'!DH$18:DH$199,2*(ROWS(DY$81:DY90)-1)+1)),4),"")</f>
        <v/>
      </c>
      <c r="DZ90" s="150" t="str" cm="1">
        <f t="array" ref="DZ90">IFERROR(ROUND(IF($D90="","",INDEX('M04-S09'!DI$18:DI$199,2*(ROWS(DZ$81:DZ90)-1)+1)),4),"")</f>
        <v/>
      </c>
      <c r="EA90" s="150" t="str" cm="1">
        <f t="array" ref="EA90">IFERROR(ROUND(IF($D90="","",INDEX('M04-S09'!DJ$18:DJ$199,2*(ROWS(EA$81:EA90)-1)+1)),4),"")</f>
        <v/>
      </c>
      <c r="EB90" s="150" t="str" cm="1">
        <f t="array" ref="EB90">IFERROR(ROUND(IF($D90="","",INDEX('M04-S09'!DK$18:DK$199,2*(ROWS(EB$81:EB90)-1)+1)),6),"")</f>
        <v/>
      </c>
      <c r="EC90" s="150" t="str" cm="1">
        <f t="array" ref="EC90">IFERROR(ROUND(IF($D90="","",INDEX('M04-S09'!DL$18:DL$199,2*(ROWS(EC$81:EC90)-1)+1)),6),"")</f>
        <v/>
      </c>
      <c r="ED90" s="150" t="str" cm="1">
        <f t="array" ref="ED90">IFERROR(ROUND(IF($D90="","",INDEX('M04-S09'!DM$18:DM$199,2*(ROWS(ED$81:ED90)-1)+1)),6),"")</f>
        <v/>
      </c>
      <c r="EE90" s="150" t="str" cm="1">
        <f t="array" ref="EE90">IFERROR(ROUND(IF($D90="","",INDEX('M04-S09'!DN$18:DN$199,2*(ROWS(EE$81:EE90)-1)+1)),6),"")</f>
        <v/>
      </c>
      <c r="EF90" s="150" t="str" cm="1">
        <f t="array" ref="EF90">IFERROR(ROUND(IF($D90="","",INDEX('M04-S09'!DO$18:DO$199,2*(ROWS(EF$81:EF90)-1)+1)),6),"")</f>
        <v/>
      </c>
      <c r="EG90" s="150" t="str" cm="1">
        <f t="array" ref="EG90">IFERROR(ROUND(IF($D90="","",INDEX('M04-S09'!DP$18:DP$199,2*(ROWS(EG$81:EG90)-1)+1)),6),"")</f>
        <v/>
      </c>
      <c r="EH90" s="150" t="str" cm="1">
        <f t="array" ref="EH90">IFERROR(ROUND(IF($D90="","",INDEX('M04-S09'!DQ$18:DQ$199,2*(ROWS(EH$81:EH90)-1)+1)),6),"")</f>
        <v/>
      </c>
      <c r="EI90" s="150" t="str" cm="1">
        <f t="array" ref="EI90">IFERROR(ROUND(IF($D90="","",INDEX('M04-S09'!DR$18:DR$199,2*(ROWS(EI$81:EI90)-1)+1)),6),"")</f>
        <v/>
      </c>
      <c r="EJ90" s="150" t="str" cm="1">
        <f t="array" ref="EJ90">IFERROR(ROUND(IF($D90="","",INDEX('M04-S09'!DS$18:DS$199,2*(ROWS(EJ$81:EJ90)-1)+1)),6),"")</f>
        <v/>
      </c>
      <c r="EK90" s="150" t="str" cm="1">
        <f t="array" ref="EK90">IFERROR(ROUND(IF($D90="","",INDEX('M04-S09'!DT$18:DT$199,2*(ROWS(EK$81:EK90)-1)+1)),6),"")</f>
        <v/>
      </c>
      <c r="EL90" s="150" t="str" cm="1">
        <f t="array" ref="EL90">IFERROR(ROUND(IF($D90="","",INDEX('M04-S09'!DU$18:DU$199,2*(ROWS(EL$81:EL90)-1)+1)),6),"")</f>
        <v/>
      </c>
      <c r="EM90" s="150" t="str" cm="1">
        <f t="array" ref="EM90">IFERROR(ROUND(IF($D90="","",INDEX('M04-S09'!DV$18:DV$199,2*(ROWS(EM$81:EM90)-1)+1)),6),"")</f>
        <v/>
      </c>
      <c r="EN90" s="150" t="str" cm="1">
        <f t="array" ref="EN90">IFERROR(ROUND(IF($D90="","",INDEX('M04-S09'!DW$18:DW$199,2*(ROWS(EN$81:EN90)-1)+1)),6),"")</f>
        <v/>
      </c>
      <c r="EO90" s="150" t="str" cm="1">
        <f t="array" ref="EO90">IFERROR(ROUND(IF($D90="","",INDEX('M04-S09'!DX$18:DX$199,2*(ROWS(EO$81:EO90)-1)+1)),6),"")</f>
        <v/>
      </c>
      <c r="EP90" s="150" t="str" cm="1">
        <f t="array" ref="EP90">IFERROR(ROUND(IF($D90="","",INDEX('M04-S09'!DY$18:DY$199,2*(ROWS(EP$81:EP90)-1)+1)),6),"")</f>
        <v/>
      </c>
      <c r="EQ90" s="150" t="str" cm="1">
        <f t="array" ref="EQ90">IFERROR(ROUND(IF($D90="","",INDEX('M04-S09'!DZ$18:DZ$199,2*(ROWS(EQ$81:EQ90)-1)+1)),6),"")</f>
        <v/>
      </c>
      <c r="ER90" s="150" t="str">
        <f t="shared" si="109"/>
        <v/>
      </c>
      <c r="ES90" s="150" t="str">
        <f t="shared" si="134"/>
        <v/>
      </c>
      <c r="ET90" s="150" t="str">
        <f t="shared" si="135"/>
        <v/>
      </c>
      <c r="EU90" s="150" t="str">
        <f t="shared" si="136"/>
        <v/>
      </c>
      <c r="EV90" s="150" t="str">
        <f t="shared" si="137"/>
        <v/>
      </c>
      <c r="EW90" s="150" t="str">
        <f t="shared" si="138"/>
        <v/>
      </c>
      <c r="EX90" s="150" t="str">
        <f t="shared" si="139"/>
        <v/>
      </c>
      <c r="EY90" s="150" t="str">
        <f t="shared" si="110"/>
        <v/>
      </c>
      <c r="EZ90" s="150" t="str" cm="1">
        <f t="array" ref="EZ90">IFERROR(ROUND(IF($D90="","",INDEX('M04-S09'!EA$18:EA$199,2*(ROWS(EZ$81:EZ90)-1)+1)),6),"")</f>
        <v/>
      </c>
      <c r="FA90" s="150" t="str" cm="1">
        <f t="array" ref="FA90">IFERROR(ROUND(IF($D90="","",INDEX('M04-S09'!EB$18:EB$199,2*(ROWS(FA$81:FA90)-1)+1)),6),"")</f>
        <v/>
      </c>
      <c r="FB90" s="150" t="str" cm="1">
        <f t="array" ref="FB90">IFERROR(ROUND(IF($D90="","",INDEX('M04-S09'!EC$18:EC$199,2*(ROWS(FB$81:FB90)-1)+1)),6),"")</f>
        <v/>
      </c>
      <c r="FC90" s="150" t="str" cm="1">
        <f t="array" ref="FC90">IFERROR(ROUND(IF($D90="","",INDEX('M04-S09'!ED$18:ED$199,2*(ROWS(FC$81:FC90)-1)+1)),6),"")</f>
        <v/>
      </c>
      <c r="FD90" s="150" t="str" cm="1">
        <f t="array" ref="FD90">IFERROR(ROUND(IF($D90="","",INDEX('M04-S09'!EE$18:EE$199,2*(ROWS(FD$81:FD90)-1)+1)),6),"")</f>
        <v/>
      </c>
      <c r="FE90" s="150" t="str" cm="1">
        <f t="array" ref="FE90">IFERROR(ROUND(IF($D90="","",INDEX('M04-S09'!EF$18:EF$199,2*(ROWS(FE$81:FE90)-1)+1)),6),"")</f>
        <v/>
      </c>
      <c r="FF90" s="150" t="str" cm="1">
        <f t="array" ref="FF90">IFERROR(ROUND(IF($D90="","",INDEX('M04-S09'!EG$18:EG$199,2*(ROWS(FF$81:FF90)-1)+1)),6),"")</f>
        <v/>
      </c>
      <c r="FG90" s="150" t="str" cm="1">
        <f t="array" ref="FG90">IFERROR(ROUND(IF($D90="","",INDEX('M04-S09'!EH$18:EH$199,2*(ROWS(FG$81:FG90)-1)+1)),6),"")</f>
        <v/>
      </c>
      <c r="FH90" s="150" t="str" cm="1">
        <f t="array" ref="FH90">IFERROR(ROUND(IF($D90="","",INDEX('M04-S09'!EI$18:EI$199,2*(ROWS(FH$81:FH90)-1)+1)),6),"")</f>
        <v/>
      </c>
      <c r="FI90" s="150" t="str" cm="1">
        <f t="array" ref="FI90">IFERROR(ROUND(IF($D90="","",INDEX('M04-S09'!EJ$18:EJ$199,2*(ROWS(FI$81:FI90)-1)+1)),6),"")</f>
        <v/>
      </c>
      <c r="FJ90" s="150" t="str" cm="1">
        <f t="array" ref="FJ90">IFERROR(ROUND(IF($D90="","",INDEX('M04-S09'!EK$18:EK$199,2*(ROWS(FJ$81:FJ90)-1)+1)),6),"")</f>
        <v/>
      </c>
      <c r="FK90" s="150" t="str" cm="1">
        <f t="array" ref="FK90">IFERROR(ROUND(IF($D90="","",INDEX('M04-S09'!EL$18:EL$199,2*(ROWS(FK$81:FK90)-1)+1)),6),"")</f>
        <v/>
      </c>
      <c r="FL90" s="150" t="str" cm="1">
        <f t="array" ref="FL90">IFERROR(ROUND(IF($D90="","",INDEX('M04-S09'!EM$18:EM$199,2*(ROWS(FL$81:FL90)-1)+1)),6),"")</f>
        <v/>
      </c>
      <c r="FM90" s="150" t="str" cm="1">
        <f t="array" ref="FM90">IFERROR(ROUND(IF($D90="","",INDEX('M04-S09'!EN$18:EN$199,2*(ROWS(FM$81:FM90)-1)+1)),6),"")</f>
        <v/>
      </c>
    </row>
    <row r="91" spans="1:169">
      <c r="A91" s="218" t="str">
        <f>"Custom "&amp;M4S10</f>
        <v>Custom Residential Appliances</v>
      </c>
      <c r="B91" s="218"/>
      <c r="C91" s="218"/>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c r="BL91" s="218"/>
      <c r="BM91" s="218"/>
      <c r="BN91" s="218"/>
      <c r="BO91" s="218"/>
      <c r="BP91" s="218"/>
      <c r="BQ91" s="218"/>
      <c r="BR91" s="218"/>
      <c r="BS91" s="218"/>
      <c r="BT91" s="218"/>
      <c r="BU91" s="218"/>
      <c r="BV91" s="218"/>
      <c r="BW91" s="218"/>
      <c r="BX91" s="218"/>
      <c r="BY91" s="218"/>
      <c r="BZ91" s="218"/>
      <c r="CA91" s="218"/>
      <c r="CB91" s="218"/>
      <c r="CC91" s="218"/>
      <c r="CD91" s="218"/>
      <c r="CE91" s="218"/>
      <c r="CF91" s="218"/>
      <c r="CG91" s="218"/>
      <c r="CH91" s="218"/>
      <c r="CI91" s="218"/>
      <c r="CJ91" s="218"/>
      <c r="CK91" s="218"/>
      <c r="CL91" s="218"/>
      <c r="CM91" s="218"/>
      <c r="CN91" s="218"/>
      <c r="CO91" s="218"/>
      <c r="CP91" s="218"/>
      <c r="CQ91" s="218"/>
      <c r="CR91" s="218"/>
      <c r="CS91" s="218"/>
      <c r="CT91" s="218"/>
      <c r="CU91" s="218"/>
      <c r="CV91" s="218"/>
      <c r="CW91" s="218"/>
      <c r="CX91" s="218"/>
      <c r="CY91" s="218"/>
      <c r="CZ91" s="218"/>
      <c r="DA91" s="218"/>
      <c r="DB91" s="218"/>
      <c r="DC91" s="218"/>
      <c r="DD91" s="218"/>
      <c r="DE91" s="218"/>
      <c r="DF91" s="218"/>
      <c r="DG91" s="218"/>
      <c r="DH91" s="218"/>
      <c r="DI91" s="218"/>
      <c r="DJ91" s="218"/>
      <c r="DK91" s="218"/>
      <c r="DL91" s="218"/>
      <c r="DM91" s="218"/>
      <c r="DN91" s="218"/>
      <c r="DO91" s="218"/>
      <c r="DP91" s="218"/>
      <c r="DQ91" s="218"/>
      <c r="DR91" s="218"/>
      <c r="DS91" s="218"/>
      <c r="DT91" s="218"/>
      <c r="DU91" s="218"/>
      <c r="DV91" s="218"/>
      <c r="DW91" s="218"/>
      <c r="DX91" s="218"/>
      <c r="DY91" s="218"/>
      <c r="DZ91" s="218"/>
      <c r="EA91" s="218"/>
      <c r="EB91" s="218"/>
      <c r="EC91" s="218"/>
      <c r="ED91" s="218"/>
      <c r="EE91" s="218"/>
      <c r="EF91" s="218"/>
      <c r="EG91" s="218"/>
      <c r="EH91" s="218"/>
      <c r="EI91" s="218"/>
      <c r="EJ91" s="218"/>
      <c r="EK91" s="218"/>
      <c r="EL91" s="218"/>
      <c r="EM91" s="218"/>
      <c r="EN91" s="218"/>
      <c r="EO91" s="218"/>
      <c r="EP91" s="218"/>
      <c r="EQ91" s="218"/>
      <c r="ER91" s="218"/>
      <c r="ES91" s="218"/>
      <c r="ET91" s="218"/>
      <c r="EU91" s="218"/>
      <c r="EV91" s="218"/>
      <c r="EW91" s="218"/>
      <c r="EX91" s="218"/>
      <c r="EY91" s="218"/>
      <c r="EZ91" s="218"/>
      <c r="FA91" s="218"/>
      <c r="FB91" s="218"/>
      <c r="FC91" s="218"/>
      <c r="FD91" s="218"/>
      <c r="FE91" s="218"/>
      <c r="FF91" s="218"/>
      <c r="FG91" s="218"/>
      <c r="FH91" s="218"/>
      <c r="FI91" s="218"/>
      <c r="FJ91" s="218"/>
      <c r="FK91" s="218"/>
      <c r="FL91" s="218"/>
      <c r="FM91" s="218"/>
    </row>
    <row r="92" spans="1:169">
      <c r="A92" t="str">
        <f t="shared" ref="A92:A101" si="140">IFERROR(IF(D92="","",PROJID),"")</f>
        <v/>
      </c>
      <c r="B92" t="str">
        <f>IFERROR(IF(D92="","",CONCATENATE(ROW(),"-",D92)),"")</f>
        <v/>
      </c>
      <c r="C92" t="str" cm="1">
        <f t="array" ref="C92">IFERROR(IF(D92="","",INDEX('M04-S10'!$B$18:$B$199,2*(ROWS(C$92:C92)-1)+1)),"")</f>
        <v/>
      </c>
      <c r="D92" t="str">
        <f>IFERROR(IF(E92="","",E92),"")</f>
        <v/>
      </c>
      <c r="E92" t="str" cm="1">
        <f t="array" ref="E92">IFERROR(IF(INDEX('M04-S10'!$CC$18:$CC$199,2*(ROWS(E$92:E92)-1)+1)="","",INDEX('M04-S10'!$CC$18:$CC$199,2*(ROWS(E$92:E92)-1)+1)),"")</f>
        <v/>
      </c>
      <c r="G92" t="str">
        <f>IFERROR(IF(C92&lt;&gt;"","Custom",""),"")</f>
        <v/>
      </c>
      <c r="H92" t="str">
        <f t="shared" ref="H92" si="141">IFERROR(IF(C92&lt;&gt;"","Downstream",""),"")</f>
        <v/>
      </c>
      <c r="L92" t="str">
        <f>IF($C92="","",IF(AND(AI92&gt;0,AN92&gt;0),"Electric &amp; Gas",IF(AI92&gt;0,"Electric",IF(AN92&gt;0,"Gas",""))))</f>
        <v/>
      </c>
      <c r="O92" t="str">
        <f>IF($C92="","",TRUE)</f>
        <v/>
      </c>
      <c r="V92" t="str" cm="1">
        <f t="array" ref="V92">IFERROR(IF(D92="","",INDEX('M04-S10'!$AY$18:$AY$199,2*(ROWS(V$92:V92)-1)+1)),"")</f>
        <v/>
      </c>
      <c r="W92" t="str" cm="1">
        <f t="array" ref="W92">IFERROR(IF(D92="","",INDEX('M04-S10'!$AV$18:$AV$199,2*(ROWS(W$92:W92)-1)+1)),"")</f>
        <v/>
      </c>
      <c r="X92" t="str" cm="1">
        <f t="array" ref="X92">IFERROR(IF(D92="","",INDEX('M04-S10'!$AV$18:$AV$199,2*(ROWS(X$92:X92)-0)+0)),"")</f>
        <v/>
      </c>
      <c r="AG92" s="98" t="str" cm="1">
        <f t="array" ref="AG92">IFERROR(IF(D92="","",IF(INDEX('M04-S10'!$CB$18:$CB$199,2*(ROWS(AG$92:AG92)-1)+1)="","",INDEX('M04-S10'!$CB$18:$CB$199,2*(ROWS(AG$92:AG92)-1)+1))),"")</f>
        <v/>
      </c>
      <c r="AH92" s="98" t="str" cm="1">
        <f t="array" ref="AH92">IFERROR(IF(D92="","",IF(INDEX('M04-S10'!$CU$18:$CU$199,(2*ROWS(AH$92:AH92)-1)+1)="","",INDEX('M04-S10'!$CU$18:$CU$199,2*(ROWS(AH$92:AH92)-1)+1))),"")</f>
        <v/>
      </c>
      <c r="AI92" s="20" t="str" cm="1">
        <f t="array" ref="AI92">IFERROR(IF(D92="","",IF(INDEX('M04-S10'!$CM$18:$CM$199,2*(ROWS(AI$92:AI92)-1)+1)="",0,INDEX('M04-S10'!$CM$18:$CM$199,2*(ROWS(AI$92:AI92)-1)+1))),"")</f>
        <v/>
      </c>
      <c r="AJ92" s="20" t="str">
        <f t="shared" si="86"/>
        <v/>
      </c>
      <c r="AK92" s="487" t="str" cm="1">
        <f t="array" ref="AK92">IFERROR(IF(D92="","",IF(INDEX('M04-S10'!$CN$18:$CN$199,2*(ROWS(AK$92:AK92)-1)+1)="",0,INDEX('M04-S10'!$CN$18:$CN$199,2*(ROWS(AK$92:AK92)-1)+1))),"")</f>
        <v/>
      </c>
      <c r="AL92" s="20" t="str">
        <f>IF(AN92&gt;=0,AN92,0)</f>
        <v/>
      </c>
      <c r="AM92" s="20" t="str">
        <f t="shared" ref="AM92:AM101" si="142">IFERROR(ROUND(IF(D92="","",AL92/10),6),"")</f>
        <v/>
      </c>
      <c r="AN92" s="20" t="str" cm="1">
        <f t="array" ref="AN92">IFERROR(IF(D92="","",IF(INDEX('M04-S10'!$CO$18:$CO$199,2*(ROWS(AN$92:AN92)-1)+1)="",0,INDEX('M04-S10'!$CO$18:$CO$199,2*(ROWS(AN$92:AN92)-1)+1))),"")</f>
        <v/>
      </c>
      <c r="AO92" s="20" t="str" cm="1">
        <f t="array" ref="AO92">IFERROR(IF(D92="","",INDEX('M04-S10'!$R$18:$R$199,2*(ROWS(AO$92:AO92)-1)+1)),"")</f>
        <v/>
      </c>
      <c r="AP92" s="20" t="str" cm="1">
        <f t="array" ref="AP92">IFERROR(IF(D92="","",INDEX('M04-S10'!$AJ$18:$AJ$199,2*(ROWS(AP$92:AP92)-1)+1)),"")</f>
        <v/>
      </c>
      <c r="AQ92" s="487" t="str" cm="1">
        <f t="array" ref="AQ92">IFERROR(IF(D92="","",INDEX('M04-S10'!$U$18:$U$199,2*(ROWS(AQ$92:AQ92)-1)+1)),"")</f>
        <v/>
      </c>
      <c r="AR92" s="487" t="str" cm="1">
        <f t="array" ref="AR92">IFERROR(IF(D92="","",INDEX('M04-S10'!$AM$18:$AM$199,2*(ROWS(AR$92:AR92)-1)+1)),"")</f>
        <v/>
      </c>
      <c r="AS92" s="20" t="str" cm="1">
        <f t="array" ref="AS92">IFERROR(IF(D92="","",INDEX('M04-S10'!$X$18:$X$199,2*(ROWS(AS$92:AS92)-1)+1)),"")</f>
        <v/>
      </c>
      <c r="AT92" s="20" t="str" cm="1">
        <f t="array" ref="AT92">IFERROR(IF(D92="","",INDEX('M04-S10'!$AP$18:$AP$199,2*(ROWS(AT$92:AT92)-1)+1)),"")</f>
        <v/>
      </c>
      <c r="BP92" t="str" cm="1">
        <f t="array" ref="BP92">IFERROR(IF(D92="","",INDEX('M04-S10'!$CS$18:$CS$199,2*(ROWS(BP$92:BP92)-1)+1)),"")</f>
        <v/>
      </c>
      <c r="BR92" t="str" cm="1">
        <f t="array" ref="BR92">IFERROR(IF(D92="","",LEFT(INDEX('M04-S10'!$C$18:$C$199,2*(ROWS(BR$92:BR92)-1)+1),150)),"")</f>
        <v/>
      </c>
      <c r="BS92" t="str" cm="1">
        <f t="array" ref="BS92">IFERROR(IF(D92="","",INDEX('M04-S10'!$CT$18:$CT$199,2*(ROWS(BS$92:BS92)-1)+1)),"")</f>
        <v/>
      </c>
      <c r="BT92" s="6" t="str" cm="1">
        <f t="array" ref="BT92">IFERROR(ROUND(IF(D92="","",INDEX('M04-S10'!$BB$18:$BB$199,2*(ROWS(BT$92:BT92)-1)+1)),2),"")</f>
        <v/>
      </c>
      <c r="BU92" s="6" t="str" cm="1">
        <f t="array" ref="BU92">IFERROR(IF(D92="","",INDEX('M04-S10'!$CX$18:$CX$199,2*(ROWS(BU$92:BU92)-1)+1)),"")</f>
        <v/>
      </c>
      <c r="BV92" s="6" t="str" cm="1">
        <f t="array" ref="BV92">IFERROR(IF(D92="","",INDEX('M04-S10'!$CY$18:$CY$199,2*(ROWS(BV$92:BV92)-1)+1)),"")</f>
        <v/>
      </c>
      <c r="BW92" t="str">
        <f>IF(D92="","","Measure")</f>
        <v/>
      </c>
      <c r="BX92" t="str">
        <f>IF(D92="","",1)</f>
        <v/>
      </c>
      <c r="BY92" s="6" t="str" cm="1">
        <f t="array" ref="BY92">IFERROR(IF(D92="","",INDEX('M04-S10'!$CI$18:$CI$199,2*(ROWS(BY$92:BY92)-1)+1)),"")</f>
        <v/>
      </c>
      <c r="BZ92" s="6" t="str">
        <f t="shared" si="105"/>
        <v/>
      </c>
      <c r="CA92" s="6" t="str">
        <f t="shared" si="106"/>
        <v/>
      </c>
      <c r="CB92" s="6" t="str">
        <f t="shared" si="87"/>
        <v/>
      </c>
      <c r="CC92" s="6" t="str">
        <f t="shared" ref="CC92:CC101" si="143">IFERROR(IF(D92="","",AJ92/(AJ92+AM92)*CB92),"")</f>
        <v/>
      </c>
      <c r="CD92" s="6" t="str">
        <f t="shared" ref="CD92:CD101" si="144">IFERROR(IF(D92="","",AM92/(AJ92+AM92)*CB92),"")</f>
        <v/>
      </c>
      <c r="CS92" t="str" cm="1">
        <f t="array" ref="CS92">IFERROR(IF(D92="","",INDEX('M04-S10'!$F$18:$F$199,2*(ROWS(CS$92:CS92)-1)+1)),"")</f>
        <v/>
      </c>
      <c r="CT92" t="str" cm="1">
        <f t="array" ref="CT92">IFERROR(IF(D92="","",INDEX('M04-S10'!$L$18:$L$199,2*(ROWS(CT$92:CT92)-1)+1)),"")</f>
        <v/>
      </c>
      <c r="CU92" t="str" cm="1">
        <f t="array" ref="CU92">IFERROR(IF(D92="","",INDEX('M04-S10'!$AD$18:$AD$199,2*(ROWS(CU$92:CU92)-1)+1)),"")</f>
        <v/>
      </c>
      <c r="DE92" s="150"/>
      <c r="DF92" s="150" t="str">
        <f>IFERROR(ROUND(IF(OR(D92="",DE92=""),"",TEMPLATE!$V$18),2),"")</f>
        <v/>
      </c>
      <c r="DG92" s="150"/>
      <c r="DH92" s="150" t="str">
        <f>IFERROR(ROUND(IF(OR(D92="",DG92=""),"",TEMPLATE!$V$18),2),"")</f>
        <v/>
      </c>
      <c r="DI92" s="150"/>
      <c r="DJ92" s="150" t="str">
        <f>IFERROR(ROUND(IF(OR(D92="",DI92=""),"",TEMPLATE!$V$18),2),"")</f>
        <v/>
      </c>
      <c r="DK92" s="150"/>
      <c r="DL92" s="150" t="str">
        <f>IFERROR(ROUND(IF(OR(D92="",DK92=""),"",TEMPLATE!$V$18),2),"")</f>
        <v/>
      </c>
      <c r="DM92" s="150"/>
      <c r="DN92" s="150" t="str">
        <f>IFERROR(ROUND(IF(OR(D92="",DM92=""),"",TEMPLATE!$V$18),2),"")</f>
        <v/>
      </c>
      <c r="DO92" s="150"/>
      <c r="DP92" s="150" t="str">
        <f>IFERROR(ROUND(IF(OR(D92="",DO92=""),"",TEMPLATE!$V$18),2),"")</f>
        <v/>
      </c>
      <c r="DQ92" s="150"/>
      <c r="DR92" s="150" t="str">
        <f>IFERROR(ROUND(IF(OR(D92="",DQ92=""),"",TEMPLATE!$V$18),2),"")</f>
        <v/>
      </c>
      <c r="DS92" s="150"/>
      <c r="DT92" s="150" t="str">
        <f>IFERROR(ROUND(IF(OR(D92="",DS92=""),"",TEMPLATE!$V$18),2),"")</f>
        <v/>
      </c>
      <c r="DU92" s="150" t="str" cm="1">
        <f t="array" ref="DU92">IFERROR(ROUND(IF($D92="","",INDEX('M04-S10'!DD$18:DD$199,2*(ROWS(DU$92:DU92)-1)+1)),4),"")</f>
        <v/>
      </c>
      <c r="DV92" s="150" t="str" cm="1">
        <f t="array" ref="DV92">IFERROR(ROUND(IF($D92="","",INDEX('M04-S10'!DE$18:DE$199,2*(ROWS(DV$92:DV92)-1)+1)),4),"")</f>
        <v/>
      </c>
      <c r="DW92" s="150" t="str" cm="1">
        <f t="array" ref="DW92">IFERROR(ROUND(IF($D92="","",INDEX('M04-S10'!DF$18:DF$199,2*(ROWS(DW$92:DW92)-1)+1)),4),"")</f>
        <v/>
      </c>
      <c r="DX92" s="150" t="str" cm="1">
        <f t="array" ref="DX92">IFERROR(ROUND(IF($D92="","",INDEX('M04-S10'!DG$18:DG$199,2*(ROWS(DX$92:DX92)-1)+1)),4),"")</f>
        <v/>
      </c>
      <c r="DY92" s="150" t="str" cm="1">
        <f t="array" ref="DY92">IFERROR(ROUND(IF($D92="","",INDEX('M04-S10'!DH$18:DH$199,2*(ROWS(DY$92:DY92)-1)+1)),4),"")</f>
        <v/>
      </c>
      <c r="DZ92" s="150" t="str" cm="1">
        <f t="array" ref="DZ92">IFERROR(ROUND(IF($D92="","",INDEX('M04-S10'!DI$18:DI$199,2*(ROWS(DZ$92:DZ92)-1)+1)),4),"")</f>
        <v/>
      </c>
      <c r="EA92" s="150" t="str" cm="1">
        <f t="array" ref="EA92">IFERROR(ROUND(IF($D92="","",INDEX('M04-S10'!DJ$18:DJ$199,2*(ROWS(EA$92:EA92)-1)+1)),4),"")</f>
        <v/>
      </c>
      <c r="EB92" s="150" t="str" cm="1">
        <f t="array" ref="EB92">IFERROR(ROUND(IF($D92="","",INDEX('M04-S10'!DK$18:DK$199,2*(ROWS(EB$92:EB92)-1)+1)),6),"")</f>
        <v/>
      </c>
      <c r="EC92" s="150" t="str" cm="1">
        <f t="array" ref="EC92">IFERROR(ROUND(IF($D92="","",INDEX('M04-S10'!DL$18:DL$199,2*(ROWS(EC$92:EC92)-1)+1)),6),"")</f>
        <v/>
      </c>
      <c r="ED92" s="150" t="str" cm="1">
        <f t="array" ref="ED92">IFERROR(ROUND(IF($D92="","",INDEX('M04-S10'!DM$18:DM$199,2*(ROWS(ED$92:ED92)-1)+1)),6),"")</f>
        <v/>
      </c>
      <c r="EE92" s="150" t="str" cm="1">
        <f t="array" ref="EE92">IFERROR(ROUND(IF($D92="","",INDEX('M04-S10'!DN$18:DN$199,2*(ROWS(EE$92:EE92)-1)+1)),6),"")</f>
        <v/>
      </c>
      <c r="EF92" s="150" t="str" cm="1">
        <f t="array" ref="EF92">IFERROR(ROUND(IF($D92="","",INDEX('M04-S10'!DO$18:DO$199,2*(ROWS(EF$92:EF92)-1)+1)),6),"")</f>
        <v/>
      </c>
      <c r="EG92" s="150" t="str" cm="1">
        <f t="array" ref="EG92">IFERROR(ROUND(IF($D92="","",INDEX('M04-S10'!DP$18:DP$199,2*(ROWS(EG$92:EG92)-1)+1)),6),"")</f>
        <v/>
      </c>
      <c r="EH92" s="150" t="str" cm="1">
        <f t="array" ref="EH92">IFERROR(ROUND(IF($D92="","",INDEX('M04-S10'!DQ$18:DQ$199,2*(ROWS(EH$92:EH92)-1)+1)),6),"")</f>
        <v/>
      </c>
      <c r="EI92" s="150" t="str" cm="1">
        <f t="array" ref="EI92">IFERROR(ROUND(IF($D92="","",INDEX('M04-S10'!DR$18:DR$199,2*(ROWS(EI$92:EI92)-1)+1)),6),"")</f>
        <v/>
      </c>
      <c r="EJ92" s="150" t="str" cm="1">
        <f t="array" ref="EJ92">IFERROR(ROUND(IF($D92="","",INDEX('M04-S10'!DS$18:DS$199,2*(ROWS(EJ$92:EJ92)-1)+1)),6),"")</f>
        <v/>
      </c>
      <c r="EK92" s="150" t="str" cm="1">
        <f t="array" ref="EK92">IFERROR(ROUND(IF($D92="","",INDEX('M04-S10'!DT$18:DT$199,2*(ROWS(EK$92:EK92)-1)+1)),6),"")</f>
        <v/>
      </c>
      <c r="EL92" s="150" t="str" cm="1">
        <f t="array" ref="EL92">IFERROR(ROUND(IF($D92="","",INDEX('M04-S10'!DU$18:DU$199,2*(ROWS(EL$92:EL92)-1)+1)),6),"")</f>
        <v/>
      </c>
      <c r="EM92" s="150" t="str" cm="1">
        <f t="array" ref="EM92">IFERROR(ROUND(IF($D92="","",INDEX('M04-S10'!DV$18:DV$199,2*(ROWS(EM$92:EM92)-1)+1)),6),"")</f>
        <v/>
      </c>
      <c r="EN92" s="150" t="str" cm="1">
        <f t="array" ref="EN92">IFERROR(ROUND(IF($D92="","",INDEX('M04-S10'!DW$18:DW$199,2*(ROWS(EN$92:EN92)-1)+1)),6),"")</f>
        <v/>
      </c>
      <c r="EO92" s="150" t="str" cm="1">
        <f t="array" ref="EO92">IFERROR(ROUND(IF($D92="","",INDEX('M04-S10'!DX$18:DX$199,2*(ROWS(EO$92:EO92)-1)+1)),6),"")</f>
        <v/>
      </c>
      <c r="EP92" s="150" t="str" cm="1">
        <f t="array" ref="EP92">IFERROR(ROUND(IF($D92="","",INDEX('M04-S10'!DY$18:DY$199,2*(ROWS(EP$92:EP92)-1)+1)),6),"")</f>
        <v/>
      </c>
      <c r="EQ92" s="150" t="str" cm="1">
        <f t="array" ref="EQ92">IFERROR(ROUND(IF($D92="","",INDEX('M04-S10'!DZ$18:DZ$199,2*(ROWS(EQ$92:EQ92)-1)+1)),6),"")</f>
        <v/>
      </c>
      <c r="ER92" s="150" t="str">
        <f t="shared" si="109"/>
        <v/>
      </c>
      <c r="ES92" s="150" t="str">
        <f t="shared" si="134"/>
        <v/>
      </c>
      <c r="ET92" s="150" t="str">
        <f t="shared" si="135"/>
        <v/>
      </c>
      <c r="EU92" s="150" t="str">
        <f t="shared" si="136"/>
        <v/>
      </c>
      <c r="EV92" s="150" t="str">
        <f t="shared" si="137"/>
        <v/>
      </c>
      <c r="EW92" s="150" t="str">
        <f t="shared" si="138"/>
        <v/>
      </c>
      <c r="EX92" s="150" t="str">
        <f t="shared" si="139"/>
        <v/>
      </c>
      <c r="EY92" s="150" t="str">
        <f t="shared" si="110"/>
        <v/>
      </c>
      <c r="EZ92" s="150" t="str" cm="1">
        <f t="array" ref="EZ92">IFERROR(ROUND(IF($D92="","",INDEX('M04-S10'!EA$18:EA$199,2*(ROWS(EZ$92:EZ92)-1)+1)),6),"")</f>
        <v/>
      </c>
      <c r="FA92" s="150" t="str" cm="1">
        <f t="array" ref="FA92">IFERROR(ROUND(IF($D92="","",INDEX('M04-S10'!EB$18:EB$199,2*(ROWS(FA$92:FA92)-1)+1)),6),"")</f>
        <v/>
      </c>
      <c r="FB92" s="150" t="str" cm="1">
        <f t="array" ref="FB92">IFERROR(ROUND(IF($D92="","",INDEX('M04-S10'!EC$18:EC$199,2*(ROWS(FB$92:FB92)-1)+1)),6),"")</f>
        <v/>
      </c>
      <c r="FC92" s="150" t="str" cm="1">
        <f t="array" ref="FC92">IFERROR(ROUND(IF($D92="","",INDEX('M04-S10'!ED$18:ED$199,2*(ROWS(FC$92:FC92)-1)+1)),6),"")</f>
        <v/>
      </c>
      <c r="FD92" s="150" t="str" cm="1">
        <f t="array" ref="FD92">IFERROR(ROUND(IF($D92="","",INDEX('M04-S10'!EE$18:EE$199,2*(ROWS(FD$92:FD92)-1)+1)),6),"")</f>
        <v/>
      </c>
      <c r="FE92" s="150" t="str" cm="1">
        <f t="array" ref="FE92">IFERROR(ROUND(IF($D92="","",INDEX('M04-S10'!EF$18:EF$199,2*(ROWS(FE$92:FE92)-1)+1)),6),"")</f>
        <v/>
      </c>
      <c r="FF92" s="150" t="str" cm="1">
        <f t="array" ref="FF92">IFERROR(ROUND(IF($D92="","",INDEX('M04-S10'!EG$18:EG$199,2*(ROWS(FF$92:FF92)-1)+1)),6),"")</f>
        <v/>
      </c>
      <c r="FG92" s="150" t="str" cm="1">
        <f t="array" ref="FG92">IFERROR(ROUND(IF($D92="","",INDEX('M04-S10'!EH$18:EH$199,2*(ROWS(FG$92:FG92)-1)+1)),6),"")</f>
        <v/>
      </c>
      <c r="FH92" s="150" t="str" cm="1">
        <f t="array" ref="FH92">IFERROR(ROUND(IF($D92="","",INDEX('M04-S10'!EI$18:EI$199,2*(ROWS(FH$92:FH92)-1)+1)),6),"")</f>
        <v/>
      </c>
      <c r="FI92" s="150" t="str" cm="1">
        <f t="array" ref="FI92">IFERROR(ROUND(IF($D92="","",INDEX('M04-S10'!EJ$18:EJ$199,2*(ROWS(FI$92:FI92)-1)+1)),6),"")</f>
        <v/>
      </c>
      <c r="FJ92" s="150" t="str" cm="1">
        <f t="array" ref="FJ92">IFERROR(ROUND(IF($D92="","",INDEX('M04-S10'!EK$18:EK$199,2*(ROWS(FJ$92:FJ92)-1)+1)),6),"")</f>
        <v/>
      </c>
      <c r="FK92" s="150" t="str" cm="1">
        <f t="array" ref="FK92">IFERROR(ROUND(IF($D92="","",INDEX('M04-S10'!EL$18:EL$199,2*(ROWS(FK$92:FK92)-1)+1)),6),"")</f>
        <v/>
      </c>
      <c r="FL92" s="150" t="str" cm="1">
        <f t="array" ref="FL92">IFERROR(ROUND(IF($D92="","",INDEX('M04-S10'!EM$18:EM$199,2*(ROWS(FL$92:FL92)-1)+1)),6),"")</f>
        <v/>
      </c>
      <c r="FM92" s="150" t="str" cm="1">
        <f t="array" ref="FM92">IFERROR(ROUND(IF($D92="","",INDEX('M04-S10'!EN$18:EN$199,2*(ROWS(FM$92:FM92)-1)+1)),6),"")</f>
        <v/>
      </c>
    </row>
    <row r="93" spans="1:169">
      <c r="A93" t="str">
        <f t="shared" si="140"/>
        <v/>
      </c>
      <c r="B93" t="str">
        <f t="shared" ref="B93:B101" si="145">IFERROR(IF(D93="","",CONCATENATE(ROW(),"-",D93)),"")</f>
        <v/>
      </c>
      <c r="C93" t="str" cm="1">
        <f t="array" ref="C93">IFERROR(IF(D93="","",INDEX('M04-S10'!$B$18:$B$199,2*(ROWS(C$92:C93)-1)+1)),"")</f>
        <v/>
      </c>
      <c r="D93" t="str">
        <f t="shared" ref="D93:D101" si="146">IFERROR(IF(E93="","",E93),"")</f>
        <v/>
      </c>
      <c r="E93" t="str" cm="1">
        <f t="array" ref="E93">IFERROR(IF(INDEX('M04-S10'!$CC$18:$CC$199,2*(ROWS(E$92:E93)-1)+1)="","",INDEX('M04-S10'!$CC$18:$CC$199,2*(ROWS(E$92:E93)-1)+1)),"")</f>
        <v/>
      </c>
      <c r="G93" t="str">
        <f t="shared" ref="G93:G101" si="147">IFERROR(IF(C93&lt;&gt;"","Custom",""),"")</f>
        <v/>
      </c>
      <c r="H93" t="str">
        <f t="shared" ref="H93:H101" si="148">IFERROR(IF(C93&lt;&gt;"","Downstream",""),"")</f>
        <v/>
      </c>
      <c r="L93" t="str">
        <f t="shared" ref="L93:L101" si="149">IF($C93="","",IF(AND(AI93&gt;0,AN93&gt;0),"Electric &amp; Gas",IF(AI93&gt;0,"Electric",IF(AN93&gt;0,"Gas",""))))</f>
        <v/>
      </c>
      <c r="O93" t="str">
        <f t="shared" ref="O93:O101" si="150">IF($C93="","",TRUE)</f>
        <v/>
      </c>
      <c r="V93" t="str" cm="1">
        <f t="array" ref="V93">IFERROR(IF(D93="","",INDEX('M04-S10'!$AY$18:$AY$199,2*(ROWS(V$92:V93)-1)+1)),"")</f>
        <v/>
      </c>
      <c r="W93" t="str" cm="1">
        <f t="array" ref="W93">IFERROR(IF(D93="","",INDEX('M04-S10'!$AV$18:$AV$199,2*(ROWS(W$92:W93)-1)+1)),"")</f>
        <v/>
      </c>
      <c r="X93" t="str" cm="1">
        <f t="array" ref="X93">IFERROR(IF(D93="","",INDEX('M04-S10'!$AV$18:$AV$199,2*(ROWS(X$92:X93)-0)+0)),"")</f>
        <v/>
      </c>
      <c r="AG93" s="98" t="str" cm="1">
        <f t="array" ref="AG93">IFERROR(IF(D93="","",IF(INDEX('M04-S10'!$CB$18:$CB$199,2*(ROWS(AG$92:AG93)-1)+1)="","",INDEX('M04-S10'!$CB$18:$CB$199,2*(ROWS(AG$92:AG93)-1)+1))),"")</f>
        <v/>
      </c>
      <c r="AH93" s="98" t="str" cm="1">
        <f t="array" ref="AH93">IFERROR(IF(D93="","",IF(INDEX('M04-S10'!$CU$18:$CU$199,(2*ROWS(AH$92:AH93)-1)+1)="","",INDEX('M04-S10'!$CU$18:$CU$199,2*(ROWS(AH$92:AH93)-1)+1))),"")</f>
        <v/>
      </c>
      <c r="AI93" s="20" t="str" cm="1">
        <f t="array" ref="AI93">IFERROR(IF(D93="","",IF(INDEX('M04-S10'!$CM$18:$CM$199,2*(ROWS(AI$92:AI93)-1)+1)="",0,INDEX('M04-S10'!$CM$18:$CM$199,2*(ROWS(AI$92:AI93)-1)+1))),"")</f>
        <v/>
      </c>
      <c r="AJ93" s="20" t="str">
        <f t="shared" si="86"/>
        <v/>
      </c>
      <c r="AK93" s="487" t="str" cm="1">
        <f t="array" ref="AK93">IFERROR(IF(D93="","",IF(INDEX('M04-S10'!$CN$18:$CN$199,2*(ROWS(AK$92:AK93)-1)+1)="",0,INDEX('M04-S10'!$CN$18:$CN$199,2*(ROWS(AK$92:AK93)-1)+1))),"")</f>
        <v/>
      </c>
      <c r="AL93" s="20" t="str">
        <f t="shared" ref="AL93:AL101" si="151">IF(AN93&gt;=0,AN93,0)</f>
        <v/>
      </c>
      <c r="AM93" s="20" t="str">
        <f t="shared" si="142"/>
        <v/>
      </c>
      <c r="AN93" s="20" t="str" cm="1">
        <f t="array" ref="AN93">IFERROR(IF(D93="","",IF(INDEX('M04-S10'!$CO$18:$CO$199,2*(ROWS(AN$92:AN93)-1)+1)="",0,INDEX('M04-S10'!$CO$18:$CO$199,2*(ROWS(AN$92:AN93)-1)+1))),"")</f>
        <v/>
      </c>
      <c r="AO93" s="20" t="str" cm="1">
        <f t="array" ref="AO93">IFERROR(IF(D93="","",INDEX('M04-S10'!$R$18:$R$199,2*(ROWS(AO$92:AO93)-1)+1)),"")</f>
        <v/>
      </c>
      <c r="AP93" s="20" t="str" cm="1">
        <f t="array" ref="AP93">IFERROR(IF(D93="","",INDEX('M04-S10'!$AJ$18:$AJ$199,2*(ROWS(AP$92:AP93)-1)+1)),"")</f>
        <v/>
      </c>
      <c r="AQ93" s="487" t="str" cm="1">
        <f t="array" ref="AQ93">IFERROR(IF(D93="","",INDEX('M04-S10'!$U$18:$U$199,2*(ROWS(AQ$92:AQ93)-1)+1)),"")</f>
        <v/>
      </c>
      <c r="AR93" s="487" t="str" cm="1">
        <f t="array" ref="AR93">IFERROR(IF(D93="","",INDEX('M04-S10'!$AM$18:$AM$199,2*(ROWS(AR$92:AR93)-1)+1)),"")</f>
        <v/>
      </c>
      <c r="AS93" s="20" t="str" cm="1">
        <f t="array" ref="AS93">IFERROR(IF(D93="","",INDEX('M04-S10'!$X$18:$X$199,2*(ROWS(AS$92:AS93)-1)+1)),"")</f>
        <v/>
      </c>
      <c r="AT93" s="20" t="str" cm="1">
        <f t="array" ref="AT93">IFERROR(IF(D93="","",INDEX('M04-S10'!$AP$18:$AP$199,2*(ROWS(AT$92:AT93)-1)+1)),"")</f>
        <v/>
      </c>
      <c r="BP93" t="str" cm="1">
        <f t="array" ref="BP93">IFERROR(IF(D93="","",INDEX('M04-S10'!$CS$18:$CS$199,2*(ROWS(BP$92:BP93)-1)+1)),"")</f>
        <v/>
      </c>
      <c r="BR93" t="str" cm="1">
        <f t="array" ref="BR93">IFERROR(IF(D93="","",LEFT(INDEX('M04-S10'!$C$18:$C$199,2*(ROWS(BR$92:BR93)-1)+1),150)),"")</f>
        <v/>
      </c>
      <c r="BS93" t="str" cm="1">
        <f t="array" ref="BS93">IFERROR(IF(D93="","",INDEX('M04-S10'!$CT$18:$CT$199,2*(ROWS(BS$92:BS93)-1)+1)),"")</f>
        <v/>
      </c>
      <c r="BT93" s="6" t="str" cm="1">
        <f t="array" ref="BT93">IFERROR(ROUND(IF(D93="","",INDEX('M04-S10'!$BB$18:$BB$199,2*(ROWS(BT$92:BT93)-1)+1)),2),"")</f>
        <v/>
      </c>
      <c r="BU93" s="6" t="str" cm="1">
        <f t="array" ref="BU93">IFERROR(IF(D93="","",INDEX('M04-S10'!$CX$18:$CX$199,2*(ROWS(BU$92:BU93)-1)+1)),"")</f>
        <v/>
      </c>
      <c r="BV93" s="6" t="str" cm="1">
        <f t="array" ref="BV93">IFERROR(IF(D93="","",INDEX('M04-S10'!$CY$18:$CY$199,2*(ROWS(BV$92:BV93)-1)+1)),"")</f>
        <v/>
      </c>
      <c r="BW93" t="str">
        <f t="shared" ref="BW93:BW101" si="152">IF(D93="","","Measure")</f>
        <v/>
      </c>
      <c r="BX93" t="str">
        <f t="shared" ref="BX93:BX101" si="153">IF(D93="","",1)</f>
        <v/>
      </c>
      <c r="BY93" s="6" t="str" cm="1">
        <f t="array" ref="BY93">IFERROR(IF(D93="","",INDEX('M04-S10'!$CI$18:$CI$199,2*(ROWS(BY$92:BY93)-1)+1)),"")</f>
        <v/>
      </c>
      <c r="BZ93" s="6" t="str">
        <f t="shared" si="105"/>
        <v/>
      </c>
      <c r="CA93" s="6" t="str">
        <f t="shared" si="106"/>
        <v/>
      </c>
      <c r="CB93" s="6" t="str">
        <f t="shared" si="87"/>
        <v/>
      </c>
      <c r="CC93" s="6" t="str">
        <f t="shared" si="143"/>
        <v/>
      </c>
      <c r="CD93" s="6" t="str">
        <f t="shared" si="144"/>
        <v/>
      </c>
      <c r="CS93" t="str" cm="1">
        <f t="array" ref="CS93">IFERROR(IF(D93="","",INDEX('M04-S10'!$F$18:$F$199,2*(ROWS(CS$92:CS93)-1)+1)),"")</f>
        <v/>
      </c>
      <c r="CT93" t="str" cm="1">
        <f t="array" ref="CT93">IFERROR(IF(D93="","",INDEX('M04-S10'!$L$18:$L$199,2*(ROWS(CT$92:CT93)-1)+1)),"")</f>
        <v/>
      </c>
      <c r="CU93" t="str" cm="1">
        <f t="array" ref="CU93">IFERROR(IF(D93="","",INDEX('M04-S10'!$AD$18:$AD$199,2*(ROWS(CU$92:CU93)-1)+1)),"")</f>
        <v/>
      </c>
      <c r="DE93" s="150"/>
      <c r="DF93" s="150" t="str">
        <f>IFERROR(ROUND(IF(OR(D93="",DE93=""),"",TEMPLATE!$V$18),2),"")</f>
        <v/>
      </c>
      <c r="DG93" s="150"/>
      <c r="DH93" s="150" t="str">
        <f>IFERROR(ROUND(IF(OR(D93="",DG93=""),"",TEMPLATE!$V$18),2),"")</f>
        <v/>
      </c>
      <c r="DI93" s="150"/>
      <c r="DJ93" s="150" t="str">
        <f>IFERROR(ROUND(IF(OR(D93="",DI93=""),"",TEMPLATE!$V$18),2),"")</f>
        <v/>
      </c>
      <c r="DK93" s="150"/>
      <c r="DL93" s="150" t="str">
        <f>IFERROR(ROUND(IF(OR(D93="",DK93=""),"",TEMPLATE!$V$18),2),"")</f>
        <v/>
      </c>
      <c r="DM93" s="150"/>
      <c r="DN93" s="150" t="str">
        <f>IFERROR(ROUND(IF(OR(D93="",DM93=""),"",TEMPLATE!$V$18),2),"")</f>
        <v/>
      </c>
      <c r="DO93" s="150"/>
      <c r="DP93" s="150" t="str">
        <f>IFERROR(ROUND(IF(OR(D93="",DO93=""),"",TEMPLATE!$V$18),2),"")</f>
        <v/>
      </c>
      <c r="DQ93" s="150"/>
      <c r="DR93" s="150" t="str">
        <f>IFERROR(ROUND(IF(OR(D93="",DQ93=""),"",TEMPLATE!$V$18),2),"")</f>
        <v/>
      </c>
      <c r="DS93" s="150"/>
      <c r="DT93" s="150" t="str">
        <f>IFERROR(ROUND(IF(OR(D93="",DS93=""),"",TEMPLATE!$V$18),2),"")</f>
        <v/>
      </c>
      <c r="DU93" s="150" t="str" cm="1">
        <f t="array" ref="DU93">IFERROR(ROUND(IF($D93="","",INDEX('M04-S10'!DD$18:DD$199,2*(ROWS(DU$92:DU93)-1)+1)),4),"")</f>
        <v/>
      </c>
      <c r="DV93" s="150" t="str" cm="1">
        <f t="array" ref="DV93">IFERROR(ROUND(IF($D93="","",INDEX('M04-S10'!DE$18:DE$199,2*(ROWS(DV$92:DV93)-1)+1)),4),"")</f>
        <v/>
      </c>
      <c r="DW93" s="150" t="str" cm="1">
        <f t="array" ref="DW93">IFERROR(ROUND(IF($D93="","",INDEX('M04-S10'!DF$18:DF$199,2*(ROWS(DW$92:DW93)-1)+1)),4),"")</f>
        <v/>
      </c>
      <c r="DX93" s="150" t="str" cm="1">
        <f t="array" ref="DX93">IFERROR(ROUND(IF($D93="","",INDEX('M04-S10'!DG$18:DG$199,2*(ROWS(DX$92:DX93)-1)+1)),4),"")</f>
        <v/>
      </c>
      <c r="DY93" s="150" t="str" cm="1">
        <f t="array" ref="DY93">IFERROR(ROUND(IF($D93="","",INDEX('M04-S10'!DH$18:DH$199,2*(ROWS(DY$92:DY93)-1)+1)),4),"")</f>
        <v/>
      </c>
      <c r="DZ93" s="150" t="str" cm="1">
        <f t="array" ref="DZ93">IFERROR(ROUND(IF($D93="","",INDEX('M04-S10'!DI$18:DI$199,2*(ROWS(DZ$92:DZ93)-1)+1)),4),"")</f>
        <v/>
      </c>
      <c r="EA93" s="150" t="str" cm="1">
        <f t="array" ref="EA93">IFERROR(ROUND(IF($D93="","",INDEX('M04-S10'!DJ$18:DJ$199,2*(ROWS(EA$92:EA93)-1)+1)),4),"")</f>
        <v/>
      </c>
      <c r="EB93" s="150" t="str" cm="1">
        <f t="array" ref="EB93">IFERROR(ROUND(IF($D93="","",INDEX('M04-S10'!DK$18:DK$199,2*(ROWS(EB$92:EB93)-1)+1)),6),"")</f>
        <v/>
      </c>
      <c r="EC93" s="150" t="str" cm="1">
        <f t="array" ref="EC93">IFERROR(ROUND(IF($D93="","",INDEX('M04-S10'!DL$18:DL$199,2*(ROWS(EC$92:EC93)-1)+1)),6),"")</f>
        <v/>
      </c>
      <c r="ED93" s="150" t="str" cm="1">
        <f t="array" ref="ED93">IFERROR(ROUND(IF($D93="","",INDEX('M04-S10'!DM$18:DM$199,2*(ROWS(ED$92:ED93)-1)+1)),6),"")</f>
        <v/>
      </c>
      <c r="EE93" s="150" t="str" cm="1">
        <f t="array" ref="EE93">IFERROR(ROUND(IF($D93="","",INDEX('M04-S10'!DN$18:DN$199,2*(ROWS(EE$92:EE93)-1)+1)),6),"")</f>
        <v/>
      </c>
      <c r="EF93" s="150" t="str" cm="1">
        <f t="array" ref="EF93">IFERROR(ROUND(IF($D93="","",INDEX('M04-S10'!DO$18:DO$199,2*(ROWS(EF$92:EF93)-1)+1)),6),"")</f>
        <v/>
      </c>
      <c r="EG93" s="150" t="str" cm="1">
        <f t="array" ref="EG93">IFERROR(ROUND(IF($D93="","",INDEX('M04-S10'!DP$18:DP$199,2*(ROWS(EG$92:EG93)-1)+1)),6),"")</f>
        <v/>
      </c>
      <c r="EH93" s="150" t="str" cm="1">
        <f t="array" ref="EH93">IFERROR(ROUND(IF($D93="","",INDEX('M04-S10'!DQ$18:DQ$199,2*(ROWS(EH$92:EH93)-1)+1)),6),"")</f>
        <v/>
      </c>
      <c r="EI93" s="150" t="str" cm="1">
        <f t="array" ref="EI93">IFERROR(ROUND(IF($D93="","",INDEX('M04-S10'!DR$18:DR$199,2*(ROWS(EI$92:EI93)-1)+1)),6),"")</f>
        <v/>
      </c>
      <c r="EJ93" s="150" t="str" cm="1">
        <f t="array" ref="EJ93">IFERROR(ROUND(IF($D93="","",INDEX('M04-S10'!DS$18:DS$199,2*(ROWS(EJ$92:EJ93)-1)+1)),6),"")</f>
        <v/>
      </c>
      <c r="EK93" s="150" t="str" cm="1">
        <f t="array" ref="EK93">IFERROR(ROUND(IF($D93="","",INDEX('M04-S10'!DT$18:DT$199,2*(ROWS(EK$92:EK93)-1)+1)),6),"")</f>
        <v/>
      </c>
      <c r="EL93" s="150" t="str" cm="1">
        <f t="array" ref="EL93">IFERROR(ROUND(IF($D93="","",INDEX('M04-S10'!DU$18:DU$199,2*(ROWS(EL$92:EL93)-1)+1)),6),"")</f>
        <v/>
      </c>
      <c r="EM93" s="150" t="str" cm="1">
        <f t="array" ref="EM93">IFERROR(ROUND(IF($D93="","",INDEX('M04-S10'!DV$18:DV$199,2*(ROWS(EM$92:EM93)-1)+1)),6),"")</f>
        <v/>
      </c>
      <c r="EN93" s="150" t="str" cm="1">
        <f t="array" ref="EN93">IFERROR(ROUND(IF($D93="","",INDEX('M04-S10'!DW$18:DW$199,2*(ROWS(EN$92:EN93)-1)+1)),6),"")</f>
        <v/>
      </c>
      <c r="EO93" s="150" t="str" cm="1">
        <f t="array" ref="EO93">IFERROR(ROUND(IF($D93="","",INDEX('M04-S10'!DX$18:DX$199,2*(ROWS(EO$92:EO93)-1)+1)),6),"")</f>
        <v/>
      </c>
      <c r="EP93" s="150" t="str" cm="1">
        <f t="array" ref="EP93">IFERROR(ROUND(IF($D93="","",INDEX('M04-S10'!DY$18:DY$199,2*(ROWS(EP$92:EP93)-1)+1)),6),"")</f>
        <v/>
      </c>
      <c r="EQ93" s="150" t="str" cm="1">
        <f t="array" ref="EQ93">IFERROR(ROUND(IF($D93="","",INDEX('M04-S10'!DZ$18:DZ$199,2*(ROWS(EQ$92:EQ93)-1)+1)),6),"")</f>
        <v/>
      </c>
      <c r="ER93" s="150" t="str">
        <f t="shared" si="109"/>
        <v/>
      </c>
      <c r="ES93" s="150" t="str">
        <f t="shared" si="134"/>
        <v/>
      </c>
      <c r="ET93" s="150" t="str">
        <f t="shared" si="135"/>
        <v/>
      </c>
      <c r="EU93" s="150" t="str">
        <f t="shared" si="136"/>
        <v/>
      </c>
      <c r="EV93" s="150" t="str">
        <f t="shared" si="137"/>
        <v/>
      </c>
      <c r="EW93" s="150" t="str">
        <f t="shared" si="138"/>
        <v/>
      </c>
      <c r="EX93" s="150" t="str">
        <f t="shared" si="139"/>
        <v/>
      </c>
      <c r="EY93" s="150" t="str">
        <f t="shared" si="110"/>
        <v/>
      </c>
      <c r="EZ93" s="150" t="str" cm="1">
        <f t="array" ref="EZ93">IFERROR(ROUND(IF($D93="","",INDEX('M04-S10'!EA$18:EA$199,2*(ROWS(EZ$92:EZ93)-1)+1)),6),"")</f>
        <v/>
      </c>
      <c r="FA93" s="150" t="str" cm="1">
        <f t="array" ref="FA93">IFERROR(ROUND(IF($D93="","",INDEX('M04-S10'!EB$18:EB$199,2*(ROWS(FA$92:FA93)-1)+1)),6),"")</f>
        <v/>
      </c>
      <c r="FB93" s="150" t="str" cm="1">
        <f t="array" ref="FB93">IFERROR(ROUND(IF($D93="","",INDEX('M04-S10'!EC$18:EC$199,2*(ROWS(FB$92:FB93)-1)+1)),6),"")</f>
        <v/>
      </c>
      <c r="FC93" s="150" t="str" cm="1">
        <f t="array" ref="FC93">IFERROR(ROUND(IF($D93="","",INDEX('M04-S10'!ED$18:ED$199,2*(ROWS(FC$92:FC93)-1)+1)),6),"")</f>
        <v/>
      </c>
      <c r="FD93" s="150" t="str" cm="1">
        <f t="array" ref="FD93">IFERROR(ROUND(IF($D93="","",INDEX('M04-S10'!EE$18:EE$199,2*(ROWS(FD$92:FD93)-1)+1)),6),"")</f>
        <v/>
      </c>
      <c r="FE93" s="150" t="str" cm="1">
        <f t="array" ref="FE93">IFERROR(ROUND(IF($D93="","",INDEX('M04-S10'!EF$18:EF$199,2*(ROWS(FE$92:FE93)-1)+1)),6),"")</f>
        <v/>
      </c>
      <c r="FF93" s="150" t="str" cm="1">
        <f t="array" ref="FF93">IFERROR(ROUND(IF($D93="","",INDEX('M04-S10'!EG$18:EG$199,2*(ROWS(FF$92:FF93)-1)+1)),6),"")</f>
        <v/>
      </c>
      <c r="FG93" s="150" t="str" cm="1">
        <f t="array" ref="FG93">IFERROR(ROUND(IF($D93="","",INDEX('M04-S10'!EH$18:EH$199,2*(ROWS(FG$92:FG93)-1)+1)),6),"")</f>
        <v/>
      </c>
      <c r="FH93" s="150" t="str" cm="1">
        <f t="array" ref="FH93">IFERROR(ROUND(IF($D93="","",INDEX('M04-S10'!EI$18:EI$199,2*(ROWS(FH$92:FH93)-1)+1)),6),"")</f>
        <v/>
      </c>
      <c r="FI93" s="150" t="str" cm="1">
        <f t="array" ref="FI93">IFERROR(ROUND(IF($D93="","",INDEX('M04-S10'!EJ$18:EJ$199,2*(ROWS(FI$92:FI93)-1)+1)),6),"")</f>
        <v/>
      </c>
      <c r="FJ93" s="150" t="str" cm="1">
        <f t="array" ref="FJ93">IFERROR(ROUND(IF($D93="","",INDEX('M04-S10'!EK$18:EK$199,2*(ROWS(FJ$92:FJ93)-1)+1)),6),"")</f>
        <v/>
      </c>
      <c r="FK93" s="150" t="str" cm="1">
        <f t="array" ref="FK93">IFERROR(ROUND(IF($D93="","",INDEX('M04-S10'!EL$18:EL$199,2*(ROWS(FK$92:FK93)-1)+1)),6),"")</f>
        <v/>
      </c>
      <c r="FL93" s="150" t="str" cm="1">
        <f t="array" ref="FL93">IFERROR(ROUND(IF($D93="","",INDEX('M04-S10'!EM$18:EM$199,2*(ROWS(FL$92:FL93)-1)+1)),6),"")</f>
        <v/>
      </c>
      <c r="FM93" s="150" t="str" cm="1">
        <f t="array" ref="FM93">IFERROR(ROUND(IF($D93="","",INDEX('M04-S10'!EN$18:EN$199,2*(ROWS(FM$92:FM93)-1)+1)),6),"")</f>
        <v/>
      </c>
    </row>
    <row r="94" spans="1:169">
      <c r="A94" t="str">
        <f t="shared" si="140"/>
        <v/>
      </c>
      <c r="B94" t="str">
        <f t="shared" si="145"/>
        <v/>
      </c>
      <c r="C94" t="str" cm="1">
        <f t="array" ref="C94">IFERROR(IF(D94="","",INDEX('M04-S10'!$B$18:$B$199,2*(ROWS(C$92:C94)-1)+1)),"")</f>
        <v/>
      </c>
      <c r="D94" t="str">
        <f t="shared" si="146"/>
        <v/>
      </c>
      <c r="E94" t="str" cm="1">
        <f t="array" ref="E94">IFERROR(IF(INDEX('M04-S10'!$CC$18:$CC$199,2*(ROWS(E$92:E94)-1)+1)="","",INDEX('M04-S10'!$CC$18:$CC$199,2*(ROWS(E$92:E94)-1)+1)),"")</f>
        <v/>
      </c>
      <c r="G94" t="str">
        <f t="shared" si="147"/>
        <v/>
      </c>
      <c r="H94" t="str">
        <f t="shared" si="148"/>
        <v/>
      </c>
      <c r="L94" t="str">
        <f t="shared" si="149"/>
        <v/>
      </c>
      <c r="O94" t="str">
        <f t="shared" si="150"/>
        <v/>
      </c>
      <c r="V94" t="str" cm="1">
        <f t="array" ref="V94">IFERROR(IF(D94="","",INDEX('M04-S10'!$AY$18:$AY$199,2*(ROWS(V$92:V94)-1)+1)),"")</f>
        <v/>
      </c>
      <c r="W94" t="str" cm="1">
        <f t="array" ref="W94">IFERROR(IF(D94="","",INDEX('M04-S10'!$AV$18:$AV$199,2*(ROWS(W$92:W94)-1)+1)),"")</f>
        <v/>
      </c>
      <c r="X94" t="str" cm="1">
        <f t="array" ref="X94">IFERROR(IF(D94="","",INDEX('M04-S10'!$AV$18:$AV$199,2*(ROWS(X$92:X94)-0)+0)),"")</f>
        <v/>
      </c>
      <c r="AG94" s="98" t="str" cm="1">
        <f t="array" ref="AG94">IFERROR(IF(D94="","",IF(INDEX('M04-S10'!$CB$18:$CB$199,2*(ROWS(AG$92:AG94)-1)+1)="","",INDEX('M04-S10'!$CB$18:$CB$199,2*(ROWS(AG$92:AG94)-1)+1))),"")</f>
        <v/>
      </c>
      <c r="AH94" s="98" t="str" cm="1">
        <f t="array" ref="AH94">IFERROR(IF(D94="","",IF(INDEX('M04-S10'!$CU$18:$CU$199,(2*ROWS(AH$92:AH94)-1)+1)="","",INDEX('M04-S10'!$CU$18:$CU$199,2*(ROWS(AH$92:AH94)-1)+1))),"")</f>
        <v/>
      </c>
      <c r="AI94" s="20" t="str" cm="1">
        <f t="array" ref="AI94">IFERROR(IF(D94="","",IF(INDEX('M04-S10'!$CM$18:$CM$199,2*(ROWS(AI$92:AI94)-1)+1)="",0,INDEX('M04-S10'!$CM$18:$CM$199,2*(ROWS(AI$92:AI94)-1)+1))),"")</f>
        <v/>
      </c>
      <c r="AJ94" s="20" t="str">
        <f t="shared" si="86"/>
        <v/>
      </c>
      <c r="AK94" s="487" t="str" cm="1">
        <f t="array" ref="AK94">IFERROR(IF(D94="","",IF(INDEX('M04-S10'!$CN$18:$CN$199,2*(ROWS(AK$92:AK94)-1)+1)="",0,INDEX('M04-S10'!$CN$18:$CN$199,2*(ROWS(AK$92:AK94)-1)+1))),"")</f>
        <v/>
      </c>
      <c r="AL94" s="20" t="str">
        <f t="shared" si="151"/>
        <v/>
      </c>
      <c r="AM94" s="20" t="str">
        <f t="shared" si="142"/>
        <v/>
      </c>
      <c r="AN94" s="20" t="str" cm="1">
        <f t="array" ref="AN94">IFERROR(IF(D94="","",IF(INDEX('M04-S10'!$CO$18:$CO$199,2*(ROWS(AN$92:AN94)-1)+1)="",0,INDEX('M04-S10'!$CO$18:$CO$199,2*(ROWS(AN$92:AN94)-1)+1))),"")</f>
        <v/>
      </c>
      <c r="AO94" s="20" t="str" cm="1">
        <f t="array" ref="AO94">IFERROR(IF(D94="","",INDEX('M04-S10'!$R$18:$R$199,2*(ROWS(AO$92:AO94)-1)+1)),"")</f>
        <v/>
      </c>
      <c r="AP94" s="20" t="str" cm="1">
        <f t="array" ref="AP94">IFERROR(IF(D94="","",INDEX('M04-S10'!$AJ$18:$AJ$199,2*(ROWS(AP$92:AP94)-1)+1)),"")</f>
        <v/>
      </c>
      <c r="AQ94" s="487" t="str" cm="1">
        <f t="array" ref="AQ94">IFERROR(IF(D94="","",INDEX('M04-S10'!$U$18:$U$199,2*(ROWS(AQ$92:AQ94)-1)+1)),"")</f>
        <v/>
      </c>
      <c r="AR94" s="487" t="str" cm="1">
        <f t="array" ref="AR94">IFERROR(IF(D94="","",INDEX('M04-S10'!$AM$18:$AM$199,2*(ROWS(AR$92:AR94)-1)+1)),"")</f>
        <v/>
      </c>
      <c r="AS94" s="20" t="str" cm="1">
        <f t="array" ref="AS94">IFERROR(IF(D94="","",INDEX('M04-S10'!$X$18:$X$199,2*(ROWS(AS$92:AS94)-1)+1)),"")</f>
        <v/>
      </c>
      <c r="AT94" s="20" t="str" cm="1">
        <f t="array" ref="AT94">IFERROR(IF(D94="","",INDEX('M04-S10'!$AP$18:$AP$199,2*(ROWS(AT$92:AT94)-1)+1)),"")</f>
        <v/>
      </c>
      <c r="BP94" t="str" cm="1">
        <f t="array" ref="BP94">IFERROR(IF(D94="","",INDEX('M04-S10'!$CS$18:$CS$199,2*(ROWS(BP$92:BP94)-1)+1)),"")</f>
        <v/>
      </c>
      <c r="BR94" t="str" cm="1">
        <f t="array" ref="BR94">IFERROR(IF(D94="","",LEFT(INDEX('M04-S10'!$C$18:$C$199,2*(ROWS(BR$92:BR94)-1)+1),150)),"")</f>
        <v/>
      </c>
      <c r="BS94" t="str" cm="1">
        <f t="array" ref="BS94">IFERROR(IF(D94="","",INDEX('M04-S10'!$CT$18:$CT$199,2*(ROWS(BS$92:BS94)-1)+1)),"")</f>
        <v/>
      </c>
      <c r="BT94" s="6" t="str" cm="1">
        <f t="array" ref="BT94">IFERROR(ROUND(IF(D94="","",INDEX('M04-S10'!$BB$18:$BB$199,2*(ROWS(BT$92:BT94)-1)+1)),2),"")</f>
        <v/>
      </c>
      <c r="BU94" s="6" t="str" cm="1">
        <f t="array" ref="BU94">IFERROR(IF(D94="","",INDEX('M04-S10'!$CX$18:$CX$199,2*(ROWS(BU$92:BU94)-1)+1)),"")</f>
        <v/>
      </c>
      <c r="BV94" s="6" t="str" cm="1">
        <f t="array" ref="BV94">IFERROR(IF(D94="","",INDEX('M04-S10'!$CY$18:$CY$199,2*(ROWS(BV$92:BV94)-1)+1)),"")</f>
        <v/>
      </c>
      <c r="BW94" t="str">
        <f t="shared" si="152"/>
        <v/>
      </c>
      <c r="BX94" t="str">
        <f t="shared" si="153"/>
        <v/>
      </c>
      <c r="BY94" s="6" t="str" cm="1">
        <f t="array" ref="BY94">IFERROR(IF(D94="","",INDEX('M04-S10'!$CI$18:$CI$199,2*(ROWS(BY$92:BY94)-1)+1)),"")</f>
        <v/>
      </c>
      <c r="BZ94" s="6" t="str">
        <f t="shared" si="105"/>
        <v/>
      </c>
      <c r="CA94" s="6" t="str">
        <f t="shared" si="106"/>
        <v/>
      </c>
      <c r="CB94" s="6" t="str">
        <f t="shared" si="87"/>
        <v/>
      </c>
      <c r="CC94" s="6" t="str">
        <f t="shared" si="143"/>
        <v/>
      </c>
      <c r="CD94" s="6" t="str">
        <f t="shared" si="144"/>
        <v/>
      </c>
      <c r="CS94" t="str" cm="1">
        <f t="array" ref="CS94">IFERROR(IF(D94="","",INDEX('M04-S10'!$F$18:$F$199,2*(ROWS(CS$92:CS94)-1)+1)),"")</f>
        <v/>
      </c>
      <c r="CT94" t="str" cm="1">
        <f t="array" ref="CT94">IFERROR(IF(D94="","",INDEX('M04-S10'!$L$18:$L$199,2*(ROWS(CT$92:CT94)-1)+1)),"")</f>
        <v/>
      </c>
      <c r="CU94" t="str" cm="1">
        <f t="array" ref="CU94">IFERROR(IF(D94="","",INDEX('M04-S10'!$AD$18:$AD$199,2*(ROWS(CU$92:CU94)-1)+1)),"")</f>
        <v/>
      </c>
      <c r="DE94" s="150"/>
      <c r="DF94" s="150" t="str">
        <f>IFERROR(ROUND(IF(OR(D94="",DE94=""),"",TEMPLATE!$V$18),2),"")</f>
        <v/>
      </c>
      <c r="DG94" s="150"/>
      <c r="DH94" s="150" t="str">
        <f>IFERROR(ROUND(IF(OR(D94="",DG94=""),"",TEMPLATE!$V$18),2),"")</f>
        <v/>
      </c>
      <c r="DI94" s="150"/>
      <c r="DJ94" s="150" t="str">
        <f>IFERROR(ROUND(IF(OR(D94="",DI94=""),"",TEMPLATE!$V$18),2),"")</f>
        <v/>
      </c>
      <c r="DK94" s="150"/>
      <c r="DL94" s="150" t="str">
        <f>IFERROR(ROUND(IF(OR(D94="",DK94=""),"",TEMPLATE!$V$18),2),"")</f>
        <v/>
      </c>
      <c r="DM94" s="150"/>
      <c r="DN94" s="150" t="str">
        <f>IFERROR(ROUND(IF(OR(D94="",DM94=""),"",TEMPLATE!$V$18),2),"")</f>
        <v/>
      </c>
      <c r="DO94" s="150"/>
      <c r="DP94" s="150" t="str">
        <f>IFERROR(ROUND(IF(OR(D94="",DO94=""),"",TEMPLATE!$V$18),2),"")</f>
        <v/>
      </c>
      <c r="DQ94" s="150"/>
      <c r="DR94" s="150" t="str">
        <f>IFERROR(ROUND(IF(OR(D94="",DQ94=""),"",TEMPLATE!$V$18),2),"")</f>
        <v/>
      </c>
      <c r="DS94" s="150"/>
      <c r="DT94" s="150" t="str">
        <f>IFERROR(ROUND(IF(OR(D94="",DS94=""),"",TEMPLATE!$V$18),2),"")</f>
        <v/>
      </c>
      <c r="DU94" s="150" t="str" cm="1">
        <f t="array" ref="DU94">IFERROR(ROUND(IF($D94="","",INDEX('M04-S10'!DD$18:DD$199,2*(ROWS(DU$92:DU94)-1)+1)),4),"")</f>
        <v/>
      </c>
      <c r="DV94" s="150" t="str" cm="1">
        <f t="array" ref="DV94">IFERROR(ROUND(IF($D94="","",INDEX('M04-S10'!DE$18:DE$199,2*(ROWS(DV$92:DV94)-1)+1)),4),"")</f>
        <v/>
      </c>
      <c r="DW94" s="150" t="str" cm="1">
        <f t="array" ref="DW94">IFERROR(ROUND(IF($D94="","",INDEX('M04-S10'!DF$18:DF$199,2*(ROWS(DW$92:DW94)-1)+1)),4),"")</f>
        <v/>
      </c>
      <c r="DX94" s="150" t="str" cm="1">
        <f t="array" ref="DX94">IFERROR(ROUND(IF($D94="","",INDEX('M04-S10'!DG$18:DG$199,2*(ROWS(DX$92:DX94)-1)+1)),4),"")</f>
        <v/>
      </c>
      <c r="DY94" s="150" t="str" cm="1">
        <f t="array" ref="DY94">IFERROR(ROUND(IF($D94="","",INDEX('M04-S10'!DH$18:DH$199,2*(ROWS(DY$92:DY94)-1)+1)),4),"")</f>
        <v/>
      </c>
      <c r="DZ94" s="150" t="str" cm="1">
        <f t="array" ref="DZ94">IFERROR(ROUND(IF($D94="","",INDEX('M04-S10'!DI$18:DI$199,2*(ROWS(DZ$92:DZ94)-1)+1)),4),"")</f>
        <v/>
      </c>
      <c r="EA94" s="150" t="str" cm="1">
        <f t="array" ref="EA94">IFERROR(ROUND(IF($D94="","",INDEX('M04-S10'!DJ$18:DJ$199,2*(ROWS(EA$92:EA94)-1)+1)),4),"")</f>
        <v/>
      </c>
      <c r="EB94" s="150" t="str" cm="1">
        <f t="array" ref="EB94">IFERROR(ROUND(IF($D94="","",INDEX('M04-S10'!DK$18:DK$199,2*(ROWS(EB$92:EB94)-1)+1)),6),"")</f>
        <v/>
      </c>
      <c r="EC94" s="150" t="str" cm="1">
        <f t="array" ref="EC94">IFERROR(ROUND(IF($D94="","",INDEX('M04-S10'!DL$18:DL$199,2*(ROWS(EC$92:EC94)-1)+1)),6),"")</f>
        <v/>
      </c>
      <c r="ED94" s="150" t="str" cm="1">
        <f t="array" ref="ED94">IFERROR(ROUND(IF($D94="","",INDEX('M04-S10'!DM$18:DM$199,2*(ROWS(ED$92:ED94)-1)+1)),6),"")</f>
        <v/>
      </c>
      <c r="EE94" s="150" t="str" cm="1">
        <f t="array" ref="EE94">IFERROR(ROUND(IF($D94="","",INDEX('M04-S10'!DN$18:DN$199,2*(ROWS(EE$92:EE94)-1)+1)),6),"")</f>
        <v/>
      </c>
      <c r="EF94" s="150" t="str" cm="1">
        <f t="array" ref="EF94">IFERROR(ROUND(IF($D94="","",INDEX('M04-S10'!DO$18:DO$199,2*(ROWS(EF$92:EF94)-1)+1)),6),"")</f>
        <v/>
      </c>
      <c r="EG94" s="150" t="str" cm="1">
        <f t="array" ref="EG94">IFERROR(ROUND(IF($D94="","",INDEX('M04-S10'!DP$18:DP$199,2*(ROWS(EG$92:EG94)-1)+1)),6),"")</f>
        <v/>
      </c>
      <c r="EH94" s="150" t="str" cm="1">
        <f t="array" ref="EH94">IFERROR(ROUND(IF($D94="","",INDEX('M04-S10'!DQ$18:DQ$199,2*(ROWS(EH$92:EH94)-1)+1)),6),"")</f>
        <v/>
      </c>
      <c r="EI94" s="150" t="str" cm="1">
        <f t="array" ref="EI94">IFERROR(ROUND(IF($D94="","",INDEX('M04-S10'!DR$18:DR$199,2*(ROWS(EI$92:EI94)-1)+1)),6),"")</f>
        <v/>
      </c>
      <c r="EJ94" s="150" t="str" cm="1">
        <f t="array" ref="EJ94">IFERROR(ROUND(IF($D94="","",INDEX('M04-S10'!DS$18:DS$199,2*(ROWS(EJ$92:EJ94)-1)+1)),6),"")</f>
        <v/>
      </c>
      <c r="EK94" s="150" t="str" cm="1">
        <f t="array" ref="EK94">IFERROR(ROUND(IF($D94="","",INDEX('M04-S10'!DT$18:DT$199,2*(ROWS(EK$92:EK94)-1)+1)),6),"")</f>
        <v/>
      </c>
      <c r="EL94" s="150" t="str" cm="1">
        <f t="array" ref="EL94">IFERROR(ROUND(IF($D94="","",INDEX('M04-S10'!DU$18:DU$199,2*(ROWS(EL$92:EL94)-1)+1)),6),"")</f>
        <v/>
      </c>
      <c r="EM94" s="150" t="str" cm="1">
        <f t="array" ref="EM94">IFERROR(ROUND(IF($D94="","",INDEX('M04-S10'!DV$18:DV$199,2*(ROWS(EM$92:EM94)-1)+1)),6),"")</f>
        <v/>
      </c>
      <c r="EN94" s="150" t="str" cm="1">
        <f t="array" ref="EN94">IFERROR(ROUND(IF($D94="","",INDEX('M04-S10'!DW$18:DW$199,2*(ROWS(EN$92:EN94)-1)+1)),6),"")</f>
        <v/>
      </c>
      <c r="EO94" s="150" t="str" cm="1">
        <f t="array" ref="EO94">IFERROR(ROUND(IF($D94="","",INDEX('M04-S10'!DX$18:DX$199,2*(ROWS(EO$92:EO94)-1)+1)),6),"")</f>
        <v/>
      </c>
      <c r="EP94" s="150" t="str" cm="1">
        <f t="array" ref="EP94">IFERROR(ROUND(IF($D94="","",INDEX('M04-S10'!DY$18:DY$199,2*(ROWS(EP$92:EP94)-1)+1)),6),"")</f>
        <v/>
      </c>
      <c r="EQ94" s="150" t="str" cm="1">
        <f t="array" ref="EQ94">IFERROR(ROUND(IF($D94="","",INDEX('M04-S10'!DZ$18:DZ$199,2*(ROWS(EQ$92:EQ94)-1)+1)),6),"")</f>
        <v/>
      </c>
      <c r="ER94" s="150" t="str">
        <f t="shared" si="109"/>
        <v/>
      </c>
      <c r="ES94" s="150" t="str">
        <f t="shared" si="134"/>
        <v/>
      </c>
      <c r="ET94" s="150" t="str">
        <f t="shared" si="135"/>
        <v/>
      </c>
      <c r="EU94" s="150" t="str">
        <f t="shared" si="136"/>
        <v/>
      </c>
      <c r="EV94" s="150" t="str">
        <f t="shared" si="137"/>
        <v/>
      </c>
      <c r="EW94" s="150" t="str">
        <f t="shared" si="138"/>
        <v/>
      </c>
      <c r="EX94" s="150" t="str">
        <f t="shared" si="139"/>
        <v/>
      </c>
      <c r="EY94" s="150" t="str">
        <f t="shared" si="110"/>
        <v/>
      </c>
      <c r="EZ94" s="150" t="str" cm="1">
        <f t="array" ref="EZ94">IFERROR(ROUND(IF($D94="","",INDEX('M04-S10'!EA$18:EA$199,2*(ROWS(EZ$92:EZ94)-1)+1)),6),"")</f>
        <v/>
      </c>
      <c r="FA94" s="150" t="str" cm="1">
        <f t="array" ref="FA94">IFERROR(ROUND(IF($D94="","",INDEX('M04-S10'!EB$18:EB$199,2*(ROWS(FA$92:FA94)-1)+1)),6),"")</f>
        <v/>
      </c>
      <c r="FB94" s="150" t="str" cm="1">
        <f t="array" ref="FB94">IFERROR(ROUND(IF($D94="","",INDEX('M04-S10'!EC$18:EC$199,2*(ROWS(FB$92:FB94)-1)+1)),6),"")</f>
        <v/>
      </c>
      <c r="FC94" s="150" t="str" cm="1">
        <f t="array" ref="FC94">IFERROR(ROUND(IF($D94="","",INDEX('M04-S10'!ED$18:ED$199,2*(ROWS(FC$92:FC94)-1)+1)),6),"")</f>
        <v/>
      </c>
      <c r="FD94" s="150" t="str" cm="1">
        <f t="array" ref="FD94">IFERROR(ROUND(IF($D94="","",INDEX('M04-S10'!EE$18:EE$199,2*(ROWS(FD$92:FD94)-1)+1)),6),"")</f>
        <v/>
      </c>
      <c r="FE94" s="150" t="str" cm="1">
        <f t="array" ref="FE94">IFERROR(ROUND(IF($D94="","",INDEX('M04-S10'!EF$18:EF$199,2*(ROWS(FE$92:FE94)-1)+1)),6),"")</f>
        <v/>
      </c>
      <c r="FF94" s="150" t="str" cm="1">
        <f t="array" ref="FF94">IFERROR(ROUND(IF($D94="","",INDEX('M04-S10'!EG$18:EG$199,2*(ROWS(FF$92:FF94)-1)+1)),6),"")</f>
        <v/>
      </c>
      <c r="FG94" s="150" t="str" cm="1">
        <f t="array" ref="FG94">IFERROR(ROUND(IF($D94="","",INDEX('M04-S10'!EH$18:EH$199,2*(ROWS(FG$92:FG94)-1)+1)),6),"")</f>
        <v/>
      </c>
      <c r="FH94" s="150" t="str" cm="1">
        <f t="array" ref="FH94">IFERROR(ROUND(IF($D94="","",INDEX('M04-S10'!EI$18:EI$199,2*(ROWS(FH$92:FH94)-1)+1)),6),"")</f>
        <v/>
      </c>
      <c r="FI94" s="150" t="str" cm="1">
        <f t="array" ref="FI94">IFERROR(ROUND(IF($D94="","",INDEX('M04-S10'!EJ$18:EJ$199,2*(ROWS(FI$92:FI94)-1)+1)),6),"")</f>
        <v/>
      </c>
      <c r="FJ94" s="150" t="str" cm="1">
        <f t="array" ref="FJ94">IFERROR(ROUND(IF($D94="","",INDEX('M04-S10'!EK$18:EK$199,2*(ROWS(FJ$92:FJ94)-1)+1)),6),"")</f>
        <v/>
      </c>
      <c r="FK94" s="150" t="str" cm="1">
        <f t="array" ref="FK94">IFERROR(ROUND(IF($D94="","",INDEX('M04-S10'!EL$18:EL$199,2*(ROWS(FK$92:FK94)-1)+1)),6),"")</f>
        <v/>
      </c>
      <c r="FL94" s="150" t="str" cm="1">
        <f t="array" ref="FL94">IFERROR(ROUND(IF($D94="","",INDEX('M04-S10'!EM$18:EM$199,2*(ROWS(FL$92:FL94)-1)+1)),6),"")</f>
        <v/>
      </c>
      <c r="FM94" s="150" t="str" cm="1">
        <f t="array" ref="FM94">IFERROR(ROUND(IF($D94="","",INDEX('M04-S10'!EN$18:EN$199,2*(ROWS(FM$92:FM94)-1)+1)),6),"")</f>
        <v/>
      </c>
    </row>
    <row r="95" spans="1:169">
      <c r="A95" t="str">
        <f t="shared" si="140"/>
        <v/>
      </c>
      <c r="B95" t="str">
        <f t="shared" si="145"/>
        <v/>
      </c>
      <c r="C95" t="str" cm="1">
        <f t="array" ref="C95">IFERROR(IF(D95="","",INDEX('M04-S10'!$B$18:$B$199,2*(ROWS(C$92:C95)-1)+1)),"")</f>
        <v/>
      </c>
      <c r="D95" t="str">
        <f t="shared" si="146"/>
        <v/>
      </c>
      <c r="E95" t="str" cm="1">
        <f t="array" ref="E95">IFERROR(IF(INDEX('M04-S10'!$CC$18:$CC$199,2*(ROWS(E$92:E95)-1)+1)="","",INDEX('M04-S10'!$CC$18:$CC$199,2*(ROWS(E$92:E95)-1)+1)),"")</f>
        <v/>
      </c>
      <c r="G95" t="str">
        <f t="shared" si="147"/>
        <v/>
      </c>
      <c r="H95" t="str">
        <f t="shared" si="148"/>
        <v/>
      </c>
      <c r="L95" t="str">
        <f t="shared" si="149"/>
        <v/>
      </c>
      <c r="O95" t="str">
        <f t="shared" si="150"/>
        <v/>
      </c>
      <c r="V95" t="str" cm="1">
        <f t="array" ref="V95">IFERROR(IF(D95="","",INDEX('M04-S10'!$AY$18:$AY$199,2*(ROWS(V$92:V95)-1)+1)),"")</f>
        <v/>
      </c>
      <c r="W95" t="str" cm="1">
        <f t="array" ref="W95">IFERROR(IF(D95="","",INDEX('M04-S10'!$AV$18:$AV$199,2*(ROWS(W$92:W95)-1)+1)),"")</f>
        <v/>
      </c>
      <c r="X95" t="str" cm="1">
        <f t="array" ref="X95">IFERROR(IF(D95="","",INDEX('M04-S10'!$AV$18:$AV$199,2*(ROWS(X$92:X95)-0)+0)),"")</f>
        <v/>
      </c>
      <c r="AG95" s="98" t="str" cm="1">
        <f t="array" ref="AG95">IFERROR(IF(D95="","",IF(INDEX('M04-S10'!$CB$18:$CB$199,2*(ROWS(AG$92:AG95)-1)+1)="","",INDEX('M04-S10'!$CB$18:$CB$199,2*(ROWS(AG$92:AG95)-1)+1))),"")</f>
        <v/>
      </c>
      <c r="AH95" s="98" t="str" cm="1">
        <f t="array" ref="AH95">IFERROR(IF(D95="","",IF(INDEX('M04-S10'!$CU$18:$CU$199,(2*ROWS(AH$92:AH95)-1)+1)="","",INDEX('M04-S10'!$CU$18:$CU$199,2*(ROWS(AH$92:AH95)-1)+1))),"")</f>
        <v/>
      </c>
      <c r="AI95" s="20" t="str" cm="1">
        <f t="array" ref="AI95">IFERROR(IF(D95="","",IF(INDEX('M04-S10'!$CM$18:$CM$199,2*(ROWS(AI$92:AI95)-1)+1)="",0,INDEX('M04-S10'!$CM$18:$CM$199,2*(ROWS(AI$92:AI95)-1)+1))),"")</f>
        <v/>
      </c>
      <c r="AJ95" s="20" t="str">
        <f t="shared" si="86"/>
        <v/>
      </c>
      <c r="AK95" s="487" t="str" cm="1">
        <f t="array" ref="AK95">IFERROR(IF(D95="","",IF(INDEX('M04-S10'!$CN$18:$CN$199,2*(ROWS(AK$92:AK95)-1)+1)="",0,INDEX('M04-S10'!$CN$18:$CN$199,2*(ROWS(AK$92:AK95)-1)+1))),"")</f>
        <v/>
      </c>
      <c r="AL95" s="20" t="str">
        <f t="shared" si="151"/>
        <v/>
      </c>
      <c r="AM95" s="20" t="str">
        <f t="shared" si="142"/>
        <v/>
      </c>
      <c r="AN95" s="20" t="str" cm="1">
        <f t="array" ref="AN95">IFERROR(IF(D95="","",IF(INDEX('M04-S10'!$CO$18:$CO$199,2*(ROWS(AN$92:AN95)-1)+1)="",0,INDEX('M04-S10'!$CO$18:$CO$199,2*(ROWS(AN$92:AN95)-1)+1))),"")</f>
        <v/>
      </c>
      <c r="AO95" s="20" t="str" cm="1">
        <f t="array" ref="AO95">IFERROR(IF(D95="","",INDEX('M04-S10'!$R$18:$R$199,2*(ROWS(AO$92:AO95)-1)+1)),"")</f>
        <v/>
      </c>
      <c r="AP95" s="20" t="str" cm="1">
        <f t="array" ref="AP95">IFERROR(IF(D95="","",INDEX('M04-S10'!$AJ$18:$AJ$199,2*(ROWS(AP$92:AP95)-1)+1)),"")</f>
        <v/>
      </c>
      <c r="AQ95" s="487" t="str" cm="1">
        <f t="array" ref="AQ95">IFERROR(IF(D95="","",INDEX('M04-S10'!$U$18:$U$199,2*(ROWS(AQ$92:AQ95)-1)+1)),"")</f>
        <v/>
      </c>
      <c r="AR95" s="487" t="str" cm="1">
        <f t="array" ref="AR95">IFERROR(IF(D95="","",INDEX('M04-S10'!$AM$18:$AM$199,2*(ROWS(AR$92:AR95)-1)+1)),"")</f>
        <v/>
      </c>
      <c r="AS95" s="20" t="str" cm="1">
        <f t="array" ref="AS95">IFERROR(IF(D95="","",INDEX('M04-S10'!$X$18:$X$199,2*(ROWS(AS$92:AS95)-1)+1)),"")</f>
        <v/>
      </c>
      <c r="AT95" s="20" t="str" cm="1">
        <f t="array" ref="AT95">IFERROR(IF(D95="","",INDEX('M04-S10'!$AP$18:$AP$199,2*(ROWS(AT$92:AT95)-1)+1)),"")</f>
        <v/>
      </c>
      <c r="BP95" t="str" cm="1">
        <f t="array" ref="BP95">IFERROR(IF(D95="","",INDEX('M04-S10'!$CS$18:$CS$199,2*(ROWS(BP$92:BP95)-1)+1)),"")</f>
        <v/>
      </c>
      <c r="BR95" t="str" cm="1">
        <f t="array" ref="BR95">IFERROR(IF(D95="","",LEFT(INDEX('M04-S10'!$C$18:$C$199,2*(ROWS(BR$92:BR95)-1)+1),150)),"")</f>
        <v/>
      </c>
      <c r="BS95" t="str" cm="1">
        <f t="array" ref="BS95">IFERROR(IF(D95="","",INDEX('M04-S10'!$CT$18:$CT$199,2*(ROWS(BS$92:BS95)-1)+1)),"")</f>
        <v/>
      </c>
      <c r="BT95" s="6" t="str" cm="1">
        <f t="array" ref="BT95">IFERROR(ROUND(IF(D95="","",INDEX('M04-S10'!$BB$18:$BB$199,2*(ROWS(BT$92:BT95)-1)+1)),2),"")</f>
        <v/>
      </c>
      <c r="BU95" s="6" t="str" cm="1">
        <f t="array" ref="BU95">IFERROR(IF(D95="","",INDEX('M04-S10'!$CX$18:$CX$199,2*(ROWS(BU$92:BU95)-1)+1)),"")</f>
        <v/>
      </c>
      <c r="BV95" s="6" t="str" cm="1">
        <f t="array" ref="BV95">IFERROR(IF(D95="","",INDEX('M04-S10'!$CY$18:$CY$199,2*(ROWS(BV$92:BV95)-1)+1)),"")</f>
        <v/>
      </c>
      <c r="BW95" t="str">
        <f t="shared" si="152"/>
        <v/>
      </c>
      <c r="BX95" t="str">
        <f t="shared" si="153"/>
        <v/>
      </c>
      <c r="BY95" s="6" t="str" cm="1">
        <f t="array" ref="BY95">IFERROR(IF(D95="","",INDEX('M04-S10'!$CI$18:$CI$199,2*(ROWS(BY$92:BY95)-1)+1)),"")</f>
        <v/>
      </c>
      <c r="BZ95" s="6" t="str">
        <f t="shared" si="105"/>
        <v/>
      </c>
      <c r="CA95" s="6" t="str">
        <f t="shared" si="106"/>
        <v/>
      </c>
      <c r="CB95" s="6" t="str">
        <f t="shared" si="87"/>
        <v/>
      </c>
      <c r="CC95" s="6" t="str">
        <f t="shared" si="143"/>
        <v/>
      </c>
      <c r="CD95" s="6" t="str">
        <f t="shared" si="144"/>
        <v/>
      </c>
      <c r="CS95" t="str" cm="1">
        <f t="array" ref="CS95">IFERROR(IF(D95="","",INDEX('M04-S10'!$F$18:$F$199,2*(ROWS(CS$92:CS95)-1)+1)),"")</f>
        <v/>
      </c>
      <c r="CT95" t="str" cm="1">
        <f t="array" ref="CT95">IFERROR(IF(D95="","",INDEX('M04-S10'!$L$18:$L$199,2*(ROWS(CT$92:CT95)-1)+1)),"")</f>
        <v/>
      </c>
      <c r="CU95" t="str" cm="1">
        <f t="array" ref="CU95">IFERROR(IF(D95="","",INDEX('M04-S10'!$AD$18:$AD$199,2*(ROWS(CU$92:CU95)-1)+1)),"")</f>
        <v/>
      </c>
      <c r="DE95" s="150"/>
      <c r="DF95" s="150" t="str">
        <f>IFERROR(ROUND(IF(OR(D95="",DE95=""),"",TEMPLATE!$V$18),2),"")</f>
        <v/>
      </c>
      <c r="DG95" s="150"/>
      <c r="DH95" s="150" t="str">
        <f>IFERROR(ROUND(IF(OR(D95="",DG95=""),"",TEMPLATE!$V$18),2),"")</f>
        <v/>
      </c>
      <c r="DI95" s="150"/>
      <c r="DJ95" s="150" t="str">
        <f>IFERROR(ROUND(IF(OR(D95="",DI95=""),"",TEMPLATE!$V$18),2),"")</f>
        <v/>
      </c>
      <c r="DK95" s="150"/>
      <c r="DL95" s="150" t="str">
        <f>IFERROR(ROUND(IF(OR(D95="",DK95=""),"",TEMPLATE!$V$18),2),"")</f>
        <v/>
      </c>
      <c r="DM95" s="150"/>
      <c r="DN95" s="150" t="str">
        <f>IFERROR(ROUND(IF(OR(D95="",DM95=""),"",TEMPLATE!$V$18),2),"")</f>
        <v/>
      </c>
      <c r="DO95" s="150"/>
      <c r="DP95" s="150" t="str">
        <f>IFERROR(ROUND(IF(OR(D95="",DO95=""),"",TEMPLATE!$V$18),2),"")</f>
        <v/>
      </c>
      <c r="DQ95" s="150"/>
      <c r="DR95" s="150" t="str">
        <f>IFERROR(ROUND(IF(OR(D95="",DQ95=""),"",TEMPLATE!$V$18),2),"")</f>
        <v/>
      </c>
      <c r="DS95" s="150"/>
      <c r="DT95" s="150" t="str">
        <f>IFERROR(ROUND(IF(OR(D95="",DS95=""),"",TEMPLATE!$V$18),2),"")</f>
        <v/>
      </c>
      <c r="DU95" s="150" t="str" cm="1">
        <f t="array" ref="DU95">IFERROR(ROUND(IF($D95="","",INDEX('M04-S10'!DD$18:DD$199,2*(ROWS(DU$92:DU95)-1)+1)),4),"")</f>
        <v/>
      </c>
      <c r="DV95" s="150" t="str" cm="1">
        <f t="array" ref="DV95">IFERROR(ROUND(IF($D95="","",INDEX('M04-S10'!DE$18:DE$199,2*(ROWS(DV$92:DV95)-1)+1)),4),"")</f>
        <v/>
      </c>
      <c r="DW95" s="150" t="str" cm="1">
        <f t="array" ref="DW95">IFERROR(ROUND(IF($D95="","",INDEX('M04-S10'!DF$18:DF$199,2*(ROWS(DW$92:DW95)-1)+1)),4),"")</f>
        <v/>
      </c>
      <c r="DX95" s="150" t="str" cm="1">
        <f t="array" ref="DX95">IFERROR(ROUND(IF($D95="","",INDEX('M04-S10'!DG$18:DG$199,2*(ROWS(DX$92:DX95)-1)+1)),4),"")</f>
        <v/>
      </c>
      <c r="DY95" s="150" t="str" cm="1">
        <f t="array" ref="DY95">IFERROR(ROUND(IF($D95="","",INDEX('M04-S10'!DH$18:DH$199,2*(ROWS(DY$92:DY95)-1)+1)),4),"")</f>
        <v/>
      </c>
      <c r="DZ95" s="150" t="str" cm="1">
        <f t="array" ref="DZ95">IFERROR(ROUND(IF($D95="","",INDEX('M04-S10'!DI$18:DI$199,2*(ROWS(DZ$92:DZ95)-1)+1)),4),"")</f>
        <v/>
      </c>
      <c r="EA95" s="150" t="str" cm="1">
        <f t="array" ref="EA95">IFERROR(ROUND(IF($D95="","",INDEX('M04-S10'!DJ$18:DJ$199,2*(ROWS(EA$92:EA95)-1)+1)),4),"")</f>
        <v/>
      </c>
      <c r="EB95" s="150" t="str" cm="1">
        <f t="array" ref="EB95">IFERROR(ROUND(IF($D95="","",INDEX('M04-S10'!DK$18:DK$199,2*(ROWS(EB$92:EB95)-1)+1)),6),"")</f>
        <v/>
      </c>
      <c r="EC95" s="150" t="str" cm="1">
        <f t="array" ref="EC95">IFERROR(ROUND(IF($D95="","",INDEX('M04-S10'!DL$18:DL$199,2*(ROWS(EC$92:EC95)-1)+1)),6),"")</f>
        <v/>
      </c>
      <c r="ED95" s="150" t="str" cm="1">
        <f t="array" ref="ED95">IFERROR(ROUND(IF($D95="","",INDEX('M04-S10'!DM$18:DM$199,2*(ROWS(ED$92:ED95)-1)+1)),6),"")</f>
        <v/>
      </c>
      <c r="EE95" s="150" t="str" cm="1">
        <f t="array" ref="EE95">IFERROR(ROUND(IF($D95="","",INDEX('M04-S10'!DN$18:DN$199,2*(ROWS(EE$92:EE95)-1)+1)),6),"")</f>
        <v/>
      </c>
      <c r="EF95" s="150" t="str" cm="1">
        <f t="array" ref="EF95">IFERROR(ROUND(IF($D95="","",INDEX('M04-S10'!DO$18:DO$199,2*(ROWS(EF$92:EF95)-1)+1)),6),"")</f>
        <v/>
      </c>
      <c r="EG95" s="150" t="str" cm="1">
        <f t="array" ref="EG95">IFERROR(ROUND(IF($D95="","",INDEX('M04-S10'!DP$18:DP$199,2*(ROWS(EG$92:EG95)-1)+1)),6),"")</f>
        <v/>
      </c>
      <c r="EH95" s="150" t="str" cm="1">
        <f t="array" ref="EH95">IFERROR(ROUND(IF($D95="","",INDEX('M04-S10'!DQ$18:DQ$199,2*(ROWS(EH$92:EH95)-1)+1)),6),"")</f>
        <v/>
      </c>
      <c r="EI95" s="150" t="str" cm="1">
        <f t="array" ref="EI95">IFERROR(ROUND(IF($D95="","",INDEX('M04-S10'!DR$18:DR$199,2*(ROWS(EI$92:EI95)-1)+1)),6),"")</f>
        <v/>
      </c>
      <c r="EJ95" s="150" t="str" cm="1">
        <f t="array" ref="EJ95">IFERROR(ROUND(IF($D95="","",INDEX('M04-S10'!DS$18:DS$199,2*(ROWS(EJ$92:EJ95)-1)+1)),6),"")</f>
        <v/>
      </c>
      <c r="EK95" s="150" t="str" cm="1">
        <f t="array" ref="EK95">IFERROR(ROUND(IF($D95="","",INDEX('M04-S10'!DT$18:DT$199,2*(ROWS(EK$92:EK95)-1)+1)),6),"")</f>
        <v/>
      </c>
      <c r="EL95" s="150" t="str" cm="1">
        <f t="array" ref="EL95">IFERROR(ROUND(IF($D95="","",INDEX('M04-S10'!DU$18:DU$199,2*(ROWS(EL$92:EL95)-1)+1)),6),"")</f>
        <v/>
      </c>
      <c r="EM95" s="150" t="str" cm="1">
        <f t="array" ref="EM95">IFERROR(ROUND(IF($D95="","",INDEX('M04-S10'!DV$18:DV$199,2*(ROWS(EM$92:EM95)-1)+1)),6),"")</f>
        <v/>
      </c>
      <c r="EN95" s="150" t="str" cm="1">
        <f t="array" ref="EN95">IFERROR(ROUND(IF($D95="","",INDEX('M04-S10'!DW$18:DW$199,2*(ROWS(EN$92:EN95)-1)+1)),6),"")</f>
        <v/>
      </c>
      <c r="EO95" s="150" t="str" cm="1">
        <f t="array" ref="EO95">IFERROR(ROUND(IF($D95="","",INDEX('M04-S10'!DX$18:DX$199,2*(ROWS(EO$92:EO95)-1)+1)),6),"")</f>
        <v/>
      </c>
      <c r="EP95" s="150" t="str" cm="1">
        <f t="array" ref="EP95">IFERROR(ROUND(IF($D95="","",INDEX('M04-S10'!DY$18:DY$199,2*(ROWS(EP$92:EP95)-1)+1)),6),"")</f>
        <v/>
      </c>
      <c r="EQ95" s="150" t="str" cm="1">
        <f t="array" ref="EQ95">IFERROR(ROUND(IF($D95="","",INDEX('M04-S10'!DZ$18:DZ$199,2*(ROWS(EQ$92:EQ95)-1)+1)),6),"")</f>
        <v/>
      </c>
      <c r="ER95" s="150" t="str">
        <f t="shared" si="109"/>
        <v/>
      </c>
      <c r="ES95" s="150" t="str">
        <f t="shared" si="134"/>
        <v/>
      </c>
      <c r="ET95" s="150" t="str">
        <f t="shared" si="135"/>
        <v/>
      </c>
      <c r="EU95" s="150" t="str">
        <f t="shared" si="136"/>
        <v/>
      </c>
      <c r="EV95" s="150" t="str">
        <f t="shared" si="137"/>
        <v/>
      </c>
      <c r="EW95" s="150" t="str">
        <f t="shared" si="138"/>
        <v/>
      </c>
      <c r="EX95" s="150" t="str">
        <f t="shared" si="139"/>
        <v/>
      </c>
      <c r="EY95" s="150" t="str">
        <f t="shared" si="110"/>
        <v/>
      </c>
      <c r="EZ95" s="150" t="str" cm="1">
        <f t="array" ref="EZ95">IFERROR(ROUND(IF($D95="","",INDEX('M04-S10'!EA$18:EA$199,2*(ROWS(EZ$92:EZ95)-1)+1)),6),"")</f>
        <v/>
      </c>
      <c r="FA95" s="150" t="str" cm="1">
        <f t="array" ref="FA95">IFERROR(ROUND(IF($D95="","",INDEX('M04-S10'!EB$18:EB$199,2*(ROWS(FA$92:FA95)-1)+1)),6),"")</f>
        <v/>
      </c>
      <c r="FB95" s="150" t="str" cm="1">
        <f t="array" ref="FB95">IFERROR(ROUND(IF($D95="","",INDEX('M04-S10'!EC$18:EC$199,2*(ROWS(FB$92:FB95)-1)+1)),6),"")</f>
        <v/>
      </c>
      <c r="FC95" s="150" t="str" cm="1">
        <f t="array" ref="FC95">IFERROR(ROUND(IF($D95="","",INDEX('M04-S10'!ED$18:ED$199,2*(ROWS(FC$92:FC95)-1)+1)),6),"")</f>
        <v/>
      </c>
      <c r="FD95" s="150" t="str" cm="1">
        <f t="array" ref="FD95">IFERROR(ROUND(IF($D95="","",INDEX('M04-S10'!EE$18:EE$199,2*(ROWS(FD$92:FD95)-1)+1)),6),"")</f>
        <v/>
      </c>
      <c r="FE95" s="150" t="str" cm="1">
        <f t="array" ref="FE95">IFERROR(ROUND(IF($D95="","",INDEX('M04-S10'!EF$18:EF$199,2*(ROWS(FE$92:FE95)-1)+1)),6),"")</f>
        <v/>
      </c>
      <c r="FF95" s="150" t="str" cm="1">
        <f t="array" ref="FF95">IFERROR(ROUND(IF($D95="","",INDEX('M04-S10'!EG$18:EG$199,2*(ROWS(FF$92:FF95)-1)+1)),6),"")</f>
        <v/>
      </c>
      <c r="FG95" s="150" t="str" cm="1">
        <f t="array" ref="FG95">IFERROR(ROUND(IF($D95="","",INDEX('M04-S10'!EH$18:EH$199,2*(ROWS(FG$92:FG95)-1)+1)),6),"")</f>
        <v/>
      </c>
      <c r="FH95" s="150" t="str" cm="1">
        <f t="array" ref="FH95">IFERROR(ROUND(IF($D95="","",INDEX('M04-S10'!EI$18:EI$199,2*(ROWS(FH$92:FH95)-1)+1)),6),"")</f>
        <v/>
      </c>
      <c r="FI95" s="150" t="str" cm="1">
        <f t="array" ref="FI95">IFERROR(ROUND(IF($D95="","",INDEX('M04-S10'!EJ$18:EJ$199,2*(ROWS(FI$92:FI95)-1)+1)),6),"")</f>
        <v/>
      </c>
      <c r="FJ95" s="150" t="str" cm="1">
        <f t="array" ref="FJ95">IFERROR(ROUND(IF($D95="","",INDEX('M04-S10'!EK$18:EK$199,2*(ROWS(FJ$92:FJ95)-1)+1)),6),"")</f>
        <v/>
      </c>
      <c r="FK95" s="150" t="str" cm="1">
        <f t="array" ref="FK95">IFERROR(ROUND(IF($D95="","",INDEX('M04-S10'!EL$18:EL$199,2*(ROWS(FK$92:FK95)-1)+1)),6),"")</f>
        <v/>
      </c>
      <c r="FL95" s="150" t="str" cm="1">
        <f t="array" ref="FL95">IFERROR(ROUND(IF($D95="","",INDEX('M04-S10'!EM$18:EM$199,2*(ROWS(FL$92:FL95)-1)+1)),6),"")</f>
        <v/>
      </c>
      <c r="FM95" s="150" t="str" cm="1">
        <f t="array" ref="FM95">IFERROR(ROUND(IF($D95="","",INDEX('M04-S10'!EN$18:EN$199,2*(ROWS(FM$92:FM95)-1)+1)),6),"")</f>
        <v/>
      </c>
    </row>
    <row r="96" spans="1:169">
      <c r="A96" t="str">
        <f t="shared" si="140"/>
        <v/>
      </c>
      <c r="B96" t="str">
        <f t="shared" si="145"/>
        <v/>
      </c>
      <c r="C96" t="str" cm="1">
        <f t="array" ref="C96">IFERROR(IF(D96="","",INDEX('M04-S10'!$B$18:$B$199,2*(ROWS(C$92:C96)-1)+1)),"")</f>
        <v/>
      </c>
      <c r="D96" t="str">
        <f t="shared" si="146"/>
        <v/>
      </c>
      <c r="E96" t="str" cm="1">
        <f t="array" ref="E96">IFERROR(IF(INDEX('M04-S10'!$CC$18:$CC$199,2*(ROWS(E$92:E96)-1)+1)="","",INDEX('M04-S10'!$CC$18:$CC$199,2*(ROWS(E$92:E96)-1)+1)),"")</f>
        <v/>
      </c>
      <c r="G96" t="str">
        <f t="shared" si="147"/>
        <v/>
      </c>
      <c r="H96" t="str">
        <f t="shared" si="148"/>
        <v/>
      </c>
      <c r="L96" t="str">
        <f t="shared" si="149"/>
        <v/>
      </c>
      <c r="O96" t="str">
        <f t="shared" si="150"/>
        <v/>
      </c>
      <c r="V96" t="str" cm="1">
        <f t="array" ref="V96">IFERROR(IF(D96="","",INDEX('M04-S10'!$AY$18:$AY$199,2*(ROWS(V$92:V96)-1)+1)),"")</f>
        <v/>
      </c>
      <c r="W96" t="str" cm="1">
        <f t="array" ref="W96">IFERROR(IF(D96="","",INDEX('M04-S10'!$AV$18:$AV$199,2*(ROWS(W$92:W96)-1)+1)),"")</f>
        <v/>
      </c>
      <c r="X96" t="str" cm="1">
        <f t="array" ref="X96">IFERROR(IF(D96="","",INDEX('M04-S10'!$AV$18:$AV$199,2*(ROWS(X$92:X96)-0)+0)),"")</f>
        <v/>
      </c>
      <c r="AG96" s="98" t="str" cm="1">
        <f t="array" ref="AG96">IFERROR(IF(D96="","",IF(INDEX('M04-S10'!$CB$18:$CB$199,2*(ROWS(AG$92:AG96)-1)+1)="","",INDEX('M04-S10'!$CB$18:$CB$199,2*(ROWS(AG$92:AG96)-1)+1))),"")</f>
        <v/>
      </c>
      <c r="AH96" s="98" t="str" cm="1">
        <f t="array" ref="AH96">IFERROR(IF(D96="","",IF(INDEX('M04-S10'!$CU$18:$CU$199,(2*ROWS(AH$92:AH96)-1)+1)="","",INDEX('M04-S10'!$CU$18:$CU$199,2*(ROWS(AH$92:AH96)-1)+1))),"")</f>
        <v/>
      </c>
      <c r="AI96" s="20" t="str" cm="1">
        <f t="array" ref="AI96">IFERROR(IF(D96="","",IF(INDEX('M04-S10'!$CM$18:$CM$199,2*(ROWS(AI$92:AI96)-1)+1)="",0,INDEX('M04-S10'!$CM$18:$CM$199,2*(ROWS(AI$92:AI96)-1)+1))),"")</f>
        <v/>
      </c>
      <c r="AJ96" s="20" t="str">
        <f t="shared" si="86"/>
        <v/>
      </c>
      <c r="AK96" s="487" t="str" cm="1">
        <f t="array" ref="AK96">IFERROR(IF(D96="","",IF(INDEX('M04-S10'!$CN$18:$CN$199,2*(ROWS(AK$92:AK96)-1)+1)="",0,INDEX('M04-S10'!$CN$18:$CN$199,2*(ROWS(AK$92:AK96)-1)+1))),"")</f>
        <v/>
      </c>
      <c r="AL96" s="20" t="str">
        <f t="shared" si="151"/>
        <v/>
      </c>
      <c r="AM96" s="20" t="str">
        <f t="shared" si="142"/>
        <v/>
      </c>
      <c r="AN96" s="20" t="str" cm="1">
        <f t="array" ref="AN96">IFERROR(IF(D96="","",IF(INDEX('M04-S10'!$CO$18:$CO$199,2*(ROWS(AN$92:AN96)-1)+1)="",0,INDEX('M04-S10'!$CO$18:$CO$199,2*(ROWS(AN$92:AN96)-1)+1))),"")</f>
        <v/>
      </c>
      <c r="AO96" s="20" t="str" cm="1">
        <f t="array" ref="AO96">IFERROR(IF(D96="","",INDEX('M04-S10'!$R$18:$R$199,2*(ROWS(AO$92:AO96)-1)+1)),"")</f>
        <v/>
      </c>
      <c r="AP96" s="20" t="str" cm="1">
        <f t="array" ref="AP96">IFERROR(IF(D96="","",INDEX('M04-S10'!$AJ$18:$AJ$199,2*(ROWS(AP$92:AP96)-1)+1)),"")</f>
        <v/>
      </c>
      <c r="AQ96" s="487" t="str" cm="1">
        <f t="array" ref="AQ96">IFERROR(IF(D96="","",INDEX('M04-S10'!$U$18:$U$199,2*(ROWS(AQ$92:AQ96)-1)+1)),"")</f>
        <v/>
      </c>
      <c r="AR96" s="487" t="str" cm="1">
        <f t="array" ref="AR96">IFERROR(IF(D96="","",INDEX('M04-S10'!$AM$18:$AM$199,2*(ROWS(AR$92:AR96)-1)+1)),"")</f>
        <v/>
      </c>
      <c r="AS96" s="20" t="str" cm="1">
        <f t="array" ref="AS96">IFERROR(IF(D96="","",INDEX('M04-S10'!$X$18:$X$199,2*(ROWS(AS$92:AS96)-1)+1)),"")</f>
        <v/>
      </c>
      <c r="AT96" s="20" t="str" cm="1">
        <f t="array" ref="AT96">IFERROR(IF(D96="","",INDEX('M04-S10'!$AP$18:$AP$199,2*(ROWS(AT$92:AT96)-1)+1)),"")</f>
        <v/>
      </c>
      <c r="BP96" t="str" cm="1">
        <f t="array" ref="BP96">IFERROR(IF(D96="","",INDEX('M04-S10'!$CS$18:$CS$199,2*(ROWS(BP$92:BP96)-1)+1)),"")</f>
        <v/>
      </c>
      <c r="BR96" t="str" cm="1">
        <f t="array" ref="BR96">IFERROR(IF(D96="","",LEFT(INDEX('M04-S10'!$C$18:$C$199,2*(ROWS(BR$92:BR96)-1)+1),150)),"")</f>
        <v/>
      </c>
      <c r="BS96" t="str" cm="1">
        <f t="array" ref="BS96">IFERROR(IF(D96="","",INDEX('M04-S10'!$CT$18:$CT$199,2*(ROWS(BS$92:BS96)-1)+1)),"")</f>
        <v/>
      </c>
      <c r="BT96" s="6" t="str" cm="1">
        <f t="array" ref="BT96">IFERROR(ROUND(IF(D96="","",INDEX('M04-S10'!$BB$18:$BB$199,2*(ROWS(BT$92:BT96)-1)+1)),2),"")</f>
        <v/>
      </c>
      <c r="BU96" s="6" t="str" cm="1">
        <f t="array" ref="BU96">IFERROR(IF(D96="","",INDEX('M04-S10'!$CX$18:$CX$199,2*(ROWS(BU$92:BU96)-1)+1)),"")</f>
        <v/>
      </c>
      <c r="BV96" s="6" t="str" cm="1">
        <f t="array" ref="BV96">IFERROR(IF(D96="","",INDEX('M04-S10'!$CY$18:$CY$199,2*(ROWS(BV$92:BV96)-1)+1)),"")</f>
        <v/>
      </c>
      <c r="BW96" t="str">
        <f t="shared" si="152"/>
        <v/>
      </c>
      <c r="BX96" t="str">
        <f t="shared" si="153"/>
        <v/>
      </c>
      <c r="BY96" s="6" t="str" cm="1">
        <f t="array" ref="BY96">IFERROR(IF(D96="","",INDEX('M04-S10'!$CI$18:$CI$199,2*(ROWS(BY$92:BY96)-1)+1)),"")</f>
        <v/>
      </c>
      <c r="BZ96" s="6" t="str">
        <f t="shared" si="105"/>
        <v/>
      </c>
      <c r="CA96" s="6" t="str">
        <f t="shared" si="106"/>
        <v/>
      </c>
      <c r="CB96" s="6" t="str">
        <f t="shared" si="87"/>
        <v/>
      </c>
      <c r="CC96" s="6" t="str">
        <f t="shared" si="143"/>
        <v/>
      </c>
      <c r="CD96" s="6" t="str">
        <f t="shared" si="144"/>
        <v/>
      </c>
      <c r="CS96" t="str" cm="1">
        <f t="array" ref="CS96">IFERROR(IF(D96="","",INDEX('M04-S10'!$F$18:$F$199,2*(ROWS(CS$92:CS96)-1)+1)),"")</f>
        <v/>
      </c>
      <c r="CT96" t="str" cm="1">
        <f t="array" ref="CT96">IFERROR(IF(D96="","",INDEX('M04-S10'!$L$18:$L$199,2*(ROWS(CT$92:CT96)-1)+1)),"")</f>
        <v/>
      </c>
      <c r="CU96" t="str" cm="1">
        <f t="array" ref="CU96">IFERROR(IF(D96="","",INDEX('M04-S10'!$AD$18:$AD$199,2*(ROWS(CU$92:CU96)-1)+1)),"")</f>
        <v/>
      </c>
      <c r="DE96" s="150"/>
      <c r="DF96" s="150" t="str">
        <f>IFERROR(ROUND(IF(OR(D96="",DE96=""),"",TEMPLATE!$V$18),2),"")</f>
        <v/>
      </c>
      <c r="DG96" s="150"/>
      <c r="DH96" s="150" t="str">
        <f>IFERROR(ROUND(IF(OR(D96="",DG96=""),"",TEMPLATE!$V$18),2),"")</f>
        <v/>
      </c>
      <c r="DI96" s="150"/>
      <c r="DJ96" s="150" t="str">
        <f>IFERROR(ROUND(IF(OR(D96="",DI96=""),"",TEMPLATE!$V$18),2),"")</f>
        <v/>
      </c>
      <c r="DK96" s="150"/>
      <c r="DL96" s="150" t="str">
        <f>IFERROR(ROUND(IF(OR(D96="",DK96=""),"",TEMPLATE!$V$18),2),"")</f>
        <v/>
      </c>
      <c r="DM96" s="150"/>
      <c r="DN96" s="150" t="str">
        <f>IFERROR(ROUND(IF(OR(D96="",DM96=""),"",TEMPLATE!$V$18),2),"")</f>
        <v/>
      </c>
      <c r="DO96" s="150"/>
      <c r="DP96" s="150" t="str">
        <f>IFERROR(ROUND(IF(OR(D96="",DO96=""),"",TEMPLATE!$V$18),2),"")</f>
        <v/>
      </c>
      <c r="DQ96" s="150"/>
      <c r="DR96" s="150" t="str">
        <f>IFERROR(ROUND(IF(OR(D96="",DQ96=""),"",TEMPLATE!$V$18),2),"")</f>
        <v/>
      </c>
      <c r="DS96" s="150"/>
      <c r="DT96" s="150" t="str">
        <f>IFERROR(ROUND(IF(OR(D96="",DS96=""),"",TEMPLATE!$V$18),2),"")</f>
        <v/>
      </c>
      <c r="DU96" s="150" t="str" cm="1">
        <f t="array" ref="DU96">IFERROR(ROUND(IF($D96="","",INDEX('M04-S10'!DD$18:DD$199,2*(ROWS(DU$92:DU96)-1)+1)),4),"")</f>
        <v/>
      </c>
      <c r="DV96" s="150" t="str" cm="1">
        <f t="array" ref="DV96">IFERROR(ROUND(IF($D96="","",INDEX('M04-S10'!DE$18:DE$199,2*(ROWS(DV$92:DV96)-1)+1)),4),"")</f>
        <v/>
      </c>
      <c r="DW96" s="150" t="str" cm="1">
        <f t="array" ref="DW96">IFERROR(ROUND(IF($D96="","",INDEX('M04-S10'!DF$18:DF$199,2*(ROWS(DW$92:DW96)-1)+1)),4),"")</f>
        <v/>
      </c>
      <c r="DX96" s="150" t="str" cm="1">
        <f t="array" ref="DX96">IFERROR(ROUND(IF($D96="","",INDEX('M04-S10'!DG$18:DG$199,2*(ROWS(DX$92:DX96)-1)+1)),4),"")</f>
        <v/>
      </c>
      <c r="DY96" s="150" t="str" cm="1">
        <f t="array" ref="DY96">IFERROR(ROUND(IF($D96="","",INDEX('M04-S10'!DH$18:DH$199,2*(ROWS(DY$92:DY96)-1)+1)),4),"")</f>
        <v/>
      </c>
      <c r="DZ96" s="150" t="str" cm="1">
        <f t="array" ref="DZ96">IFERROR(ROUND(IF($D96="","",INDEX('M04-S10'!DI$18:DI$199,2*(ROWS(DZ$92:DZ96)-1)+1)),4),"")</f>
        <v/>
      </c>
      <c r="EA96" s="150" t="str" cm="1">
        <f t="array" ref="EA96">IFERROR(ROUND(IF($D96="","",INDEX('M04-S10'!DJ$18:DJ$199,2*(ROWS(EA$92:EA96)-1)+1)),4),"")</f>
        <v/>
      </c>
      <c r="EB96" s="150" t="str" cm="1">
        <f t="array" ref="EB96">IFERROR(ROUND(IF($D96="","",INDEX('M04-S10'!DK$18:DK$199,2*(ROWS(EB$92:EB96)-1)+1)),6),"")</f>
        <v/>
      </c>
      <c r="EC96" s="150" t="str" cm="1">
        <f t="array" ref="EC96">IFERROR(ROUND(IF($D96="","",INDEX('M04-S10'!DL$18:DL$199,2*(ROWS(EC$92:EC96)-1)+1)),6),"")</f>
        <v/>
      </c>
      <c r="ED96" s="150" t="str" cm="1">
        <f t="array" ref="ED96">IFERROR(ROUND(IF($D96="","",INDEX('M04-S10'!DM$18:DM$199,2*(ROWS(ED$92:ED96)-1)+1)),6),"")</f>
        <v/>
      </c>
      <c r="EE96" s="150" t="str" cm="1">
        <f t="array" ref="EE96">IFERROR(ROUND(IF($D96="","",INDEX('M04-S10'!DN$18:DN$199,2*(ROWS(EE$92:EE96)-1)+1)),6),"")</f>
        <v/>
      </c>
      <c r="EF96" s="150" t="str" cm="1">
        <f t="array" ref="EF96">IFERROR(ROUND(IF($D96="","",INDEX('M04-S10'!DO$18:DO$199,2*(ROWS(EF$92:EF96)-1)+1)),6),"")</f>
        <v/>
      </c>
      <c r="EG96" s="150" t="str" cm="1">
        <f t="array" ref="EG96">IFERROR(ROUND(IF($D96="","",INDEX('M04-S10'!DP$18:DP$199,2*(ROWS(EG$92:EG96)-1)+1)),6),"")</f>
        <v/>
      </c>
      <c r="EH96" s="150" t="str" cm="1">
        <f t="array" ref="EH96">IFERROR(ROUND(IF($D96="","",INDEX('M04-S10'!DQ$18:DQ$199,2*(ROWS(EH$92:EH96)-1)+1)),6),"")</f>
        <v/>
      </c>
      <c r="EI96" s="150" t="str" cm="1">
        <f t="array" ref="EI96">IFERROR(ROUND(IF($D96="","",INDEX('M04-S10'!DR$18:DR$199,2*(ROWS(EI$92:EI96)-1)+1)),6),"")</f>
        <v/>
      </c>
      <c r="EJ96" s="150" t="str" cm="1">
        <f t="array" ref="EJ96">IFERROR(ROUND(IF($D96="","",INDEX('M04-S10'!DS$18:DS$199,2*(ROWS(EJ$92:EJ96)-1)+1)),6),"")</f>
        <v/>
      </c>
      <c r="EK96" s="150" t="str" cm="1">
        <f t="array" ref="EK96">IFERROR(ROUND(IF($D96="","",INDEX('M04-S10'!DT$18:DT$199,2*(ROWS(EK$92:EK96)-1)+1)),6),"")</f>
        <v/>
      </c>
      <c r="EL96" s="150" t="str" cm="1">
        <f t="array" ref="EL96">IFERROR(ROUND(IF($D96="","",INDEX('M04-S10'!DU$18:DU$199,2*(ROWS(EL$92:EL96)-1)+1)),6),"")</f>
        <v/>
      </c>
      <c r="EM96" s="150" t="str" cm="1">
        <f t="array" ref="EM96">IFERROR(ROUND(IF($D96="","",INDEX('M04-S10'!DV$18:DV$199,2*(ROWS(EM$92:EM96)-1)+1)),6),"")</f>
        <v/>
      </c>
      <c r="EN96" s="150" t="str" cm="1">
        <f t="array" ref="EN96">IFERROR(ROUND(IF($D96="","",INDEX('M04-S10'!DW$18:DW$199,2*(ROWS(EN$92:EN96)-1)+1)),6),"")</f>
        <v/>
      </c>
      <c r="EO96" s="150" t="str" cm="1">
        <f t="array" ref="EO96">IFERROR(ROUND(IF($D96="","",INDEX('M04-S10'!DX$18:DX$199,2*(ROWS(EO$92:EO96)-1)+1)),6),"")</f>
        <v/>
      </c>
      <c r="EP96" s="150" t="str" cm="1">
        <f t="array" ref="EP96">IFERROR(ROUND(IF($D96="","",INDEX('M04-S10'!DY$18:DY$199,2*(ROWS(EP$92:EP96)-1)+1)),6),"")</f>
        <v/>
      </c>
      <c r="EQ96" s="150" t="str" cm="1">
        <f t="array" ref="EQ96">IFERROR(ROUND(IF($D96="","",INDEX('M04-S10'!DZ$18:DZ$199,2*(ROWS(EQ$92:EQ96)-1)+1)),6),"")</f>
        <v/>
      </c>
      <c r="ER96" s="150" t="str">
        <f t="shared" si="109"/>
        <v/>
      </c>
      <c r="ES96" s="150" t="str">
        <f t="shared" si="134"/>
        <v/>
      </c>
      <c r="ET96" s="150" t="str">
        <f t="shared" si="135"/>
        <v/>
      </c>
      <c r="EU96" s="150" t="str">
        <f t="shared" si="136"/>
        <v/>
      </c>
      <c r="EV96" s="150" t="str">
        <f t="shared" si="137"/>
        <v/>
      </c>
      <c r="EW96" s="150" t="str">
        <f t="shared" si="138"/>
        <v/>
      </c>
      <c r="EX96" s="150" t="str">
        <f t="shared" si="139"/>
        <v/>
      </c>
      <c r="EY96" s="150" t="str">
        <f t="shared" si="110"/>
        <v/>
      </c>
      <c r="EZ96" s="150" t="str" cm="1">
        <f t="array" ref="EZ96">IFERROR(ROUND(IF($D96="","",INDEX('M04-S10'!EA$18:EA$199,2*(ROWS(EZ$92:EZ96)-1)+1)),6),"")</f>
        <v/>
      </c>
      <c r="FA96" s="150" t="str" cm="1">
        <f t="array" ref="FA96">IFERROR(ROUND(IF($D96="","",INDEX('M04-S10'!EB$18:EB$199,2*(ROWS(FA$92:FA96)-1)+1)),6),"")</f>
        <v/>
      </c>
      <c r="FB96" s="150" t="str" cm="1">
        <f t="array" ref="FB96">IFERROR(ROUND(IF($D96="","",INDEX('M04-S10'!EC$18:EC$199,2*(ROWS(FB$92:FB96)-1)+1)),6),"")</f>
        <v/>
      </c>
      <c r="FC96" s="150" t="str" cm="1">
        <f t="array" ref="FC96">IFERROR(ROUND(IF($D96="","",INDEX('M04-S10'!ED$18:ED$199,2*(ROWS(FC$92:FC96)-1)+1)),6),"")</f>
        <v/>
      </c>
      <c r="FD96" s="150" t="str" cm="1">
        <f t="array" ref="FD96">IFERROR(ROUND(IF($D96="","",INDEX('M04-S10'!EE$18:EE$199,2*(ROWS(FD$92:FD96)-1)+1)),6),"")</f>
        <v/>
      </c>
      <c r="FE96" s="150" t="str" cm="1">
        <f t="array" ref="FE96">IFERROR(ROUND(IF($D96="","",INDEX('M04-S10'!EF$18:EF$199,2*(ROWS(FE$92:FE96)-1)+1)),6),"")</f>
        <v/>
      </c>
      <c r="FF96" s="150" t="str" cm="1">
        <f t="array" ref="FF96">IFERROR(ROUND(IF($D96="","",INDEX('M04-S10'!EG$18:EG$199,2*(ROWS(FF$92:FF96)-1)+1)),6),"")</f>
        <v/>
      </c>
      <c r="FG96" s="150" t="str" cm="1">
        <f t="array" ref="FG96">IFERROR(ROUND(IF($D96="","",INDEX('M04-S10'!EH$18:EH$199,2*(ROWS(FG$92:FG96)-1)+1)),6),"")</f>
        <v/>
      </c>
      <c r="FH96" s="150" t="str" cm="1">
        <f t="array" ref="FH96">IFERROR(ROUND(IF($D96="","",INDEX('M04-S10'!EI$18:EI$199,2*(ROWS(FH$92:FH96)-1)+1)),6),"")</f>
        <v/>
      </c>
      <c r="FI96" s="150" t="str" cm="1">
        <f t="array" ref="FI96">IFERROR(ROUND(IF($D96="","",INDEX('M04-S10'!EJ$18:EJ$199,2*(ROWS(FI$92:FI96)-1)+1)),6),"")</f>
        <v/>
      </c>
      <c r="FJ96" s="150" t="str" cm="1">
        <f t="array" ref="FJ96">IFERROR(ROUND(IF($D96="","",INDEX('M04-S10'!EK$18:EK$199,2*(ROWS(FJ$92:FJ96)-1)+1)),6),"")</f>
        <v/>
      </c>
      <c r="FK96" s="150" t="str" cm="1">
        <f t="array" ref="FK96">IFERROR(ROUND(IF($D96="","",INDEX('M04-S10'!EL$18:EL$199,2*(ROWS(FK$92:FK96)-1)+1)),6),"")</f>
        <v/>
      </c>
      <c r="FL96" s="150" t="str" cm="1">
        <f t="array" ref="FL96">IFERROR(ROUND(IF($D96="","",INDEX('M04-S10'!EM$18:EM$199,2*(ROWS(FL$92:FL96)-1)+1)),6),"")</f>
        <v/>
      </c>
      <c r="FM96" s="150" t="str" cm="1">
        <f t="array" ref="FM96">IFERROR(ROUND(IF($D96="","",INDEX('M04-S10'!EN$18:EN$199,2*(ROWS(FM$92:FM96)-1)+1)),6),"")</f>
        <v/>
      </c>
    </row>
    <row r="97" spans="1:169">
      <c r="A97" t="str">
        <f t="shared" si="140"/>
        <v/>
      </c>
      <c r="B97" t="str">
        <f t="shared" si="145"/>
        <v/>
      </c>
      <c r="C97" t="str" cm="1">
        <f t="array" ref="C97">IFERROR(IF(D97="","",INDEX('M04-S10'!$B$18:$B$199,2*(ROWS(C$92:C97)-1)+1)),"")</f>
        <v/>
      </c>
      <c r="D97" t="str">
        <f t="shared" si="146"/>
        <v/>
      </c>
      <c r="E97" t="str" cm="1">
        <f t="array" ref="E97">IFERROR(IF(INDEX('M04-S10'!$CC$18:$CC$199,2*(ROWS(E$92:E97)-1)+1)="","",INDEX('M04-S10'!$CC$18:$CC$199,2*(ROWS(E$92:E97)-1)+1)),"")</f>
        <v/>
      </c>
      <c r="G97" t="str">
        <f t="shared" si="147"/>
        <v/>
      </c>
      <c r="H97" t="str">
        <f t="shared" si="148"/>
        <v/>
      </c>
      <c r="L97" t="str">
        <f t="shared" si="149"/>
        <v/>
      </c>
      <c r="O97" t="str">
        <f t="shared" si="150"/>
        <v/>
      </c>
      <c r="V97" t="str" cm="1">
        <f t="array" ref="V97">IFERROR(IF(D97="","",INDEX('M04-S10'!$AY$18:$AY$199,2*(ROWS(V$92:V97)-1)+1)),"")</f>
        <v/>
      </c>
      <c r="W97" t="str" cm="1">
        <f t="array" ref="W97">IFERROR(IF(D97="","",INDEX('M04-S10'!$AV$18:$AV$199,2*(ROWS(W$92:W97)-1)+1)),"")</f>
        <v/>
      </c>
      <c r="X97" t="str" cm="1">
        <f t="array" ref="X97">IFERROR(IF(D97="","",INDEX('M04-S10'!$AV$18:$AV$199,2*(ROWS(X$92:X97)-0)+0)),"")</f>
        <v/>
      </c>
      <c r="AG97" s="98" t="str" cm="1">
        <f t="array" ref="AG97">IFERROR(IF(D97="","",IF(INDEX('M04-S10'!$CB$18:$CB$199,2*(ROWS(AG$92:AG97)-1)+1)="","",INDEX('M04-S10'!$CB$18:$CB$199,2*(ROWS(AG$92:AG97)-1)+1))),"")</f>
        <v/>
      </c>
      <c r="AH97" s="98" t="str" cm="1">
        <f t="array" ref="AH97">IFERROR(IF(D97="","",IF(INDEX('M04-S10'!$CU$18:$CU$199,(2*ROWS(AH$92:AH97)-1)+1)="","",INDEX('M04-S10'!$CU$18:$CU$199,2*(ROWS(AH$92:AH97)-1)+1))),"")</f>
        <v/>
      </c>
      <c r="AI97" s="20" t="str" cm="1">
        <f t="array" ref="AI97">IFERROR(IF(D97="","",IF(INDEX('M04-S10'!$CM$18:$CM$199,2*(ROWS(AI$92:AI97)-1)+1)="",0,INDEX('M04-S10'!$CM$18:$CM$199,2*(ROWS(AI$92:AI97)-1)+1))),"")</f>
        <v/>
      </c>
      <c r="AJ97" s="20" t="str">
        <f t="shared" si="86"/>
        <v/>
      </c>
      <c r="AK97" s="487" t="str" cm="1">
        <f t="array" ref="AK97">IFERROR(IF(D97="","",IF(INDEX('M04-S10'!$CN$18:$CN$199,2*(ROWS(AK$92:AK97)-1)+1)="",0,INDEX('M04-S10'!$CN$18:$CN$199,2*(ROWS(AK$92:AK97)-1)+1))),"")</f>
        <v/>
      </c>
      <c r="AL97" s="20" t="str">
        <f t="shared" si="151"/>
        <v/>
      </c>
      <c r="AM97" s="20" t="str">
        <f t="shared" si="142"/>
        <v/>
      </c>
      <c r="AN97" s="20" t="str" cm="1">
        <f t="array" ref="AN97">IFERROR(IF(D97="","",IF(INDEX('M04-S10'!$CO$18:$CO$199,2*(ROWS(AN$92:AN97)-1)+1)="",0,INDEX('M04-S10'!$CO$18:$CO$199,2*(ROWS(AN$92:AN97)-1)+1))),"")</f>
        <v/>
      </c>
      <c r="AO97" s="20" t="str" cm="1">
        <f t="array" ref="AO97">IFERROR(IF(D97="","",INDEX('M04-S10'!$R$18:$R$199,2*(ROWS(AO$92:AO97)-1)+1)),"")</f>
        <v/>
      </c>
      <c r="AP97" s="20" t="str" cm="1">
        <f t="array" ref="AP97">IFERROR(IF(D97="","",INDEX('M04-S10'!$AJ$18:$AJ$199,2*(ROWS(AP$92:AP97)-1)+1)),"")</f>
        <v/>
      </c>
      <c r="AQ97" s="487" t="str" cm="1">
        <f t="array" ref="AQ97">IFERROR(IF(D97="","",INDEX('M04-S10'!$U$18:$U$199,2*(ROWS(AQ$92:AQ97)-1)+1)),"")</f>
        <v/>
      </c>
      <c r="AR97" s="487" t="str" cm="1">
        <f t="array" ref="AR97">IFERROR(IF(D97="","",INDEX('M04-S10'!$AM$18:$AM$199,2*(ROWS(AR$92:AR97)-1)+1)),"")</f>
        <v/>
      </c>
      <c r="AS97" s="20" t="str" cm="1">
        <f t="array" ref="AS97">IFERROR(IF(D97="","",INDEX('M04-S10'!$X$18:$X$199,2*(ROWS(AS$92:AS97)-1)+1)),"")</f>
        <v/>
      </c>
      <c r="AT97" s="20" t="str" cm="1">
        <f t="array" ref="AT97">IFERROR(IF(D97="","",INDEX('M04-S10'!$AP$18:$AP$199,2*(ROWS(AT$92:AT97)-1)+1)),"")</f>
        <v/>
      </c>
      <c r="BP97" t="str" cm="1">
        <f t="array" ref="BP97">IFERROR(IF(D97="","",INDEX('M04-S10'!$CS$18:$CS$199,2*(ROWS(BP$92:BP97)-1)+1)),"")</f>
        <v/>
      </c>
      <c r="BR97" t="str" cm="1">
        <f t="array" ref="BR97">IFERROR(IF(D97="","",LEFT(INDEX('M04-S10'!$C$18:$C$199,2*(ROWS(BR$92:BR97)-1)+1),150)),"")</f>
        <v/>
      </c>
      <c r="BS97" t="str" cm="1">
        <f t="array" ref="BS97">IFERROR(IF(D97="","",INDEX('M04-S10'!$CT$18:$CT$199,2*(ROWS(BS$92:BS97)-1)+1)),"")</f>
        <v/>
      </c>
      <c r="BT97" s="6" t="str" cm="1">
        <f t="array" ref="BT97">IFERROR(ROUND(IF(D97="","",INDEX('M04-S10'!$BB$18:$BB$199,2*(ROWS(BT$92:BT97)-1)+1)),2),"")</f>
        <v/>
      </c>
      <c r="BU97" s="6" t="str" cm="1">
        <f t="array" ref="BU97">IFERROR(IF(D97="","",INDEX('M04-S10'!$CX$18:$CX$199,2*(ROWS(BU$92:BU97)-1)+1)),"")</f>
        <v/>
      </c>
      <c r="BV97" s="6" t="str" cm="1">
        <f t="array" ref="BV97">IFERROR(IF(D97="","",INDEX('M04-S10'!$CY$18:$CY$199,2*(ROWS(BV$92:BV97)-1)+1)),"")</f>
        <v/>
      </c>
      <c r="BW97" t="str">
        <f t="shared" si="152"/>
        <v/>
      </c>
      <c r="BX97" t="str">
        <f t="shared" si="153"/>
        <v/>
      </c>
      <c r="BY97" s="6" t="str" cm="1">
        <f t="array" ref="BY97">IFERROR(IF(D97="","",INDEX('M04-S10'!$CI$18:$CI$199,2*(ROWS(BY$92:BY97)-1)+1)),"")</f>
        <v/>
      </c>
      <c r="BZ97" s="6" t="str">
        <f t="shared" si="105"/>
        <v/>
      </c>
      <c r="CA97" s="6" t="str">
        <f t="shared" si="106"/>
        <v/>
      </c>
      <c r="CB97" s="6" t="str">
        <f t="shared" si="87"/>
        <v/>
      </c>
      <c r="CC97" s="6" t="str">
        <f t="shared" si="143"/>
        <v/>
      </c>
      <c r="CD97" s="6" t="str">
        <f t="shared" si="144"/>
        <v/>
      </c>
      <c r="CS97" t="str" cm="1">
        <f t="array" ref="CS97">IFERROR(IF(D97="","",INDEX('M04-S10'!$F$18:$F$199,2*(ROWS(CS$92:CS97)-1)+1)),"")</f>
        <v/>
      </c>
      <c r="CT97" t="str" cm="1">
        <f t="array" ref="CT97">IFERROR(IF(D97="","",INDEX('M04-S10'!$L$18:$L$199,2*(ROWS(CT$92:CT97)-1)+1)),"")</f>
        <v/>
      </c>
      <c r="CU97" t="str" cm="1">
        <f t="array" ref="CU97">IFERROR(IF(D97="","",INDEX('M04-S10'!$AD$18:$AD$199,2*(ROWS(CU$92:CU97)-1)+1)),"")</f>
        <v/>
      </c>
      <c r="DE97" s="150"/>
      <c r="DF97" s="150" t="str">
        <f>IFERROR(ROUND(IF(OR(D97="",DE97=""),"",TEMPLATE!$V$18),2),"")</f>
        <v/>
      </c>
      <c r="DG97" s="150"/>
      <c r="DH97" s="150" t="str">
        <f>IFERROR(ROUND(IF(OR(D97="",DG97=""),"",TEMPLATE!$V$18),2),"")</f>
        <v/>
      </c>
      <c r="DI97" s="150"/>
      <c r="DJ97" s="150" t="str">
        <f>IFERROR(ROUND(IF(OR(D97="",DI97=""),"",TEMPLATE!$V$18),2),"")</f>
        <v/>
      </c>
      <c r="DK97" s="150"/>
      <c r="DL97" s="150" t="str">
        <f>IFERROR(ROUND(IF(OR(D97="",DK97=""),"",TEMPLATE!$V$18),2),"")</f>
        <v/>
      </c>
      <c r="DM97" s="150"/>
      <c r="DN97" s="150" t="str">
        <f>IFERROR(ROUND(IF(OR(D97="",DM97=""),"",TEMPLATE!$V$18),2),"")</f>
        <v/>
      </c>
      <c r="DO97" s="150"/>
      <c r="DP97" s="150" t="str">
        <f>IFERROR(ROUND(IF(OR(D97="",DO97=""),"",TEMPLATE!$V$18),2),"")</f>
        <v/>
      </c>
      <c r="DQ97" s="150"/>
      <c r="DR97" s="150" t="str">
        <f>IFERROR(ROUND(IF(OR(D97="",DQ97=""),"",TEMPLATE!$V$18),2),"")</f>
        <v/>
      </c>
      <c r="DS97" s="150"/>
      <c r="DT97" s="150" t="str">
        <f>IFERROR(ROUND(IF(OR(D97="",DS97=""),"",TEMPLATE!$V$18),2),"")</f>
        <v/>
      </c>
      <c r="DU97" s="150" t="str" cm="1">
        <f t="array" ref="DU97">IFERROR(ROUND(IF($D97="","",INDEX('M04-S10'!DD$18:DD$199,2*(ROWS(DU$92:DU97)-1)+1)),4),"")</f>
        <v/>
      </c>
      <c r="DV97" s="150" t="str" cm="1">
        <f t="array" ref="DV97">IFERROR(ROUND(IF($D97="","",INDEX('M04-S10'!DE$18:DE$199,2*(ROWS(DV$92:DV97)-1)+1)),4),"")</f>
        <v/>
      </c>
      <c r="DW97" s="150" t="str" cm="1">
        <f t="array" ref="DW97">IFERROR(ROUND(IF($D97="","",INDEX('M04-S10'!DF$18:DF$199,2*(ROWS(DW$92:DW97)-1)+1)),4),"")</f>
        <v/>
      </c>
      <c r="DX97" s="150" t="str" cm="1">
        <f t="array" ref="DX97">IFERROR(ROUND(IF($D97="","",INDEX('M04-S10'!DG$18:DG$199,2*(ROWS(DX$92:DX97)-1)+1)),4),"")</f>
        <v/>
      </c>
      <c r="DY97" s="150" t="str" cm="1">
        <f t="array" ref="DY97">IFERROR(ROUND(IF($D97="","",INDEX('M04-S10'!DH$18:DH$199,2*(ROWS(DY$92:DY97)-1)+1)),4),"")</f>
        <v/>
      </c>
      <c r="DZ97" s="150" t="str" cm="1">
        <f t="array" ref="DZ97">IFERROR(ROUND(IF($D97="","",INDEX('M04-S10'!DI$18:DI$199,2*(ROWS(DZ$92:DZ97)-1)+1)),4),"")</f>
        <v/>
      </c>
      <c r="EA97" s="150" t="str" cm="1">
        <f t="array" ref="EA97">IFERROR(ROUND(IF($D97="","",INDEX('M04-S10'!DJ$18:DJ$199,2*(ROWS(EA$92:EA97)-1)+1)),4),"")</f>
        <v/>
      </c>
      <c r="EB97" s="150" t="str" cm="1">
        <f t="array" ref="EB97">IFERROR(ROUND(IF($D97="","",INDEX('M04-S10'!DK$18:DK$199,2*(ROWS(EB$92:EB97)-1)+1)),6),"")</f>
        <v/>
      </c>
      <c r="EC97" s="150" t="str" cm="1">
        <f t="array" ref="EC97">IFERROR(ROUND(IF($D97="","",INDEX('M04-S10'!DL$18:DL$199,2*(ROWS(EC$92:EC97)-1)+1)),6),"")</f>
        <v/>
      </c>
      <c r="ED97" s="150" t="str" cm="1">
        <f t="array" ref="ED97">IFERROR(ROUND(IF($D97="","",INDEX('M04-S10'!DM$18:DM$199,2*(ROWS(ED$92:ED97)-1)+1)),6),"")</f>
        <v/>
      </c>
      <c r="EE97" s="150" t="str" cm="1">
        <f t="array" ref="EE97">IFERROR(ROUND(IF($D97="","",INDEX('M04-S10'!DN$18:DN$199,2*(ROWS(EE$92:EE97)-1)+1)),6),"")</f>
        <v/>
      </c>
      <c r="EF97" s="150" t="str" cm="1">
        <f t="array" ref="EF97">IFERROR(ROUND(IF($D97="","",INDEX('M04-S10'!DO$18:DO$199,2*(ROWS(EF$92:EF97)-1)+1)),6),"")</f>
        <v/>
      </c>
      <c r="EG97" s="150" t="str" cm="1">
        <f t="array" ref="EG97">IFERROR(ROUND(IF($D97="","",INDEX('M04-S10'!DP$18:DP$199,2*(ROWS(EG$92:EG97)-1)+1)),6),"")</f>
        <v/>
      </c>
      <c r="EH97" s="150" t="str" cm="1">
        <f t="array" ref="EH97">IFERROR(ROUND(IF($D97="","",INDEX('M04-S10'!DQ$18:DQ$199,2*(ROWS(EH$92:EH97)-1)+1)),6),"")</f>
        <v/>
      </c>
      <c r="EI97" s="150" t="str" cm="1">
        <f t="array" ref="EI97">IFERROR(ROUND(IF($D97="","",INDEX('M04-S10'!DR$18:DR$199,2*(ROWS(EI$92:EI97)-1)+1)),6),"")</f>
        <v/>
      </c>
      <c r="EJ97" s="150" t="str" cm="1">
        <f t="array" ref="EJ97">IFERROR(ROUND(IF($D97="","",INDEX('M04-S10'!DS$18:DS$199,2*(ROWS(EJ$92:EJ97)-1)+1)),6),"")</f>
        <v/>
      </c>
      <c r="EK97" s="150" t="str" cm="1">
        <f t="array" ref="EK97">IFERROR(ROUND(IF($D97="","",INDEX('M04-S10'!DT$18:DT$199,2*(ROWS(EK$92:EK97)-1)+1)),6),"")</f>
        <v/>
      </c>
      <c r="EL97" s="150" t="str" cm="1">
        <f t="array" ref="EL97">IFERROR(ROUND(IF($D97="","",INDEX('M04-S10'!DU$18:DU$199,2*(ROWS(EL$92:EL97)-1)+1)),6),"")</f>
        <v/>
      </c>
      <c r="EM97" s="150" t="str" cm="1">
        <f t="array" ref="EM97">IFERROR(ROUND(IF($D97="","",INDEX('M04-S10'!DV$18:DV$199,2*(ROWS(EM$92:EM97)-1)+1)),6),"")</f>
        <v/>
      </c>
      <c r="EN97" s="150" t="str" cm="1">
        <f t="array" ref="EN97">IFERROR(ROUND(IF($D97="","",INDEX('M04-S10'!DW$18:DW$199,2*(ROWS(EN$92:EN97)-1)+1)),6),"")</f>
        <v/>
      </c>
      <c r="EO97" s="150" t="str" cm="1">
        <f t="array" ref="EO97">IFERROR(ROUND(IF($D97="","",INDEX('M04-S10'!DX$18:DX$199,2*(ROWS(EO$92:EO97)-1)+1)),6),"")</f>
        <v/>
      </c>
      <c r="EP97" s="150" t="str" cm="1">
        <f t="array" ref="EP97">IFERROR(ROUND(IF($D97="","",INDEX('M04-S10'!DY$18:DY$199,2*(ROWS(EP$92:EP97)-1)+1)),6),"")</f>
        <v/>
      </c>
      <c r="EQ97" s="150" t="str" cm="1">
        <f t="array" ref="EQ97">IFERROR(ROUND(IF($D97="","",INDEX('M04-S10'!DZ$18:DZ$199,2*(ROWS(EQ$92:EQ97)-1)+1)),6),"")</f>
        <v/>
      </c>
      <c r="ER97" s="150" t="str">
        <f t="shared" si="109"/>
        <v/>
      </c>
      <c r="ES97" s="150" t="str">
        <f t="shared" si="134"/>
        <v/>
      </c>
      <c r="ET97" s="150" t="str">
        <f t="shared" si="135"/>
        <v/>
      </c>
      <c r="EU97" s="150" t="str">
        <f t="shared" si="136"/>
        <v/>
      </c>
      <c r="EV97" s="150" t="str">
        <f t="shared" si="137"/>
        <v/>
      </c>
      <c r="EW97" s="150" t="str">
        <f t="shared" si="138"/>
        <v/>
      </c>
      <c r="EX97" s="150" t="str">
        <f t="shared" si="139"/>
        <v/>
      </c>
      <c r="EY97" s="150" t="str">
        <f t="shared" si="110"/>
        <v/>
      </c>
      <c r="EZ97" s="150" t="str" cm="1">
        <f t="array" ref="EZ97">IFERROR(ROUND(IF($D97="","",INDEX('M04-S10'!EA$18:EA$199,2*(ROWS(EZ$92:EZ97)-1)+1)),6),"")</f>
        <v/>
      </c>
      <c r="FA97" s="150" t="str" cm="1">
        <f t="array" ref="FA97">IFERROR(ROUND(IF($D97="","",INDEX('M04-S10'!EB$18:EB$199,2*(ROWS(FA$92:FA97)-1)+1)),6),"")</f>
        <v/>
      </c>
      <c r="FB97" s="150" t="str" cm="1">
        <f t="array" ref="FB97">IFERROR(ROUND(IF($D97="","",INDEX('M04-S10'!EC$18:EC$199,2*(ROWS(FB$92:FB97)-1)+1)),6),"")</f>
        <v/>
      </c>
      <c r="FC97" s="150" t="str" cm="1">
        <f t="array" ref="FC97">IFERROR(ROUND(IF($D97="","",INDEX('M04-S10'!ED$18:ED$199,2*(ROWS(FC$92:FC97)-1)+1)),6),"")</f>
        <v/>
      </c>
      <c r="FD97" s="150" t="str" cm="1">
        <f t="array" ref="FD97">IFERROR(ROUND(IF($D97="","",INDEX('M04-S10'!EE$18:EE$199,2*(ROWS(FD$92:FD97)-1)+1)),6),"")</f>
        <v/>
      </c>
      <c r="FE97" s="150" t="str" cm="1">
        <f t="array" ref="FE97">IFERROR(ROUND(IF($D97="","",INDEX('M04-S10'!EF$18:EF$199,2*(ROWS(FE$92:FE97)-1)+1)),6),"")</f>
        <v/>
      </c>
      <c r="FF97" s="150" t="str" cm="1">
        <f t="array" ref="FF97">IFERROR(ROUND(IF($D97="","",INDEX('M04-S10'!EG$18:EG$199,2*(ROWS(FF$92:FF97)-1)+1)),6),"")</f>
        <v/>
      </c>
      <c r="FG97" s="150" t="str" cm="1">
        <f t="array" ref="FG97">IFERROR(ROUND(IF($D97="","",INDEX('M04-S10'!EH$18:EH$199,2*(ROWS(FG$92:FG97)-1)+1)),6),"")</f>
        <v/>
      </c>
      <c r="FH97" s="150" t="str" cm="1">
        <f t="array" ref="FH97">IFERROR(ROUND(IF($D97="","",INDEX('M04-S10'!EI$18:EI$199,2*(ROWS(FH$92:FH97)-1)+1)),6),"")</f>
        <v/>
      </c>
      <c r="FI97" s="150" t="str" cm="1">
        <f t="array" ref="FI97">IFERROR(ROUND(IF($D97="","",INDEX('M04-S10'!EJ$18:EJ$199,2*(ROWS(FI$92:FI97)-1)+1)),6),"")</f>
        <v/>
      </c>
      <c r="FJ97" s="150" t="str" cm="1">
        <f t="array" ref="FJ97">IFERROR(ROUND(IF($D97="","",INDEX('M04-S10'!EK$18:EK$199,2*(ROWS(FJ$92:FJ97)-1)+1)),6),"")</f>
        <v/>
      </c>
      <c r="FK97" s="150" t="str" cm="1">
        <f t="array" ref="FK97">IFERROR(ROUND(IF($D97="","",INDEX('M04-S10'!EL$18:EL$199,2*(ROWS(FK$92:FK97)-1)+1)),6),"")</f>
        <v/>
      </c>
      <c r="FL97" s="150" t="str" cm="1">
        <f t="array" ref="FL97">IFERROR(ROUND(IF($D97="","",INDEX('M04-S10'!EM$18:EM$199,2*(ROWS(FL$92:FL97)-1)+1)),6),"")</f>
        <v/>
      </c>
      <c r="FM97" s="150" t="str" cm="1">
        <f t="array" ref="FM97">IFERROR(ROUND(IF($D97="","",INDEX('M04-S10'!EN$18:EN$199,2*(ROWS(FM$92:FM97)-1)+1)),6),"")</f>
        <v/>
      </c>
    </row>
    <row r="98" spans="1:169">
      <c r="A98" t="str">
        <f t="shared" si="140"/>
        <v/>
      </c>
      <c r="B98" t="str">
        <f t="shared" si="145"/>
        <v/>
      </c>
      <c r="C98" t="str" cm="1">
        <f t="array" ref="C98">IFERROR(IF(D98="","",INDEX('M04-S10'!$B$18:$B$199,2*(ROWS(C$92:C98)-1)+1)),"")</f>
        <v/>
      </c>
      <c r="D98" t="str">
        <f t="shared" si="146"/>
        <v/>
      </c>
      <c r="E98" t="str" cm="1">
        <f t="array" ref="E98">IFERROR(IF(INDEX('M04-S10'!$CC$18:$CC$199,2*(ROWS(E$92:E98)-1)+1)="","",INDEX('M04-S10'!$CC$18:$CC$199,2*(ROWS(E$92:E98)-1)+1)),"")</f>
        <v/>
      </c>
      <c r="G98" t="str">
        <f t="shared" si="147"/>
        <v/>
      </c>
      <c r="H98" t="str">
        <f t="shared" si="148"/>
        <v/>
      </c>
      <c r="L98" t="str">
        <f t="shared" si="149"/>
        <v/>
      </c>
      <c r="O98" t="str">
        <f t="shared" si="150"/>
        <v/>
      </c>
      <c r="V98" t="str" cm="1">
        <f t="array" ref="V98">IFERROR(IF(D98="","",INDEX('M04-S10'!$AY$18:$AY$199,2*(ROWS(V$92:V98)-1)+1)),"")</f>
        <v/>
      </c>
      <c r="W98" t="str" cm="1">
        <f t="array" ref="W98">IFERROR(IF(D98="","",INDEX('M04-S10'!$AV$18:$AV$199,2*(ROWS(W$92:W98)-1)+1)),"")</f>
        <v/>
      </c>
      <c r="X98" t="str" cm="1">
        <f t="array" ref="X98">IFERROR(IF(D98="","",INDEX('M04-S10'!$AV$18:$AV$199,2*(ROWS(X$92:X98)-0)+0)),"")</f>
        <v/>
      </c>
      <c r="AG98" s="98" t="str" cm="1">
        <f t="array" ref="AG98">IFERROR(IF(D98="","",IF(INDEX('M04-S10'!$CB$18:$CB$199,2*(ROWS(AG$92:AG98)-1)+1)="","",INDEX('M04-S10'!$CB$18:$CB$199,2*(ROWS(AG$92:AG98)-1)+1))),"")</f>
        <v/>
      </c>
      <c r="AH98" s="98" t="str" cm="1">
        <f t="array" ref="AH98">IFERROR(IF(D98="","",IF(INDEX('M04-S10'!$CU$18:$CU$199,(2*ROWS(AH$92:AH98)-1)+1)="","",INDEX('M04-S10'!$CU$18:$CU$199,2*(ROWS(AH$92:AH98)-1)+1))),"")</f>
        <v/>
      </c>
      <c r="AI98" s="20" t="str" cm="1">
        <f t="array" ref="AI98">IFERROR(IF(D98="","",IF(INDEX('M04-S10'!$CM$18:$CM$199,2*(ROWS(AI$92:AI98)-1)+1)="",0,INDEX('M04-S10'!$CM$18:$CM$199,2*(ROWS(AI$92:AI98)-1)+1))),"")</f>
        <v/>
      </c>
      <c r="AJ98" s="20" t="str">
        <f t="shared" si="86"/>
        <v/>
      </c>
      <c r="AK98" s="487" t="str" cm="1">
        <f t="array" ref="AK98">IFERROR(IF(D98="","",IF(INDEX('M04-S10'!$CN$18:$CN$199,2*(ROWS(AK$92:AK98)-1)+1)="",0,INDEX('M04-S10'!$CN$18:$CN$199,2*(ROWS(AK$92:AK98)-1)+1))),"")</f>
        <v/>
      </c>
      <c r="AL98" s="20" t="str">
        <f t="shared" si="151"/>
        <v/>
      </c>
      <c r="AM98" s="20" t="str">
        <f t="shared" si="142"/>
        <v/>
      </c>
      <c r="AN98" s="20" t="str" cm="1">
        <f t="array" ref="AN98">IFERROR(IF(D98="","",IF(INDEX('M04-S10'!$CO$18:$CO$199,2*(ROWS(AN$92:AN98)-1)+1)="",0,INDEX('M04-S10'!$CO$18:$CO$199,2*(ROWS(AN$92:AN98)-1)+1))),"")</f>
        <v/>
      </c>
      <c r="AO98" s="20" t="str" cm="1">
        <f t="array" ref="AO98">IFERROR(IF(D98="","",INDEX('M04-S10'!$R$18:$R$199,2*(ROWS(AO$92:AO98)-1)+1)),"")</f>
        <v/>
      </c>
      <c r="AP98" s="20" t="str" cm="1">
        <f t="array" ref="AP98">IFERROR(IF(D98="","",INDEX('M04-S10'!$AJ$18:$AJ$199,2*(ROWS(AP$92:AP98)-1)+1)),"")</f>
        <v/>
      </c>
      <c r="AQ98" s="487" t="str" cm="1">
        <f t="array" ref="AQ98">IFERROR(IF(D98="","",INDEX('M04-S10'!$U$18:$U$199,2*(ROWS(AQ$92:AQ98)-1)+1)),"")</f>
        <v/>
      </c>
      <c r="AR98" s="487" t="str" cm="1">
        <f t="array" ref="AR98">IFERROR(IF(D98="","",INDEX('M04-S10'!$AM$18:$AM$199,2*(ROWS(AR$92:AR98)-1)+1)),"")</f>
        <v/>
      </c>
      <c r="AS98" s="20" t="str" cm="1">
        <f t="array" ref="AS98">IFERROR(IF(D98="","",INDEX('M04-S10'!$X$18:$X$199,2*(ROWS(AS$92:AS98)-1)+1)),"")</f>
        <v/>
      </c>
      <c r="AT98" s="20" t="str" cm="1">
        <f t="array" ref="AT98">IFERROR(IF(D98="","",INDEX('M04-S10'!$AP$18:$AP$199,2*(ROWS(AT$92:AT98)-1)+1)),"")</f>
        <v/>
      </c>
      <c r="BP98" t="str" cm="1">
        <f t="array" ref="BP98">IFERROR(IF(D98="","",INDEX('M04-S10'!$CS$18:$CS$199,2*(ROWS(BP$92:BP98)-1)+1)),"")</f>
        <v/>
      </c>
      <c r="BR98" t="str" cm="1">
        <f t="array" ref="BR98">IFERROR(IF(D98="","",LEFT(INDEX('M04-S10'!$C$18:$C$199,2*(ROWS(BR$92:BR98)-1)+1),150)),"")</f>
        <v/>
      </c>
      <c r="BS98" t="str" cm="1">
        <f t="array" ref="BS98">IFERROR(IF(D98="","",INDEX('M04-S10'!$CT$18:$CT$199,2*(ROWS(BS$92:BS98)-1)+1)),"")</f>
        <v/>
      </c>
      <c r="BT98" s="6" t="str" cm="1">
        <f t="array" ref="BT98">IFERROR(ROUND(IF(D98="","",INDEX('M04-S10'!$BB$18:$BB$199,2*(ROWS(BT$92:BT98)-1)+1)),2),"")</f>
        <v/>
      </c>
      <c r="BU98" s="6" t="str" cm="1">
        <f t="array" ref="BU98">IFERROR(IF(D98="","",INDEX('M04-S10'!$CX$18:$CX$199,2*(ROWS(BU$92:BU98)-1)+1)),"")</f>
        <v/>
      </c>
      <c r="BV98" s="6" t="str" cm="1">
        <f t="array" ref="BV98">IFERROR(IF(D98="","",INDEX('M04-S10'!$CY$18:$CY$199,2*(ROWS(BV$92:BV98)-1)+1)),"")</f>
        <v/>
      </c>
      <c r="BW98" t="str">
        <f t="shared" si="152"/>
        <v/>
      </c>
      <c r="BX98" t="str">
        <f t="shared" si="153"/>
        <v/>
      </c>
      <c r="BY98" s="6" t="str" cm="1">
        <f t="array" ref="BY98">IFERROR(IF(D98="","",INDEX('M04-S10'!$CI$18:$CI$199,2*(ROWS(BY$92:BY98)-1)+1)),"")</f>
        <v/>
      </c>
      <c r="BZ98" s="6" t="str">
        <f t="shared" si="105"/>
        <v/>
      </c>
      <c r="CA98" s="6" t="str">
        <f t="shared" si="106"/>
        <v/>
      </c>
      <c r="CB98" s="6" t="str">
        <f t="shared" si="87"/>
        <v/>
      </c>
      <c r="CC98" s="6" t="str">
        <f t="shared" si="143"/>
        <v/>
      </c>
      <c r="CD98" s="6" t="str">
        <f t="shared" si="144"/>
        <v/>
      </c>
      <c r="CS98" t="str" cm="1">
        <f t="array" ref="CS98">IFERROR(IF(D98="","",INDEX('M04-S10'!$F$18:$F$199,2*(ROWS(CS$92:CS98)-1)+1)),"")</f>
        <v/>
      </c>
      <c r="CT98" t="str" cm="1">
        <f t="array" ref="CT98">IFERROR(IF(D98="","",INDEX('M04-S10'!$L$18:$L$199,2*(ROWS(CT$92:CT98)-1)+1)),"")</f>
        <v/>
      </c>
      <c r="CU98" t="str" cm="1">
        <f t="array" ref="CU98">IFERROR(IF(D98="","",INDEX('M04-S10'!$AD$18:$AD$199,2*(ROWS(CU$92:CU98)-1)+1)),"")</f>
        <v/>
      </c>
      <c r="DE98" s="150"/>
      <c r="DF98" s="150" t="str">
        <f>IFERROR(ROUND(IF(OR(D98="",DE98=""),"",TEMPLATE!$V$18),2),"")</f>
        <v/>
      </c>
      <c r="DG98" s="150"/>
      <c r="DH98" s="150" t="str">
        <f>IFERROR(ROUND(IF(OR(D98="",DG98=""),"",TEMPLATE!$V$18),2),"")</f>
        <v/>
      </c>
      <c r="DI98" s="150"/>
      <c r="DJ98" s="150" t="str">
        <f>IFERROR(ROUND(IF(OR(D98="",DI98=""),"",TEMPLATE!$V$18),2),"")</f>
        <v/>
      </c>
      <c r="DK98" s="150"/>
      <c r="DL98" s="150" t="str">
        <f>IFERROR(ROUND(IF(OR(D98="",DK98=""),"",TEMPLATE!$V$18),2),"")</f>
        <v/>
      </c>
      <c r="DM98" s="150"/>
      <c r="DN98" s="150" t="str">
        <f>IFERROR(ROUND(IF(OR(D98="",DM98=""),"",TEMPLATE!$V$18),2),"")</f>
        <v/>
      </c>
      <c r="DO98" s="150"/>
      <c r="DP98" s="150" t="str">
        <f>IFERROR(ROUND(IF(OR(D98="",DO98=""),"",TEMPLATE!$V$18),2),"")</f>
        <v/>
      </c>
      <c r="DQ98" s="150"/>
      <c r="DR98" s="150" t="str">
        <f>IFERROR(ROUND(IF(OR(D98="",DQ98=""),"",TEMPLATE!$V$18),2),"")</f>
        <v/>
      </c>
      <c r="DS98" s="150"/>
      <c r="DT98" s="150" t="str">
        <f>IFERROR(ROUND(IF(OR(D98="",DS98=""),"",TEMPLATE!$V$18),2),"")</f>
        <v/>
      </c>
      <c r="DU98" s="150" t="str" cm="1">
        <f t="array" ref="DU98">IFERROR(ROUND(IF($D98="","",INDEX('M04-S10'!DD$18:DD$199,2*(ROWS(DU$92:DU98)-1)+1)),4),"")</f>
        <v/>
      </c>
      <c r="DV98" s="150" t="str" cm="1">
        <f t="array" ref="DV98">IFERROR(ROUND(IF($D98="","",INDEX('M04-S10'!DE$18:DE$199,2*(ROWS(DV$92:DV98)-1)+1)),4),"")</f>
        <v/>
      </c>
      <c r="DW98" s="150" t="str" cm="1">
        <f t="array" ref="DW98">IFERROR(ROUND(IF($D98="","",INDEX('M04-S10'!DF$18:DF$199,2*(ROWS(DW$92:DW98)-1)+1)),4),"")</f>
        <v/>
      </c>
      <c r="DX98" s="150" t="str" cm="1">
        <f t="array" ref="DX98">IFERROR(ROUND(IF($D98="","",INDEX('M04-S10'!DG$18:DG$199,2*(ROWS(DX$92:DX98)-1)+1)),4),"")</f>
        <v/>
      </c>
      <c r="DY98" s="150" t="str" cm="1">
        <f t="array" ref="DY98">IFERROR(ROUND(IF($D98="","",INDEX('M04-S10'!DH$18:DH$199,2*(ROWS(DY$92:DY98)-1)+1)),4),"")</f>
        <v/>
      </c>
      <c r="DZ98" s="150" t="str" cm="1">
        <f t="array" ref="DZ98">IFERROR(ROUND(IF($D98="","",INDEX('M04-S10'!DI$18:DI$199,2*(ROWS(DZ$92:DZ98)-1)+1)),4),"")</f>
        <v/>
      </c>
      <c r="EA98" s="150" t="str" cm="1">
        <f t="array" ref="EA98">IFERROR(ROUND(IF($D98="","",INDEX('M04-S10'!DJ$18:DJ$199,2*(ROWS(EA$92:EA98)-1)+1)),4),"")</f>
        <v/>
      </c>
      <c r="EB98" s="150" t="str" cm="1">
        <f t="array" ref="EB98">IFERROR(ROUND(IF($D98="","",INDEX('M04-S10'!DK$18:DK$199,2*(ROWS(EB$92:EB98)-1)+1)),6),"")</f>
        <v/>
      </c>
      <c r="EC98" s="150" t="str" cm="1">
        <f t="array" ref="EC98">IFERROR(ROUND(IF($D98="","",INDEX('M04-S10'!DL$18:DL$199,2*(ROWS(EC$92:EC98)-1)+1)),6),"")</f>
        <v/>
      </c>
      <c r="ED98" s="150" t="str" cm="1">
        <f t="array" ref="ED98">IFERROR(ROUND(IF($D98="","",INDEX('M04-S10'!DM$18:DM$199,2*(ROWS(ED$92:ED98)-1)+1)),6),"")</f>
        <v/>
      </c>
      <c r="EE98" s="150" t="str" cm="1">
        <f t="array" ref="EE98">IFERROR(ROUND(IF($D98="","",INDEX('M04-S10'!DN$18:DN$199,2*(ROWS(EE$92:EE98)-1)+1)),6),"")</f>
        <v/>
      </c>
      <c r="EF98" s="150" t="str" cm="1">
        <f t="array" ref="EF98">IFERROR(ROUND(IF($D98="","",INDEX('M04-S10'!DO$18:DO$199,2*(ROWS(EF$92:EF98)-1)+1)),6),"")</f>
        <v/>
      </c>
      <c r="EG98" s="150" t="str" cm="1">
        <f t="array" ref="EG98">IFERROR(ROUND(IF($D98="","",INDEX('M04-S10'!DP$18:DP$199,2*(ROWS(EG$92:EG98)-1)+1)),6),"")</f>
        <v/>
      </c>
      <c r="EH98" s="150" t="str" cm="1">
        <f t="array" ref="EH98">IFERROR(ROUND(IF($D98="","",INDEX('M04-S10'!DQ$18:DQ$199,2*(ROWS(EH$92:EH98)-1)+1)),6),"")</f>
        <v/>
      </c>
      <c r="EI98" s="150" t="str" cm="1">
        <f t="array" ref="EI98">IFERROR(ROUND(IF($D98="","",INDEX('M04-S10'!DR$18:DR$199,2*(ROWS(EI$92:EI98)-1)+1)),6),"")</f>
        <v/>
      </c>
      <c r="EJ98" s="150" t="str" cm="1">
        <f t="array" ref="EJ98">IFERROR(ROUND(IF($D98="","",INDEX('M04-S10'!DS$18:DS$199,2*(ROWS(EJ$92:EJ98)-1)+1)),6),"")</f>
        <v/>
      </c>
      <c r="EK98" s="150" t="str" cm="1">
        <f t="array" ref="EK98">IFERROR(ROUND(IF($D98="","",INDEX('M04-S10'!DT$18:DT$199,2*(ROWS(EK$92:EK98)-1)+1)),6),"")</f>
        <v/>
      </c>
      <c r="EL98" s="150" t="str" cm="1">
        <f t="array" ref="EL98">IFERROR(ROUND(IF($D98="","",INDEX('M04-S10'!DU$18:DU$199,2*(ROWS(EL$92:EL98)-1)+1)),6),"")</f>
        <v/>
      </c>
      <c r="EM98" s="150" t="str" cm="1">
        <f t="array" ref="EM98">IFERROR(ROUND(IF($D98="","",INDEX('M04-S10'!DV$18:DV$199,2*(ROWS(EM$92:EM98)-1)+1)),6),"")</f>
        <v/>
      </c>
      <c r="EN98" s="150" t="str" cm="1">
        <f t="array" ref="EN98">IFERROR(ROUND(IF($D98="","",INDEX('M04-S10'!DW$18:DW$199,2*(ROWS(EN$92:EN98)-1)+1)),6),"")</f>
        <v/>
      </c>
      <c r="EO98" s="150" t="str" cm="1">
        <f t="array" ref="EO98">IFERROR(ROUND(IF($D98="","",INDEX('M04-S10'!DX$18:DX$199,2*(ROWS(EO$92:EO98)-1)+1)),6),"")</f>
        <v/>
      </c>
      <c r="EP98" s="150" t="str" cm="1">
        <f t="array" ref="EP98">IFERROR(ROUND(IF($D98="","",INDEX('M04-S10'!DY$18:DY$199,2*(ROWS(EP$92:EP98)-1)+1)),6),"")</f>
        <v/>
      </c>
      <c r="EQ98" s="150" t="str" cm="1">
        <f t="array" ref="EQ98">IFERROR(ROUND(IF($D98="","",INDEX('M04-S10'!DZ$18:DZ$199,2*(ROWS(EQ$92:EQ98)-1)+1)),6),"")</f>
        <v/>
      </c>
      <c r="ER98" s="150" t="str">
        <f t="shared" si="109"/>
        <v/>
      </c>
      <c r="ES98" s="150" t="str">
        <f t="shared" si="134"/>
        <v/>
      </c>
      <c r="ET98" s="150" t="str">
        <f t="shared" si="135"/>
        <v/>
      </c>
      <c r="EU98" s="150" t="str">
        <f t="shared" si="136"/>
        <v/>
      </c>
      <c r="EV98" s="150" t="str">
        <f t="shared" si="137"/>
        <v/>
      </c>
      <c r="EW98" s="150" t="str">
        <f t="shared" si="138"/>
        <v/>
      </c>
      <c r="EX98" s="150" t="str">
        <f t="shared" si="139"/>
        <v/>
      </c>
      <c r="EY98" s="150" t="str">
        <f t="shared" si="110"/>
        <v/>
      </c>
      <c r="EZ98" s="150" t="str" cm="1">
        <f t="array" ref="EZ98">IFERROR(ROUND(IF($D98="","",INDEX('M04-S10'!EA$18:EA$199,2*(ROWS(EZ$92:EZ98)-1)+1)),6),"")</f>
        <v/>
      </c>
      <c r="FA98" s="150" t="str" cm="1">
        <f t="array" ref="FA98">IFERROR(ROUND(IF($D98="","",INDEX('M04-S10'!EB$18:EB$199,2*(ROWS(FA$92:FA98)-1)+1)),6),"")</f>
        <v/>
      </c>
      <c r="FB98" s="150" t="str" cm="1">
        <f t="array" ref="FB98">IFERROR(ROUND(IF($D98="","",INDEX('M04-S10'!EC$18:EC$199,2*(ROWS(FB$92:FB98)-1)+1)),6),"")</f>
        <v/>
      </c>
      <c r="FC98" s="150" t="str" cm="1">
        <f t="array" ref="FC98">IFERROR(ROUND(IF($D98="","",INDEX('M04-S10'!ED$18:ED$199,2*(ROWS(FC$92:FC98)-1)+1)),6),"")</f>
        <v/>
      </c>
      <c r="FD98" s="150" t="str" cm="1">
        <f t="array" ref="FD98">IFERROR(ROUND(IF($D98="","",INDEX('M04-S10'!EE$18:EE$199,2*(ROWS(FD$92:FD98)-1)+1)),6),"")</f>
        <v/>
      </c>
      <c r="FE98" s="150" t="str" cm="1">
        <f t="array" ref="FE98">IFERROR(ROUND(IF($D98="","",INDEX('M04-S10'!EF$18:EF$199,2*(ROWS(FE$92:FE98)-1)+1)),6),"")</f>
        <v/>
      </c>
      <c r="FF98" s="150" t="str" cm="1">
        <f t="array" ref="FF98">IFERROR(ROUND(IF($D98="","",INDEX('M04-S10'!EG$18:EG$199,2*(ROWS(FF$92:FF98)-1)+1)),6),"")</f>
        <v/>
      </c>
      <c r="FG98" s="150" t="str" cm="1">
        <f t="array" ref="FG98">IFERROR(ROUND(IF($D98="","",INDEX('M04-S10'!EH$18:EH$199,2*(ROWS(FG$92:FG98)-1)+1)),6),"")</f>
        <v/>
      </c>
      <c r="FH98" s="150" t="str" cm="1">
        <f t="array" ref="FH98">IFERROR(ROUND(IF($D98="","",INDEX('M04-S10'!EI$18:EI$199,2*(ROWS(FH$92:FH98)-1)+1)),6),"")</f>
        <v/>
      </c>
      <c r="FI98" s="150" t="str" cm="1">
        <f t="array" ref="FI98">IFERROR(ROUND(IF($D98="","",INDEX('M04-S10'!EJ$18:EJ$199,2*(ROWS(FI$92:FI98)-1)+1)),6),"")</f>
        <v/>
      </c>
      <c r="FJ98" s="150" t="str" cm="1">
        <f t="array" ref="FJ98">IFERROR(ROUND(IF($D98="","",INDEX('M04-S10'!EK$18:EK$199,2*(ROWS(FJ$92:FJ98)-1)+1)),6),"")</f>
        <v/>
      </c>
      <c r="FK98" s="150" t="str" cm="1">
        <f t="array" ref="FK98">IFERROR(ROUND(IF($D98="","",INDEX('M04-S10'!EL$18:EL$199,2*(ROWS(FK$92:FK98)-1)+1)),6),"")</f>
        <v/>
      </c>
      <c r="FL98" s="150" t="str" cm="1">
        <f t="array" ref="FL98">IFERROR(ROUND(IF($D98="","",INDEX('M04-S10'!EM$18:EM$199,2*(ROWS(FL$92:FL98)-1)+1)),6),"")</f>
        <v/>
      </c>
      <c r="FM98" s="150" t="str" cm="1">
        <f t="array" ref="FM98">IFERROR(ROUND(IF($D98="","",INDEX('M04-S10'!EN$18:EN$199,2*(ROWS(FM$92:FM98)-1)+1)),6),"")</f>
        <v/>
      </c>
    </row>
    <row r="99" spans="1:169">
      <c r="A99" t="str">
        <f t="shared" si="140"/>
        <v/>
      </c>
      <c r="B99" t="str">
        <f t="shared" si="145"/>
        <v/>
      </c>
      <c r="C99" t="str" cm="1">
        <f t="array" ref="C99">IFERROR(IF(D99="","",INDEX('M04-S10'!$B$18:$B$199,2*(ROWS(C$92:C99)-1)+1)),"")</f>
        <v/>
      </c>
      <c r="D99" t="str">
        <f t="shared" si="146"/>
        <v/>
      </c>
      <c r="E99" t="str" cm="1">
        <f t="array" ref="E99">IFERROR(IF(INDEX('M04-S10'!$CC$18:$CC$199,2*(ROWS(E$92:E99)-1)+1)="","",INDEX('M04-S10'!$CC$18:$CC$199,2*(ROWS(E$92:E99)-1)+1)),"")</f>
        <v/>
      </c>
      <c r="G99" t="str">
        <f t="shared" si="147"/>
        <v/>
      </c>
      <c r="H99" t="str">
        <f t="shared" si="148"/>
        <v/>
      </c>
      <c r="L99" t="str">
        <f t="shared" si="149"/>
        <v/>
      </c>
      <c r="O99" t="str">
        <f t="shared" si="150"/>
        <v/>
      </c>
      <c r="V99" t="str" cm="1">
        <f t="array" ref="V99">IFERROR(IF(D99="","",INDEX('M04-S10'!$AY$18:$AY$199,2*(ROWS(V$92:V99)-1)+1)),"")</f>
        <v/>
      </c>
      <c r="W99" t="str" cm="1">
        <f t="array" ref="W99">IFERROR(IF(D99="","",INDEX('M04-S10'!$AV$18:$AV$199,2*(ROWS(W$92:W99)-1)+1)),"")</f>
        <v/>
      </c>
      <c r="X99" t="str" cm="1">
        <f t="array" ref="X99">IFERROR(IF(D99="","",INDEX('M04-S10'!$AV$18:$AV$199,2*(ROWS(X$92:X99)-0)+0)),"")</f>
        <v/>
      </c>
      <c r="AG99" s="98" t="str" cm="1">
        <f t="array" ref="AG99">IFERROR(IF(D99="","",IF(INDEX('M04-S10'!$CB$18:$CB$199,2*(ROWS(AG$92:AG99)-1)+1)="","",INDEX('M04-S10'!$CB$18:$CB$199,2*(ROWS(AG$92:AG99)-1)+1))),"")</f>
        <v/>
      </c>
      <c r="AH99" s="98" t="str" cm="1">
        <f t="array" ref="AH99">IFERROR(IF(D99="","",IF(INDEX('M04-S10'!$CU$18:$CU$199,(2*ROWS(AH$92:AH99)-1)+1)="","",INDEX('M04-S10'!$CU$18:$CU$199,2*(ROWS(AH$92:AH99)-1)+1))),"")</f>
        <v/>
      </c>
      <c r="AI99" s="20" t="str" cm="1">
        <f t="array" ref="AI99">IFERROR(IF(D99="","",IF(INDEX('M04-S10'!$CM$18:$CM$199,2*(ROWS(AI$92:AI99)-1)+1)="",0,INDEX('M04-S10'!$CM$18:$CM$199,2*(ROWS(AI$92:AI99)-1)+1))),"")</f>
        <v/>
      </c>
      <c r="AJ99" s="20" t="str">
        <f t="shared" si="86"/>
        <v/>
      </c>
      <c r="AK99" s="487" t="str" cm="1">
        <f t="array" ref="AK99">IFERROR(IF(D99="","",IF(INDEX('M04-S10'!$CN$18:$CN$199,2*(ROWS(AK$92:AK99)-1)+1)="",0,INDEX('M04-S10'!$CN$18:$CN$199,2*(ROWS(AK$92:AK99)-1)+1))),"")</f>
        <v/>
      </c>
      <c r="AL99" s="20" t="str">
        <f t="shared" si="151"/>
        <v/>
      </c>
      <c r="AM99" s="20" t="str">
        <f t="shared" si="142"/>
        <v/>
      </c>
      <c r="AN99" s="20" t="str" cm="1">
        <f t="array" ref="AN99">IFERROR(IF(D99="","",IF(INDEX('M04-S10'!$CO$18:$CO$199,2*(ROWS(AN$92:AN99)-1)+1)="",0,INDEX('M04-S10'!$CO$18:$CO$199,2*(ROWS(AN$92:AN99)-1)+1))),"")</f>
        <v/>
      </c>
      <c r="AO99" s="20" t="str" cm="1">
        <f t="array" ref="AO99">IFERROR(IF(D99="","",INDEX('M04-S10'!$R$18:$R$199,2*(ROWS(AO$92:AO99)-1)+1)),"")</f>
        <v/>
      </c>
      <c r="AP99" s="20" t="str" cm="1">
        <f t="array" ref="AP99">IFERROR(IF(D99="","",INDEX('M04-S10'!$AJ$18:$AJ$199,2*(ROWS(AP$92:AP99)-1)+1)),"")</f>
        <v/>
      </c>
      <c r="AQ99" s="487" t="str" cm="1">
        <f t="array" ref="AQ99">IFERROR(IF(D99="","",INDEX('M04-S10'!$U$18:$U$199,2*(ROWS(AQ$92:AQ99)-1)+1)),"")</f>
        <v/>
      </c>
      <c r="AR99" s="487" t="str" cm="1">
        <f t="array" ref="AR99">IFERROR(IF(D99="","",INDEX('M04-S10'!$AM$18:$AM$199,2*(ROWS(AR$92:AR99)-1)+1)),"")</f>
        <v/>
      </c>
      <c r="AS99" s="20" t="str" cm="1">
        <f t="array" ref="AS99">IFERROR(IF(D99="","",INDEX('M04-S10'!$X$18:$X$199,2*(ROWS(AS$92:AS99)-1)+1)),"")</f>
        <v/>
      </c>
      <c r="AT99" s="20" t="str" cm="1">
        <f t="array" ref="AT99">IFERROR(IF(D99="","",INDEX('M04-S10'!$AP$18:$AP$199,2*(ROWS(AT$92:AT99)-1)+1)),"")</f>
        <v/>
      </c>
      <c r="BP99" t="str" cm="1">
        <f t="array" ref="BP99">IFERROR(IF(D99="","",INDEX('M04-S10'!$CS$18:$CS$199,2*(ROWS(BP$92:BP99)-1)+1)),"")</f>
        <v/>
      </c>
      <c r="BR99" t="str" cm="1">
        <f t="array" ref="BR99">IFERROR(IF(D99="","",LEFT(INDEX('M04-S10'!$C$18:$C$199,2*(ROWS(BR$92:BR99)-1)+1),150)),"")</f>
        <v/>
      </c>
      <c r="BS99" t="str" cm="1">
        <f t="array" ref="BS99">IFERROR(IF(D99="","",INDEX('M04-S10'!$CT$18:$CT$199,2*(ROWS(BS$92:BS99)-1)+1)),"")</f>
        <v/>
      </c>
      <c r="BT99" s="6" t="str" cm="1">
        <f t="array" ref="BT99">IFERROR(ROUND(IF(D99="","",INDEX('M04-S10'!$BB$18:$BB$199,2*(ROWS(BT$92:BT99)-1)+1)),2),"")</f>
        <v/>
      </c>
      <c r="BU99" s="6" t="str" cm="1">
        <f t="array" ref="BU99">IFERROR(IF(D99="","",INDEX('M04-S10'!$CX$18:$CX$199,2*(ROWS(BU$92:BU99)-1)+1)),"")</f>
        <v/>
      </c>
      <c r="BV99" s="6" t="str" cm="1">
        <f t="array" ref="BV99">IFERROR(IF(D99="","",INDEX('M04-S10'!$CY$18:$CY$199,2*(ROWS(BV$92:BV99)-1)+1)),"")</f>
        <v/>
      </c>
      <c r="BW99" t="str">
        <f t="shared" si="152"/>
        <v/>
      </c>
      <c r="BX99" t="str">
        <f t="shared" si="153"/>
        <v/>
      </c>
      <c r="BY99" s="6" t="str" cm="1">
        <f t="array" ref="BY99">IFERROR(IF(D99="","",INDEX('M04-S10'!$CI$18:$CI$199,2*(ROWS(BY$92:BY99)-1)+1)),"")</f>
        <v/>
      </c>
      <c r="BZ99" s="6" t="str">
        <f t="shared" si="105"/>
        <v/>
      </c>
      <c r="CA99" s="6" t="str">
        <f t="shared" si="106"/>
        <v/>
      </c>
      <c r="CB99" s="6" t="str">
        <f t="shared" si="87"/>
        <v/>
      </c>
      <c r="CC99" s="6" t="str">
        <f t="shared" si="143"/>
        <v/>
      </c>
      <c r="CD99" s="6" t="str">
        <f t="shared" si="144"/>
        <v/>
      </c>
      <c r="CS99" t="str" cm="1">
        <f t="array" ref="CS99">IFERROR(IF(D99="","",INDEX('M04-S10'!$F$18:$F$199,2*(ROWS(CS$92:CS99)-1)+1)),"")</f>
        <v/>
      </c>
      <c r="CT99" t="str" cm="1">
        <f t="array" ref="CT99">IFERROR(IF(D99="","",INDEX('M04-S10'!$L$18:$L$199,2*(ROWS(CT$92:CT99)-1)+1)),"")</f>
        <v/>
      </c>
      <c r="CU99" t="str" cm="1">
        <f t="array" ref="CU99">IFERROR(IF(D99="","",INDEX('M04-S10'!$AD$18:$AD$199,2*(ROWS(CU$92:CU99)-1)+1)),"")</f>
        <v/>
      </c>
      <c r="DE99" s="150"/>
      <c r="DF99" s="150" t="str">
        <f>IFERROR(ROUND(IF(OR(D99="",DE99=""),"",TEMPLATE!$V$18),2),"")</f>
        <v/>
      </c>
      <c r="DG99" s="150"/>
      <c r="DH99" s="150" t="str">
        <f>IFERROR(ROUND(IF(OR(D99="",DG99=""),"",TEMPLATE!$V$18),2),"")</f>
        <v/>
      </c>
      <c r="DI99" s="150"/>
      <c r="DJ99" s="150" t="str">
        <f>IFERROR(ROUND(IF(OR(D99="",DI99=""),"",TEMPLATE!$V$18),2),"")</f>
        <v/>
      </c>
      <c r="DK99" s="150"/>
      <c r="DL99" s="150" t="str">
        <f>IFERROR(ROUND(IF(OR(D99="",DK99=""),"",TEMPLATE!$V$18),2),"")</f>
        <v/>
      </c>
      <c r="DM99" s="150"/>
      <c r="DN99" s="150" t="str">
        <f>IFERROR(ROUND(IF(OR(D99="",DM99=""),"",TEMPLATE!$V$18),2),"")</f>
        <v/>
      </c>
      <c r="DO99" s="150"/>
      <c r="DP99" s="150" t="str">
        <f>IFERROR(ROUND(IF(OR(D99="",DO99=""),"",TEMPLATE!$V$18),2),"")</f>
        <v/>
      </c>
      <c r="DQ99" s="150"/>
      <c r="DR99" s="150" t="str">
        <f>IFERROR(ROUND(IF(OR(D99="",DQ99=""),"",TEMPLATE!$V$18),2),"")</f>
        <v/>
      </c>
      <c r="DS99" s="150"/>
      <c r="DT99" s="150" t="str">
        <f>IFERROR(ROUND(IF(OR(D99="",DS99=""),"",TEMPLATE!$V$18),2),"")</f>
        <v/>
      </c>
      <c r="DU99" s="150" t="str" cm="1">
        <f t="array" ref="DU99">IFERROR(ROUND(IF($D99="","",INDEX('M04-S10'!DD$18:DD$199,2*(ROWS(DU$92:DU99)-1)+1)),4),"")</f>
        <v/>
      </c>
      <c r="DV99" s="150" t="str" cm="1">
        <f t="array" ref="DV99">IFERROR(ROUND(IF($D99="","",INDEX('M04-S10'!DE$18:DE$199,2*(ROWS(DV$92:DV99)-1)+1)),4),"")</f>
        <v/>
      </c>
      <c r="DW99" s="150" t="str" cm="1">
        <f t="array" ref="DW99">IFERROR(ROUND(IF($D99="","",INDEX('M04-S10'!DF$18:DF$199,2*(ROWS(DW$92:DW99)-1)+1)),4),"")</f>
        <v/>
      </c>
      <c r="DX99" s="150" t="str" cm="1">
        <f t="array" ref="DX99">IFERROR(ROUND(IF($D99="","",INDEX('M04-S10'!DG$18:DG$199,2*(ROWS(DX$92:DX99)-1)+1)),4),"")</f>
        <v/>
      </c>
      <c r="DY99" s="150" t="str" cm="1">
        <f t="array" ref="DY99">IFERROR(ROUND(IF($D99="","",INDEX('M04-S10'!DH$18:DH$199,2*(ROWS(DY$92:DY99)-1)+1)),4),"")</f>
        <v/>
      </c>
      <c r="DZ99" s="150" t="str" cm="1">
        <f t="array" ref="DZ99">IFERROR(ROUND(IF($D99="","",INDEX('M04-S10'!DI$18:DI$199,2*(ROWS(DZ$92:DZ99)-1)+1)),4),"")</f>
        <v/>
      </c>
      <c r="EA99" s="150" t="str" cm="1">
        <f t="array" ref="EA99">IFERROR(ROUND(IF($D99="","",INDEX('M04-S10'!DJ$18:DJ$199,2*(ROWS(EA$92:EA99)-1)+1)),4),"")</f>
        <v/>
      </c>
      <c r="EB99" s="150" t="str" cm="1">
        <f t="array" ref="EB99">IFERROR(ROUND(IF($D99="","",INDEX('M04-S10'!DK$18:DK$199,2*(ROWS(EB$92:EB99)-1)+1)),6),"")</f>
        <v/>
      </c>
      <c r="EC99" s="150" t="str" cm="1">
        <f t="array" ref="EC99">IFERROR(ROUND(IF($D99="","",INDEX('M04-S10'!DL$18:DL$199,2*(ROWS(EC$92:EC99)-1)+1)),6),"")</f>
        <v/>
      </c>
      <c r="ED99" s="150" t="str" cm="1">
        <f t="array" ref="ED99">IFERROR(ROUND(IF($D99="","",INDEX('M04-S10'!DM$18:DM$199,2*(ROWS(ED$92:ED99)-1)+1)),6),"")</f>
        <v/>
      </c>
      <c r="EE99" s="150" t="str" cm="1">
        <f t="array" ref="EE99">IFERROR(ROUND(IF($D99="","",INDEX('M04-S10'!DN$18:DN$199,2*(ROWS(EE$92:EE99)-1)+1)),6),"")</f>
        <v/>
      </c>
      <c r="EF99" s="150" t="str" cm="1">
        <f t="array" ref="EF99">IFERROR(ROUND(IF($D99="","",INDEX('M04-S10'!DO$18:DO$199,2*(ROWS(EF$92:EF99)-1)+1)),6),"")</f>
        <v/>
      </c>
      <c r="EG99" s="150" t="str" cm="1">
        <f t="array" ref="EG99">IFERROR(ROUND(IF($D99="","",INDEX('M04-S10'!DP$18:DP$199,2*(ROWS(EG$92:EG99)-1)+1)),6),"")</f>
        <v/>
      </c>
      <c r="EH99" s="150" t="str" cm="1">
        <f t="array" ref="EH99">IFERROR(ROUND(IF($D99="","",INDEX('M04-S10'!DQ$18:DQ$199,2*(ROWS(EH$92:EH99)-1)+1)),6),"")</f>
        <v/>
      </c>
      <c r="EI99" s="150" t="str" cm="1">
        <f t="array" ref="EI99">IFERROR(ROUND(IF($D99="","",INDEX('M04-S10'!DR$18:DR$199,2*(ROWS(EI$92:EI99)-1)+1)),6),"")</f>
        <v/>
      </c>
      <c r="EJ99" s="150" t="str" cm="1">
        <f t="array" ref="EJ99">IFERROR(ROUND(IF($D99="","",INDEX('M04-S10'!DS$18:DS$199,2*(ROWS(EJ$92:EJ99)-1)+1)),6),"")</f>
        <v/>
      </c>
      <c r="EK99" s="150" t="str" cm="1">
        <f t="array" ref="EK99">IFERROR(ROUND(IF($D99="","",INDEX('M04-S10'!DT$18:DT$199,2*(ROWS(EK$92:EK99)-1)+1)),6),"")</f>
        <v/>
      </c>
      <c r="EL99" s="150" t="str" cm="1">
        <f t="array" ref="EL99">IFERROR(ROUND(IF($D99="","",INDEX('M04-S10'!DU$18:DU$199,2*(ROWS(EL$92:EL99)-1)+1)),6),"")</f>
        <v/>
      </c>
      <c r="EM99" s="150" t="str" cm="1">
        <f t="array" ref="EM99">IFERROR(ROUND(IF($D99="","",INDEX('M04-S10'!DV$18:DV$199,2*(ROWS(EM$92:EM99)-1)+1)),6),"")</f>
        <v/>
      </c>
      <c r="EN99" s="150" t="str" cm="1">
        <f t="array" ref="EN99">IFERROR(ROUND(IF($D99="","",INDEX('M04-S10'!DW$18:DW$199,2*(ROWS(EN$92:EN99)-1)+1)),6),"")</f>
        <v/>
      </c>
      <c r="EO99" s="150" t="str" cm="1">
        <f t="array" ref="EO99">IFERROR(ROUND(IF($D99="","",INDEX('M04-S10'!DX$18:DX$199,2*(ROWS(EO$92:EO99)-1)+1)),6),"")</f>
        <v/>
      </c>
      <c r="EP99" s="150" t="str" cm="1">
        <f t="array" ref="EP99">IFERROR(ROUND(IF($D99="","",INDEX('M04-S10'!DY$18:DY$199,2*(ROWS(EP$92:EP99)-1)+1)),6),"")</f>
        <v/>
      </c>
      <c r="EQ99" s="150" t="str" cm="1">
        <f t="array" ref="EQ99">IFERROR(ROUND(IF($D99="","",INDEX('M04-S10'!DZ$18:DZ$199,2*(ROWS(EQ$92:EQ99)-1)+1)),6),"")</f>
        <v/>
      </c>
      <c r="ER99" s="150" t="str">
        <f t="shared" si="109"/>
        <v/>
      </c>
      <c r="ES99" s="150" t="str">
        <f t="shared" si="134"/>
        <v/>
      </c>
      <c r="ET99" s="150" t="str">
        <f t="shared" si="135"/>
        <v/>
      </c>
      <c r="EU99" s="150" t="str">
        <f t="shared" si="136"/>
        <v/>
      </c>
      <c r="EV99" s="150" t="str">
        <f t="shared" si="137"/>
        <v/>
      </c>
      <c r="EW99" s="150" t="str">
        <f t="shared" si="138"/>
        <v/>
      </c>
      <c r="EX99" s="150" t="str">
        <f t="shared" si="139"/>
        <v/>
      </c>
      <c r="EY99" s="150" t="str">
        <f t="shared" si="110"/>
        <v/>
      </c>
      <c r="EZ99" s="150" t="str" cm="1">
        <f t="array" ref="EZ99">IFERROR(ROUND(IF($D99="","",INDEX('M04-S10'!EA$18:EA$199,2*(ROWS(EZ$92:EZ99)-1)+1)),6),"")</f>
        <v/>
      </c>
      <c r="FA99" s="150" t="str" cm="1">
        <f t="array" ref="FA99">IFERROR(ROUND(IF($D99="","",INDEX('M04-S10'!EB$18:EB$199,2*(ROWS(FA$92:FA99)-1)+1)),6),"")</f>
        <v/>
      </c>
      <c r="FB99" s="150" t="str" cm="1">
        <f t="array" ref="FB99">IFERROR(ROUND(IF($D99="","",INDEX('M04-S10'!EC$18:EC$199,2*(ROWS(FB$92:FB99)-1)+1)),6),"")</f>
        <v/>
      </c>
      <c r="FC99" s="150" t="str" cm="1">
        <f t="array" ref="FC99">IFERROR(ROUND(IF($D99="","",INDEX('M04-S10'!ED$18:ED$199,2*(ROWS(FC$92:FC99)-1)+1)),6),"")</f>
        <v/>
      </c>
      <c r="FD99" s="150" t="str" cm="1">
        <f t="array" ref="FD99">IFERROR(ROUND(IF($D99="","",INDEX('M04-S10'!EE$18:EE$199,2*(ROWS(FD$92:FD99)-1)+1)),6),"")</f>
        <v/>
      </c>
      <c r="FE99" s="150" t="str" cm="1">
        <f t="array" ref="FE99">IFERROR(ROUND(IF($D99="","",INDEX('M04-S10'!EF$18:EF$199,2*(ROWS(FE$92:FE99)-1)+1)),6),"")</f>
        <v/>
      </c>
      <c r="FF99" s="150" t="str" cm="1">
        <f t="array" ref="FF99">IFERROR(ROUND(IF($D99="","",INDEX('M04-S10'!EG$18:EG$199,2*(ROWS(FF$92:FF99)-1)+1)),6),"")</f>
        <v/>
      </c>
      <c r="FG99" s="150" t="str" cm="1">
        <f t="array" ref="FG99">IFERROR(ROUND(IF($D99="","",INDEX('M04-S10'!EH$18:EH$199,2*(ROWS(FG$92:FG99)-1)+1)),6),"")</f>
        <v/>
      </c>
      <c r="FH99" s="150" t="str" cm="1">
        <f t="array" ref="FH99">IFERROR(ROUND(IF($D99="","",INDEX('M04-S10'!EI$18:EI$199,2*(ROWS(FH$92:FH99)-1)+1)),6),"")</f>
        <v/>
      </c>
      <c r="FI99" s="150" t="str" cm="1">
        <f t="array" ref="FI99">IFERROR(ROUND(IF($D99="","",INDEX('M04-S10'!EJ$18:EJ$199,2*(ROWS(FI$92:FI99)-1)+1)),6),"")</f>
        <v/>
      </c>
      <c r="FJ99" s="150" t="str" cm="1">
        <f t="array" ref="FJ99">IFERROR(ROUND(IF($D99="","",INDEX('M04-S10'!EK$18:EK$199,2*(ROWS(FJ$92:FJ99)-1)+1)),6),"")</f>
        <v/>
      </c>
      <c r="FK99" s="150" t="str" cm="1">
        <f t="array" ref="FK99">IFERROR(ROUND(IF($D99="","",INDEX('M04-S10'!EL$18:EL$199,2*(ROWS(FK$92:FK99)-1)+1)),6),"")</f>
        <v/>
      </c>
      <c r="FL99" s="150" t="str" cm="1">
        <f t="array" ref="FL99">IFERROR(ROUND(IF($D99="","",INDEX('M04-S10'!EM$18:EM$199,2*(ROWS(FL$92:FL99)-1)+1)),6),"")</f>
        <v/>
      </c>
      <c r="FM99" s="150" t="str" cm="1">
        <f t="array" ref="FM99">IFERROR(ROUND(IF($D99="","",INDEX('M04-S10'!EN$18:EN$199,2*(ROWS(FM$92:FM99)-1)+1)),6),"")</f>
        <v/>
      </c>
    </row>
    <row r="100" spans="1:169">
      <c r="A100" t="str">
        <f t="shared" si="140"/>
        <v/>
      </c>
      <c r="B100" t="str">
        <f t="shared" si="145"/>
        <v/>
      </c>
      <c r="C100" t="str" cm="1">
        <f t="array" ref="C100">IFERROR(IF(D100="","",INDEX('M04-S10'!$B$18:$B$199,2*(ROWS(C$92:C100)-1)+1)),"")</f>
        <v/>
      </c>
      <c r="D100" t="str">
        <f t="shared" si="146"/>
        <v/>
      </c>
      <c r="E100" t="str" cm="1">
        <f t="array" ref="E100">IFERROR(IF(INDEX('M04-S10'!$CC$18:$CC$199,2*(ROWS(E$92:E100)-1)+1)="","",INDEX('M04-S10'!$CC$18:$CC$199,2*(ROWS(E$92:E100)-1)+1)),"")</f>
        <v/>
      </c>
      <c r="G100" t="str">
        <f t="shared" si="147"/>
        <v/>
      </c>
      <c r="H100" t="str">
        <f t="shared" si="148"/>
        <v/>
      </c>
      <c r="L100" t="str">
        <f t="shared" si="149"/>
        <v/>
      </c>
      <c r="O100" t="str">
        <f t="shared" si="150"/>
        <v/>
      </c>
      <c r="V100" t="str" cm="1">
        <f t="array" ref="V100">IFERROR(IF(D100="","",INDEX('M04-S10'!$AY$18:$AY$199,2*(ROWS(V$92:V100)-1)+1)),"")</f>
        <v/>
      </c>
      <c r="W100" t="str" cm="1">
        <f t="array" ref="W100">IFERROR(IF(D100="","",INDEX('M04-S10'!$AV$18:$AV$199,2*(ROWS(W$92:W100)-1)+1)),"")</f>
        <v/>
      </c>
      <c r="X100" t="str" cm="1">
        <f t="array" ref="X100">IFERROR(IF(D100="","",INDEX('M04-S10'!$AV$18:$AV$199,2*(ROWS(X$92:X100)-0)+0)),"")</f>
        <v/>
      </c>
      <c r="AG100" s="98" t="str" cm="1">
        <f t="array" ref="AG100">IFERROR(IF(D100="","",IF(INDEX('M04-S10'!$CB$18:$CB$199,2*(ROWS(AG$92:AG100)-1)+1)="","",INDEX('M04-S10'!$CB$18:$CB$199,2*(ROWS(AG$92:AG100)-1)+1))),"")</f>
        <v/>
      </c>
      <c r="AH100" s="98" t="str" cm="1">
        <f t="array" ref="AH100">IFERROR(IF(D100="","",IF(INDEX('M04-S10'!$CU$18:$CU$199,(2*ROWS(AH$92:AH100)-1)+1)="","",INDEX('M04-S10'!$CU$18:$CU$199,2*(ROWS(AH$92:AH100)-1)+1))),"")</f>
        <v/>
      </c>
      <c r="AI100" s="20" t="str" cm="1">
        <f t="array" ref="AI100">IFERROR(IF(D100="","",IF(INDEX('M04-S10'!$CM$18:$CM$199,2*(ROWS(AI$92:AI100)-1)+1)="",0,INDEX('M04-S10'!$CM$18:$CM$199,2*(ROWS(AI$92:AI100)-1)+1))),"")</f>
        <v/>
      </c>
      <c r="AJ100" s="20" t="str">
        <f t="shared" si="86"/>
        <v/>
      </c>
      <c r="AK100" s="487" t="str" cm="1">
        <f t="array" ref="AK100">IFERROR(IF(D100="","",IF(INDEX('M04-S10'!$CN$18:$CN$199,2*(ROWS(AK$92:AK100)-1)+1)="",0,INDEX('M04-S10'!$CN$18:$CN$199,2*(ROWS(AK$92:AK100)-1)+1))),"")</f>
        <v/>
      </c>
      <c r="AL100" s="20" t="str">
        <f t="shared" si="151"/>
        <v/>
      </c>
      <c r="AM100" s="20" t="str">
        <f t="shared" si="142"/>
        <v/>
      </c>
      <c r="AN100" s="20" t="str" cm="1">
        <f t="array" ref="AN100">IFERROR(IF(D100="","",IF(INDEX('M04-S10'!$CO$18:$CO$199,2*(ROWS(AN$92:AN100)-1)+1)="",0,INDEX('M04-S10'!$CO$18:$CO$199,2*(ROWS(AN$92:AN100)-1)+1))),"")</f>
        <v/>
      </c>
      <c r="AO100" s="20" t="str" cm="1">
        <f t="array" ref="AO100">IFERROR(IF(D100="","",INDEX('M04-S10'!$R$18:$R$199,2*(ROWS(AO$92:AO100)-1)+1)),"")</f>
        <v/>
      </c>
      <c r="AP100" s="20" t="str" cm="1">
        <f t="array" ref="AP100">IFERROR(IF(D100="","",INDEX('M04-S10'!$AJ$18:$AJ$199,2*(ROWS(AP$92:AP100)-1)+1)),"")</f>
        <v/>
      </c>
      <c r="AQ100" s="487" t="str" cm="1">
        <f t="array" ref="AQ100">IFERROR(IF(D100="","",INDEX('M04-S10'!$U$18:$U$199,2*(ROWS(AQ$92:AQ100)-1)+1)),"")</f>
        <v/>
      </c>
      <c r="AR100" s="487" t="str" cm="1">
        <f t="array" ref="AR100">IFERROR(IF(D100="","",INDEX('M04-S10'!$AM$18:$AM$199,2*(ROWS(AR$92:AR100)-1)+1)),"")</f>
        <v/>
      </c>
      <c r="AS100" s="20" t="str" cm="1">
        <f t="array" ref="AS100">IFERROR(IF(D100="","",INDEX('M04-S10'!$X$18:$X$199,2*(ROWS(AS$92:AS100)-1)+1)),"")</f>
        <v/>
      </c>
      <c r="AT100" s="20" t="str" cm="1">
        <f t="array" ref="AT100">IFERROR(IF(D100="","",INDEX('M04-S10'!$AP$18:$AP$199,2*(ROWS(AT$92:AT100)-1)+1)),"")</f>
        <v/>
      </c>
      <c r="BP100" t="str" cm="1">
        <f t="array" ref="BP100">IFERROR(IF(D100="","",INDEX('M04-S10'!$CS$18:$CS$199,2*(ROWS(BP$92:BP100)-1)+1)),"")</f>
        <v/>
      </c>
      <c r="BR100" t="str" cm="1">
        <f t="array" ref="BR100">IFERROR(IF(D100="","",LEFT(INDEX('M04-S10'!$C$18:$C$199,2*(ROWS(BR$92:BR100)-1)+1),150)),"")</f>
        <v/>
      </c>
      <c r="BS100" t="str" cm="1">
        <f t="array" ref="BS100">IFERROR(IF(D100="","",INDEX('M04-S10'!$CT$18:$CT$199,2*(ROWS(BS$92:BS100)-1)+1)),"")</f>
        <v/>
      </c>
      <c r="BT100" s="6" t="str" cm="1">
        <f t="array" ref="BT100">IFERROR(ROUND(IF(D100="","",INDEX('M04-S10'!$BB$18:$BB$199,2*(ROWS(BT$92:BT100)-1)+1)),2),"")</f>
        <v/>
      </c>
      <c r="BU100" s="6" t="str" cm="1">
        <f t="array" ref="BU100">IFERROR(IF(D100="","",INDEX('M04-S10'!$CX$18:$CX$199,2*(ROWS(BU$92:BU100)-1)+1)),"")</f>
        <v/>
      </c>
      <c r="BV100" s="6" t="str" cm="1">
        <f t="array" ref="BV100">IFERROR(IF(D100="","",INDEX('M04-S10'!$CY$18:$CY$199,2*(ROWS(BV$92:BV100)-1)+1)),"")</f>
        <v/>
      </c>
      <c r="BW100" t="str">
        <f t="shared" si="152"/>
        <v/>
      </c>
      <c r="BX100" t="str">
        <f t="shared" si="153"/>
        <v/>
      </c>
      <c r="BY100" s="6" t="str" cm="1">
        <f t="array" ref="BY100">IFERROR(IF(D100="","",INDEX('M04-S10'!$CI$18:$CI$199,2*(ROWS(BY$92:BY100)-1)+1)),"")</f>
        <v/>
      </c>
      <c r="BZ100" s="6" t="str">
        <f t="shared" si="105"/>
        <v/>
      </c>
      <c r="CA100" s="6" t="str">
        <f t="shared" si="106"/>
        <v/>
      </c>
      <c r="CB100" s="6" t="str">
        <f t="shared" si="87"/>
        <v/>
      </c>
      <c r="CC100" s="6" t="str">
        <f t="shared" si="143"/>
        <v/>
      </c>
      <c r="CD100" s="6" t="str">
        <f t="shared" si="144"/>
        <v/>
      </c>
      <c r="CS100" t="str" cm="1">
        <f t="array" ref="CS100">IFERROR(IF(D100="","",INDEX('M04-S10'!$F$18:$F$199,2*(ROWS(CS$92:CS100)-1)+1)),"")</f>
        <v/>
      </c>
      <c r="CT100" t="str" cm="1">
        <f t="array" ref="CT100">IFERROR(IF(D100="","",INDEX('M04-S10'!$L$18:$L$199,2*(ROWS(CT$92:CT100)-1)+1)),"")</f>
        <v/>
      </c>
      <c r="CU100" t="str" cm="1">
        <f t="array" ref="CU100">IFERROR(IF(D100="","",INDEX('M04-S10'!$AD$18:$AD$199,2*(ROWS(CU$92:CU100)-1)+1)),"")</f>
        <v/>
      </c>
      <c r="DE100" s="150"/>
      <c r="DF100" s="150" t="str">
        <f>IFERROR(ROUND(IF(OR(D100="",DE100=""),"",TEMPLATE!$V$18),2),"")</f>
        <v/>
      </c>
      <c r="DG100" s="150"/>
      <c r="DH100" s="150" t="str">
        <f>IFERROR(ROUND(IF(OR(D100="",DG100=""),"",TEMPLATE!$V$18),2),"")</f>
        <v/>
      </c>
      <c r="DI100" s="150"/>
      <c r="DJ100" s="150" t="str">
        <f>IFERROR(ROUND(IF(OR(D100="",DI100=""),"",TEMPLATE!$V$18),2),"")</f>
        <v/>
      </c>
      <c r="DK100" s="150"/>
      <c r="DL100" s="150" t="str">
        <f>IFERROR(ROUND(IF(OR(D100="",DK100=""),"",TEMPLATE!$V$18),2),"")</f>
        <v/>
      </c>
      <c r="DM100" s="150"/>
      <c r="DN100" s="150" t="str">
        <f>IFERROR(ROUND(IF(OR(D100="",DM100=""),"",TEMPLATE!$V$18),2),"")</f>
        <v/>
      </c>
      <c r="DO100" s="150"/>
      <c r="DP100" s="150" t="str">
        <f>IFERROR(ROUND(IF(OR(D100="",DO100=""),"",TEMPLATE!$V$18),2),"")</f>
        <v/>
      </c>
      <c r="DQ100" s="150"/>
      <c r="DR100" s="150" t="str">
        <f>IFERROR(ROUND(IF(OR(D100="",DQ100=""),"",TEMPLATE!$V$18),2),"")</f>
        <v/>
      </c>
      <c r="DS100" s="150"/>
      <c r="DT100" s="150" t="str">
        <f>IFERROR(ROUND(IF(OR(D100="",DS100=""),"",TEMPLATE!$V$18),2),"")</f>
        <v/>
      </c>
      <c r="DU100" s="150" t="str" cm="1">
        <f t="array" ref="DU100">IFERROR(ROUND(IF($D100="","",INDEX('M04-S10'!DD$18:DD$199,2*(ROWS(DU$92:DU100)-1)+1)),4),"")</f>
        <v/>
      </c>
      <c r="DV100" s="150" t="str" cm="1">
        <f t="array" ref="DV100">IFERROR(ROUND(IF($D100="","",INDEX('M04-S10'!DE$18:DE$199,2*(ROWS(DV$92:DV100)-1)+1)),4),"")</f>
        <v/>
      </c>
      <c r="DW100" s="150" t="str" cm="1">
        <f t="array" ref="DW100">IFERROR(ROUND(IF($D100="","",INDEX('M04-S10'!DF$18:DF$199,2*(ROWS(DW$92:DW100)-1)+1)),4),"")</f>
        <v/>
      </c>
      <c r="DX100" s="150" t="str" cm="1">
        <f t="array" ref="DX100">IFERROR(ROUND(IF($D100="","",INDEX('M04-S10'!DG$18:DG$199,2*(ROWS(DX$92:DX100)-1)+1)),4),"")</f>
        <v/>
      </c>
      <c r="DY100" s="150" t="str" cm="1">
        <f t="array" ref="DY100">IFERROR(ROUND(IF($D100="","",INDEX('M04-S10'!DH$18:DH$199,2*(ROWS(DY$92:DY100)-1)+1)),4),"")</f>
        <v/>
      </c>
      <c r="DZ100" s="150" t="str" cm="1">
        <f t="array" ref="DZ100">IFERROR(ROUND(IF($D100="","",INDEX('M04-S10'!DI$18:DI$199,2*(ROWS(DZ$92:DZ100)-1)+1)),4),"")</f>
        <v/>
      </c>
      <c r="EA100" s="150" t="str" cm="1">
        <f t="array" ref="EA100">IFERROR(ROUND(IF($D100="","",INDEX('M04-S10'!DJ$18:DJ$199,2*(ROWS(EA$92:EA100)-1)+1)),4),"")</f>
        <v/>
      </c>
      <c r="EB100" s="150" t="str" cm="1">
        <f t="array" ref="EB100">IFERROR(ROUND(IF($D100="","",INDEX('M04-S10'!DK$18:DK$199,2*(ROWS(EB$92:EB100)-1)+1)),6),"")</f>
        <v/>
      </c>
      <c r="EC100" s="150" t="str" cm="1">
        <f t="array" ref="EC100">IFERROR(ROUND(IF($D100="","",INDEX('M04-S10'!DL$18:DL$199,2*(ROWS(EC$92:EC100)-1)+1)),6),"")</f>
        <v/>
      </c>
      <c r="ED100" s="150" t="str" cm="1">
        <f t="array" ref="ED100">IFERROR(ROUND(IF($D100="","",INDEX('M04-S10'!DM$18:DM$199,2*(ROWS(ED$92:ED100)-1)+1)),6),"")</f>
        <v/>
      </c>
      <c r="EE100" s="150" t="str" cm="1">
        <f t="array" ref="EE100">IFERROR(ROUND(IF($D100="","",INDEX('M04-S10'!DN$18:DN$199,2*(ROWS(EE$92:EE100)-1)+1)),6),"")</f>
        <v/>
      </c>
      <c r="EF100" s="150" t="str" cm="1">
        <f t="array" ref="EF100">IFERROR(ROUND(IF($D100="","",INDEX('M04-S10'!DO$18:DO$199,2*(ROWS(EF$92:EF100)-1)+1)),6),"")</f>
        <v/>
      </c>
      <c r="EG100" s="150" t="str" cm="1">
        <f t="array" ref="EG100">IFERROR(ROUND(IF($D100="","",INDEX('M04-S10'!DP$18:DP$199,2*(ROWS(EG$92:EG100)-1)+1)),6),"")</f>
        <v/>
      </c>
      <c r="EH100" s="150" t="str" cm="1">
        <f t="array" ref="EH100">IFERROR(ROUND(IF($D100="","",INDEX('M04-S10'!DQ$18:DQ$199,2*(ROWS(EH$92:EH100)-1)+1)),6),"")</f>
        <v/>
      </c>
      <c r="EI100" s="150" t="str" cm="1">
        <f t="array" ref="EI100">IFERROR(ROUND(IF($D100="","",INDEX('M04-S10'!DR$18:DR$199,2*(ROWS(EI$92:EI100)-1)+1)),6),"")</f>
        <v/>
      </c>
      <c r="EJ100" s="150" t="str" cm="1">
        <f t="array" ref="EJ100">IFERROR(ROUND(IF($D100="","",INDEX('M04-S10'!DS$18:DS$199,2*(ROWS(EJ$92:EJ100)-1)+1)),6),"")</f>
        <v/>
      </c>
      <c r="EK100" s="150" t="str" cm="1">
        <f t="array" ref="EK100">IFERROR(ROUND(IF($D100="","",INDEX('M04-S10'!DT$18:DT$199,2*(ROWS(EK$92:EK100)-1)+1)),6),"")</f>
        <v/>
      </c>
      <c r="EL100" s="150" t="str" cm="1">
        <f t="array" ref="EL100">IFERROR(ROUND(IF($D100="","",INDEX('M04-S10'!DU$18:DU$199,2*(ROWS(EL$92:EL100)-1)+1)),6),"")</f>
        <v/>
      </c>
      <c r="EM100" s="150" t="str" cm="1">
        <f t="array" ref="EM100">IFERROR(ROUND(IF($D100="","",INDEX('M04-S10'!DV$18:DV$199,2*(ROWS(EM$92:EM100)-1)+1)),6),"")</f>
        <v/>
      </c>
      <c r="EN100" s="150" t="str" cm="1">
        <f t="array" ref="EN100">IFERROR(ROUND(IF($D100="","",INDEX('M04-S10'!DW$18:DW$199,2*(ROWS(EN$92:EN100)-1)+1)),6),"")</f>
        <v/>
      </c>
      <c r="EO100" s="150" t="str" cm="1">
        <f t="array" ref="EO100">IFERROR(ROUND(IF($D100="","",INDEX('M04-S10'!DX$18:DX$199,2*(ROWS(EO$92:EO100)-1)+1)),6),"")</f>
        <v/>
      </c>
      <c r="EP100" s="150" t="str" cm="1">
        <f t="array" ref="EP100">IFERROR(ROUND(IF($D100="","",INDEX('M04-S10'!DY$18:DY$199,2*(ROWS(EP$92:EP100)-1)+1)),6),"")</f>
        <v/>
      </c>
      <c r="EQ100" s="150" t="str" cm="1">
        <f t="array" ref="EQ100">IFERROR(ROUND(IF($D100="","",INDEX('M04-S10'!DZ$18:DZ$199,2*(ROWS(EQ$92:EQ100)-1)+1)),6),"")</f>
        <v/>
      </c>
      <c r="ER100" s="150" t="str">
        <f t="shared" si="109"/>
        <v/>
      </c>
      <c r="ES100" s="150" t="str">
        <f t="shared" si="134"/>
        <v/>
      </c>
      <c r="ET100" s="150" t="str">
        <f t="shared" si="135"/>
        <v/>
      </c>
      <c r="EU100" s="150" t="str">
        <f t="shared" si="136"/>
        <v/>
      </c>
      <c r="EV100" s="150" t="str">
        <f t="shared" si="137"/>
        <v/>
      </c>
      <c r="EW100" s="150" t="str">
        <f t="shared" si="138"/>
        <v/>
      </c>
      <c r="EX100" s="150" t="str">
        <f t="shared" si="139"/>
        <v/>
      </c>
      <c r="EY100" s="150" t="str">
        <f t="shared" si="110"/>
        <v/>
      </c>
      <c r="EZ100" s="150" t="str" cm="1">
        <f t="array" ref="EZ100">IFERROR(ROUND(IF($D100="","",INDEX('M04-S10'!EA$18:EA$199,2*(ROWS(EZ$92:EZ100)-1)+1)),6),"")</f>
        <v/>
      </c>
      <c r="FA100" s="150" t="str" cm="1">
        <f t="array" ref="FA100">IFERROR(ROUND(IF($D100="","",INDEX('M04-S10'!EB$18:EB$199,2*(ROWS(FA$92:FA100)-1)+1)),6),"")</f>
        <v/>
      </c>
      <c r="FB100" s="150" t="str" cm="1">
        <f t="array" ref="FB100">IFERROR(ROUND(IF($D100="","",INDEX('M04-S10'!EC$18:EC$199,2*(ROWS(FB$92:FB100)-1)+1)),6),"")</f>
        <v/>
      </c>
      <c r="FC100" s="150" t="str" cm="1">
        <f t="array" ref="FC100">IFERROR(ROUND(IF($D100="","",INDEX('M04-S10'!ED$18:ED$199,2*(ROWS(FC$92:FC100)-1)+1)),6),"")</f>
        <v/>
      </c>
      <c r="FD100" s="150" t="str" cm="1">
        <f t="array" ref="FD100">IFERROR(ROUND(IF($D100="","",INDEX('M04-S10'!EE$18:EE$199,2*(ROWS(FD$92:FD100)-1)+1)),6),"")</f>
        <v/>
      </c>
      <c r="FE100" s="150" t="str" cm="1">
        <f t="array" ref="FE100">IFERROR(ROUND(IF($D100="","",INDEX('M04-S10'!EF$18:EF$199,2*(ROWS(FE$92:FE100)-1)+1)),6),"")</f>
        <v/>
      </c>
      <c r="FF100" s="150" t="str" cm="1">
        <f t="array" ref="FF100">IFERROR(ROUND(IF($D100="","",INDEX('M04-S10'!EG$18:EG$199,2*(ROWS(FF$92:FF100)-1)+1)),6),"")</f>
        <v/>
      </c>
      <c r="FG100" s="150" t="str" cm="1">
        <f t="array" ref="FG100">IFERROR(ROUND(IF($D100="","",INDEX('M04-S10'!EH$18:EH$199,2*(ROWS(FG$92:FG100)-1)+1)),6),"")</f>
        <v/>
      </c>
      <c r="FH100" s="150" t="str" cm="1">
        <f t="array" ref="FH100">IFERROR(ROUND(IF($D100="","",INDEX('M04-S10'!EI$18:EI$199,2*(ROWS(FH$92:FH100)-1)+1)),6),"")</f>
        <v/>
      </c>
      <c r="FI100" s="150" t="str" cm="1">
        <f t="array" ref="FI100">IFERROR(ROUND(IF($D100="","",INDEX('M04-S10'!EJ$18:EJ$199,2*(ROWS(FI$92:FI100)-1)+1)),6),"")</f>
        <v/>
      </c>
      <c r="FJ100" s="150" t="str" cm="1">
        <f t="array" ref="FJ100">IFERROR(ROUND(IF($D100="","",INDEX('M04-S10'!EK$18:EK$199,2*(ROWS(FJ$92:FJ100)-1)+1)),6),"")</f>
        <v/>
      </c>
      <c r="FK100" s="150" t="str" cm="1">
        <f t="array" ref="FK100">IFERROR(ROUND(IF($D100="","",INDEX('M04-S10'!EL$18:EL$199,2*(ROWS(FK$92:FK100)-1)+1)),6),"")</f>
        <v/>
      </c>
      <c r="FL100" s="150" t="str" cm="1">
        <f t="array" ref="FL100">IFERROR(ROUND(IF($D100="","",INDEX('M04-S10'!EM$18:EM$199,2*(ROWS(FL$92:FL100)-1)+1)),6),"")</f>
        <v/>
      </c>
      <c r="FM100" s="150" t="str" cm="1">
        <f t="array" ref="FM100">IFERROR(ROUND(IF($D100="","",INDEX('M04-S10'!EN$18:EN$199,2*(ROWS(FM$92:FM100)-1)+1)),6),"")</f>
        <v/>
      </c>
    </row>
    <row r="101" spans="1:169">
      <c r="A101" t="str">
        <f t="shared" si="140"/>
        <v/>
      </c>
      <c r="B101" t="str">
        <f t="shared" si="145"/>
        <v/>
      </c>
      <c r="C101" t="str" cm="1">
        <f t="array" ref="C101">IFERROR(IF(D101="","",INDEX('M04-S10'!$B$18:$B$199,2*(ROWS(C$92:C101)-1)+1)),"")</f>
        <v/>
      </c>
      <c r="D101" t="str">
        <f t="shared" si="146"/>
        <v/>
      </c>
      <c r="E101" t="str" cm="1">
        <f t="array" ref="E101">IFERROR(IF(INDEX('M04-S10'!$CC$18:$CC$199,2*(ROWS(E$92:E101)-1)+1)="","",INDEX('M04-S10'!$CC$18:$CC$199,2*(ROWS(E$92:E101)-1)+1)),"")</f>
        <v/>
      </c>
      <c r="G101" t="str">
        <f t="shared" si="147"/>
        <v/>
      </c>
      <c r="H101" t="str">
        <f t="shared" si="148"/>
        <v/>
      </c>
      <c r="L101" t="str">
        <f t="shared" si="149"/>
        <v/>
      </c>
      <c r="O101" t="str">
        <f t="shared" si="150"/>
        <v/>
      </c>
      <c r="V101" t="str" cm="1">
        <f t="array" ref="V101">IFERROR(IF(D101="","",INDEX('M04-S10'!$AY$18:$AY$199,2*(ROWS(V$92:V101)-1)+1)),"")</f>
        <v/>
      </c>
      <c r="W101" t="str" cm="1">
        <f t="array" ref="W101">IFERROR(IF(D101="","",INDEX('M04-S10'!$AV$18:$AV$199,2*(ROWS(W$92:W101)-1)+1)),"")</f>
        <v/>
      </c>
      <c r="X101" t="str" cm="1">
        <f t="array" ref="X101">IFERROR(IF(D101="","",INDEX('M04-S10'!$AV$18:$AV$199,2*(ROWS(X$92:X101)-0)+0)),"")</f>
        <v/>
      </c>
      <c r="AG101" s="98" t="str" cm="1">
        <f t="array" ref="AG101">IFERROR(IF(D101="","",IF(INDEX('M04-S10'!$CB$18:$CB$199,2*(ROWS(AG$92:AG101)-1)+1)="","",INDEX('M04-S10'!$CB$18:$CB$199,2*(ROWS(AG$92:AG101)-1)+1))),"")</f>
        <v/>
      </c>
      <c r="AH101" s="98" t="str" cm="1">
        <f t="array" ref="AH101">IFERROR(IF(D101="","",IF(INDEX('M04-S10'!$CU$18:$CU$199,(2*ROWS(AH$92:AH101)-1)+1)="","",INDEX('M04-S10'!$CU$18:$CU$199,2*(ROWS(AH$92:AH101)-1)+1))),"")</f>
        <v/>
      </c>
      <c r="AI101" s="20" t="str" cm="1">
        <f t="array" ref="AI101">IFERROR(IF(D101="","",IF(INDEX('M04-S10'!$CM$18:$CM$199,2*(ROWS(AI$92:AI101)-1)+1)="",0,INDEX('M04-S10'!$CM$18:$CM$199,2*(ROWS(AI$92:AI101)-1)+1))),"")</f>
        <v/>
      </c>
      <c r="AJ101" s="20" t="str">
        <f t="shared" si="86"/>
        <v/>
      </c>
      <c r="AK101" s="487" t="str" cm="1">
        <f t="array" ref="AK101">IFERROR(IF(D101="","",IF(INDEX('M04-S10'!$CN$18:$CN$199,2*(ROWS(AK$92:AK101)-1)+1)="",0,INDEX('M04-S10'!$CN$18:$CN$199,2*(ROWS(AK$92:AK101)-1)+1))),"")</f>
        <v/>
      </c>
      <c r="AL101" s="20" t="str">
        <f t="shared" si="151"/>
        <v/>
      </c>
      <c r="AM101" s="20" t="str">
        <f t="shared" si="142"/>
        <v/>
      </c>
      <c r="AN101" s="20" t="str" cm="1">
        <f t="array" ref="AN101">IFERROR(IF(D101="","",IF(INDEX('M04-S10'!$CO$18:$CO$199,2*(ROWS(AN$92:AN101)-1)+1)="",0,INDEX('M04-S10'!$CO$18:$CO$199,2*(ROWS(AN$92:AN101)-1)+1))),"")</f>
        <v/>
      </c>
      <c r="AO101" s="20" t="str" cm="1">
        <f t="array" ref="AO101">IFERROR(IF(D101="","",INDEX('M04-S10'!$R$18:$R$199,2*(ROWS(AO$92:AO101)-1)+1)),"")</f>
        <v/>
      </c>
      <c r="AP101" s="20" t="str" cm="1">
        <f t="array" ref="AP101">IFERROR(IF(D101="","",INDEX('M04-S10'!$AJ$18:$AJ$199,2*(ROWS(AP$92:AP101)-1)+1)),"")</f>
        <v/>
      </c>
      <c r="AQ101" s="487" t="str" cm="1">
        <f t="array" ref="AQ101">IFERROR(IF(D101="","",INDEX('M04-S10'!$U$18:$U$199,2*(ROWS(AQ$92:AQ101)-1)+1)),"")</f>
        <v/>
      </c>
      <c r="AR101" s="487" t="str" cm="1">
        <f t="array" ref="AR101">IFERROR(IF(D101="","",INDEX('M04-S10'!$AM$18:$AM$199,2*(ROWS(AR$92:AR101)-1)+1)),"")</f>
        <v/>
      </c>
      <c r="AS101" s="20" t="str" cm="1">
        <f t="array" ref="AS101">IFERROR(IF(D101="","",INDEX('M04-S10'!$X$18:$X$199,2*(ROWS(AS$92:AS101)-1)+1)),"")</f>
        <v/>
      </c>
      <c r="AT101" s="20" t="str" cm="1">
        <f t="array" ref="AT101">IFERROR(IF(D101="","",INDEX('M04-S10'!$AP$18:$AP$199,2*(ROWS(AT$92:AT101)-1)+1)),"")</f>
        <v/>
      </c>
      <c r="BP101" t="str" cm="1">
        <f t="array" ref="BP101">IFERROR(IF(D101="","",INDEX('M04-S10'!$CS$18:$CS$199,2*(ROWS(BP$92:BP101)-1)+1)),"")</f>
        <v/>
      </c>
      <c r="BR101" t="str" cm="1">
        <f t="array" ref="BR101">IFERROR(IF(D101="","",LEFT(INDEX('M04-S10'!$C$18:$C$199,2*(ROWS(BR$92:BR101)-1)+1),150)),"")</f>
        <v/>
      </c>
      <c r="BS101" t="str" cm="1">
        <f t="array" ref="BS101">IFERROR(IF(D101="","",INDEX('M04-S10'!$CT$18:$CT$199,2*(ROWS(BS$92:BS101)-1)+1)),"")</f>
        <v/>
      </c>
      <c r="BT101" s="6" t="str" cm="1">
        <f t="array" ref="BT101">IFERROR(ROUND(IF(D101="","",INDEX('M04-S10'!$BB$18:$BB$199,2*(ROWS(BT$92:BT101)-1)+1)),2),"")</f>
        <v/>
      </c>
      <c r="BU101" s="6" t="str" cm="1">
        <f t="array" ref="BU101">IFERROR(IF(D101="","",INDEX('M04-S10'!$CX$18:$CX$199,2*(ROWS(BU$92:BU101)-1)+1)),"")</f>
        <v/>
      </c>
      <c r="BV101" s="6" t="str" cm="1">
        <f t="array" ref="BV101">IFERROR(IF(D101="","",INDEX('M04-S10'!$CY$18:$CY$199,2*(ROWS(BV$92:BV101)-1)+1)),"")</f>
        <v/>
      </c>
      <c r="BW101" t="str">
        <f t="shared" si="152"/>
        <v/>
      </c>
      <c r="BX101" t="str">
        <f t="shared" si="153"/>
        <v/>
      </c>
      <c r="BY101" s="6" t="str" cm="1">
        <f t="array" ref="BY101">IFERROR(IF(D101="","",INDEX('M04-S10'!$CI$18:$CI$199,2*(ROWS(BY$92:BY101)-1)+1)),"")</f>
        <v/>
      </c>
      <c r="BZ101" s="6" t="str">
        <f t="shared" si="105"/>
        <v/>
      </c>
      <c r="CA101" s="6" t="str">
        <f t="shared" si="106"/>
        <v/>
      </c>
      <c r="CB101" s="6" t="str">
        <f t="shared" si="87"/>
        <v/>
      </c>
      <c r="CC101" s="6" t="str">
        <f t="shared" si="143"/>
        <v/>
      </c>
      <c r="CD101" s="6" t="str">
        <f t="shared" si="144"/>
        <v/>
      </c>
      <c r="CS101" t="str" cm="1">
        <f t="array" ref="CS101">IFERROR(IF(D101="","",INDEX('M04-S10'!$F$18:$F$199,2*(ROWS(CS$92:CS101)-1)+1)),"")</f>
        <v/>
      </c>
      <c r="CT101" t="str" cm="1">
        <f t="array" ref="CT101">IFERROR(IF(D101="","",INDEX('M04-S10'!$L$18:$L$199,2*(ROWS(CT$92:CT101)-1)+1)),"")</f>
        <v/>
      </c>
      <c r="CU101" t="str" cm="1">
        <f t="array" ref="CU101">IFERROR(IF(D101="","",INDEX('M04-S10'!$AD$18:$AD$199,2*(ROWS(CU$92:CU101)-1)+1)),"")</f>
        <v/>
      </c>
      <c r="DE101" s="150"/>
      <c r="DF101" s="150" t="str">
        <f>IFERROR(ROUND(IF(OR(D101="",DE101=""),"",TEMPLATE!$V$18),2),"")</f>
        <v/>
      </c>
      <c r="DG101" s="150"/>
      <c r="DH101" s="150" t="str">
        <f>IFERROR(ROUND(IF(OR(D101="",DG101=""),"",TEMPLATE!$V$18),2),"")</f>
        <v/>
      </c>
      <c r="DI101" s="150"/>
      <c r="DJ101" s="150" t="str">
        <f>IFERROR(ROUND(IF(OR(D101="",DI101=""),"",TEMPLATE!$V$18),2),"")</f>
        <v/>
      </c>
      <c r="DK101" s="150"/>
      <c r="DL101" s="150" t="str">
        <f>IFERROR(ROUND(IF(OR(D101="",DK101=""),"",TEMPLATE!$V$18),2),"")</f>
        <v/>
      </c>
      <c r="DM101" s="150"/>
      <c r="DN101" s="150" t="str">
        <f>IFERROR(ROUND(IF(OR(D101="",DM101=""),"",TEMPLATE!$V$18),2),"")</f>
        <v/>
      </c>
      <c r="DO101" s="150"/>
      <c r="DP101" s="150" t="str">
        <f>IFERROR(ROUND(IF(OR(D101="",DO101=""),"",TEMPLATE!$V$18),2),"")</f>
        <v/>
      </c>
      <c r="DQ101" s="150"/>
      <c r="DR101" s="150" t="str">
        <f>IFERROR(ROUND(IF(OR(D101="",DQ101=""),"",TEMPLATE!$V$18),2),"")</f>
        <v/>
      </c>
      <c r="DS101" s="150"/>
      <c r="DT101" s="150" t="str">
        <f>IFERROR(ROUND(IF(OR(D101="",DS101=""),"",TEMPLATE!$V$18),2),"")</f>
        <v/>
      </c>
      <c r="DU101" s="150" t="str" cm="1">
        <f t="array" ref="DU101">IFERROR(ROUND(IF($D101="","",INDEX('M04-S10'!DD$18:DD$199,2*(ROWS(DU$92:DU101)-1)+1)),4),"")</f>
        <v/>
      </c>
      <c r="DV101" s="150" t="str" cm="1">
        <f t="array" ref="DV101">IFERROR(ROUND(IF($D101="","",INDEX('M04-S10'!DE$18:DE$199,2*(ROWS(DV$92:DV101)-1)+1)),4),"")</f>
        <v/>
      </c>
      <c r="DW101" s="150" t="str" cm="1">
        <f t="array" ref="DW101">IFERROR(ROUND(IF($D101="","",INDEX('M04-S10'!DF$18:DF$199,2*(ROWS(DW$92:DW101)-1)+1)),4),"")</f>
        <v/>
      </c>
      <c r="DX101" s="150" t="str" cm="1">
        <f t="array" ref="DX101">IFERROR(ROUND(IF($D101="","",INDEX('M04-S10'!DG$18:DG$199,2*(ROWS(DX$92:DX101)-1)+1)),4),"")</f>
        <v/>
      </c>
      <c r="DY101" s="150" t="str" cm="1">
        <f t="array" ref="DY101">IFERROR(ROUND(IF($D101="","",INDEX('M04-S10'!DH$18:DH$199,2*(ROWS(DY$92:DY101)-1)+1)),4),"")</f>
        <v/>
      </c>
      <c r="DZ101" s="150" t="str" cm="1">
        <f t="array" ref="DZ101">IFERROR(ROUND(IF($D101="","",INDEX('M04-S10'!DI$18:DI$199,2*(ROWS(DZ$92:DZ101)-1)+1)),4),"")</f>
        <v/>
      </c>
      <c r="EA101" s="150" t="str" cm="1">
        <f t="array" ref="EA101">IFERROR(ROUND(IF($D101="","",INDEX('M04-S10'!DJ$18:DJ$199,2*(ROWS(EA$92:EA101)-1)+1)),4),"")</f>
        <v/>
      </c>
      <c r="EB101" s="150" t="str" cm="1">
        <f t="array" ref="EB101">IFERROR(ROUND(IF($D101="","",INDEX('M04-S10'!DK$18:DK$199,2*(ROWS(EB$92:EB101)-1)+1)),6),"")</f>
        <v/>
      </c>
      <c r="EC101" s="150" t="str" cm="1">
        <f t="array" ref="EC101">IFERROR(ROUND(IF($D101="","",INDEX('M04-S10'!DL$18:DL$199,2*(ROWS(EC$92:EC101)-1)+1)),6),"")</f>
        <v/>
      </c>
      <c r="ED101" s="150" t="str" cm="1">
        <f t="array" ref="ED101">IFERROR(ROUND(IF($D101="","",INDEX('M04-S10'!DM$18:DM$199,2*(ROWS(ED$92:ED101)-1)+1)),6),"")</f>
        <v/>
      </c>
      <c r="EE101" s="150" t="str" cm="1">
        <f t="array" ref="EE101">IFERROR(ROUND(IF($D101="","",INDEX('M04-S10'!DN$18:DN$199,2*(ROWS(EE$92:EE101)-1)+1)),6),"")</f>
        <v/>
      </c>
      <c r="EF101" s="150" t="str" cm="1">
        <f t="array" ref="EF101">IFERROR(ROUND(IF($D101="","",INDEX('M04-S10'!DO$18:DO$199,2*(ROWS(EF$92:EF101)-1)+1)),6),"")</f>
        <v/>
      </c>
      <c r="EG101" s="150" t="str" cm="1">
        <f t="array" ref="EG101">IFERROR(ROUND(IF($D101="","",INDEX('M04-S10'!DP$18:DP$199,2*(ROWS(EG$92:EG101)-1)+1)),6),"")</f>
        <v/>
      </c>
      <c r="EH101" s="150" t="str" cm="1">
        <f t="array" ref="EH101">IFERROR(ROUND(IF($D101="","",INDEX('M04-S10'!DQ$18:DQ$199,2*(ROWS(EH$92:EH101)-1)+1)),6),"")</f>
        <v/>
      </c>
      <c r="EI101" s="150" t="str" cm="1">
        <f t="array" ref="EI101">IFERROR(ROUND(IF($D101="","",INDEX('M04-S10'!DR$18:DR$199,2*(ROWS(EI$92:EI101)-1)+1)),6),"")</f>
        <v/>
      </c>
      <c r="EJ101" s="150" t="str" cm="1">
        <f t="array" ref="EJ101">IFERROR(ROUND(IF($D101="","",INDEX('M04-S10'!DS$18:DS$199,2*(ROWS(EJ$92:EJ101)-1)+1)),6),"")</f>
        <v/>
      </c>
      <c r="EK101" s="150" t="str" cm="1">
        <f t="array" ref="EK101">IFERROR(ROUND(IF($D101="","",INDEX('M04-S10'!DT$18:DT$199,2*(ROWS(EK$92:EK101)-1)+1)),6),"")</f>
        <v/>
      </c>
      <c r="EL101" s="150" t="str" cm="1">
        <f t="array" ref="EL101">IFERROR(ROUND(IF($D101="","",INDEX('M04-S10'!DU$18:DU$199,2*(ROWS(EL$92:EL101)-1)+1)),6),"")</f>
        <v/>
      </c>
      <c r="EM101" s="150" t="str" cm="1">
        <f t="array" ref="EM101">IFERROR(ROUND(IF($D101="","",INDEX('M04-S10'!DV$18:DV$199,2*(ROWS(EM$92:EM101)-1)+1)),6),"")</f>
        <v/>
      </c>
      <c r="EN101" s="150" t="str" cm="1">
        <f t="array" ref="EN101">IFERROR(ROUND(IF($D101="","",INDEX('M04-S10'!DW$18:DW$199,2*(ROWS(EN$92:EN101)-1)+1)),6),"")</f>
        <v/>
      </c>
      <c r="EO101" s="150" t="str" cm="1">
        <f t="array" ref="EO101">IFERROR(ROUND(IF($D101="","",INDEX('M04-S10'!DX$18:DX$199,2*(ROWS(EO$92:EO101)-1)+1)),6),"")</f>
        <v/>
      </c>
      <c r="EP101" s="150" t="str" cm="1">
        <f t="array" ref="EP101">IFERROR(ROUND(IF($D101="","",INDEX('M04-S10'!DY$18:DY$199,2*(ROWS(EP$92:EP101)-1)+1)),6),"")</f>
        <v/>
      </c>
      <c r="EQ101" s="150" t="str" cm="1">
        <f t="array" ref="EQ101">IFERROR(ROUND(IF($D101="","",INDEX('M04-S10'!DZ$18:DZ$199,2*(ROWS(EQ$92:EQ101)-1)+1)),6),"")</f>
        <v/>
      </c>
      <c r="ER101" s="150" t="str">
        <f t="shared" si="109"/>
        <v/>
      </c>
      <c r="ES101" s="150" t="str">
        <f t="shared" si="134"/>
        <v/>
      </c>
      <c r="ET101" s="150" t="str">
        <f t="shared" si="135"/>
        <v/>
      </c>
      <c r="EU101" s="150" t="str">
        <f t="shared" si="136"/>
        <v/>
      </c>
      <c r="EV101" s="150" t="str">
        <f t="shared" si="137"/>
        <v/>
      </c>
      <c r="EW101" s="150" t="str">
        <f t="shared" si="138"/>
        <v/>
      </c>
      <c r="EX101" s="150" t="str">
        <f t="shared" si="139"/>
        <v/>
      </c>
      <c r="EY101" s="150" t="str">
        <f t="shared" si="110"/>
        <v/>
      </c>
      <c r="EZ101" s="150" t="str" cm="1">
        <f t="array" ref="EZ101">IFERROR(ROUND(IF($D101="","",INDEX('M04-S10'!EA$18:EA$199,2*(ROWS(EZ$92:EZ101)-1)+1)),6),"")</f>
        <v/>
      </c>
      <c r="FA101" s="150" t="str" cm="1">
        <f t="array" ref="FA101">IFERROR(ROUND(IF($D101="","",INDEX('M04-S10'!EB$18:EB$199,2*(ROWS(FA$92:FA101)-1)+1)),6),"")</f>
        <v/>
      </c>
      <c r="FB101" s="150" t="str" cm="1">
        <f t="array" ref="FB101">IFERROR(ROUND(IF($D101="","",INDEX('M04-S10'!EC$18:EC$199,2*(ROWS(FB$92:FB101)-1)+1)),6),"")</f>
        <v/>
      </c>
      <c r="FC101" s="150" t="str" cm="1">
        <f t="array" ref="FC101">IFERROR(ROUND(IF($D101="","",INDEX('M04-S10'!ED$18:ED$199,2*(ROWS(FC$92:FC101)-1)+1)),6),"")</f>
        <v/>
      </c>
      <c r="FD101" s="150" t="str" cm="1">
        <f t="array" ref="FD101">IFERROR(ROUND(IF($D101="","",INDEX('M04-S10'!EE$18:EE$199,2*(ROWS(FD$92:FD101)-1)+1)),6),"")</f>
        <v/>
      </c>
      <c r="FE101" s="150" t="str" cm="1">
        <f t="array" ref="FE101">IFERROR(ROUND(IF($D101="","",INDEX('M04-S10'!EF$18:EF$199,2*(ROWS(FE$92:FE101)-1)+1)),6),"")</f>
        <v/>
      </c>
      <c r="FF101" s="150" t="str" cm="1">
        <f t="array" ref="FF101">IFERROR(ROUND(IF($D101="","",INDEX('M04-S10'!EG$18:EG$199,2*(ROWS(FF$92:FF101)-1)+1)),6),"")</f>
        <v/>
      </c>
      <c r="FG101" s="150" t="str" cm="1">
        <f t="array" ref="FG101">IFERROR(ROUND(IF($D101="","",INDEX('M04-S10'!EH$18:EH$199,2*(ROWS(FG$92:FG101)-1)+1)),6),"")</f>
        <v/>
      </c>
      <c r="FH101" s="150" t="str" cm="1">
        <f t="array" ref="FH101">IFERROR(ROUND(IF($D101="","",INDEX('M04-S10'!EI$18:EI$199,2*(ROWS(FH$92:FH101)-1)+1)),6),"")</f>
        <v/>
      </c>
      <c r="FI101" s="150" t="str" cm="1">
        <f t="array" ref="FI101">IFERROR(ROUND(IF($D101="","",INDEX('M04-S10'!EJ$18:EJ$199,2*(ROWS(FI$92:FI101)-1)+1)),6),"")</f>
        <v/>
      </c>
      <c r="FJ101" s="150" t="str" cm="1">
        <f t="array" ref="FJ101">IFERROR(ROUND(IF($D101="","",INDEX('M04-S10'!EK$18:EK$199,2*(ROWS(FJ$92:FJ101)-1)+1)),6),"")</f>
        <v/>
      </c>
      <c r="FK101" s="150" t="str" cm="1">
        <f t="array" ref="FK101">IFERROR(ROUND(IF($D101="","",INDEX('M04-S10'!EL$18:EL$199,2*(ROWS(FK$92:FK101)-1)+1)),6),"")</f>
        <v/>
      </c>
      <c r="FL101" s="150" t="str" cm="1">
        <f t="array" ref="FL101">IFERROR(ROUND(IF($D101="","",INDEX('M04-S10'!EM$18:EM$199,2*(ROWS(FL$92:FL101)-1)+1)),6),"")</f>
        <v/>
      </c>
      <c r="FM101" s="150" t="str" cm="1">
        <f t="array" ref="FM101">IFERROR(ROUND(IF($D101="","",INDEX('M04-S10'!EN$18:EN$199,2*(ROWS(FM$92:FM101)-1)+1)),6),"")</f>
        <v/>
      </c>
    </row>
    <row r="102" spans="1:169">
      <c r="A102" s="218" t="str">
        <f>"Custom "&amp;M4S11</f>
        <v>Custom Miscellaneous</v>
      </c>
      <c r="B102" s="218"/>
      <c r="C102" s="218"/>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c r="CJ102" s="218"/>
      <c r="CK102" s="218"/>
      <c r="CL102" s="218"/>
      <c r="CM102" s="218"/>
      <c r="CN102" s="218"/>
      <c r="CO102" s="218"/>
      <c r="CP102" s="218"/>
      <c r="CQ102" s="218"/>
      <c r="CR102" s="218"/>
      <c r="CS102" s="218"/>
      <c r="CT102" s="218"/>
      <c r="CU102" s="218"/>
      <c r="CV102" s="218"/>
      <c r="CW102" s="218"/>
      <c r="CX102" s="218"/>
      <c r="CY102" s="218"/>
      <c r="CZ102" s="218"/>
      <c r="DA102" s="218"/>
      <c r="DB102" s="218"/>
      <c r="DC102" s="218"/>
      <c r="DD102" s="218"/>
      <c r="DE102" s="218"/>
      <c r="DF102" s="218"/>
      <c r="DG102" s="218"/>
      <c r="DH102" s="218"/>
      <c r="DI102" s="218"/>
      <c r="DJ102" s="218"/>
      <c r="DK102" s="218"/>
      <c r="DL102" s="218"/>
      <c r="DM102" s="218"/>
      <c r="DN102" s="218"/>
      <c r="DO102" s="218"/>
      <c r="DP102" s="218"/>
      <c r="DQ102" s="218"/>
      <c r="DR102" s="218"/>
      <c r="DS102" s="218"/>
      <c r="DT102" s="218"/>
      <c r="DU102" s="218"/>
      <c r="DV102" s="218"/>
      <c r="DW102" s="218"/>
      <c r="DX102" s="218"/>
      <c r="DY102" s="218"/>
      <c r="DZ102" s="218"/>
      <c r="EA102" s="218"/>
      <c r="EB102" s="218"/>
      <c r="EC102" s="218"/>
      <c r="ED102" s="218"/>
      <c r="EE102" s="218"/>
      <c r="EF102" s="218"/>
      <c r="EG102" s="218"/>
      <c r="EH102" s="218"/>
      <c r="EI102" s="218"/>
      <c r="EJ102" s="218"/>
      <c r="EK102" s="218"/>
      <c r="EL102" s="218"/>
      <c r="EM102" s="218"/>
      <c r="EN102" s="218"/>
      <c r="EO102" s="218"/>
      <c r="EP102" s="218"/>
      <c r="EQ102" s="218"/>
      <c r="ER102" s="218"/>
      <c r="ES102" s="218"/>
      <c r="ET102" s="218"/>
      <c r="EU102" s="218"/>
      <c r="EV102" s="218"/>
      <c r="EW102" s="218"/>
      <c r="EX102" s="218"/>
      <c r="EY102" s="218"/>
      <c r="EZ102" s="218"/>
      <c r="FA102" s="218"/>
      <c r="FB102" s="218"/>
      <c r="FC102" s="218"/>
      <c r="FD102" s="218"/>
      <c r="FE102" s="218"/>
      <c r="FF102" s="218"/>
      <c r="FG102" s="218"/>
      <c r="FH102" s="218"/>
      <c r="FI102" s="218"/>
      <c r="FJ102" s="218"/>
      <c r="FK102" s="218"/>
      <c r="FL102" s="218"/>
      <c r="FM102" s="218"/>
    </row>
    <row r="103" spans="1:169">
      <c r="A103" t="str">
        <f t="shared" ref="A103:A112" si="154">IFERROR(IF(D103="","",PROJID),"")</f>
        <v/>
      </c>
      <c r="B103" t="str">
        <f t="shared" ref="B103" si="155">IFERROR(IF(D103="","",CONCATENATE(ROW(),"-",D103)),"")</f>
        <v/>
      </c>
      <c r="C103" t="str" cm="1">
        <f t="array" ref="C103">IFERROR(IF(D103="","",INDEX('M04-S11'!$B$18:$B$199,2*(ROWS(C$103:C103)-1)+1)),"")</f>
        <v/>
      </c>
      <c r="D103" t="str">
        <f t="shared" ref="D103" si="156">IFERROR(IF(E103="","",E103),"")</f>
        <v/>
      </c>
      <c r="E103" t="str" cm="1">
        <f t="array" ref="E103">IFERROR(IF(INDEX('M04-S11'!$CC$18:$CC$199,2*(ROWS(E$103:E103)-1)+1)="","",INDEX('M04-S11'!$CC$18:$CC$199,2*(ROWS(E$103:E103)-1)+1)),"")</f>
        <v/>
      </c>
      <c r="G103" t="str">
        <f t="shared" ref="G103" si="157">IFERROR(IF(C103&lt;&gt;"","Custom",""),"")</f>
        <v/>
      </c>
      <c r="H103" t="str">
        <f t="shared" ref="H103" si="158">IFERROR(IF(C103&lt;&gt;"","Downstream",""),"")</f>
        <v/>
      </c>
      <c r="L103" t="str">
        <f t="shared" ref="L103" si="159">IF($C103="","",IF(AND(AI103&gt;0,AN103&gt;0),"Electric &amp; Gas",IF(AI103&gt;0,"Electric",IF(AN103&gt;0,"Gas",""))))</f>
        <v/>
      </c>
      <c r="O103" t="str">
        <f t="shared" ref="O103:O112" si="160">IF($C103="","",TRUE)</f>
        <v/>
      </c>
      <c r="V103" t="str" cm="1">
        <f t="array" ref="V103">IFERROR(IF(D103="","",INDEX('M04-S11'!$AY$18:$AY$199,2*(ROWS(V$103:V103)-1)+1)),"")</f>
        <v/>
      </c>
      <c r="W103" t="str" cm="1">
        <f t="array" ref="W103">IFERROR(IF(D103="","",INDEX('M04-S11'!$AV$18:$AV$199,2*(ROWS(W$103:W103)-1)+1)),"")</f>
        <v/>
      </c>
      <c r="X103" t="str" cm="1">
        <f t="array" ref="X103">IFERROR(IF(D103="","",INDEX('M04-S11'!$AV$18:$AV$199,2*(ROWS(X$103:X103)-0)+0)),"")</f>
        <v/>
      </c>
      <c r="AG103" s="98" t="str" cm="1">
        <f t="array" ref="AG103">IFERROR(IF(D103="","",IF(INDEX('M04-S11'!$CB$18:$CB$199,2*(ROWS(AG$103:AG103)-1)+1)="","",INDEX('M04-S11'!$CB$18:$CB$199,2*(ROWS(AG$103:AG103)-1)+1))),"")</f>
        <v/>
      </c>
      <c r="AH103" s="98" t="str" cm="1">
        <f t="array" ref="AH103">IFERROR(IF(D103="","",IF(INDEX('M04-S11'!$CU$18:$CU$199,2*(ROWS(AH$103:AH103)-1)+1)="","",INDEX('M04-S11'!$CU$18:$CU$199,2*(ROWS(AH$103:AH103)-1)+1))),"")</f>
        <v/>
      </c>
      <c r="AI103" s="20" t="str" cm="1">
        <f t="array" ref="AI103">IFERROR(IF(D103="","",IF(INDEX('M04-S11'!$CM$18:$CM$199,2*(ROWS(AI$103:AI103)-1)+1)="",0,INDEX('M04-S11'!$CM$18:$CM$199,2*(ROWS(AI$103:AI103)-1)+1))),"")</f>
        <v/>
      </c>
      <c r="AJ103" s="20" t="str">
        <f t="shared" si="86"/>
        <v/>
      </c>
      <c r="AK103" s="487" t="str" cm="1">
        <f t="array" ref="AK103">IFERROR(IF(D103="","",IF(INDEX('M04-S11'!$CN$18:$CN$199,2*(ROWS(AK$103:AK103)-1)+1)="",0,INDEX('M04-S11'!$CN$18:$CN$199,2*(ROWS(AK$103:AK103)-1)+1))),"")</f>
        <v/>
      </c>
      <c r="AL103" s="20" t="str">
        <f t="shared" ref="AL103" si="161">IF(AN103&gt;=0,AN103,0)</f>
        <v/>
      </c>
      <c r="AM103" s="20" t="str">
        <f t="shared" ref="AM103:AM112" si="162">IFERROR(ROUND(IF(D103="","",AL103/10),6),"")</f>
        <v/>
      </c>
      <c r="AN103" s="20" t="str" cm="1">
        <f t="array" ref="AN103">IFERROR(IF(D103="","",IF(INDEX('M04-S11'!$CO$18:$CO$199,2*(ROWS(AN$103:AN103)-1)+1)="",0,INDEX('M04-S11'!$CO$18:$CO$199,2*(ROWS(AN$103:AN103)-1)+1))),"")</f>
        <v/>
      </c>
      <c r="AO103" s="20" t="str" cm="1">
        <f t="array" ref="AO103">IFERROR(IF(D103="","",INDEX('M04-S11'!$R$18:$R$199,2*(ROWS(AO$103:AO103)-1)+1)),"")</f>
        <v/>
      </c>
      <c r="AP103" s="20" t="str" cm="1">
        <f t="array" ref="AP103">IFERROR(IF(D103="","",INDEX('M04-S11'!$AJ$18:$AJ$199,2*(ROWS(AP$103:AP103)-1)+1)),"")</f>
        <v/>
      </c>
      <c r="AQ103" s="487" t="str" cm="1">
        <f t="array" ref="AQ103">IFERROR(IF(D103="","",INDEX('M04-S11'!$U$18:$U$199,2*(ROWS(AQ$103:AQ103)-1)+1)),"")</f>
        <v/>
      </c>
      <c r="AR103" s="487" t="str" cm="1">
        <f t="array" ref="AR103">IFERROR(IF(D103="","",INDEX('M04-S11'!$AM$18:$AM$199,2*(ROWS(AR$103:AR103)-1)+1)),"")</f>
        <v/>
      </c>
      <c r="AS103" s="20" t="str" cm="1">
        <f t="array" ref="AS103">IFERROR(IF(D103="","",INDEX('M04-S11'!$X$18:$X$199,2*(ROWS(AS$103:AS103)-1)+1)),"")</f>
        <v/>
      </c>
      <c r="AT103" s="20" t="str" cm="1">
        <f t="array" ref="AT103">IFERROR(IF(D103="","",INDEX('M04-S11'!$AP$18:$AP$199,2*(ROWS(AT$103:AT103)-1)+1)),"")</f>
        <v/>
      </c>
      <c r="BP103" t="str" cm="1">
        <f t="array" ref="BP103">IFERROR(IF(D103="","",INDEX('M04-S11'!$CS$18:$CS$199,2*(ROWS(BP$103:BP103)-1)+1)),"")</f>
        <v/>
      </c>
      <c r="BR103" t="str" cm="1">
        <f t="array" ref="BR103">IFERROR(IF(D103="","",LEFT(INDEX('M04-S11'!$C$18:$C$199,2*(ROWS(BR$103:BR103)-1)+1),150)),"")</f>
        <v/>
      </c>
      <c r="BS103" t="str" cm="1">
        <f t="array" ref="BS103">IFERROR(IF(D103="","",INDEX('M04-S11'!$CT$18:$CT$199,2*(ROWS(BS$103:BS103)-1)+1)),"")</f>
        <v/>
      </c>
      <c r="BT103" s="6" t="str" cm="1">
        <f t="array" ref="BT103">IFERROR(ROUND(IF(D103="","",INDEX('M04-S11'!$BB$18:$BB$199,2*(ROWS(BT$103:BT103)-1)+1)),2),"")</f>
        <v/>
      </c>
      <c r="BU103" s="6" t="str" cm="1">
        <f t="array" ref="BU103">IFERROR(IF(D103="","",INDEX('M04-S11'!$CX$18:$CX$199,2*(ROWS(BU$103:BU103)-1)+1)),"")</f>
        <v/>
      </c>
      <c r="BV103" s="6" t="str" cm="1">
        <f t="array" ref="BV103">IFERROR(IF(D103="","",INDEX('M04-S11'!$CY$18:$CY$199,2*(ROWS(BV$103:BV103)-1)+1)),"")</f>
        <v/>
      </c>
      <c r="BW103" t="str">
        <f>IF(D103="","","Measure")</f>
        <v/>
      </c>
      <c r="BX103" t="str">
        <f>IF(D103="","",1)</f>
        <v/>
      </c>
      <c r="BY103" s="6" t="str" cm="1">
        <f t="array" ref="BY103">IFERROR(IF(D103="","",INDEX('M04-S11'!$CI$18:$CI$199,2*(ROWS(BY$103:BY103)-1)+1)),"")</f>
        <v/>
      </c>
      <c r="BZ103" s="6" t="str">
        <f t="shared" si="105"/>
        <v/>
      </c>
      <c r="CA103" s="6" t="str">
        <f t="shared" si="106"/>
        <v/>
      </c>
      <c r="CB103" s="6" t="str">
        <f t="shared" si="87"/>
        <v/>
      </c>
      <c r="CC103" s="6" t="str">
        <f t="shared" ref="CC103:CC112" si="163">IFERROR(IF(D103="","",AJ103/(AJ103+AM103)*CB103),"")</f>
        <v/>
      </c>
      <c r="CD103" s="6" t="str">
        <f t="shared" ref="CD103:CD112" si="164">IFERROR(IF(D103="","",AM103/(AJ103+AM103)*CB103),"")</f>
        <v/>
      </c>
      <c r="CS103" t="str" cm="1">
        <f t="array" ref="CS103">IFERROR(IF(D103="","",INDEX('M04-S11'!$F$18:$F$199,2*(ROWS(CS$103:CS103)-1)+1)),"")</f>
        <v/>
      </c>
      <c r="CT103" t="str" cm="1">
        <f t="array" ref="CT103">IFERROR(IF(D103="","",INDEX('M04-S11'!$L$18:$L$199,2*(ROWS(CT$103:CT103)-1)+1)),"")</f>
        <v/>
      </c>
      <c r="CU103" t="str" cm="1">
        <f t="array" ref="CU103">IFERROR(IF(D103="","",INDEX('M04-S11'!$AD$18:$AD$199,2*(ROWS(CU$103:CU103)-1)+1)),"")</f>
        <v/>
      </c>
      <c r="DE103" s="150"/>
      <c r="DF103" s="150" t="str">
        <f>IFERROR(ROUND(IF(OR(D103="",DE103=""),"",TEMPLATE!$V$19),2),"")</f>
        <v/>
      </c>
      <c r="DG103" s="150"/>
      <c r="DH103" s="150" t="str">
        <f>IFERROR(ROUND(IF(OR(D103="",DG103=""),"",TEMPLATE!$V$19),2),"")</f>
        <v/>
      </c>
      <c r="DI103" s="150"/>
      <c r="DJ103" s="150" t="str">
        <f>IFERROR(ROUND(IF(OR(D103="",DI103=""),"",TEMPLATE!$V$19),2),"")</f>
        <v/>
      </c>
      <c r="DK103" s="150"/>
      <c r="DL103" s="150" t="str">
        <f>IFERROR(ROUND(IF(OR(D103="",DK103=""),"",TEMPLATE!$V$19),2),"")</f>
        <v/>
      </c>
      <c r="DM103" s="150"/>
      <c r="DN103" s="150" t="str">
        <f>IFERROR(ROUND(IF(OR(D103="",DM103=""),"",TEMPLATE!$V$19),2),"")</f>
        <v/>
      </c>
      <c r="DO103" s="150"/>
      <c r="DP103" s="150" t="str">
        <f>IFERROR(ROUND(IF(OR(D103="",DO103=""),"",TEMPLATE!$V$19),2),"")</f>
        <v/>
      </c>
      <c r="DQ103" s="150"/>
      <c r="DR103" s="150" t="str">
        <f>IFERROR(ROUND(IF(OR(D103="",DQ103=""),"",TEMPLATE!$V$19),2),"")</f>
        <v/>
      </c>
      <c r="DS103" s="150"/>
      <c r="DT103" s="150" t="str">
        <f>IFERROR(ROUND(IF(OR(D103="",DS103=""),"",TEMPLATE!$V$19),2),"")</f>
        <v/>
      </c>
      <c r="DU103" s="150" t="str" cm="1">
        <f t="array" ref="DU103">IFERROR(ROUND(IF($D103="","",INDEX('M04-S11'!DD$18:DD$199,2*(ROWS(DU$103:DU103)-1)+1)),4),"")</f>
        <v/>
      </c>
      <c r="DV103" s="150" t="str" cm="1">
        <f t="array" ref="DV103">IFERROR(ROUND(IF($D103="","",INDEX('M04-S11'!DE$18:DE$199,2*(ROWS(DV$103:DV103)-1)+1)),4),"")</f>
        <v/>
      </c>
      <c r="DW103" s="150" t="str" cm="1">
        <f t="array" ref="DW103">IFERROR(ROUND(IF($D103="","",INDEX('M04-S11'!DF$18:DF$199,2*(ROWS(DW$103:DW103)-1)+1)),4),"")</f>
        <v/>
      </c>
      <c r="DX103" s="150" t="str" cm="1">
        <f t="array" ref="DX103">IFERROR(ROUND(IF($D103="","",INDEX('M04-S11'!DG$18:DG$199,2*(ROWS(DX$103:DX103)-1)+1)),4),"")</f>
        <v/>
      </c>
      <c r="DY103" s="150" t="str" cm="1">
        <f t="array" ref="DY103">IFERROR(ROUND(IF($D103="","",INDEX('M04-S11'!DH$18:DH$199,2*(ROWS(DY$103:DY103)-1)+1)),4),"")</f>
        <v/>
      </c>
      <c r="DZ103" s="150" t="str" cm="1">
        <f t="array" ref="DZ103">IFERROR(ROUND(IF($D103="","",INDEX('M04-S11'!DI$18:DI$199,2*(ROWS(DZ$103:DZ103)-1)+1)),4),"")</f>
        <v/>
      </c>
      <c r="EA103" s="150" t="str" cm="1">
        <f t="array" ref="EA103">IFERROR(ROUND(IF($D103="","",INDEX('M04-S11'!DJ$18:DJ$199,2*(ROWS(EA$103:EA103)-1)+1)),4),"")</f>
        <v/>
      </c>
      <c r="EB103" s="150" t="str" cm="1">
        <f t="array" ref="EB103">IFERROR(ROUND(IF($D103="","",INDEX('M04-S11'!DK$18:DK$199,2*(ROWS(EB$103:EB103)-1)+1)),6),"")</f>
        <v/>
      </c>
      <c r="EC103" s="150" t="str" cm="1">
        <f t="array" ref="EC103">IFERROR(ROUND(IF($D103="","",INDEX('M04-S11'!DL$18:DL$199,2*(ROWS(EC$103:EC103)-1)+1)),6),"")</f>
        <v/>
      </c>
      <c r="ED103" s="150" t="str" cm="1">
        <f t="array" ref="ED103">IFERROR(ROUND(IF($D103="","",INDEX('M04-S11'!DM$18:DM$199,2*(ROWS(ED$103:ED103)-1)+1)),6),"")</f>
        <v/>
      </c>
      <c r="EE103" s="150" t="str" cm="1">
        <f t="array" ref="EE103">IFERROR(ROUND(IF($D103="","",INDEX('M04-S11'!DN$18:DN$199,2*(ROWS(EE$103:EE103)-1)+1)),6),"")</f>
        <v/>
      </c>
      <c r="EF103" s="150" t="str" cm="1">
        <f t="array" ref="EF103">IFERROR(ROUND(IF($D103="","",INDEX('M04-S11'!DO$18:DO$199,2*(ROWS(EF$103:EF103)-1)+1)),6),"")</f>
        <v/>
      </c>
      <c r="EG103" s="150" t="str" cm="1">
        <f t="array" ref="EG103">IFERROR(ROUND(IF($D103="","",INDEX('M04-S11'!DP$18:DP$199,2*(ROWS(EG$103:EG103)-1)+1)),6),"")</f>
        <v/>
      </c>
      <c r="EH103" s="150" t="str" cm="1">
        <f t="array" ref="EH103">IFERROR(ROUND(IF($D103="","",INDEX('M04-S11'!DQ$18:DQ$199,2*(ROWS(EH$103:EH103)-1)+1)),6),"")</f>
        <v/>
      </c>
      <c r="EI103" s="150" t="str" cm="1">
        <f t="array" ref="EI103">IFERROR(ROUND(IF($D103="","",INDEX('M04-S11'!DR$18:DR$199,2*(ROWS(EI$103:EI103)-1)+1)),6),"")</f>
        <v/>
      </c>
      <c r="EJ103" s="150" t="str" cm="1">
        <f t="array" ref="EJ103">IFERROR(ROUND(IF($D103="","",INDEX('M04-S11'!DS$18:DS$199,2*(ROWS(EJ$103:EJ103)-1)+1)),6),"")</f>
        <v/>
      </c>
      <c r="EK103" s="150" t="str" cm="1">
        <f t="array" ref="EK103">IFERROR(ROUND(IF($D103="","",INDEX('M04-S11'!DT$18:DT$199,2*(ROWS(EK$103:EK103)-1)+1)),6),"")</f>
        <v/>
      </c>
      <c r="EL103" s="150" t="str" cm="1">
        <f t="array" ref="EL103">IFERROR(ROUND(IF($D103="","",INDEX('M04-S11'!DU$18:DU$199,2*(ROWS(EL$103:EL103)-1)+1)),6),"")</f>
        <v/>
      </c>
      <c r="EM103" s="150" t="str" cm="1">
        <f t="array" ref="EM103">IFERROR(ROUND(IF($D103="","",INDEX('M04-S11'!DV$18:DV$199,2*(ROWS(EM$103:EM103)-1)+1)),6),"")</f>
        <v/>
      </c>
      <c r="EN103" s="150" t="str" cm="1">
        <f t="array" ref="EN103">IFERROR(ROUND(IF($D103="","",INDEX('M04-S11'!DW$18:DW$199,2*(ROWS(EN$103:EN103)-1)+1)),6),"")</f>
        <v/>
      </c>
      <c r="EO103" s="150" t="str" cm="1">
        <f t="array" ref="EO103">IFERROR(ROUND(IF($D103="","",INDEX('M04-S11'!DX$18:DX$199,2*(ROWS(EO$103:EO103)-1)+1)),6),"")</f>
        <v/>
      </c>
      <c r="EP103" s="150" t="str" cm="1">
        <f t="array" ref="EP103">IFERROR(ROUND(IF($D103="","",INDEX('M04-S11'!DY$18:DY$199,2*(ROWS(EP$103:EP103)-1)+1)),6),"")</f>
        <v/>
      </c>
      <c r="EQ103" s="150" t="str" cm="1">
        <f t="array" ref="EQ103">IFERROR(ROUND(IF($D103="","",INDEX('M04-S11'!DZ$18:DZ$199,2*(ROWS(EQ$103:EQ103)-1)+1)),6),"")</f>
        <v/>
      </c>
      <c r="ER103" s="150" t="str">
        <f t="shared" si="109"/>
        <v/>
      </c>
      <c r="ES103" s="150" t="str">
        <f t="shared" si="134"/>
        <v/>
      </c>
      <c r="ET103" s="150" t="str">
        <f t="shared" si="135"/>
        <v/>
      </c>
      <c r="EU103" s="150" t="str">
        <f t="shared" si="136"/>
        <v/>
      </c>
      <c r="EV103" s="150" t="str">
        <f t="shared" si="137"/>
        <v/>
      </c>
      <c r="EW103" s="150" t="str">
        <f t="shared" si="138"/>
        <v/>
      </c>
      <c r="EX103" s="150" t="str">
        <f t="shared" si="139"/>
        <v/>
      </c>
      <c r="EY103" s="150" t="str">
        <f t="shared" si="110"/>
        <v/>
      </c>
      <c r="EZ103" s="150" t="str" cm="1">
        <f t="array" ref="EZ103">IFERROR(ROUND(IF($D103="","",INDEX('M04-S11'!EA$18:EA$199,2*(ROWS(EZ$103:EZ103)-1)+1)),6),"")</f>
        <v/>
      </c>
      <c r="FA103" s="150" t="str" cm="1">
        <f t="array" ref="FA103">IFERROR(ROUND(IF($D103="","",INDEX('M04-S11'!EB$18:EB$199,2*(ROWS(FA$103:FA103)-1)+1)),6),"")</f>
        <v/>
      </c>
      <c r="FB103" s="150" t="str" cm="1">
        <f t="array" ref="FB103">IFERROR(ROUND(IF($D103="","",INDEX('M04-S11'!EC$18:EC$199,2*(ROWS(FB$103:FB103)-1)+1)),6),"")</f>
        <v/>
      </c>
      <c r="FC103" s="150" t="str" cm="1">
        <f t="array" ref="FC103">IFERROR(ROUND(IF($D103="","",INDEX('M04-S11'!ED$18:ED$199,2*(ROWS(FC$103:FC103)-1)+1)),6),"")</f>
        <v/>
      </c>
      <c r="FD103" s="150" t="str" cm="1">
        <f t="array" ref="FD103">IFERROR(ROUND(IF($D103="","",INDEX('M04-S11'!EE$18:EE$199,2*(ROWS(FD$103:FD103)-1)+1)),6),"")</f>
        <v/>
      </c>
      <c r="FE103" s="150" t="str" cm="1">
        <f t="array" ref="FE103">IFERROR(ROUND(IF($D103="","",INDEX('M04-S11'!EF$18:EF$199,2*(ROWS(FE$103:FE103)-1)+1)),6),"")</f>
        <v/>
      </c>
      <c r="FF103" s="150" t="str" cm="1">
        <f t="array" ref="FF103">IFERROR(ROUND(IF($D103="","",INDEX('M04-S11'!EG$18:EG$199,2*(ROWS(FF$103:FF103)-1)+1)),6),"")</f>
        <v/>
      </c>
      <c r="FG103" s="150" t="str" cm="1">
        <f t="array" ref="FG103">IFERROR(ROUND(IF($D103="","",INDEX('M04-S11'!EH$18:EH$199,2*(ROWS(FG$103:FG103)-1)+1)),6),"")</f>
        <v/>
      </c>
      <c r="FH103" s="150" t="str" cm="1">
        <f t="array" ref="FH103">IFERROR(ROUND(IF($D103="","",INDEX('M04-S11'!EI$18:EI$199,2*(ROWS(FH$103:FH103)-1)+1)),6),"")</f>
        <v/>
      </c>
      <c r="FI103" s="150" t="str" cm="1">
        <f t="array" ref="FI103">IFERROR(ROUND(IF($D103="","",INDEX('M04-S11'!EJ$18:EJ$199,2*(ROWS(FI$103:FI103)-1)+1)),6),"")</f>
        <v/>
      </c>
      <c r="FJ103" s="150" t="str" cm="1">
        <f t="array" ref="FJ103">IFERROR(ROUND(IF($D103="","",INDEX('M04-S11'!EK$18:EK$199,2*(ROWS(FJ$103:FJ103)-1)+1)),6),"")</f>
        <v/>
      </c>
      <c r="FK103" s="150" t="str" cm="1">
        <f t="array" ref="FK103">IFERROR(ROUND(IF($D103="","",INDEX('M04-S11'!EL$18:EL$199,2*(ROWS(FK$103:FK103)-1)+1)),6),"")</f>
        <v/>
      </c>
      <c r="FL103" s="150" t="str" cm="1">
        <f t="array" ref="FL103">IFERROR(ROUND(IF($D103="","",INDEX('M04-S11'!EM$18:EM$199,2*(ROWS(FL$103:FL103)-1)+1)),6),"")</f>
        <v/>
      </c>
      <c r="FM103" s="150" t="str" cm="1">
        <f t="array" ref="FM103">IFERROR(ROUND(IF($D103="","",INDEX('M04-S11'!EN$18:EN$199,2*(ROWS(FM$103:FM103)-1)+1)),6),"")</f>
        <v/>
      </c>
    </row>
    <row r="104" spans="1:169">
      <c r="A104" t="str">
        <f t="shared" si="154"/>
        <v/>
      </c>
      <c r="B104" t="str">
        <f t="shared" ref="B104:B112" si="165">IFERROR(IF(D104="","",CONCATENATE(ROW(),"-",D104)),"")</f>
        <v/>
      </c>
      <c r="C104" t="str" cm="1">
        <f t="array" ref="C104">IFERROR(IF(D104="","",INDEX('M04-S11'!$B$18:$B$199,2*(ROWS(C$103:C104)-1)+1)),"")</f>
        <v/>
      </c>
      <c r="D104" t="str">
        <f t="shared" ref="D104:D112" si="166">IFERROR(IF(E104="","",E104),"")</f>
        <v/>
      </c>
      <c r="E104" t="str" cm="1">
        <f t="array" ref="E104">IFERROR(IF(INDEX('M04-S11'!$CC$18:$CC$199,2*(ROWS(E$103:E104)-1)+1)="","",INDEX('M04-S11'!$CC$18:$CC$199,2*(ROWS(E$103:E104)-1)+1)),"")</f>
        <v/>
      </c>
      <c r="G104" t="str">
        <f t="shared" ref="G104:G112" si="167">IFERROR(IF(C104&lt;&gt;"","Custom",""),"")</f>
        <v/>
      </c>
      <c r="H104" t="str">
        <f t="shared" ref="H104:H112" si="168">IFERROR(IF(C104&lt;&gt;"","Downstream",""),"")</f>
        <v/>
      </c>
      <c r="L104" t="str">
        <f t="shared" ref="L104:L112" si="169">IF($C104="","",IF(AND(AI104&gt;0,AN104&gt;0),"Electric &amp; Gas",IF(AI104&gt;0,"Electric",IF(AN104&gt;0,"Gas",""))))</f>
        <v/>
      </c>
      <c r="O104" t="str">
        <f t="shared" si="160"/>
        <v/>
      </c>
      <c r="V104" t="str" cm="1">
        <f t="array" ref="V104">IFERROR(IF(D104="","",INDEX('M04-S11'!$AY$18:$AY$199,2*(ROWS(V$103:V104)-1)+1)),"")</f>
        <v/>
      </c>
      <c r="W104" t="str" cm="1">
        <f t="array" ref="W104">IFERROR(IF(D104="","",INDEX('M04-S11'!$AV$18:$AV$199,2*(ROWS(W$103:W104)-1)+1)),"")</f>
        <v/>
      </c>
      <c r="X104" t="str" cm="1">
        <f t="array" ref="X104">IFERROR(IF(D104="","",INDEX('M04-S11'!$AV$18:$AV$199,2*(ROWS(X$103:X104)-0)+0)),"")</f>
        <v/>
      </c>
      <c r="AG104" s="98" t="str" cm="1">
        <f t="array" ref="AG104">IFERROR(IF(D104="","",IF(INDEX('M04-S11'!$CB$18:$CB$199,2*(ROWS(AG$103:AG104)-1)+1)="","",INDEX('M04-S11'!$CB$18:$CB$199,2*(ROWS(AG$103:AG104)-1)+1))),"")</f>
        <v/>
      </c>
      <c r="AH104" s="98" t="str" cm="1">
        <f t="array" ref="AH104">IFERROR(IF(D104="","",IF(INDEX('M04-S11'!$CU$18:$CU$199,2*(ROWS(AH$103:AH104)-1)+1)="","",INDEX('M04-S11'!$CU$18:$CU$199,2*(ROWS(AH$103:AH104)-1)+1))),"")</f>
        <v/>
      </c>
      <c r="AI104" s="20" t="str" cm="1">
        <f t="array" ref="AI104">IFERROR(IF(D104="","",IF(INDEX('M04-S11'!$CM$18:$CM$199,2*(ROWS(AI$103:AI104)-1)+1)="",0,INDEX('M04-S11'!$CM$18:$CM$199,2*(ROWS(AI$103:AI104)-1)+1))),"")</f>
        <v/>
      </c>
      <c r="AJ104" s="20" t="str">
        <f t="shared" si="86"/>
        <v/>
      </c>
      <c r="AK104" s="487" t="str" cm="1">
        <f t="array" ref="AK104">IFERROR(IF(D104="","",IF(INDEX('M04-S11'!$CN$18:$CN$199,2*(ROWS(AK$103:AK104)-1)+1)="",0,INDEX('M04-S11'!$CN$18:$CN$199,2*(ROWS(AK$103:AK104)-1)+1))),"")</f>
        <v/>
      </c>
      <c r="AL104" s="20" t="str">
        <f t="shared" ref="AL104:AL112" si="170">IF(AN104&gt;=0,AN104,0)</f>
        <v/>
      </c>
      <c r="AM104" s="20" t="str">
        <f t="shared" si="162"/>
        <v/>
      </c>
      <c r="AN104" s="20" t="str" cm="1">
        <f t="array" ref="AN104">IFERROR(IF(D104="","",IF(INDEX('M04-S11'!$CO$18:$CO$199,2*(ROWS(AN$103:AN104)-1)+1)="",0,INDEX('M04-S11'!$CO$18:$CO$199,2*(ROWS(AN$103:AN104)-1)+1))),"")</f>
        <v/>
      </c>
      <c r="AO104" s="20" t="str" cm="1">
        <f t="array" ref="AO104">IFERROR(IF(D104="","",INDEX('M04-S11'!$R$18:$R$199,2*(ROWS(AO$103:AO104)-1)+1)),"")</f>
        <v/>
      </c>
      <c r="AP104" s="20" t="str" cm="1">
        <f t="array" ref="AP104">IFERROR(IF(D104="","",INDEX('M04-S11'!$AJ$18:$AJ$199,2*(ROWS(AP$103:AP104)-1)+1)),"")</f>
        <v/>
      </c>
      <c r="AQ104" s="487" t="str" cm="1">
        <f t="array" ref="AQ104">IFERROR(IF(D104="","",INDEX('M04-S11'!$U$18:$U$199,2*(ROWS(AQ$103:AQ104)-1)+1)),"")</f>
        <v/>
      </c>
      <c r="AR104" s="487" t="str" cm="1">
        <f t="array" ref="AR104">IFERROR(IF(D104="","",INDEX('M04-S11'!$AM$18:$AM$199,2*(ROWS(AR$103:AR104)-1)+1)),"")</f>
        <v/>
      </c>
      <c r="AS104" s="20" t="str" cm="1">
        <f t="array" ref="AS104">IFERROR(IF(D104="","",INDEX('M04-S11'!$X$18:$X$199,2*(ROWS(AS$103:AS104)-1)+1)),"")</f>
        <v/>
      </c>
      <c r="AT104" s="20" t="str" cm="1">
        <f t="array" ref="AT104">IFERROR(IF(D104="","",INDEX('M04-S11'!$AP$18:$AP$199,2*(ROWS(AT$103:AT104)-1)+1)),"")</f>
        <v/>
      </c>
      <c r="BP104" t="str" cm="1">
        <f t="array" ref="BP104">IFERROR(IF(D104="","",INDEX('M04-S11'!$CS$18:$CS$199,2*(ROWS(BP$103:BP104)-1)+1)),"")</f>
        <v/>
      </c>
      <c r="BR104" t="str" cm="1">
        <f t="array" ref="BR104">IFERROR(IF(D104="","",LEFT(INDEX('M04-S11'!$C$18:$C$199,2*(ROWS(BR$103:BR104)-1)+1),150)),"")</f>
        <v/>
      </c>
      <c r="BS104" t="str" cm="1">
        <f t="array" ref="BS104">IFERROR(IF(D104="","",INDEX('M04-S11'!$CT$18:$CT$199,2*(ROWS(BS$103:BS104)-1)+1)),"")</f>
        <v/>
      </c>
      <c r="BT104" s="6" t="str" cm="1">
        <f t="array" ref="BT104">IFERROR(ROUND(IF(D104="","",INDEX('M04-S11'!$BB$18:$BB$199,2*(ROWS(BT$103:BT104)-1)+1)),2),"")</f>
        <v/>
      </c>
      <c r="BU104" s="6" t="str" cm="1">
        <f t="array" ref="BU104">IFERROR(IF(D104="","",INDEX('M04-S11'!$CX$18:$CX$199,2*(ROWS(BU$103:BU104)-1)+1)),"")</f>
        <v/>
      </c>
      <c r="BV104" s="6" t="str" cm="1">
        <f t="array" ref="BV104">IFERROR(IF(D104="","",INDEX('M04-S11'!$CY$18:$CY$199,2*(ROWS(BV$103:BV104)-1)+1)),"")</f>
        <v/>
      </c>
      <c r="BW104" t="str">
        <f t="shared" ref="BW104:BW112" si="171">IF(D104="","","Measure")</f>
        <v/>
      </c>
      <c r="BX104" t="str">
        <f t="shared" ref="BX104:BX112" si="172">IF(D104="","",1)</f>
        <v/>
      </c>
      <c r="BY104" s="6" t="str" cm="1">
        <f t="array" ref="BY104">IFERROR(IF(D104="","",INDEX('M04-S11'!$CI$18:$CI$199,2*(ROWS(BY$103:BY104)-1)+1)),"")</f>
        <v/>
      </c>
      <c r="BZ104" s="6" t="str">
        <f t="shared" si="105"/>
        <v/>
      </c>
      <c r="CA104" s="6" t="str">
        <f t="shared" si="106"/>
        <v/>
      </c>
      <c r="CB104" s="6" t="str">
        <f t="shared" si="87"/>
        <v/>
      </c>
      <c r="CC104" s="6" t="str">
        <f t="shared" si="163"/>
        <v/>
      </c>
      <c r="CD104" s="6" t="str">
        <f t="shared" si="164"/>
        <v/>
      </c>
      <c r="CS104" t="str" cm="1">
        <f t="array" ref="CS104">IFERROR(IF(D104="","",INDEX('M04-S11'!$F$18:$F$199,2*(ROWS(CS$103:CS104)-1)+1)),"")</f>
        <v/>
      </c>
      <c r="CT104" t="str" cm="1">
        <f t="array" ref="CT104">IFERROR(IF(D104="","",INDEX('M04-S11'!$L$18:$L$199,2*(ROWS(CT$103:CT104)-1)+1)),"")</f>
        <v/>
      </c>
      <c r="CU104" t="str" cm="1">
        <f t="array" ref="CU104">IFERROR(IF(D104="","",INDEX('M04-S11'!$AD$18:$AD$199,2*(ROWS(CU$103:CU104)-1)+1)),"")</f>
        <v/>
      </c>
      <c r="DE104" s="150"/>
      <c r="DF104" s="150" t="str">
        <f>IFERROR(ROUND(IF(OR(D104="",DE104=""),"",TEMPLATE!$V$19),2),"")</f>
        <v/>
      </c>
      <c r="DG104" s="150"/>
      <c r="DH104" s="150" t="str">
        <f>IFERROR(ROUND(IF(OR(D104="",DG104=""),"",TEMPLATE!$V$19),2),"")</f>
        <v/>
      </c>
      <c r="DI104" s="150"/>
      <c r="DJ104" s="150" t="str">
        <f>IFERROR(ROUND(IF(OR(D104="",DI104=""),"",TEMPLATE!$V$19),2),"")</f>
        <v/>
      </c>
      <c r="DK104" s="150"/>
      <c r="DL104" s="150" t="str">
        <f>IFERROR(ROUND(IF(OR(D104="",DK104=""),"",TEMPLATE!$V$19),2),"")</f>
        <v/>
      </c>
      <c r="DM104" s="150"/>
      <c r="DN104" s="150" t="str">
        <f>IFERROR(ROUND(IF(OR(D104="",DM104=""),"",TEMPLATE!$V$19),2),"")</f>
        <v/>
      </c>
      <c r="DO104" s="150"/>
      <c r="DP104" s="150" t="str">
        <f>IFERROR(ROUND(IF(OR(D104="",DO104=""),"",TEMPLATE!$V$19),2),"")</f>
        <v/>
      </c>
      <c r="DQ104" s="150"/>
      <c r="DR104" s="150" t="str">
        <f>IFERROR(ROUND(IF(OR(D104="",DQ104=""),"",TEMPLATE!$V$19),2),"")</f>
        <v/>
      </c>
      <c r="DS104" s="150"/>
      <c r="DT104" s="150" t="str">
        <f>IFERROR(ROUND(IF(OR(D104="",DS104=""),"",TEMPLATE!$V$19),2),"")</f>
        <v/>
      </c>
      <c r="DU104" s="150" t="str" cm="1">
        <f t="array" ref="DU104">IFERROR(ROUND(IF($D104="","",INDEX('M04-S11'!DD$18:DD$199,2*(ROWS(DU$103:DU104)-1)+1)),4),"")</f>
        <v/>
      </c>
      <c r="DV104" s="150" t="str" cm="1">
        <f t="array" ref="DV104">IFERROR(ROUND(IF($D104="","",INDEX('M04-S11'!DE$18:DE$199,2*(ROWS(DV$103:DV104)-1)+1)),4),"")</f>
        <v/>
      </c>
      <c r="DW104" s="150" t="str" cm="1">
        <f t="array" ref="DW104">IFERROR(ROUND(IF($D104="","",INDEX('M04-S11'!DF$18:DF$199,2*(ROWS(DW$103:DW104)-1)+1)),4),"")</f>
        <v/>
      </c>
      <c r="DX104" s="150" t="str" cm="1">
        <f t="array" ref="DX104">IFERROR(ROUND(IF($D104="","",INDEX('M04-S11'!DG$18:DG$199,2*(ROWS(DX$103:DX104)-1)+1)),4),"")</f>
        <v/>
      </c>
      <c r="DY104" s="150" t="str" cm="1">
        <f t="array" ref="DY104">IFERROR(ROUND(IF($D104="","",INDEX('M04-S11'!DH$18:DH$199,2*(ROWS(DY$103:DY104)-1)+1)),4),"")</f>
        <v/>
      </c>
      <c r="DZ104" s="150" t="str" cm="1">
        <f t="array" ref="DZ104">IFERROR(ROUND(IF($D104="","",INDEX('M04-S11'!DI$18:DI$199,2*(ROWS(DZ$103:DZ104)-1)+1)),4),"")</f>
        <v/>
      </c>
      <c r="EA104" s="150" t="str" cm="1">
        <f t="array" ref="EA104">IFERROR(ROUND(IF($D104="","",INDEX('M04-S11'!DJ$18:DJ$199,2*(ROWS(EA$103:EA104)-1)+1)),4),"")</f>
        <v/>
      </c>
      <c r="EB104" s="150" t="str" cm="1">
        <f t="array" ref="EB104">IFERROR(ROUND(IF($D104="","",INDEX('M04-S11'!DK$18:DK$199,2*(ROWS(EB$103:EB104)-1)+1)),6),"")</f>
        <v/>
      </c>
      <c r="EC104" s="150" t="str" cm="1">
        <f t="array" ref="EC104">IFERROR(ROUND(IF($D104="","",INDEX('M04-S11'!DL$18:DL$199,2*(ROWS(EC$103:EC104)-1)+1)),6),"")</f>
        <v/>
      </c>
      <c r="ED104" s="150" t="str" cm="1">
        <f t="array" ref="ED104">IFERROR(ROUND(IF($D104="","",INDEX('M04-S11'!DM$18:DM$199,2*(ROWS(ED$103:ED104)-1)+1)),6),"")</f>
        <v/>
      </c>
      <c r="EE104" s="150" t="str" cm="1">
        <f t="array" ref="EE104">IFERROR(ROUND(IF($D104="","",INDEX('M04-S11'!DN$18:DN$199,2*(ROWS(EE$103:EE104)-1)+1)),6),"")</f>
        <v/>
      </c>
      <c r="EF104" s="150" t="str" cm="1">
        <f t="array" ref="EF104">IFERROR(ROUND(IF($D104="","",INDEX('M04-S11'!DO$18:DO$199,2*(ROWS(EF$103:EF104)-1)+1)),6),"")</f>
        <v/>
      </c>
      <c r="EG104" s="150" t="str" cm="1">
        <f t="array" ref="EG104">IFERROR(ROUND(IF($D104="","",INDEX('M04-S11'!DP$18:DP$199,2*(ROWS(EG$103:EG104)-1)+1)),6),"")</f>
        <v/>
      </c>
      <c r="EH104" s="150" t="str" cm="1">
        <f t="array" ref="EH104">IFERROR(ROUND(IF($D104="","",INDEX('M04-S11'!DQ$18:DQ$199,2*(ROWS(EH$103:EH104)-1)+1)),6),"")</f>
        <v/>
      </c>
      <c r="EI104" s="150" t="str" cm="1">
        <f t="array" ref="EI104">IFERROR(ROUND(IF($D104="","",INDEX('M04-S11'!DR$18:DR$199,2*(ROWS(EI$103:EI104)-1)+1)),6),"")</f>
        <v/>
      </c>
      <c r="EJ104" s="150" t="str" cm="1">
        <f t="array" ref="EJ104">IFERROR(ROUND(IF($D104="","",INDEX('M04-S11'!DS$18:DS$199,2*(ROWS(EJ$103:EJ104)-1)+1)),6),"")</f>
        <v/>
      </c>
      <c r="EK104" s="150" t="str" cm="1">
        <f t="array" ref="EK104">IFERROR(ROUND(IF($D104="","",INDEX('M04-S11'!DT$18:DT$199,2*(ROWS(EK$103:EK104)-1)+1)),6),"")</f>
        <v/>
      </c>
      <c r="EL104" s="150" t="str" cm="1">
        <f t="array" ref="EL104">IFERROR(ROUND(IF($D104="","",INDEX('M04-S11'!DU$18:DU$199,2*(ROWS(EL$103:EL104)-1)+1)),6),"")</f>
        <v/>
      </c>
      <c r="EM104" s="150" t="str" cm="1">
        <f t="array" ref="EM104">IFERROR(ROUND(IF($D104="","",INDEX('M04-S11'!DV$18:DV$199,2*(ROWS(EM$103:EM104)-1)+1)),6),"")</f>
        <v/>
      </c>
      <c r="EN104" s="150" t="str" cm="1">
        <f t="array" ref="EN104">IFERROR(ROUND(IF($D104="","",INDEX('M04-S11'!DW$18:DW$199,2*(ROWS(EN$103:EN104)-1)+1)),6),"")</f>
        <v/>
      </c>
      <c r="EO104" s="150" t="str" cm="1">
        <f t="array" ref="EO104">IFERROR(ROUND(IF($D104="","",INDEX('M04-S11'!DX$18:DX$199,2*(ROWS(EO$103:EO104)-1)+1)),6),"")</f>
        <v/>
      </c>
      <c r="EP104" s="150" t="str" cm="1">
        <f t="array" ref="EP104">IFERROR(ROUND(IF($D104="","",INDEX('M04-S11'!DY$18:DY$199,2*(ROWS(EP$103:EP104)-1)+1)),6),"")</f>
        <v/>
      </c>
      <c r="EQ104" s="150" t="str" cm="1">
        <f t="array" ref="EQ104">IFERROR(ROUND(IF($D104="","",INDEX('M04-S11'!DZ$18:DZ$199,2*(ROWS(EQ$103:EQ104)-1)+1)),6),"")</f>
        <v/>
      </c>
      <c r="ER104" s="150" t="str">
        <f t="shared" si="109"/>
        <v/>
      </c>
      <c r="ES104" s="150" t="str">
        <f t="shared" si="134"/>
        <v/>
      </c>
      <c r="ET104" s="150" t="str">
        <f t="shared" si="135"/>
        <v/>
      </c>
      <c r="EU104" s="150" t="str">
        <f t="shared" si="136"/>
        <v/>
      </c>
      <c r="EV104" s="150" t="str">
        <f t="shared" si="137"/>
        <v/>
      </c>
      <c r="EW104" s="150" t="str">
        <f t="shared" si="138"/>
        <v/>
      </c>
      <c r="EX104" s="150" t="str">
        <f t="shared" si="139"/>
        <v/>
      </c>
      <c r="EY104" s="150" t="str">
        <f t="shared" si="110"/>
        <v/>
      </c>
      <c r="EZ104" s="150" t="str" cm="1">
        <f t="array" ref="EZ104">IFERROR(ROUND(IF($D104="","",INDEX('M04-S11'!EA$18:EA$199,2*(ROWS(EZ$103:EZ104)-1)+1)),6),"")</f>
        <v/>
      </c>
      <c r="FA104" s="150" t="str" cm="1">
        <f t="array" ref="FA104">IFERROR(ROUND(IF($D104="","",INDEX('M04-S11'!EB$18:EB$199,2*(ROWS(FA$103:FA104)-1)+1)),6),"")</f>
        <v/>
      </c>
      <c r="FB104" s="150" t="str" cm="1">
        <f t="array" ref="FB104">IFERROR(ROUND(IF($D104="","",INDEX('M04-S11'!EC$18:EC$199,2*(ROWS(FB$103:FB104)-1)+1)),6),"")</f>
        <v/>
      </c>
      <c r="FC104" s="150" t="str" cm="1">
        <f t="array" ref="FC104">IFERROR(ROUND(IF($D104="","",INDEX('M04-S11'!ED$18:ED$199,2*(ROWS(FC$103:FC104)-1)+1)),6),"")</f>
        <v/>
      </c>
      <c r="FD104" s="150" t="str" cm="1">
        <f t="array" ref="FD104">IFERROR(ROUND(IF($D104="","",INDEX('M04-S11'!EE$18:EE$199,2*(ROWS(FD$103:FD104)-1)+1)),6),"")</f>
        <v/>
      </c>
      <c r="FE104" s="150" t="str" cm="1">
        <f t="array" ref="FE104">IFERROR(ROUND(IF($D104="","",INDEX('M04-S11'!EF$18:EF$199,2*(ROWS(FE$103:FE104)-1)+1)),6),"")</f>
        <v/>
      </c>
      <c r="FF104" s="150" t="str" cm="1">
        <f t="array" ref="FF104">IFERROR(ROUND(IF($D104="","",INDEX('M04-S11'!EG$18:EG$199,2*(ROWS(FF$103:FF104)-1)+1)),6),"")</f>
        <v/>
      </c>
      <c r="FG104" s="150" t="str" cm="1">
        <f t="array" ref="FG104">IFERROR(ROUND(IF($D104="","",INDEX('M04-S11'!EH$18:EH$199,2*(ROWS(FG$103:FG104)-1)+1)),6),"")</f>
        <v/>
      </c>
      <c r="FH104" s="150" t="str" cm="1">
        <f t="array" ref="FH104">IFERROR(ROUND(IF($D104="","",INDEX('M04-S11'!EI$18:EI$199,2*(ROWS(FH$103:FH104)-1)+1)),6),"")</f>
        <v/>
      </c>
      <c r="FI104" s="150" t="str" cm="1">
        <f t="array" ref="FI104">IFERROR(ROUND(IF($D104="","",INDEX('M04-S11'!EJ$18:EJ$199,2*(ROWS(FI$103:FI104)-1)+1)),6),"")</f>
        <v/>
      </c>
      <c r="FJ104" s="150" t="str" cm="1">
        <f t="array" ref="FJ104">IFERROR(ROUND(IF($D104="","",INDEX('M04-S11'!EK$18:EK$199,2*(ROWS(FJ$103:FJ104)-1)+1)),6),"")</f>
        <v/>
      </c>
      <c r="FK104" s="150" t="str" cm="1">
        <f t="array" ref="FK104">IFERROR(ROUND(IF($D104="","",INDEX('M04-S11'!EL$18:EL$199,2*(ROWS(FK$103:FK104)-1)+1)),6),"")</f>
        <v/>
      </c>
      <c r="FL104" s="150" t="str" cm="1">
        <f t="array" ref="FL104">IFERROR(ROUND(IF($D104="","",INDEX('M04-S11'!EM$18:EM$199,2*(ROWS(FL$103:FL104)-1)+1)),6),"")</f>
        <v/>
      </c>
      <c r="FM104" s="150" t="str" cm="1">
        <f t="array" ref="FM104">IFERROR(ROUND(IF($D104="","",INDEX('M04-S11'!EN$18:EN$199,2*(ROWS(FM$103:FM104)-1)+1)),6),"")</f>
        <v/>
      </c>
    </row>
    <row r="105" spans="1:169">
      <c r="A105" t="str">
        <f t="shared" si="154"/>
        <v/>
      </c>
      <c r="B105" t="str">
        <f t="shared" si="165"/>
        <v/>
      </c>
      <c r="C105" t="str" cm="1">
        <f t="array" ref="C105">IFERROR(IF(D105="","",INDEX('M04-S11'!$B$18:$B$199,2*(ROWS(C$103:C105)-1)+1)),"")</f>
        <v/>
      </c>
      <c r="D105" t="str">
        <f t="shared" si="166"/>
        <v/>
      </c>
      <c r="E105" t="str" cm="1">
        <f t="array" ref="E105">IFERROR(IF(INDEX('M04-S11'!$CC$18:$CC$199,2*(ROWS(E$103:E105)-1)+1)="","",INDEX('M04-S11'!$CC$18:$CC$199,2*(ROWS(E$103:E105)-1)+1)),"")</f>
        <v/>
      </c>
      <c r="G105" t="str">
        <f t="shared" si="167"/>
        <v/>
      </c>
      <c r="H105" t="str">
        <f t="shared" si="168"/>
        <v/>
      </c>
      <c r="L105" t="str">
        <f t="shared" si="169"/>
        <v/>
      </c>
      <c r="O105" t="str">
        <f t="shared" si="160"/>
        <v/>
      </c>
      <c r="V105" t="str" cm="1">
        <f t="array" ref="V105">IFERROR(IF(D105="","",INDEX('M04-S11'!$AY$18:$AY$199,2*(ROWS(V$103:V105)-1)+1)),"")</f>
        <v/>
      </c>
      <c r="W105" t="str" cm="1">
        <f t="array" ref="W105">IFERROR(IF(D105="","",INDEX('M04-S11'!$AV$18:$AV$199,2*(ROWS(W$103:W105)-1)+1)),"")</f>
        <v/>
      </c>
      <c r="X105" t="str" cm="1">
        <f t="array" ref="X105">IFERROR(IF(D105="","",INDEX('M04-S11'!$AV$18:$AV$199,2*(ROWS(X$103:X105)-0)+0)),"")</f>
        <v/>
      </c>
      <c r="AG105" s="98" t="str" cm="1">
        <f t="array" ref="AG105">IFERROR(IF(D105="","",IF(INDEX('M04-S11'!$CB$18:$CB$199,2*(ROWS(AG$103:AG105)-1)+1)="","",INDEX('M04-S11'!$CB$18:$CB$199,2*(ROWS(AG$103:AG105)-1)+1))),"")</f>
        <v/>
      </c>
      <c r="AH105" s="98" t="str" cm="1">
        <f t="array" ref="AH105">IFERROR(IF(D105="","",IF(INDEX('M04-S11'!$CU$18:$CU$199,2*(ROWS(AH$103:AH105)-1)+1)="","",INDEX('M04-S11'!$CU$18:$CU$199,2*(ROWS(AH$103:AH105)-1)+1))),"")</f>
        <v/>
      </c>
      <c r="AI105" s="20" t="str" cm="1">
        <f t="array" ref="AI105">IFERROR(IF(D105="","",IF(INDEX('M04-S11'!$CM$18:$CM$199,2*(ROWS(AI$103:AI105)-1)+1)="",0,INDEX('M04-S11'!$CM$18:$CM$199,2*(ROWS(AI$103:AI105)-1)+1))),"")</f>
        <v/>
      </c>
      <c r="AJ105" s="20" t="str">
        <f t="shared" si="86"/>
        <v/>
      </c>
      <c r="AK105" s="487" t="str" cm="1">
        <f t="array" ref="AK105">IFERROR(IF(D105="","",IF(INDEX('M04-S11'!$CN$18:$CN$199,2*(ROWS(AK$103:AK105)-1)+1)="",0,INDEX('M04-S11'!$CN$18:$CN$199,2*(ROWS(AK$103:AK105)-1)+1))),"")</f>
        <v/>
      </c>
      <c r="AL105" s="20" t="str">
        <f t="shared" si="170"/>
        <v/>
      </c>
      <c r="AM105" s="20" t="str">
        <f t="shared" si="162"/>
        <v/>
      </c>
      <c r="AN105" s="20" t="str" cm="1">
        <f t="array" ref="AN105">IFERROR(IF(D105="","",IF(INDEX('M04-S11'!$CO$18:$CO$199,2*(ROWS(AN$103:AN105)-1)+1)="",0,INDEX('M04-S11'!$CO$18:$CO$199,2*(ROWS(AN$103:AN105)-1)+1))),"")</f>
        <v/>
      </c>
      <c r="AO105" s="20" t="str" cm="1">
        <f t="array" ref="AO105">IFERROR(IF(D105="","",INDEX('M04-S11'!$R$18:$R$199,2*(ROWS(AO$103:AO105)-1)+1)),"")</f>
        <v/>
      </c>
      <c r="AP105" s="20" t="str" cm="1">
        <f t="array" ref="AP105">IFERROR(IF(D105="","",INDEX('M04-S11'!$AJ$18:$AJ$199,2*(ROWS(AP$103:AP105)-1)+1)),"")</f>
        <v/>
      </c>
      <c r="AQ105" s="487" t="str" cm="1">
        <f t="array" ref="AQ105">IFERROR(IF(D105="","",INDEX('M04-S11'!$U$18:$U$199,2*(ROWS(AQ$103:AQ105)-1)+1)),"")</f>
        <v/>
      </c>
      <c r="AR105" s="487" t="str" cm="1">
        <f t="array" ref="AR105">IFERROR(IF(D105="","",INDEX('M04-S11'!$AM$18:$AM$199,2*(ROWS(AR$103:AR105)-1)+1)),"")</f>
        <v/>
      </c>
      <c r="AS105" s="20" t="str" cm="1">
        <f t="array" ref="AS105">IFERROR(IF(D105="","",INDEX('M04-S11'!$X$18:$X$199,2*(ROWS(AS$103:AS105)-1)+1)),"")</f>
        <v/>
      </c>
      <c r="AT105" s="20" t="str" cm="1">
        <f t="array" ref="AT105">IFERROR(IF(D105="","",INDEX('M04-S11'!$AP$18:$AP$199,2*(ROWS(AT$103:AT105)-1)+1)),"")</f>
        <v/>
      </c>
      <c r="BP105" t="str" cm="1">
        <f t="array" ref="BP105">IFERROR(IF(D105="","",INDEX('M04-S11'!$CS$18:$CS$199,2*(ROWS(BP$103:BP105)-1)+1)),"")</f>
        <v/>
      </c>
      <c r="BR105" t="str" cm="1">
        <f t="array" ref="BR105">IFERROR(IF(D105="","",LEFT(INDEX('M04-S11'!$C$18:$C$199,2*(ROWS(BR$103:BR105)-1)+1),150)),"")</f>
        <v/>
      </c>
      <c r="BS105" t="str" cm="1">
        <f t="array" ref="BS105">IFERROR(IF(D105="","",INDEX('M04-S11'!$CT$18:$CT$199,2*(ROWS(BS$103:BS105)-1)+1)),"")</f>
        <v/>
      </c>
      <c r="BT105" s="6" t="str" cm="1">
        <f t="array" ref="BT105">IFERROR(ROUND(IF(D105="","",INDEX('M04-S11'!$BB$18:$BB$199,2*(ROWS(BT$103:BT105)-1)+1)),2),"")</f>
        <v/>
      </c>
      <c r="BU105" s="6" t="str" cm="1">
        <f t="array" ref="BU105">IFERROR(IF(D105="","",INDEX('M04-S11'!$CX$18:$CX$199,2*(ROWS(BU$103:BU105)-1)+1)),"")</f>
        <v/>
      </c>
      <c r="BV105" s="6" t="str" cm="1">
        <f t="array" ref="BV105">IFERROR(IF(D105="","",INDEX('M04-S11'!$CY$18:$CY$199,2*(ROWS(BV$103:BV105)-1)+1)),"")</f>
        <v/>
      </c>
      <c r="BW105" t="str">
        <f t="shared" si="171"/>
        <v/>
      </c>
      <c r="BX105" t="str">
        <f t="shared" si="172"/>
        <v/>
      </c>
      <c r="BY105" s="6" t="str" cm="1">
        <f t="array" ref="BY105">IFERROR(IF(D105="","",INDEX('M04-S11'!$CI$18:$CI$199,2*(ROWS(BY$103:BY105)-1)+1)),"")</f>
        <v/>
      </c>
      <c r="BZ105" s="6" t="str">
        <f t="shared" si="105"/>
        <v/>
      </c>
      <c r="CA105" s="6" t="str">
        <f t="shared" si="106"/>
        <v/>
      </c>
      <c r="CB105" s="6" t="str">
        <f t="shared" si="87"/>
        <v/>
      </c>
      <c r="CC105" s="6" t="str">
        <f t="shared" si="163"/>
        <v/>
      </c>
      <c r="CD105" s="6" t="str">
        <f t="shared" si="164"/>
        <v/>
      </c>
      <c r="CS105" t="str" cm="1">
        <f t="array" ref="CS105">IFERROR(IF(D105="","",INDEX('M04-S11'!$F$18:$F$199,2*(ROWS(CS$103:CS105)-1)+1)),"")</f>
        <v/>
      </c>
      <c r="CT105" t="str" cm="1">
        <f t="array" ref="CT105">IFERROR(IF(D105="","",INDEX('M04-S11'!$L$18:$L$199,2*(ROWS(CT$103:CT105)-1)+1)),"")</f>
        <v/>
      </c>
      <c r="CU105" t="str" cm="1">
        <f t="array" ref="CU105">IFERROR(IF(D105="","",INDEX('M04-S11'!$AD$18:$AD$199,2*(ROWS(CU$103:CU105)-1)+1)),"")</f>
        <v/>
      </c>
      <c r="DE105" s="150"/>
      <c r="DF105" s="150" t="str">
        <f>IFERROR(ROUND(IF(OR(D105="",DE105=""),"",TEMPLATE!$V$19),2),"")</f>
        <v/>
      </c>
      <c r="DG105" s="150"/>
      <c r="DH105" s="150" t="str">
        <f>IFERROR(ROUND(IF(OR(D105="",DG105=""),"",TEMPLATE!$V$19),2),"")</f>
        <v/>
      </c>
      <c r="DI105" s="150"/>
      <c r="DJ105" s="150" t="str">
        <f>IFERROR(ROUND(IF(OR(D105="",DI105=""),"",TEMPLATE!$V$19),2),"")</f>
        <v/>
      </c>
      <c r="DK105" s="150"/>
      <c r="DL105" s="150" t="str">
        <f>IFERROR(ROUND(IF(OR(D105="",DK105=""),"",TEMPLATE!$V$19),2),"")</f>
        <v/>
      </c>
      <c r="DM105" s="150"/>
      <c r="DN105" s="150" t="str">
        <f>IFERROR(ROUND(IF(OR(D105="",DM105=""),"",TEMPLATE!$V$19),2),"")</f>
        <v/>
      </c>
      <c r="DO105" s="150"/>
      <c r="DP105" s="150" t="str">
        <f>IFERROR(ROUND(IF(OR(D105="",DO105=""),"",TEMPLATE!$V$19),2),"")</f>
        <v/>
      </c>
      <c r="DQ105" s="150"/>
      <c r="DR105" s="150" t="str">
        <f>IFERROR(ROUND(IF(OR(D105="",DQ105=""),"",TEMPLATE!$V$19),2),"")</f>
        <v/>
      </c>
      <c r="DS105" s="150"/>
      <c r="DT105" s="150" t="str">
        <f>IFERROR(ROUND(IF(OR(D105="",DS105=""),"",TEMPLATE!$V$19),2),"")</f>
        <v/>
      </c>
      <c r="DU105" s="150" t="str" cm="1">
        <f t="array" ref="DU105">IFERROR(ROUND(IF($D105="","",INDEX('M04-S11'!DD$18:DD$199,2*(ROWS(DU$103:DU105)-1)+1)),4),"")</f>
        <v/>
      </c>
      <c r="DV105" s="150" t="str" cm="1">
        <f t="array" ref="DV105">IFERROR(ROUND(IF($D105="","",INDEX('M04-S11'!DE$18:DE$199,2*(ROWS(DV$103:DV105)-1)+1)),4),"")</f>
        <v/>
      </c>
      <c r="DW105" s="150" t="str" cm="1">
        <f t="array" ref="DW105">IFERROR(ROUND(IF($D105="","",INDEX('M04-S11'!DF$18:DF$199,2*(ROWS(DW$103:DW105)-1)+1)),4),"")</f>
        <v/>
      </c>
      <c r="DX105" s="150" t="str" cm="1">
        <f t="array" ref="DX105">IFERROR(ROUND(IF($D105="","",INDEX('M04-S11'!DG$18:DG$199,2*(ROWS(DX$103:DX105)-1)+1)),4),"")</f>
        <v/>
      </c>
      <c r="DY105" s="150" t="str" cm="1">
        <f t="array" ref="DY105">IFERROR(ROUND(IF($D105="","",INDEX('M04-S11'!DH$18:DH$199,2*(ROWS(DY$103:DY105)-1)+1)),4),"")</f>
        <v/>
      </c>
      <c r="DZ105" s="150" t="str" cm="1">
        <f t="array" ref="DZ105">IFERROR(ROUND(IF($D105="","",INDEX('M04-S11'!DI$18:DI$199,2*(ROWS(DZ$103:DZ105)-1)+1)),4),"")</f>
        <v/>
      </c>
      <c r="EA105" s="150" t="str" cm="1">
        <f t="array" ref="EA105">IFERROR(ROUND(IF($D105="","",INDEX('M04-S11'!DJ$18:DJ$199,2*(ROWS(EA$103:EA105)-1)+1)),4),"")</f>
        <v/>
      </c>
      <c r="EB105" s="150" t="str" cm="1">
        <f t="array" ref="EB105">IFERROR(ROUND(IF($D105="","",INDEX('M04-S11'!DK$18:DK$199,2*(ROWS(EB$103:EB105)-1)+1)),6),"")</f>
        <v/>
      </c>
      <c r="EC105" s="150" t="str" cm="1">
        <f t="array" ref="EC105">IFERROR(ROUND(IF($D105="","",INDEX('M04-S11'!DL$18:DL$199,2*(ROWS(EC$103:EC105)-1)+1)),6),"")</f>
        <v/>
      </c>
      <c r="ED105" s="150" t="str" cm="1">
        <f t="array" ref="ED105">IFERROR(ROUND(IF($D105="","",INDEX('M04-S11'!DM$18:DM$199,2*(ROWS(ED$103:ED105)-1)+1)),6),"")</f>
        <v/>
      </c>
      <c r="EE105" s="150" t="str" cm="1">
        <f t="array" ref="EE105">IFERROR(ROUND(IF($D105="","",INDEX('M04-S11'!DN$18:DN$199,2*(ROWS(EE$103:EE105)-1)+1)),6),"")</f>
        <v/>
      </c>
      <c r="EF105" s="150" t="str" cm="1">
        <f t="array" ref="EF105">IFERROR(ROUND(IF($D105="","",INDEX('M04-S11'!DO$18:DO$199,2*(ROWS(EF$103:EF105)-1)+1)),6),"")</f>
        <v/>
      </c>
      <c r="EG105" s="150" t="str" cm="1">
        <f t="array" ref="EG105">IFERROR(ROUND(IF($D105="","",INDEX('M04-S11'!DP$18:DP$199,2*(ROWS(EG$103:EG105)-1)+1)),6),"")</f>
        <v/>
      </c>
      <c r="EH105" s="150" t="str" cm="1">
        <f t="array" ref="EH105">IFERROR(ROUND(IF($D105="","",INDEX('M04-S11'!DQ$18:DQ$199,2*(ROWS(EH$103:EH105)-1)+1)),6),"")</f>
        <v/>
      </c>
      <c r="EI105" s="150" t="str" cm="1">
        <f t="array" ref="EI105">IFERROR(ROUND(IF($D105="","",INDEX('M04-S11'!DR$18:DR$199,2*(ROWS(EI$103:EI105)-1)+1)),6),"")</f>
        <v/>
      </c>
      <c r="EJ105" s="150" t="str" cm="1">
        <f t="array" ref="EJ105">IFERROR(ROUND(IF($D105="","",INDEX('M04-S11'!DS$18:DS$199,2*(ROWS(EJ$103:EJ105)-1)+1)),6),"")</f>
        <v/>
      </c>
      <c r="EK105" s="150" t="str" cm="1">
        <f t="array" ref="EK105">IFERROR(ROUND(IF($D105="","",INDEX('M04-S11'!DT$18:DT$199,2*(ROWS(EK$103:EK105)-1)+1)),6),"")</f>
        <v/>
      </c>
      <c r="EL105" s="150" t="str" cm="1">
        <f t="array" ref="EL105">IFERROR(ROUND(IF($D105="","",INDEX('M04-S11'!DU$18:DU$199,2*(ROWS(EL$103:EL105)-1)+1)),6),"")</f>
        <v/>
      </c>
      <c r="EM105" s="150" t="str" cm="1">
        <f t="array" ref="EM105">IFERROR(ROUND(IF($D105="","",INDEX('M04-S11'!DV$18:DV$199,2*(ROWS(EM$103:EM105)-1)+1)),6),"")</f>
        <v/>
      </c>
      <c r="EN105" s="150" t="str" cm="1">
        <f t="array" ref="EN105">IFERROR(ROUND(IF($D105="","",INDEX('M04-S11'!DW$18:DW$199,2*(ROWS(EN$103:EN105)-1)+1)),6),"")</f>
        <v/>
      </c>
      <c r="EO105" s="150" t="str" cm="1">
        <f t="array" ref="EO105">IFERROR(ROUND(IF($D105="","",INDEX('M04-S11'!DX$18:DX$199,2*(ROWS(EO$103:EO105)-1)+1)),6),"")</f>
        <v/>
      </c>
      <c r="EP105" s="150" t="str" cm="1">
        <f t="array" ref="EP105">IFERROR(ROUND(IF($D105="","",INDEX('M04-S11'!DY$18:DY$199,2*(ROWS(EP$103:EP105)-1)+1)),6),"")</f>
        <v/>
      </c>
      <c r="EQ105" s="150" t="str" cm="1">
        <f t="array" ref="EQ105">IFERROR(ROUND(IF($D105="","",INDEX('M04-S11'!DZ$18:DZ$199,2*(ROWS(EQ$103:EQ105)-1)+1)),6),"")</f>
        <v/>
      </c>
      <c r="ER105" s="150" t="str">
        <f t="shared" si="109"/>
        <v/>
      </c>
      <c r="ES105" s="150" t="str">
        <f t="shared" si="134"/>
        <v/>
      </c>
      <c r="ET105" s="150" t="str">
        <f t="shared" si="135"/>
        <v/>
      </c>
      <c r="EU105" s="150" t="str">
        <f t="shared" si="136"/>
        <v/>
      </c>
      <c r="EV105" s="150" t="str">
        <f t="shared" si="137"/>
        <v/>
      </c>
      <c r="EW105" s="150" t="str">
        <f t="shared" si="138"/>
        <v/>
      </c>
      <c r="EX105" s="150" t="str">
        <f t="shared" si="139"/>
        <v/>
      </c>
      <c r="EY105" s="150" t="str">
        <f t="shared" si="110"/>
        <v/>
      </c>
      <c r="EZ105" s="150" t="str" cm="1">
        <f t="array" ref="EZ105">IFERROR(ROUND(IF($D105="","",INDEX('M04-S11'!EA$18:EA$199,2*(ROWS(EZ$103:EZ105)-1)+1)),6),"")</f>
        <v/>
      </c>
      <c r="FA105" s="150" t="str" cm="1">
        <f t="array" ref="FA105">IFERROR(ROUND(IF($D105="","",INDEX('M04-S11'!EB$18:EB$199,2*(ROWS(FA$103:FA105)-1)+1)),6),"")</f>
        <v/>
      </c>
      <c r="FB105" s="150" t="str" cm="1">
        <f t="array" ref="FB105">IFERROR(ROUND(IF($D105="","",INDEX('M04-S11'!EC$18:EC$199,2*(ROWS(FB$103:FB105)-1)+1)),6),"")</f>
        <v/>
      </c>
      <c r="FC105" s="150" t="str" cm="1">
        <f t="array" ref="FC105">IFERROR(ROUND(IF($D105="","",INDEX('M04-S11'!ED$18:ED$199,2*(ROWS(FC$103:FC105)-1)+1)),6),"")</f>
        <v/>
      </c>
      <c r="FD105" s="150" t="str" cm="1">
        <f t="array" ref="FD105">IFERROR(ROUND(IF($D105="","",INDEX('M04-S11'!EE$18:EE$199,2*(ROWS(FD$103:FD105)-1)+1)),6),"")</f>
        <v/>
      </c>
      <c r="FE105" s="150" t="str" cm="1">
        <f t="array" ref="FE105">IFERROR(ROUND(IF($D105="","",INDEX('M04-S11'!EF$18:EF$199,2*(ROWS(FE$103:FE105)-1)+1)),6),"")</f>
        <v/>
      </c>
      <c r="FF105" s="150" t="str" cm="1">
        <f t="array" ref="FF105">IFERROR(ROUND(IF($D105="","",INDEX('M04-S11'!EG$18:EG$199,2*(ROWS(FF$103:FF105)-1)+1)),6),"")</f>
        <v/>
      </c>
      <c r="FG105" s="150" t="str" cm="1">
        <f t="array" ref="FG105">IFERROR(ROUND(IF($D105="","",INDEX('M04-S11'!EH$18:EH$199,2*(ROWS(FG$103:FG105)-1)+1)),6),"")</f>
        <v/>
      </c>
      <c r="FH105" s="150" t="str" cm="1">
        <f t="array" ref="FH105">IFERROR(ROUND(IF($D105="","",INDEX('M04-S11'!EI$18:EI$199,2*(ROWS(FH$103:FH105)-1)+1)),6),"")</f>
        <v/>
      </c>
      <c r="FI105" s="150" t="str" cm="1">
        <f t="array" ref="FI105">IFERROR(ROUND(IF($D105="","",INDEX('M04-S11'!EJ$18:EJ$199,2*(ROWS(FI$103:FI105)-1)+1)),6),"")</f>
        <v/>
      </c>
      <c r="FJ105" s="150" t="str" cm="1">
        <f t="array" ref="FJ105">IFERROR(ROUND(IF($D105="","",INDEX('M04-S11'!EK$18:EK$199,2*(ROWS(FJ$103:FJ105)-1)+1)),6),"")</f>
        <v/>
      </c>
      <c r="FK105" s="150" t="str" cm="1">
        <f t="array" ref="FK105">IFERROR(ROUND(IF($D105="","",INDEX('M04-S11'!EL$18:EL$199,2*(ROWS(FK$103:FK105)-1)+1)),6),"")</f>
        <v/>
      </c>
      <c r="FL105" s="150" t="str" cm="1">
        <f t="array" ref="FL105">IFERROR(ROUND(IF($D105="","",INDEX('M04-S11'!EM$18:EM$199,2*(ROWS(FL$103:FL105)-1)+1)),6),"")</f>
        <v/>
      </c>
      <c r="FM105" s="150" t="str" cm="1">
        <f t="array" ref="FM105">IFERROR(ROUND(IF($D105="","",INDEX('M04-S11'!EN$18:EN$199,2*(ROWS(FM$103:FM105)-1)+1)),6),"")</f>
        <v/>
      </c>
    </row>
    <row r="106" spans="1:169">
      <c r="A106" t="str">
        <f t="shared" si="154"/>
        <v/>
      </c>
      <c r="B106" t="str">
        <f t="shared" si="165"/>
        <v/>
      </c>
      <c r="C106" t="str" cm="1">
        <f t="array" ref="C106">IFERROR(IF(D106="","",INDEX('M04-S11'!$B$18:$B$199,2*(ROWS(C$103:C106)-1)+1)),"")</f>
        <v/>
      </c>
      <c r="D106" t="str">
        <f t="shared" si="166"/>
        <v/>
      </c>
      <c r="E106" t="str" cm="1">
        <f t="array" ref="E106">IFERROR(IF(INDEX('M04-S11'!$CC$18:$CC$199,2*(ROWS(E$103:E106)-1)+1)="","",INDEX('M04-S11'!$CC$18:$CC$199,2*(ROWS(E$103:E106)-1)+1)),"")</f>
        <v/>
      </c>
      <c r="G106" t="str">
        <f t="shared" si="167"/>
        <v/>
      </c>
      <c r="H106" t="str">
        <f t="shared" si="168"/>
        <v/>
      </c>
      <c r="L106" t="str">
        <f t="shared" si="169"/>
        <v/>
      </c>
      <c r="O106" t="str">
        <f t="shared" si="160"/>
        <v/>
      </c>
      <c r="V106" t="str" cm="1">
        <f t="array" ref="V106">IFERROR(IF(D106="","",INDEX('M04-S11'!$AY$18:$AY$199,2*(ROWS(V$103:V106)-1)+1)),"")</f>
        <v/>
      </c>
      <c r="W106" t="str" cm="1">
        <f t="array" ref="W106">IFERROR(IF(D106="","",INDEX('M04-S11'!$AV$18:$AV$199,2*(ROWS(W$103:W106)-1)+1)),"")</f>
        <v/>
      </c>
      <c r="X106" t="str" cm="1">
        <f t="array" ref="X106">IFERROR(IF(D106="","",INDEX('M04-S11'!$AV$18:$AV$199,2*(ROWS(X$103:X106)-0)+0)),"")</f>
        <v/>
      </c>
      <c r="AG106" s="98" t="str" cm="1">
        <f t="array" ref="AG106">IFERROR(IF(D106="","",IF(INDEX('M04-S11'!$CB$18:$CB$199,2*(ROWS(AG$103:AG106)-1)+1)="","",INDEX('M04-S11'!$CB$18:$CB$199,2*(ROWS(AG$103:AG106)-1)+1))),"")</f>
        <v/>
      </c>
      <c r="AH106" s="98" t="str" cm="1">
        <f t="array" ref="AH106">IFERROR(IF(D106="","",IF(INDEX('M04-S11'!$CU$18:$CU$199,2*(ROWS(AH$103:AH106)-1)+1)="","",INDEX('M04-S11'!$CU$18:$CU$199,2*(ROWS(AH$103:AH106)-1)+1))),"")</f>
        <v/>
      </c>
      <c r="AI106" s="20" t="str" cm="1">
        <f t="array" ref="AI106">IFERROR(IF(D106="","",IF(INDEX('M04-S11'!$CM$18:$CM$199,2*(ROWS(AI$103:AI106)-1)+1)="",0,INDEX('M04-S11'!$CM$18:$CM$199,2*(ROWS(AI$103:AI106)-1)+1))),"")</f>
        <v/>
      </c>
      <c r="AJ106" s="20" t="str">
        <f t="shared" si="86"/>
        <v/>
      </c>
      <c r="AK106" s="487" t="str" cm="1">
        <f t="array" ref="AK106">IFERROR(IF(D106="","",IF(INDEX('M04-S11'!$CN$18:$CN$199,2*(ROWS(AK$103:AK106)-1)+1)="",0,INDEX('M04-S11'!$CN$18:$CN$199,2*(ROWS(AK$103:AK106)-1)+1))),"")</f>
        <v/>
      </c>
      <c r="AL106" s="20" t="str">
        <f t="shared" si="170"/>
        <v/>
      </c>
      <c r="AM106" s="20" t="str">
        <f t="shared" si="162"/>
        <v/>
      </c>
      <c r="AN106" s="20" t="str" cm="1">
        <f t="array" ref="AN106">IFERROR(IF(D106="","",IF(INDEX('M04-S11'!$CO$18:$CO$199,2*(ROWS(AN$103:AN106)-1)+1)="",0,INDEX('M04-S11'!$CO$18:$CO$199,2*(ROWS(AN$103:AN106)-1)+1))),"")</f>
        <v/>
      </c>
      <c r="AO106" s="20" t="str" cm="1">
        <f t="array" ref="AO106">IFERROR(IF(D106="","",INDEX('M04-S11'!$R$18:$R$199,2*(ROWS(AO$103:AO106)-1)+1)),"")</f>
        <v/>
      </c>
      <c r="AP106" s="20" t="str" cm="1">
        <f t="array" ref="AP106">IFERROR(IF(D106="","",INDEX('M04-S11'!$AJ$18:$AJ$199,2*(ROWS(AP$103:AP106)-1)+1)),"")</f>
        <v/>
      </c>
      <c r="AQ106" s="487" t="str" cm="1">
        <f t="array" ref="AQ106">IFERROR(IF(D106="","",INDEX('M04-S11'!$U$18:$U$199,2*(ROWS(AQ$103:AQ106)-1)+1)),"")</f>
        <v/>
      </c>
      <c r="AR106" s="487" t="str" cm="1">
        <f t="array" ref="AR106">IFERROR(IF(D106="","",INDEX('M04-S11'!$AM$18:$AM$199,2*(ROWS(AR$103:AR106)-1)+1)),"")</f>
        <v/>
      </c>
      <c r="AS106" s="20" t="str" cm="1">
        <f t="array" ref="AS106">IFERROR(IF(D106="","",INDEX('M04-S11'!$X$18:$X$199,2*(ROWS(AS$103:AS106)-1)+1)),"")</f>
        <v/>
      </c>
      <c r="AT106" s="20" t="str" cm="1">
        <f t="array" ref="AT106">IFERROR(IF(D106="","",INDEX('M04-S11'!$AP$18:$AP$199,2*(ROWS(AT$103:AT106)-1)+1)),"")</f>
        <v/>
      </c>
      <c r="BP106" t="str" cm="1">
        <f t="array" ref="BP106">IFERROR(IF(D106="","",INDEX('M04-S11'!$CS$18:$CS$199,2*(ROWS(BP$103:BP106)-1)+1)),"")</f>
        <v/>
      </c>
      <c r="BR106" t="str" cm="1">
        <f t="array" ref="BR106">IFERROR(IF(D106="","",LEFT(INDEX('M04-S11'!$C$18:$C$199,2*(ROWS(BR$103:BR106)-1)+1),150)),"")</f>
        <v/>
      </c>
      <c r="BS106" t="str" cm="1">
        <f t="array" ref="BS106">IFERROR(IF(D106="","",INDEX('M04-S11'!$CT$18:$CT$199,2*(ROWS(BS$103:BS106)-1)+1)),"")</f>
        <v/>
      </c>
      <c r="BT106" s="6" t="str" cm="1">
        <f t="array" ref="BT106">IFERROR(ROUND(IF(D106="","",INDEX('M04-S11'!$BB$18:$BB$199,2*(ROWS(BT$103:BT106)-1)+1)),2),"")</f>
        <v/>
      </c>
      <c r="BU106" s="6" t="str" cm="1">
        <f t="array" ref="BU106">IFERROR(IF(D106="","",INDEX('M04-S11'!$CX$18:$CX$199,2*(ROWS(BU$103:BU106)-1)+1)),"")</f>
        <v/>
      </c>
      <c r="BV106" s="6" t="str" cm="1">
        <f t="array" ref="BV106">IFERROR(IF(D106="","",INDEX('M04-S11'!$CY$18:$CY$199,2*(ROWS(BV$103:BV106)-1)+1)),"")</f>
        <v/>
      </c>
      <c r="BW106" t="str">
        <f t="shared" si="171"/>
        <v/>
      </c>
      <c r="BX106" t="str">
        <f t="shared" si="172"/>
        <v/>
      </c>
      <c r="BY106" s="6" t="str" cm="1">
        <f t="array" ref="BY106">IFERROR(IF(D106="","",INDEX('M04-S11'!$CI$18:$CI$199,2*(ROWS(BY$103:BY106)-1)+1)),"")</f>
        <v/>
      </c>
      <c r="BZ106" s="6" t="str">
        <f t="shared" si="105"/>
        <v/>
      </c>
      <c r="CA106" s="6" t="str">
        <f t="shared" si="106"/>
        <v/>
      </c>
      <c r="CB106" s="6" t="str">
        <f t="shared" si="87"/>
        <v/>
      </c>
      <c r="CC106" s="6" t="str">
        <f t="shared" si="163"/>
        <v/>
      </c>
      <c r="CD106" s="6" t="str">
        <f t="shared" si="164"/>
        <v/>
      </c>
      <c r="CS106" t="str" cm="1">
        <f t="array" ref="CS106">IFERROR(IF(D106="","",INDEX('M04-S11'!$F$18:$F$199,2*(ROWS(CS$103:CS106)-1)+1)),"")</f>
        <v/>
      </c>
      <c r="CT106" t="str" cm="1">
        <f t="array" ref="CT106">IFERROR(IF(D106="","",INDEX('M04-S11'!$L$18:$L$199,2*(ROWS(CT$103:CT106)-1)+1)),"")</f>
        <v/>
      </c>
      <c r="CU106" t="str" cm="1">
        <f t="array" ref="CU106">IFERROR(IF(D106="","",INDEX('M04-S11'!$AD$18:$AD$199,2*(ROWS(CU$103:CU106)-1)+1)),"")</f>
        <v/>
      </c>
      <c r="DE106" s="150"/>
      <c r="DF106" s="150" t="str">
        <f>IFERROR(ROUND(IF(OR(D106="",DE106=""),"",TEMPLATE!$V$19),2),"")</f>
        <v/>
      </c>
      <c r="DG106" s="150"/>
      <c r="DH106" s="150" t="str">
        <f>IFERROR(ROUND(IF(OR(D106="",DG106=""),"",TEMPLATE!$V$19),2),"")</f>
        <v/>
      </c>
      <c r="DI106" s="150"/>
      <c r="DJ106" s="150" t="str">
        <f>IFERROR(ROUND(IF(OR(D106="",DI106=""),"",TEMPLATE!$V$19),2),"")</f>
        <v/>
      </c>
      <c r="DK106" s="150"/>
      <c r="DL106" s="150" t="str">
        <f>IFERROR(ROUND(IF(OR(D106="",DK106=""),"",TEMPLATE!$V$19),2),"")</f>
        <v/>
      </c>
      <c r="DM106" s="150"/>
      <c r="DN106" s="150" t="str">
        <f>IFERROR(ROUND(IF(OR(D106="",DM106=""),"",TEMPLATE!$V$19),2),"")</f>
        <v/>
      </c>
      <c r="DO106" s="150"/>
      <c r="DP106" s="150" t="str">
        <f>IFERROR(ROUND(IF(OR(D106="",DO106=""),"",TEMPLATE!$V$19),2),"")</f>
        <v/>
      </c>
      <c r="DQ106" s="150"/>
      <c r="DR106" s="150" t="str">
        <f>IFERROR(ROUND(IF(OR(D106="",DQ106=""),"",TEMPLATE!$V$19),2),"")</f>
        <v/>
      </c>
      <c r="DS106" s="150"/>
      <c r="DT106" s="150" t="str">
        <f>IFERROR(ROUND(IF(OR(D106="",DS106=""),"",TEMPLATE!$V$19),2),"")</f>
        <v/>
      </c>
      <c r="DU106" s="150" t="str" cm="1">
        <f t="array" ref="DU106">IFERROR(ROUND(IF($D106="","",INDEX('M04-S11'!DD$18:DD$199,2*(ROWS(DU$103:DU106)-1)+1)),4),"")</f>
        <v/>
      </c>
      <c r="DV106" s="150" t="str" cm="1">
        <f t="array" ref="DV106">IFERROR(ROUND(IF($D106="","",INDEX('M04-S11'!DE$18:DE$199,2*(ROWS(DV$103:DV106)-1)+1)),4),"")</f>
        <v/>
      </c>
      <c r="DW106" s="150" t="str" cm="1">
        <f t="array" ref="DW106">IFERROR(ROUND(IF($D106="","",INDEX('M04-S11'!DF$18:DF$199,2*(ROWS(DW$103:DW106)-1)+1)),4),"")</f>
        <v/>
      </c>
      <c r="DX106" s="150" t="str" cm="1">
        <f t="array" ref="DX106">IFERROR(ROUND(IF($D106="","",INDEX('M04-S11'!DG$18:DG$199,2*(ROWS(DX$103:DX106)-1)+1)),4),"")</f>
        <v/>
      </c>
      <c r="DY106" s="150" t="str" cm="1">
        <f t="array" ref="DY106">IFERROR(ROUND(IF($D106="","",INDEX('M04-S11'!DH$18:DH$199,2*(ROWS(DY$103:DY106)-1)+1)),4),"")</f>
        <v/>
      </c>
      <c r="DZ106" s="150" t="str" cm="1">
        <f t="array" ref="DZ106">IFERROR(ROUND(IF($D106="","",INDEX('M04-S11'!DI$18:DI$199,2*(ROWS(DZ$103:DZ106)-1)+1)),4),"")</f>
        <v/>
      </c>
      <c r="EA106" s="150" t="str" cm="1">
        <f t="array" ref="EA106">IFERROR(ROUND(IF($D106="","",INDEX('M04-S11'!DJ$18:DJ$199,2*(ROWS(EA$103:EA106)-1)+1)),4),"")</f>
        <v/>
      </c>
      <c r="EB106" s="150" t="str" cm="1">
        <f t="array" ref="EB106">IFERROR(ROUND(IF($D106="","",INDEX('M04-S11'!DK$18:DK$199,2*(ROWS(EB$103:EB106)-1)+1)),6),"")</f>
        <v/>
      </c>
      <c r="EC106" s="150" t="str" cm="1">
        <f t="array" ref="EC106">IFERROR(ROUND(IF($D106="","",INDEX('M04-S11'!DL$18:DL$199,2*(ROWS(EC$103:EC106)-1)+1)),6),"")</f>
        <v/>
      </c>
      <c r="ED106" s="150" t="str" cm="1">
        <f t="array" ref="ED106">IFERROR(ROUND(IF($D106="","",INDEX('M04-S11'!DM$18:DM$199,2*(ROWS(ED$103:ED106)-1)+1)),6),"")</f>
        <v/>
      </c>
      <c r="EE106" s="150" t="str" cm="1">
        <f t="array" ref="EE106">IFERROR(ROUND(IF($D106="","",INDEX('M04-S11'!DN$18:DN$199,2*(ROWS(EE$103:EE106)-1)+1)),6),"")</f>
        <v/>
      </c>
      <c r="EF106" s="150" t="str" cm="1">
        <f t="array" ref="EF106">IFERROR(ROUND(IF($D106="","",INDEX('M04-S11'!DO$18:DO$199,2*(ROWS(EF$103:EF106)-1)+1)),6),"")</f>
        <v/>
      </c>
      <c r="EG106" s="150" t="str" cm="1">
        <f t="array" ref="EG106">IFERROR(ROUND(IF($D106="","",INDEX('M04-S11'!DP$18:DP$199,2*(ROWS(EG$103:EG106)-1)+1)),6),"")</f>
        <v/>
      </c>
      <c r="EH106" s="150" t="str" cm="1">
        <f t="array" ref="EH106">IFERROR(ROUND(IF($D106="","",INDEX('M04-S11'!DQ$18:DQ$199,2*(ROWS(EH$103:EH106)-1)+1)),6),"")</f>
        <v/>
      </c>
      <c r="EI106" s="150" t="str" cm="1">
        <f t="array" ref="EI106">IFERROR(ROUND(IF($D106="","",INDEX('M04-S11'!DR$18:DR$199,2*(ROWS(EI$103:EI106)-1)+1)),6),"")</f>
        <v/>
      </c>
      <c r="EJ106" s="150" t="str" cm="1">
        <f t="array" ref="EJ106">IFERROR(ROUND(IF($D106="","",INDEX('M04-S11'!DS$18:DS$199,2*(ROWS(EJ$103:EJ106)-1)+1)),6),"")</f>
        <v/>
      </c>
      <c r="EK106" s="150" t="str" cm="1">
        <f t="array" ref="EK106">IFERROR(ROUND(IF($D106="","",INDEX('M04-S11'!DT$18:DT$199,2*(ROWS(EK$103:EK106)-1)+1)),6),"")</f>
        <v/>
      </c>
      <c r="EL106" s="150" t="str" cm="1">
        <f t="array" ref="EL106">IFERROR(ROUND(IF($D106="","",INDEX('M04-S11'!DU$18:DU$199,2*(ROWS(EL$103:EL106)-1)+1)),6),"")</f>
        <v/>
      </c>
      <c r="EM106" s="150" t="str" cm="1">
        <f t="array" ref="EM106">IFERROR(ROUND(IF($D106="","",INDEX('M04-S11'!DV$18:DV$199,2*(ROWS(EM$103:EM106)-1)+1)),6),"")</f>
        <v/>
      </c>
      <c r="EN106" s="150" t="str" cm="1">
        <f t="array" ref="EN106">IFERROR(ROUND(IF($D106="","",INDEX('M04-S11'!DW$18:DW$199,2*(ROWS(EN$103:EN106)-1)+1)),6),"")</f>
        <v/>
      </c>
      <c r="EO106" s="150" t="str" cm="1">
        <f t="array" ref="EO106">IFERROR(ROUND(IF($D106="","",INDEX('M04-S11'!DX$18:DX$199,2*(ROWS(EO$103:EO106)-1)+1)),6),"")</f>
        <v/>
      </c>
      <c r="EP106" s="150" t="str" cm="1">
        <f t="array" ref="EP106">IFERROR(ROUND(IF($D106="","",INDEX('M04-S11'!DY$18:DY$199,2*(ROWS(EP$103:EP106)-1)+1)),6),"")</f>
        <v/>
      </c>
      <c r="EQ106" s="150" t="str" cm="1">
        <f t="array" ref="EQ106">IFERROR(ROUND(IF($D106="","",INDEX('M04-S11'!DZ$18:DZ$199,2*(ROWS(EQ$103:EQ106)-1)+1)),6),"")</f>
        <v/>
      </c>
      <c r="ER106" s="150" t="str">
        <f t="shared" si="109"/>
        <v/>
      </c>
      <c r="ES106" s="150" t="str">
        <f t="shared" si="134"/>
        <v/>
      </c>
      <c r="ET106" s="150" t="str">
        <f t="shared" si="135"/>
        <v/>
      </c>
      <c r="EU106" s="150" t="str">
        <f t="shared" si="136"/>
        <v/>
      </c>
      <c r="EV106" s="150" t="str">
        <f t="shared" si="137"/>
        <v/>
      </c>
      <c r="EW106" s="150" t="str">
        <f t="shared" si="138"/>
        <v/>
      </c>
      <c r="EX106" s="150" t="str">
        <f t="shared" si="139"/>
        <v/>
      </c>
      <c r="EY106" s="150" t="str">
        <f t="shared" si="110"/>
        <v/>
      </c>
      <c r="EZ106" s="150" t="str" cm="1">
        <f t="array" ref="EZ106">IFERROR(ROUND(IF($D106="","",INDEX('M04-S11'!EA$18:EA$199,2*(ROWS(EZ$103:EZ106)-1)+1)),6),"")</f>
        <v/>
      </c>
      <c r="FA106" s="150" t="str" cm="1">
        <f t="array" ref="FA106">IFERROR(ROUND(IF($D106="","",INDEX('M04-S11'!EB$18:EB$199,2*(ROWS(FA$103:FA106)-1)+1)),6),"")</f>
        <v/>
      </c>
      <c r="FB106" s="150" t="str" cm="1">
        <f t="array" ref="FB106">IFERROR(ROUND(IF($D106="","",INDEX('M04-S11'!EC$18:EC$199,2*(ROWS(FB$103:FB106)-1)+1)),6),"")</f>
        <v/>
      </c>
      <c r="FC106" s="150" t="str" cm="1">
        <f t="array" ref="FC106">IFERROR(ROUND(IF($D106="","",INDEX('M04-S11'!ED$18:ED$199,2*(ROWS(FC$103:FC106)-1)+1)),6),"")</f>
        <v/>
      </c>
      <c r="FD106" s="150" t="str" cm="1">
        <f t="array" ref="FD106">IFERROR(ROUND(IF($D106="","",INDEX('M04-S11'!EE$18:EE$199,2*(ROWS(FD$103:FD106)-1)+1)),6),"")</f>
        <v/>
      </c>
      <c r="FE106" s="150" t="str" cm="1">
        <f t="array" ref="FE106">IFERROR(ROUND(IF($D106="","",INDEX('M04-S11'!EF$18:EF$199,2*(ROWS(FE$103:FE106)-1)+1)),6),"")</f>
        <v/>
      </c>
      <c r="FF106" s="150" t="str" cm="1">
        <f t="array" ref="FF106">IFERROR(ROUND(IF($D106="","",INDEX('M04-S11'!EG$18:EG$199,2*(ROWS(FF$103:FF106)-1)+1)),6),"")</f>
        <v/>
      </c>
      <c r="FG106" s="150" t="str" cm="1">
        <f t="array" ref="FG106">IFERROR(ROUND(IF($D106="","",INDEX('M04-S11'!EH$18:EH$199,2*(ROWS(FG$103:FG106)-1)+1)),6),"")</f>
        <v/>
      </c>
      <c r="FH106" s="150" t="str" cm="1">
        <f t="array" ref="FH106">IFERROR(ROUND(IF($D106="","",INDEX('M04-S11'!EI$18:EI$199,2*(ROWS(FH$103:FH106)-1)+1)),6),"")</f>
        <v/>
      </c>
      <c r="FI106" s="150" t="str" cm="1">
        <f t="array" ref="FI106">IFERROR(ROUND(IF($D106="","",INDEX('M04-S11'!EJ$18:EJ$199,2*(ROWS(FI$103:FI106)-1)+1)),6),"")</f>
        <v/>
      </c>
      <c r="FJ106" s="150" t="str" cm="1">
        <f t="array" ref="FJ106">IFERROR(ROUND(IF($D106="","",INDEX('M04-S11'!EK$18:EK$199,2*(ROWS(FJ$103:FJ106)-1)+1)),6),"")</f>
        <v/>
      </c>
      <c r="FK106" s="150" t="str" cm="1">
        <f t="array" ref="FK106">IFERROR(ROUND(IF($D106="","",INDEX('M04-S11'!EL$18:EL$199,2*(ROWS(FK$103:FK106)-1)+1)),6),"")</f>
        <v/>
      </c>
      <c r="FL106" s="150" t="str" cm="1">
        <f t="array" ref="FL106">IFERROR(ROUND(IF($D106="","",INDEX('M04-S11'!EM$18:EM$199,2*(ROWS(FL$103:FL106)-1)+1)),6),"")</f>
        <v/>
      </c>
      <c r="FM106" s="150" t="str" cm="1">
        <f t="array" ref="FM106">IFERROR(ROUND(IF($D106="","",INDEX('M04-S11'!EN$18:EN$199,2*(ROWS(FM$103:FM106)-1)+1)),6),"")</f>
        <v/>
      </c>
    </row>
    <row r="107" spans="1:169">
      <c r="A107" t="str">
        <f t="shared" si="154"/>
        <v/>
      </c>
      <c r="B107" t="str">
        <f t="shared" si="165"/>
        <v/>
      </c>
      <c r="C107" t="str" cm="1">
        <f t="array" ref="C107">IFERROR(IF(D107="","",INDEX('M04-S11'!$B$18:$B$199,2*(ROWS(C$103:C107)-1)+1)),"")</f>
        <v/>
      </c>
      <c r="D107" t="str">
        <f t="shared" si="166"/>
        <v/>
      </c>
      <c r="E107" t="str" cm="1">
        <f t="array" ref="E107">IFERROR(IF(INDEX('M04-S11'!$CC$18:$CC$199,2*(ROWS(E$103:E107)-1)+1)="","",INDEX('M04-S11'!$CC$18:$CC$199,2*(ROWS(E$103:E107)-1)+1)),"")</f>
        <v/>
      </c>
      <c r="G107" t="str">
        <f t="shared" si="167"/>
        <v/>
      </c>
      <c r="H107" t="str">
        <f t="shared" si="168"/>
        <v/>
      </c>
      <c r="L107" t="str">
        <f t="shared" si="169"/>
        <v/>
      </c>
      <c r="O107" t="str">
        <f t="shared" si="160"/>
        <v/>
      </c>
      <c r="V107" t="str" cm="1">
        <f t="array" ref="V107">IFERROR(IF(D107="","",INDEX('M04-S11'!$AY$18:$AY$199,2*(ROWS(V$103:V107)-1)+1)),"")</f>
        <v/>
      </c>
      <c r="W107" t="str" cm="1">
        <f t="array" ref="W107">IFERROR(IF(D107="","",INDEX('M04-S11'!$AV$18:$AV$199,2*(ROWS(W$103:W107)-1)+1)),"")</f>
        <v/>
      </c>
      <c r="X107" t="str" cm="1">
        <f t="array" ref="X107">IFERROR(IF(D107="","",INDEX('M04-S11'!$AV$18:$AV$199,2*(ROWS(X$103:X107)-0)+0)),"")</f>
        <v/>
      </c>
      <c r="AG107" s="98" t="str" cm="1">
        <f t="array" ref="AG107">IFERROR(IF(D107="","",IF(INDEX('M04-S11'!$CB$18:$CB$199,2*(ROWS(AG$103:AG107)-1)+1)="","",INDEX('M04-S11'!$CB$18:$CB$199,2*(ROWS(AG$103:AG107)-1)+1))),"")</f>
        <v/>
      </c>
      <c r="AH107" s="98" t="str" cm="1">
        <f t="array" ref="AH107">IFERROR(IF(D107="","",IF(INDEX('M04-S11'!$CU$18:$CU$199,2*(ROWS(AH$103:AH107)-1)+1)="","",INDEX('M04-S11'!$CU$18:$CU$199,2*(ROWS(AH$103:AH107)-1)+1))),"")</f>
        <v/>
      </c>
      <c r="AI107" s="20" t="str" cm="1">
        <f t="array" ref="AI107">IFERROR(IF(D107="","",IF(INDEX('M04-S11'!$CM$18:$CM$199,2*(ROWS(AI$103:AI107)-1)+1)="",0,INDEX('M04-S11'!$CM$18:$CM$199,2*(ROWS(AI$103:AI107)-1)+1))),"")</f>
        <v/>
      </c>
      <c r="AJ107" s="20" t="str">
        <f t="shared" si="86"/>
        <v/>
      </c>
      <c r="AK107" s="487" t="str" cm="1">
        <f t="array" ref="AK107">IFERROR(IF(D107="","",IF(INDEX('M04-S11'!$CN$18:$CN$199,2*(ROWS(AK$103:AK107)-1)+1)="",0,INDEX('M04-S11'!$CN$18:$CN$199,2*(ROWS(AK$103:AK107)-1)+1))),"")</f>
        <v/>
      </c>
      <c r="AL107" s="20" t="str">
        <f t="shared" si="170"/>
        <v/>
      </c>
      <c r="AM107" s="20" t="str">
        <f t="shared" si="162"/>
        <v/>
      </c>
      <c r="AN107" s="20" t="str" cm="1">
        <f t="array" ref="AN107">IFERROR(IF(D107="","",IF(INDEX('M04-S11'!$CO$18:$CO$199,2*(ROWS(AN$103:AN107)-1)+1)="",0,INDEX('M04-S11'!$CO$18:$CO$199,2*(ROWS(AN$103:AN107)-1)+1))),"")</f>
        <v/>
      </c>
      <c r="AO107" s="20" t="str" cm="1">
        <f t="array" ref="AO107">IFERROR(IF(D107="","",INDEX('M04-S11'!$R$18:$R$199,2*(ROWS(AO$103:AO107)-1)+1)),"")</f>
        <v/>
      </c>
      <c r="AP107" s="20" t="str" cm="1">
        <f t="array" ref="AP107">IFERROR(IF(D107="","",INDEX('M04-S11'!$AJ$18:$AJ$199,2*(ROWS(AP$103:AP107)-1)+1)),"")</f>
        <v/>
      </c>
      <c r="AQ107" s="487" t="str" cm="1">
        <f t="array" ref="AQ107">IFERROR(IF(D107="","",INDEX('M04-S11'!$U$18:$U$199,2*(ROWS(AQ$103:AQ107)-1)+1)),"")</f>
        <v/>
      </c>
      <c r="AR107" s="487" t="str" cm="1">
        <f t="array" ref="AR107">IFERROR(IF(D107="","",INDEX('M04-S11'!$AM$18:$AM$199,2*(ROWS(AR$103:AR107)-1)+1)),"")</f>
        <v/>
      </c>
      <c r="AS107" s="20" t="str" cm="1">
        <f t="array" ref="AS107">IFERROR(IF(D107="","",INDEX('M04-S11'!$X$18:$X$199,2*(ROWS(AS$103:AS107)-1)+1)),"")</f>
        <v/>
      </c>
      <c r="AT107" s="20" t="str" cm="1">
        <f t="array" ref="AT107">IFERROR(IF(D107="","",INDEX('M04-S11'!$AP$18:$AP$199,2*(ROWS(AT$103:AT107)-1)+1)),"")</f>
        <v/>
      </c>
      <c r="BP107" t="str" cm="1">
        <f t="array" ref="BP107">IFERROR(IF(D107="","",INDEX('M04-S11'!$CS$18:$CS$199,2*(ROWS(BP$103:BP107)-1)+1)),"")</f>
        <v/>
      </c>
      <c r="BR107" t="str" cm="1">
        <f t="array" ref="BR107">IFERROR(IF(D107="","",LEFT(INDEX('M04-S11'!$C$18:$C$199,2*(ROWS(BR$103:BR107)-1)+1),150)),"")</f>
        <v/>
      </c>
      <c r="BS107" t="str" cm="1">
        <f t="array" ref="BS107">IFERROR(IF(D107="","",INDEX('M04-S11'!$CT$18:$CT$199,2*(ROWS(BS$103:BS107)-1)+1)),"")</f>
        <v/>
      </c>
      <c r="BT107" s="6" t="str" cm="1">
        <f t="array" ref="BT107">IFERROR(ROUND(IF(D107="","",INDEX('M04-S11'!$BB$18:$BB$199,2*(ROWS(BT$103:BT107)-1)+1)),2),"")</f>
        <v/>
      </c>
      <c r="BU107" s="6" t="str" cm="1">
        <f t="array" ref="BU107">IFERROR(IF(D107="","",INDEX('M04-S11'!$CX$18:$CX$199,2*(ROWS(BU$103:BU107)-1)+1)),"")</f>
        <v/>
      </c>
      <c r="BV107" s="6" t="str" cm="1">
        <f t="array" ref="BV107">IFERROR(IF(D107="","",INDEX('M04-S11'!$CY$18:$CY$199,2*(ROWS(BV$103:BV107)-1)+1)),"")</f>
        <v/>
      </c>
      <c r="BW107" t="str">
        <f t="shared" si="171"/>
        <v/>
      </c>
      <c r="BX107" t="str">
        <f t="shared" si="172"/>
        <v/>
      </c>
      <c r="BY107" s="6" t="str" cm="1">
        <f t="array" ref="BY107">IFERROR(IF(D107="","",INDEX('M04-S11'!$CI$18:$CI$199,2*(ROWS(BY$103:BY107)-1)+1)),"")</f>
        <v/>
      </c>
      <c r="BZ107" s="6" t="str">
        <f t="shared" si="105"/>
        <v/>
      </c>
      <c r="CA107" s="6" t="str">
        <f t="shared" si="106"/>
        <v/>
      </c>
      <c r="CB107" s="6" t="str">
        <f t="shared" si="87"/>
        <v/>
      </c>
      <c r="CC107" s="6" t="str">
        <f t="shared" si="163"/>
        <v/>
      </c>
      <c r="CD107" s="6" t="str">
        <f t="shared" si="164"/>
        <v/>
      </c>
      <c r="CS107" t="str" cm="1">
        <f t="array" ref="CS107">IFERROR(IF(D107="","",INDEX('M04-S11'!$F$18:$F$199,2*(ROWS(CS$103:CS107)-1)+1)),"")</f>
        <v/>
      </c>
      <c r="CT107" t="str" cm="1">
        <f t="array" ref="CT107">IFERROR(IF(D107="","",INDEX('M04-S11'!$L$18:$L$199,2*(ROWS(CT$103:CT107)-1)+1)),"")</f>
        <v/>
      </c>
      <c r="CU107" t="str" cm="1">
        <f t="array" ref="CU107">IFERROR(IF(D107="","",INDEX('M04-S11'!$AD$18:$AD$199,2*(ROWS(CU$103:CU107)-1)+1)),"")</f>
        <v/>
      </c>
      <c r="DE107" s="150"/>
      <c r="DF107" s="150" t="str">
        <f>IFERROR(ROUND(IF(OR(D107="",DE107=""),"",TEMPLATE!$V$19),2),"")</f>
        <v/>
      </c>
      <c r="DG107" s="150"/>
      <c r="DH107" s="150" t="str">
        <f>IFERROR(ROUND(IF(OR(D107="",DG107=""),"",TEMPLATE!$V$19),2),"")</f>
        <v/>
      </c>
      <c r="DI107" s="150"/>
      <c r="DJ107" s="150" t="str">
        <f>IFERROR(ROUND(IF(OR(D107="",DI107=""),"",TEMPLATE!$V$19),2),"")</f>
        <v/>
      </c>
      <c r="DK107" s="150"/>
      <c r="DL107" s="150" t="str">
        <f>IFERROR(ROUND(IF(OR(D107="",DK107=""),"",TEMPLATE!$V$19),2),"")</f>
        <v/>
      </c>
      <c r="DM107" s="150"/>
      <c r="DN107" s="150" t="str">
        <f>IFERROR(ROUND(IF(OR(D107="",DM107=""),"",TEMPLATE!$V$19),2),"")</f>
        <v/>
      </c>
      <c r="DO107" s="150"/>
      <c r="DP107" s="150" t="str">
        <f>IFERROR(ROUND(IF(OR(D107="",DO107=""),"",TEMPLATE!$V$19),2),"")</f>
        <v/>
      </c>
      <c r="DQ107" s="150"/>
      <c r="DR107" s="150" t="str">
        <f>IFERROR(ROUND(IF(OR(D107="",DQ107=""),"",TEMPLATE!$V$19),2),"")</f>
        <v/>
      </c>
      <c r="DS107" s="150"/>
      <c r="DT107" s="150" t="str">
        <f>IFERROR(ROUND(IF(OR(D107="",DS107=""),"",TEMPLATE!$V$19),2),"")</f>
        <v/>
      </c>
      <c r="DU107" s="150" t="str" cm="1">
        <f t="array" ref="DU107">IFERROR(ROUND(IF($D107="","",INDEX('M04-S11'!DD$18:DD$199,2*(ROWS(DU$103:DU107)-1)+1)),4),"")</f>
        <v/>
      </c>
      <c r="DV107" s="150" t="str" cm="1">
        <f t="array" ref="DV107">IFERROR(ROUND(IF($D107="","",INDEX('M04-S11'!DE$18:DE$199,2*(ROWS(DV$103:DV107)-1)+1)),4),"")</f>
        <v/>
      </c>
      <c r="DW107" s="150" t="str" cm="1">
        <f t="array" ref="DW107">IFERROR(ROUND(IF($D107="","",INDEX('M04-S11'!DF$18:DF$199,2*(ROWS(DW$103:DW107)-1)+1)),4),"")</f>
        <v/>
      </c>
      <c r="DX107" s="150" t="str" cm="1">
        <f t="array" ref="DX107">IFERROR(ROUND(IF($D107="","",INDEX('M04-S11'!DG$18:DG$199,2*(ROWS(DX$103:DX107)-1)+1)),4),"")</f>
        <v/>
      </c>
      <c r="DY107" s="150" t="str" cm="1">
        <f t="array" ref="DY107">IFERROR(ROUND(IF($D107="","",INDEX('M04-S11'!DH$18:DH$199,2*(ROWS(DY$103:DY107)-1)+1)),4),"")</f>
        <v/>
      </c>
      <c r="DZ107" s="150" t="str" cm="1">
        <f t="array" ref="DZ107">IFERROR(ROUND(IF($D107="","",INDEX('M04-S11'!DI$18:DI$199,2*(ROWS(DZ$103:DZ107)-1)+1)),4),"")</f>
        <v/>
      </c>
      <c r="EA107" s="150" t="str" cm="1">
        <f t="array" ref="EA107">IFERROR(ROUND(IF($D107="","",INDEX('M04-S11'!DJ$18:DJ$199,2*(ROWS(EA$103:EA107)-1)+1)),4),"")</f>
        <v/>
      </c>
      <c r="EB107" s="150" t="str" cm="1">
        <f t="array" ref="EB107">IFERROR(ROUND(IF($D107="","",INDEX('M04-S11'!DK$18:DK$199,2*(ROWS(EB$103:EB107)-1)+1)),6),"")</f>
        <v/>
      </c>
      <c r="EC107" s="150" t="str" cm="1">
        <f t="array" ref="EC107">IFERROR(ROUND(IF($D107="","",INDEX('M04-S11'!DL$18:DL$199,2*(ROWS(EC$103:EC107)-1)+1)),6),"")</f>
        <v/>
      </c>
      <c r="ED107" s="150" t="str" cm="1">
        <f t="array" ref="ED107">IFERROR(ROUND(IF($D107="","",INDEX('M04-S11'!DM$18:DM$199,2*(ROWS(ED$103:ED107)-1)+1)),6),"")</f>
        <v/>
      </c>
      <c r="EE107" s="150" t="str" cm="1">
        <f t="array" ref="EE107">IFERROR(ROUND(IF($D107="","",INDEX('M04-S11'!DN$18:DN$199,2*(ROWS(EE$103:EE107)-1)+1)),6),"")</f>
        <v/>
      </c>
      <c r="EF107" s="150" t="str" cm="1">
        <f t="array" ref="EF107">IFERROR(ROUND(IF($D107="","",INDEX('M04-S11'!DO$18:DO$199,2*(ROWS(EF$103:EF107)-1)+1)),6),"")</f>
        <v/>
      </c>
      <c r="EG107" s="150" t="str" cm="1">
        <f t="array" ref="EG107">IFERROR(ROUND(IF($D107="","",INDEX('M04-S11'!DP$18:DP$199,2*(ROWS(EG$103:EG107)-1)+1)),6),"")</f>
        <v/>
      </c>
      <c r="EH107" s="150" t="str" cm="1">
        <f t="array" ref="EH107">IFERROR(ROUND(IF($D107="","",INDEX('M04-S11'!DQ$18:DQ$199,2*(ROWS(EH$103:EH107)-1)+1)),6),"")</f>
        <v/>
      </c>
      <c r="EI107" s="150" t="str" cm="1">
        <f t="array" ref="EI107">IFERROR(ROUND(IF($D107="","",INDEX('M04-S11'!DR$18:DR$199,2*(ROWS(EI$103:EI107)-1)+1)),6),"")</f>
        <v/>
      </c>
      <c r="EJ107" s="150" t="str" cm="1">
        <f t="array" ref="EJ107">IFERROR(ROUND(IF($D107="","",INDEX('M04-S11'!DS$18:DS$199,2*(ROWS(EJ$103:EJ107)-1)+1)),6),"")</f>
        <v/>
      </c>
      <c r="EK107" s="150" t="str" cm="1">
        <f t="array" ref="EK107">IFERROR(ROUND(IF($D107="","",INDEX('M04-S11'!DT$18:DT$199,2*(ROWS(EK$103:EK107)-1)+1)),6),"")</f>
        <v/>
      </c>
      <c r="EL107" s="150" t="str" cm="1">
        <f t="array" ref="EL107">IFERROR(ROUND(IF($D107="","",INDEX('M04-S11'!DU$18:DU$199,2*(ROWS(EL$103:EL107)-1)+1)),6),"")</f>
        <v/>
      </c>
      <c r="EM107" s="150" t="str" cm="1">
        <f t="array" ref="EM107">IFERROR(ROUND(IF($D107="","",INDEX('M04-S11'!DV$18:DV$199,2*(ROWS(EM$103:EM107)-1)+1)),6),"")</f>
        <v/>
      </c>
      <c r="EN107" s="150" t="str" cm="1">
        <f t="array" ref="EN107">IFERROR(ROUND(IF($D107="","",INDEX('M04-S11'!DW$18:DW$199,2*(ROWS(EN$103:EN107)-1)+1)),6),"")</f>
        <v/>
      </c>
      <c r="EO107" s="150" t="str" cm="1">
        <f t="array" ref="EO107">IFERROR(ROUND(IF($D107="","",INDEX('M04-S11'!DX$18:DX$199,2*(ROWS(EO$103:EO107)-1)+1)),6),"")</f>
        <v/>
      </c>
      <c r="EP107" s="150" t="str" cm="1">
        <f t="array" ref="EP107">IFERROR(ROUND(IF($D107="","",INDEX('M04-S11'!DY$18:DY$199,2*(ROWS(EP$103:EP107)-1)+1)),6),"")</f>
        <v/>
      </c>
      <c r="EQ107" s="150" t="str" cm="1">
        <f t="array" ref="EQ107">IFERROR(ROUND(IF($D107="","",INDEX('M04-S11'!DZ$18:DZ$199,2*(ROWS(EQ$103:EQ107)-1)+1)),6),"")</f>
        <v/>
      </c>
      <c r="ER107" s="150" t="str">
        <f t="shared" si="109"/>
        <v/>
      </c>
      <c r="ES107" s="150" t="str">
        <f t="shared" si="134"/>
        <v/>
      </c>
      <c r="ET107" s="150" t="str">
        <f t="shared" si="135"/>
        <v/>
      </c>
      <c r="EU107" s="150" t="str">
        <f t="shared" si="136"/>
        <v/>
      </c>
      <c r="EV107" s="150" t="str">
        <f t="shared" si="137"/>
        <v/>
      </c>
      <c r="EW107" s="150" t="str">
        <f t="shared" si="138"/>
        <v/>
      </c>
      <c r="EX107" s="150" t="str">
        <f t="shared" si="139"/>
        <v/>
      </c>
      <c r="EY107" s="150" t="str">
        <f t="shared" si="110"/>
        <v/>
      </c>
      <c r="EZ107" s="150" t="str" cm="1">
        <f t="array" ref="EZ107">IFERROR(ROUND(IF($D107="","",INDEX('M04-S11'!EA$18:EA$199,2*(ROWS(EZ$103:EZ107)-1)+1)),6),"")</f>
        <v/>
      </c>
      <c r="FA107" s="150" t="str" cm="1">
        <f t="array" ref="FA107">IFERROR(ROUND(IF($D107="","",INDEX('M04-S11'!EB$18:EB$199,2*(ROWS(FA$103:FA107)-1)+1)),6),"")</f>
        <v/>
      </c>
      <c r="FB107" s="150" t="str" cm="1">
        <f t="array" ref="FB107">IFERROR(ROUND(IF($D107="","",INDEX('M04-S11'!EC$18:EC$199,2*(ROWS(FB$103:FB107)-1)+1)),6),"")</f>
        <v/>
      </c>
      <c r="FC107" s="150" t="str" cm="1">
        <f t="array" ref="FC107">IFERROR(ROUND(IF($D107="","",INDEX('M04-S11'!ED$18:ED$199,2*(ROWS(FC$103:FC107)-1)+1)),6),"")</f>
        <v/>
      </c>
      <c r="FD107" s="150" t="str" cm="1">
        <f t="array" ref="FD107">IFERROR(ROUND(IF($D107="","",INDEX('M04-S11'!EE$18:EE$199,2*(ROWS(FD$103:FD107)-1)+1)),6),"")</f>
        <v/>
      </c>
      <c r="FE107" s="150" t="str" cm="1">
        <f t="array" ref="FE107">IFERROR(ROUND(IF($D107="","",INDEX('M04-S11'!EF$18:EF$199,2*(ROWS(FE$103:FE107)-1)+1)),6),"")</f>
        <v/>
      </c>
      <c r="FF107" s="150" t="str" cm="1">
        <f t="array" ref="FF107">IFERROR(ROUND(IF($D107="","",INDEX('M04-S11'!EG$18:EG$199,2*(ROWS(FF$103:FF107)-1)+1)),6),"")</f>
        <v/>
      </c>
      <c r="FG107" s="150" t="str" cm="1">
        <f t="array" ref="FG107">IFERROR(ROUND(IF($D107="","",INDEX('M04-S11'!EH$18:EH$199,2*(ROWS(FG$103:FG107)-1)+1)),6),"")</f>
        <v/>
      </c>
      <c r="FH107" s="150" t="str" cm="1">
        <f t="array" ref="FH107">IFERROR(ROUND(IF($D107="","",INDEX('M04-S11'!EI$18:EI$199,2*(ROWS(FH$103:FH107)-1)+1)),6),"")</f>
        <v/>
      </c>
      <c r="FI107" s="150" t="str" cm="1">
        <f t="array" ref="FI107">IFERROR(ROUND(IF($D107="","",INDEX('M04-S11'!EJ$18:EJ$199,2*(ROWS(FI$103:FI107)-1)+1)),6),"")</f>
        <v/>
      </c>
      <c r="FJ107" s="150" t="str" cm="1">
        <f t="array" ref="FJ107">IFERROR(ROUND(IF($D107="","",INDEX('M04-S11'!EK$18:EK$199,2*(ROWS(FJ$103:FJ107)-1)+1)),6),"")</f>
        <v/>
      </c>
      <c r="FK107" s="150" t="str" cm="1">
        <f t="array" ref="FK107">IFERROR(ROUND(IF($D107="","",INDEX('M04-S11'!EL$18:EL$199,2*(ROWS(FK$103:FK107)-1)+1)),6),"")</f>
        <v/>
      </c>
      <c r="FL107" s="150" t="str" cm="1">
        <f t="array" ref="FL107">IFERROR(ROUND(IF($D107="","",INDEX('M04-S11'!EM$18:EM$199,2*(ROWS(FL$103:FL107)-1)+1)),6),"")</f>
        <v/>
      </c>
      <c r="FM107" s="150" t="str" cm="1">
        <f t="array" ref="FM107">IFERROR(ROUND(IF($D107="","",INDEX('M04-S11'!EN$18:EN$199,2*(ROWS(FM$103:FM107)-1)+1)),6),"")</f>
        <v/>
      </c>
    </row>
    <row r="108" spans="1:169">
      <c r="A108" t="str">
        <f t="shared" si="154"/>
        <v/>
      </c>
      <c r="B108" t="str">
        <f t="shared" si="165"/>
        <v/>
      </c>
      <c r="C108" t="str" cm="1">
        <f t="array" ref="C108">IFERROR(IF(D108="","",INDEX('M04-S11'!$B$18:$B$199,2*(ROWS(C$103:C108)-1)+1)),"")</f>
        <v/>
      </c>
      <c r="D108" t="str">
        <f t="shared" si="166"/>
        <v/>
      </c>
      <c r="E108" t="str" cm="1">
        <f t="array" ref="E108">IFERROR(IF(INDEX('M04-S11'!$CC$18:$CC$199,2*(ROWS(E$103:E108)-1)+1)="","",INDEX('M04-S11'!$CC$18:$CC$199,2*(ROWS(E$103:E108)-1)+1)),"")</f>
        <v/>
      </c>
      <c r="G108" t="str">
        <f t="shared" si="167"/>
        <v/>
      </c>
      <c r="H108" t="str">
        <f t="shared" si="168"/>
        <v/>
      </c>
      <c r="L108" t="str">
        <f t="shared" si="169"/>
        <v/>
      </c>
      <c r="O108" t="str">
        <f t="shared" si="160"/>
        <v/>
      </c>
      <c r="V108" t="str" cm="1">
        <f t="array" ref="V108">IFERROR(IF(D108="","",INDEX('M04-S11'!$AY$18:$AY$199,2*(ROWS(V$103:V108)-1)+1)),"")</f>
        <v/>
      </c>
      <c r="W108" t="str" cm="1">
        <f t="array" ref="W108">IFERROR(IF(D108="","",INDEX('M04-S11'!$AV$18:$AV$199,2*(ROWS(W$103:W108)-1)+1)),"")</f>
        <v/>
      </c>
      <c r="X108" t="str" cm="1">
        <f t="array" ref="X108">IFERROR(IF(D108="","",INDEX('M04-S11'!$AV$18:$AV$199,2*(ROWS(X$103:X108)-0)+0)),"")</f>
        <v/>
      </c>
      <c r="AG108" s="98" t="str" cm="1">
        <f t="array" ref="AG108">IFERROR(IF(D108="","",IF(INDEX('M04-S11'!$CB$18:$CB$199,2*(ROWS(AG$103:AG108)-1)+1)="","",INDEX('M04-S11'!$CB$18:$CB$199,2*(ROWS(AG$103:AG108)-1)+1))),"")</f>
        <v/>
      </c>
      <c r="AH108" s="98" t="str" cm="1">
        <f t="array" ref="AH108">IFERROR(IF(D108="","",IF(INDEX('M04-S11'!$CU$18:$CU$199,2*(ROWS(AH$103:AH108)-1)+1)="","",INDEX('M04-S11'!$CU$18:$CU$199,2*(ROWS(AH$103:AH108)-1)+1))),"")</f>
        <v/>
      </c>
      <c r="AI108" s="20" t="str" cm="1">
        <f t="array" ref="AI108">IFERROR(IF(D108="","",IF(INDEX('M04-S11'!$CM$18:$CM$199,2*(ROWS(AI$103:AI108)-1)+1)="",0,INDEX('M04-S11'!$CM$18:$CM$199,2*(ROWS(AI$103:AI108)-1)+1))),"")</f>
        <v/>
      </c>
      <c r="AJ108" s="20" t="str">
        <f t="shared" si="86"/>
        <v/>
      </c>
      <c r="AK108" s="487" t="str" cm="1">
        <f t="array" ref="AK108">IFERROR(IF(D108="","",IF(INDEX('M04-S11'!$CN$18:$CN$199,2*(ROWS(AK$103:AK108)-1)+1)="",0,INDEX('M04-S11'!$CN$18:$CN$199,2*(ROWS(AK$103:AK108)-1)+1))),"")</f>
        <v/>
      </c>
      <c r="AL108" s="20" t="str">
        <f t="shared" si="170"/>
        <v/>
      </c>
      <c r="AM108" s="20" t="str">
        <f t="shared" si="162"/>
        <v/>
      </c>
      <c r="AN108" s="20" t="str" cm="1">
        <f t="array" ref="AN108">IFERROR(IF(D108="","",IF(INDEX('M04-S11'!$CO$18:$CO$199,2*(ROWS(AN$103:AN108)-1)+1)="",0,INDEX('M04-S11'!$CO$18:$CO$199,2*(ROWS(AN$103:AN108)-1)+1))),"")</f>
        <v/>
      </c>
      <c r="AO108" s="20" t="str" cm="1">
        <f t="array" ref="AO108">IFERROR(IF(D108="","",INDEX('M04-S11'!$R$18:$R$199,2*(ROWS(AO$103:AO108)-1)+1)),"")</f>
        <v/>
      </c>
      <c r="AP108" s="20" t="str" cm="1">
        <f t="array" ref="AP108">IFERROR(IF(D108="","",INDEX('M04-S11'!$AJ$18:$AJ$199,2*(ROWS(AP$103:AP108)-1)+1)),"")</f>
        <v/>
      </c>
      <c r="AQ108" s="487" t="str" cm="1">
        <f t="array" ref="AQ108">IFERROR(IF(D108="","",INDEX('M04-S11'!$U$18:$U$199,2*(ROWS(AQ$103:AQ108)-1)+1)),"")</f>
        <v/>
      </c>
      <c r="AR108" s="487" t="str" cm="1">
        <f t="array" ref="AR108">IFERROR(IF(D108="","",INDEX('M04-S11'!$AM$18:$AM$199,2*(ROWS(AR$103:AR108)-1)+1)),"")</f>
        <v/>
      </c>
      <c r="AS108" s="20" t="str" cm="1">
        <f t="array" ref="AS108">IFERROR(IF(D108="","",INDEX('M04-S11'!$X$18:$X$199,2*(ROWS(AS$103:AS108)-1)+1)),"")</f>
        <v/>
      </c>
      <c r="AT108" s="20" t="str" cm="1">
        <f t="array" ref="AT108">IFERROR(IF(D108="","",INDEX('M04-S11'!$AP$18:$AP$199,2*(ROWS(AT$103:AT108)-1)+1)),"")</f>
        <v/>
      </c>
      <c r="BP108" t="str" cm="1">
        <f t="array" ref="BP108">IFERROR(IF(D108="","",INDEX('M04-S11'!$CS$18:$CS$199,2*(ROWS(BP$103:BP108)-1)+1)),"")</f>
        <v/>
      </c>
      <c r="BR108" t="str" cm="1">
        <f t="array" ref="BR108">IFERROR(IF(D108="","",LEFT(INDEX('M04-S11'!$C$18:$C$199,2*(ROWS(BR$103:BR108)-1)+1),150)),"")</f>
        <v/>
      </c>
      <c r="BS108" t="str" cm="1">
        <f t="array" ref="BS108">IFERROR(IF(D108="","",INDEX('M04-S11'!$CT$18:$CT$199,2*(ROWS(BS$103:BS108)-1)+1)),"")</f>
        <v/>
      </c>
      <c r="BT108" s="6" t="str" cm="1">
        <f t="array" ref="BT108">IFERROR(ROUND(IF(D108="","",INDEX('M04-S11'!$BB$18:$BB$199,2*(ROWS(BT$103:BT108)-1)+1)),2),"")</f>
        <v/>
      </c>
      <c r="BU108" s="6" t="str" cm="1">
        <f t="array" ref="BU108">IFERROR(IF(D108="","",INDEX('M04-S11'!$CX$18:$CX$199,2*(ROWS(BU$103:BU108)-1)+1)),"")</f>
        <v/>
      </c>
      <c r="BV108" s="6" t="str" cm="1">
        <f t="array" ref="BV108">IFERROR(IF(D108="","",INDEX('M04-S11'!$CY$18:$CY$199,2*(ROWS(BV$103:BV108)-1)+1)),"")</f>
        <v/>
      </c>
      <c r="BW108" t="str">
        <f t="shared" si="171"/>
        <v/>
      </c>
      <c r="BX108" t="str">
        <f t="shared" si="172"/>
        <v/>
      </c>
      <c r="BY108" s="6" t="str" cm="1">
        <f t="array" ref="BY108">IFERROR(IF(D108="","",INDEX('M04-S11'!$CI$18:$CI$199,2*(ROWS(BY$103:BY108)-1)+1)),"")</f>
        <v/>
      </c>
      <c r="BZ108" s="6" t="str">
        <f t="shared" si="105"/>
        <v/>
      </c>
      <c r="CA108" s="6" t="str">
        <f t="shared" si="106"/>
        <v/>
      </c>
      <c r="CB108" s="6" t="str">
        <f t="shared" si="87"/>
        <v/>
      </c>
      <c r="CC108" s="6" t="str">
        <f t="shared" si="163"/>
        <v/>
      </c>
      <c r="CD108" s="6" t="str">
        <f t="shared" si="164"/>
        <v/>
      </c>
      <c r="CS108" t="str" cm="1">
        <f t="array" ref="CS108">IFERROR(IF(D108="","",INDEX('M04-S11'!$F$18:$F$199,2*(ROWS(CS$103:CS108)-1)+1)),"")</f>
        <v/>
      </c>
      <c r="CT108" t="str" cm="1">
        <f t="array" ref="CT108">IFERROR(IF(D108="","",INDEX('M04-S11'!$L$18:$L$199,2*(ROWS(CT$103:CT108)-1)+1)),"")</f>
        <v/>
      </c>
      <c r="CU108" t="str" cm="1">
        <f t="array" ref="CU108">IFERROR(IF(D108="","",INDEX('M04-S11'!$AD$18:$AD$199,2*(ROWS(CU$103:CU108)-1)+1)),"")</f>
        <v/>
      </c>
      <c r="DE108" s="150"/>
      <c r="DF108" s="150" t="str">
        <f>IFERROR(ROUND(IF(OR(D108="",DE108=""),"",TEMPLATE!$V$19),2),"")</f>
        <v/>
      </c>
      <c r="DG108" s="150"/>
      <c r="DH108" s="150" t="str">
        <f>IFERROR(ROUND(IF(OR(D108="",DG108=""),"",TEMPLATE!$V$19),2),"")</f>
        <v/>
      </c>
      <c r="DI108" s="150"/>
      <c r="DJ108" s="150" t="str">
        <f>IFERROR(ROUND(IF(OR(D108="",DI108=""),"",TEMPLATE!$V$19),2),"")</f>
        <v/>
      </c>
      <c r="DK108" s="150"/>
      <c r="DL108" s="150" t="str">
        <f>IFERROR(ROUND(IF(OR(D108="",DK108=""),"",TEMPLATE!$V$19),2),"")</f>
        <v/>
      </c>
      <c r="DM108" s="150"/>
      <c r="DN108" s="150" t="str">
        <f>IFERROR(ROUND(IF(OR(D108="",DM108=""),"",TEMPLATE!$V$19),2),"")</f>
        <v/>
      </c>
      <c r="DO108" s="150"/>
      <c r="DP108" s="150" t="str">
        <f>IFERROR(ROUND(IF(OR(D108="",DO108=""),"",TEMPLATE!$V$19),2),"")</f>
        <v/>
      </c>
      <c r="DQ108" s="150"/>
      <c r="DR108" s="150" t="str">
        <f>IFERROR(ROUND(IF(OR(D108="",DQ108=""),"",TEMPLATE!$V$19),2),"")</f>
        <v/>
      </c>
      <c r="DS108" s="150"/>
      <c r="DT108" s="150" t="str">
        <f>IFERROR(ROUND(IF(OR(D108="",DS108=""),"",TEMPLATE!$V$19),2),"")</f>
        <v/>
      </c>
      <c r="DU108" s="150" t="str" cm="1">
        <f t="array" ref="DU108">IFERROR(ROUND(IF($D108="","",INDEX('M04-S11'!DD$18:DD$199,2*(ROWS(DU$103:DU108)-1)+1)),4),"")</f>
        <v/>
      </c>
      <c r="DV108" s="150" t="str" cm="1">
        <f t="array" ref="DV108">IFERROR(ROUND(IF($D108="","",INDEX('M04-S11'!DE$18:DE$199,2*(ROWS(DV$103:DV108)-1)+1)),4),"")</f>
        <v/>
      </c>
      <c r="DW108" s="150" t="str" cm="1">
        <f t="array" ref="DW108">IFERROR(ROUND(IF($D108="","",INDEX('M04-S11'!DF$18:DF$199,2*(ROWS(DW$103:DW108)-1)+1)),4),"")</f>
        <v/>
      </c>
      <c r="DX108" s="150" t="str" cm="1">
        <f t="array" ref="DX108">IFERROR(ROUND(IF($D108="","",INDEX('M04-S11'!DG$18:DG$199,2*(ROWS(DX$103:DX108)-1)+1)),4),"")</f>
        <v/>
      </c>
      <c r="DY108" s="150" t="str" cm="1">
        <f t="array" ref="DY108">IFERROR(ROUND(IF($D108="","",INDEX('M04-S11'!DH$18:DH$199,2*(ROWS(DY$103:DY108)-1)+1)),4),"")</f>
        <v/>
      </c>
      <c r="DZ108" s="150" t="str" cm="1">
        <f t="array" ref="DZ108">IFERROR(ROUND(IF($D108="","",INDEX('M04-S11'!DI$18:DI$199,2*(ROWS(DZ$103:DZ108)-1)+1)),4),"")</f>
        <v/>
      </c>
      <c r="EA108" s="150" t="str" cm="1">
        <f t="array" ref="EA108">IFERROR(ROUND(IF($D108="","",INDEX('M04-S11'!DJ$18:DJ$199,2*(ROWS(EA$103:EA108)-1)+1)),4),"")</f>
        <v/>
      </c>
      <c r="EB108" s="150" t="str" cm="1">
        <f t="array" ref="EB108">IFERROR(ROUND(IF($D108="","",INDEX('M04-S11'!DK$18:DK$199,2*(ROWS(EB$103:EB108)-1)+1)),6),"")</f>
        <v/>
      </c>
      <c r="EC108" s="150" t="str" cm="1">
        <f t="array" ref="EC108">IFERROR(ROUND(IF($D108="","",INDEX('M04-S11'!DL$18:DL$199,2*(ROWS(EC$103:EC108)-1)+1)),6),"")</f>
        <v/>
      </c>
      <c r="ED108" s="150" t="str" cm="1">
        <f t="array" ref="ED108">IFERROR(ROUND(IF($D108="","",INDEX('M04-S11'!DM$18:DM$199,2*(ROWS(ED$103:ED108)-1)+1)),6),"")</f>
        <v/>
      </c>
      <c r="EE108" s="150" t="str" cm="1">
        <f t="array" ref="EE108">IFERROR(ROUND(IF($D108="","",INDEX('M04-S11'!DN$18:DN$199,2*(ROWS(EE$103:EE108)-1)+1)),6),"")</f>
        <v/>
      </c>
      <c r="EF108" s="150" t="str" cm="1">
        <f t="array" ref="EF108">IFERROR(ROUND(IF($D108="","",INDEX('M04-S11'!DO$18:DO$199,2*(ROWS(EF$103:EF108)-1)+1)),6),"")</f>
        <v/>
      </c>
      <c r="EG108" s="150" t="str" cm="1">
        <f t="array" ref="EG108">IFERROR(ROUND(IF($D108="","",INDEX('M04-S11'!DP$18:DP$199,2*(ROWS(EG$103:EG108)-1)+1)),6),"")</f>
        <v/>
      </c>
      <c r="EH108" s="150" t="str" cm="1">
        <f t="array" ref="EH108">IFERROR(ROUND(IF($D108="","",INDEX('M04-S11'!DQ$18:DQ$199,2*(ROWS(EH$103:EH108)-1)+1)),6),"")</f>
        <v/>
      </c>
      <c r="EI108" s="150" t="str" cm="1">
        <f t="array" ref="EI108">IFERROR(ROUND(IF($D108="","",INDEX('M04-S11'!DR$18:DR$199,2*(ROWS(EI$103:EI108)-1)+1)),6),"")</f>
        <v/>
      </c>
      <c r="EJ108" s="150" t="str" cm="1">
        <f t="array" ref="EJ108">IFERROR(ROUND(IF($D108="","",INDEX('M04-S11'!DS$18:DS$199,2*(ROWS(EJ$103:EJ108)-1)+1)),6),"")</f>
        <v/>
      </c>
      <c r="EK108" s="150" t="str" cm="1">
        <f t="array" ref="EK108">IFERROR(ROUND(IF($D108="","",INDEX('M04-S11'!DT$18:DT$199,2*(ROWS(EK$103:EK108)-1)+1)),6),"")</f>
        <v/>
      </c>
      <c r="EL108" s="150" t="str" cm="1">
        <f t="array" ref="EL108">IFERROR(ROUND(IF($D108="","",INDEX('M04-S11'!DU$18:DU$199,2*(ROWS(EL$103:EL108)-1)+1)),6),"")</f>
        <v/>
      </c>
      <c r="EM108" s="150" t="str" cm="1">
        <f t="array" ref="EM108">IFERROR(ROUND(IF($D108="","",INDEX('M04-S11'!DV$18:DV$199,2*(ROWS(EM$103:EM108)-1)+1)),6),"")</f>
        <v/>
      </c>
      <c r="EN108" s="150" t="str" cm="1">
        <f t="array" ref="EN108">IFERROR(ROUND(IF($D108="","",INDEX('M04-S11'!DW$18:DW$199,2*(ROWS(EN$103:EN108)-1)+1)),6),"")</f>
        <v/>
      </c>
      <c r="EO108" s="150" t="str" cm="1">
        <f t="array" ref="EO108">IFERROR(ROUND(IF($D108="","",INDEX('M04-S11'!DX$18:DX$199,2*(ROWS(EO$103:EO108)-1)+1)),6),"")</f>
        <v/>
      </c>
      <c r="EP108" s="150" t="str" cm="1">
        <f t="array" ref="EP108">IFERROR(ROUND(IF($D108="","",INDEX('M04-S11'!DY$18:DY$199,2*(ROWS(EP$103:EP108)-1)+1)),6),"")</f>
        <v/>
      </c>
      <c r="EQ108" s="150" t="str" cm="1">
        <f t="array" ref="EQ108">IFERROR(ROUND(IF($D108="","",INDEX('M04-S11'!DZ$18:DZ$199,2*(ROWS(EQ$103:EQ108)-1)+1)),6),"")</f>
        <v/>
      </c>
      <c r="ER108" s="150" t="str">
        <f t="shared" si="109"/>
        <v/>
      </c>
      <c r="ES108" s="150" t="str">
        <f t="shared" si="134"/>
        <v/>
      </c>
      <c r="ET108" s="150" t="str">
        <f t="shared" si="135"/>
        <v/>
      </c>
      <c r="EU108" s="150" t="str">
        <f t="shared" si="136"/>
        <v/>
      </c>
      <c r="EV108" s="150" t="str">
        <f t="shared" si="137"/>
        <v/>
      </c>
      <c r="EW108" s="150" t="str">
        <f t="shared" si="138"/>
        <v/>
      </c>
      <c r="EX108" s="150" t="str">
        <f t="shared" si="139"/>
        <v/>
      </c>
      <c r="EY108" s="150" t="str">
        <f t="shared" si="110"/>
        <v/>
      </c>
      <c r="EZ108" s="150" t="str" cm="1">
        <f t="array" ref="EZ108">IFERROR(ROUND(IF($D108="","",INDEX('M04-S11'!EA$18:EA$199,2*(ROWS(EZ$103:EZ108)-1)+1)),6),"")</f>
        <v/>
      </c>
      <c r="FA108" s="150" t="str" cm="1">
        <f t="array" ref="FA108">IFERROR(ROUND(IF($D108="","",INDEX('M04-S11'!EB$18:EB$199,2*(ROWS(FA$103:FA108)-1)+1)),6),"")</f>
        <v/>
      </c>
      <c r="FB108" s="150" t="str" cm="1">
        <f t="array" ref="FB108">IFERROR(ROUND(IF($D108="","",INDEX('M04-S11'!EC$18:EC$199,2*(ROWS(FB$103:FB108)-1)+1)),6),"")</f>
        <v/>
      </c>
      <c r="FC108" s="150" t="str" cm="1">
        <f t="array" ref="FC108">IFERROR(ROUND(IF($D108="","",INDEX('M04-S11'!ED$18:ED$199,2*(ROWS(FC$103:FC108)-1)+1)),6),"")</f>
        <v/>
      </c>
      <c r="FD108" s="150" t="str" cm="1">
        <f t="array" ref="FD108">IFERROR(ROUND(IF($D108="","",INDEX('M04-S11'!EE$18:EE$199,2*(ROWS(FD$103:FD108)-1)+1)),6),"")</f>
        <v/>
      </c>
      <c r="FE108" s="150" t="str" cm="1">
        <f t="array" ref="FE108">IFERROR(ROUND(IF($D108="","",INDEX('M04-S11'!EF$18:EF$199,2*(ROWS(FE$103:FE108)-1)+1)),6),"")</f>
        <v/>
      </c>
      <c r="FF108" s="150" t="str" cm="1">
        <f t="array" ref="FF108">IFERROR(ROUND(IF($D108="","",INDEX('M04-S11'!EG$18:EG$199,2*(ROWS(FF$103:FF108)-1)+1)),6),"")</f>
        <v/>
      </c>
      <c r="FG108" s="150" t="str" cm="1">
        <f t="array" ref="FG108">IFERROR(ROUND(IF($D108="","",INDEX('M04-S11'!EH$18:EH$199,2*(ROWS(FG$103:FG108)-1)+1)),6),"")</f>
        <v/>
      </c>
      <c r="FH108" s="150" t="str" cm="1">
        <f t="array" ref="FH108">IFERROR(ROUND(IF($D108="","",INDEX('M04-S11'!EI$18:EI$199,2*(ROWS(FH$103:FH108)-1)+1)),6),"")</f>
        <v/>
      </c>
      <c r="FI108" s="150" t="str" cm="1">
        <f t="array" ref="FI108">IFERROR(ROUND(IF($D108="","",INDEX('M04-S11'!EJ$18:EJ$199,2*(ROWS(FI$103:FI108)-1)+1)),6),"")</f>
        <v/>
      </c>
      <c r="FJ108" s="150" t="str" cm="1">
        <f t="array" ref="FJ108">IFERROR(ROUND(IF($D108="","",INDEX('M04-S11'!EK$18:EK$199,2*(ROWS(FJ$103:FJ108)-1)+1)),6),"")</f>
        <v/>
      </c>
      <c r="FK108" s="150" t="str" cm="1">
        <f t="array" ref="FK108">IFERROR(ROUND(IF($D108="","",INDEX('M04-S11'!EL$18:EL$199,2*(ROWS(FK$103:FK108)-1)+1)),6),"")</f>
        <v/>
      </c>
      <c r="FL108" s="150" t="str" cm="1">
        <f t="array" ref="FL108">IFERROR(ROUND(IF($D108="","",INDEX('M04-S11'!EM$18:EM$199,2*(ROWS(FL$103:FL108)-1)+1)),6),"")</f>
        <v/>
      </c>
      <c r="FM108" s="150" t="str" cm="1">
        <f t="array" ref="FM108">IFERROR(ROUND(IF($D108="","",INDEX('M04-S11'!EN$18:EN$199,2*(ROWS(FM$103:FM108)-1)+1)),6),"")</f>
        <v/>
      </c>
    </row>
    <row r="109" spans="1:169">
      <c r="A109" t="str">
        <f t="shared" si="154"/>
        <v/>
      </c>
      <c r="B109" t="str">
        <f t="shared" si="165"/>
        <v/>
      </c>
      <c r="C109" t="str" cm="1">
        <f t="array" ref="C109">IFERROR(IF(D109="","",INDEX('M04-S11'!$B$18:$B$199,2*(ROWS(C$103:C109)-1)+1)),"")</f>
        <v/>
      </c>
      <c r="D109" t="str">
        <f t="shared" si="166"/>
        <v/>
      </c>
      <c r="E109" t="str" cm="1">
        <f t="array" ref="E109">IFERROR(IF(INDEX('M04-S11'!$CC$18:$CC$199,2*(ROWS(E$103:E109)-1)+1)="","",INDEX('M04-S11'!$CC$18:$CC$199,2*(ROWS(E$103:E109)-1)+1)),"")</f>
        <v/>
      </c>
      <c r="G109" t="str">
        <f t="shared" si="167"/>
        <v/>
      </c>
      <c r="H109" t="str">
        <f t="shared" si="168"/>
        <v/>
      </c>
      <c r="L109" t="str">
        <f t="shared" si="169"/>
        <v/>
      </c>
      <c r="O109" t="str">
        <f t="shared" si="160"/>
        <v/>
      </c>
      <c r="V109" t="str" cm="1">
        <f t="array" ref="V109">IFERROR(IF(D109="","",INDEX('M04-S11'!$AY$18:$AY$199,2*(ROWS(V$103:V109)-1)+1)),"")</f>
        <v/>
      </c>
      <c r="W109" t="str" cm="1">
        <f t="array" ref="W109">IFERROR(IF(D109="","",INDEX('M04-S11'!$AV$18:$AV$199,2*(ROWS(W$103:W109)-1)+1)),"")</f>
        <v/>
      </c>
      <c r="X109" t="str" cm="1">
        <f t="array" ref="X109">IFERROR(IF(D109="","",INDEX('M04-S11'!$AV$18:$AV$199,2*(ROWS(X$103:X109)-0)+0)),"")</f>
        <v/>
      </c>
      <c r="AG109" s="98" t="str" cm="1">
        <f t="array" ref="AG109">IFERROR(IF(D109="","",IF(INDEX('M04-S11'!$CB$18:$CB$199,2*(ROWS(AG$103:AG109)-1)+1)="","",INDEX('M04-S11'!$CB$18:$CB$199,2*(ROWS(AG$103:AG109)-1)+1))),"")</f>
        <v/>
      </c>
      <c r="AH109" s="98" t="str" cm="1">
        <f t="array" ref="AH109">IFERROR(IF(D109="","",IF(INDEX('M04-S11'!$CU$18:$CU$199,2*(ROWS(AH$103:AH109)-1)+1)="","",INDEX('M04-S11'!$CU$18:$CU$199,2*(ROWS(AH$103:AH109)-1)+1))),"")</f>
        <v/>
      </c>
      <c r="AI109" s="20" t="str" cm="1">
        <f t="array" ref="AI109">IFERROR(IF(D109="","",IF(INDEX('M04-S11'!$CM$18:$CM$199,2*(ROWS(AI$103:AI109)-1)+1)="",0,INDEX('M04-S11'!$CM$18:$CM$199,2*(ROWS(AI$103:AI109)-1)+1))),"")</f>
        <v/>
      </c>
      <c r="AJ109" s="20" t="str">
        <f t="shared" si="86"/>
        <v/>
      </c>
      <c r="AK109" s="487" t="str" cm="1">
        <f t="array" ref="AK109">IFERROR(IF(D109="","",IF(INDEX('M04-S11'!$CN$18:$CN$199,2*(ROWS(AK$103:AK109)-1)+1)="",0,INDEX('M04-S11'!$CN$18:$CN$199,2*(ROWS(AK$103:AK109)-1)+1))),"")</f>
        <v/>
      </c>
      <c r="AL109" s="20" t="str">
        <f t="shared" si="170"/>
        <v/>
      </c>
      <c r="AM109" s="20" t="str">
        <f t="shared" si="162"/>
        <v/>
      </c>
      <c r="AN109" s="20" t="str" cm="1">
        <f t="array" ref="AN109">IFERROR(IF(D109="","",IF(INDEX('M04-S11'!$CO$18:$CO$199,2*(ROWS(AN$103:AN109)-1)+1)="",0,INDEX('M04-S11'!$CO$18:$CO$199,2*(ROWS(AN$103:AN109)-1)+1))),"")</f>
        <v/>
      </c>
      <c r="AO109" s="20" t="str" cm="1">
        <f t="array" ref="AO109">IFERROR(IF(D109="","",INDEX('M04-S11'!$R$18:$R$199,2*(ROWS(AO$103:AO109)-1)+1)),"")</f>
        <v/>
      </c>
      <c r="AP109" s="20" t="str" cm="1">
        <f t="array" ref="AP109">IFERROR(IF(D109="","",INDEX('M04-S11'!$AJ$18:$AJ$199,2*(ROWS(AP$103:AP109)-1)+1)),"")</f>
        <v/>
      </c>
      <c r="AQ109" s="487" t="str" cm="1">
        <f t="array" ref="AQ109">IFERROR(IF(D109="","",INDEX('M04-S11'!$U$18:$U$199,2*(ROWS(AQ$103:AQ109)-1)+1)),"")</f>
        <v/>
      </c>
      <c r="AR109" s="487" t="str" cm="1">
        <f t="array" ref="AR109">IFERROR(IF(D109="","",INDEX('M04-S11'!$AM$18:$AM$199,2*(ROWS(AR$103:AR109)-1)+1)),"")</f>
        <v/>
      </c>
      <c r="AS109" s="20" t="str" cm="1">
        <f t="array" ref="AS109">IFERROR(IF(D109="","",INDEX('M04-S11'!$X$18:$X$199,2*(ROWS(AS$103:AS109)-1)+1)),"")</f>
        <v/>
      </c>
      <c r="AT109" s="20" t="str" cm="1">
        <f t="array" ref="AT109">IFERROR(IF(D109="","",INDEX('M04-S11'!$AP$18:$AP$199,2*(ROWS(AT$103:AT109)-1)+1)),"")</f>
        <v/>
      </c>
      <c r="BP109" t="str" cm="1">
        <f t="array" ref="BP109">IFERROR(IF(D109="","",INDEX('M04-S11'!$CS$18:$CS$199,2*(ROWS(BP$103:BP109)-1)+1)),"")</f>
        <v/>
      </c>
      <c r="BR109" t="str" cm="1">
        <f t="array" ref="BR109">IFERROR(IF(D109="","",LEFT(INDEX('M04-S11'!$C$18:$C$199,2*(ROWS(BR$103:BR109)-1)+1),150)),"")</f>
        <v/>
      </c>
      <c r="BS109" t="str" cm="1">
        <f t="array" ref="BS109">IFERROR(IF(D109="","",INDEX('M04-S11'!$CT$18:$CT$199,2*(ROWS(BS$103:BS109)-1)+1)),"")</f>
        <v/>
      </c>
      <c r="BT109" s="6" t="str" cm="1">
        <f t="array" ref="BT109">IFERROR(ROUND(IF(D109="","",INDEX('M04-S11'!$BB$18:$BB$199,2*(ROWS(BT$103:BT109)-1)+1)),2),"")</f>
        <v/>
      </c>
      <c r="BU109" s="6" t="str" cm="1">
        <f t="array" ref="BU109">IFERROR(IF(D109="","",INDEX('M04-S11'!$CX$18:$CX$199,2*(ROWS(BU$103:BU109)-1)+1)),"")</f>
        <v/>
      </c>
      <c r="BV109" s="6" t="str" cm="1">
        <f t="array" ref="BV109">IFERROR(IF(D109="","",INDEX('M04-S11'!$CY$18:$CY$199,2*(ROWS(BV$103:BV109)-1)+1)),"")</f>
        <v/>
      </c>
      <c r="BW109" t="str">
        <f t="shared" si="171"/>
        <v/>
      </c>
      <c r="BX109" t="str">
        <f t="shared" si="172"/>
        <v/>
      </c>
      <c r="BY109" s="6" t="str" cm="1">
        <f t="array" ref="BY109">IFERROR(IF(D109="","",INDEX('M04-S11'!$CI$18:$CI$199,2*(ROWS(BY$103:BY109)-1)+1)),"")</f>
        <v/>
      </c>
      <c r="BZ109" s="6" t="str">
        <f t="shared" si="105"/>
        <v/>
      </c>
      <c r="CA109" s="6" t="str">
        <f t="shared" si="106"/>
        <v/>
      </c>
      <c r="CB109" s="6" t="str">
        <f t="shared" si="87"/>
        <v/>
      </c>
      <c r="CC109" s="6" t="str">
        <f t="shared" si="163"/>
        <v/>
      </c>
      <c r="CD109" s="6" t="str">
        <f t="shared" si="164"/>
        <v/>
      </c>
      <c r="CS109" t="str" cm="1">
        <f t="array" ref="CS109">IFERROR(IF(D109="","",INDEX('M04-S11'!$F$18:$F$199,2*(ROWS(CS$103:CS109)-1)+1)),"")</f>
        <v/>
      </c>
      <c r="CT109" t="str" cm="1">
        <f t="array" ref="CT109">IFERROR(IF(D109="","",INDEX('M04-S11'!$L$18:$L$199,2*(ROWS(CT$103:CT109)-1)+1)),"")</f>
        <v/>
      </c>
      <c r="CU109" t="str" cm="1">
        <f t="array" ref="CU109">IFERROR(IF(D109="","",INDEX('M04-S11'!$AD$18:$AD$199,2*(ROWS(CU$103:CU109)-1)+1)),"")</f>
        <v/>
      </c>
      <c r="DE109" s="150"/>
      <c r="DF109" s="150" t="str">
        <f>IFERROR(ROUND(IF(OR(D109="",DE109=""),"",TEMPLATE!$V$19),2),"")</f>
        <v/>
      </c>
      <c r="DG109" s="150"/>
      <c r="DH109" s="150" t="str">
        <f>IFERROR(ROUND(IF(OR(D109="",DG109=""),"",TEMPLATE!$V$19),2),"")</f>
        <v/>
      </c>
      <c r="DI109" s="150"/>
      <c r="DJ109" s="150" t="str">
        <f>IFERROR(ROUND(IF(OR(D109="",DI109=""),"",TEMPLATE!$V$19),2),"")</f>
        <v/>
      </c>
      <c r="DK109" s="150"/>
      <c r="DL109" s="150" t="str">
        <f>IFERROR(ROUND(IF(OR(D109="",DK109=""),"",TEMPLATE!$V$19),2),"")</f>
        <v/>
      </c>
      <c r="DM109" s="150"/>
      <c r="DN109" s="150" t="str">
        <f>IFERROR(ROUND(IF(OR(D109="",DM109=""),"",TEMPLATE!$V$19),2),"")</f>
        <v/>
      </c>
      <c r="DO109" s="150"/>
      <c r="DP109" s="150" t="str">
        <f>IFERROR(ROUND(IF(OR(D109="",DO109=""),"",TEMPLATE!$V$19),2),"")</f>
        <v/>
      </c>
      <c r="DQ109" s="150"/>
      <c r="DR109" s="150" t="str">
        <f>IFERROR(ROUND(IF(OR(D109="",DQ109=""),"",TEMPLATE!$V$19),2),"")</f>
        <v/>
      </c>
      <c r="DS109" s="150"/>
      <c r="DT109" s="150" t="str">
        <f>IFERROR(ROUND(IF(OR(D109="",DS109=""),"",TEMPLATE!$V$19),2),"")</f>
        <v/>
      </c>
      <c r="DU109" s="150" t="str" cm="1">
        <f t="array" ref="DU109">IFERROR(ROUND(IF($D109="","",INDEX('M04-S11'!DD$18:DD$199,2*(ROWS(DU$103:DU109)-1)+1)),4),"")</f>
        <v/>
      </c>
      <c r="DV109" s="150" t="str" cm="1">
        <f t="array" ref="DV109">IFERROR(ROUND(IF($D109="","",INDEX('M04-S11'!DE$18:DE$199,2*(ROWS(DV$103:DV109)-1)+1)),4),"")</f>
        <v/>
      </c>
      <c r="DW109" s="150" t="str" cm="1">
        <f t="array" ref="DW109">IFERROR(ROUND(IF($D109="","",INDEX('M04-S11'!DF$18:DF$199,2*(ROWS(DW$103:DW109)-1)+1)),4),"")</f>
        <v/>
      </c>
      <c r="DX109" s="150" t="str" cm="1">
        <f t="array" ref="DX109">IFERROR(ROUND(IF($D109="","",INDEX('M04-S11'!DG$18:DG$199,2*(ROWS(DX$103:DX109)-1)+1)),4),"")</f>
        <v/>
      </c>
      <c r="DY109" s="150" t="str" cm="1">
        <f t="array" ref="DY109">IFERROR(ROUND(IF($D109="","",INDEX('M04-S11'!DH$18:DH$199,2*(ROWS(DY$103:DY109)-1)+1)),4),"")</f>
        <v/>
      </c>
      <c r="DZ109" s="150" t="str" cm="1">
        <f t="array" ref="DZ109">IFERROR(ROUND(IF($D109="","",INDEX('M04-S11'!DI$18:DI$199,2*(ROWS(DZ$103:DZ109)-1)+1)),4),"")</f>
        <v/>
      </c>
      <c r="EA109" s="150" t="str" cm="1">
        <f t="array" ref="EA109">IFERROR(ROUND(IF($D109="","",INDEX('M04-S11'!DJ$18:DJ$199,2*(ROWS(EA$103:EA109)-1)+1)),4),"")</f>
        <v/>
      </c>
      <c r="EB109" s="150" t="str" cm="1">
        <f t="array" ref="EB109">IFERROR(ROUND(IF($D109="","",INDEX('M04-S11'!DK$18:DK$199,2*(ROWS(EB$103:EB109)-1)+1)),6),"")</f>
        <v/>
      </c>
      <c r="EC109" s="150" t="str" cm="1">
        <f t="array" ref="EC109">IFERROR(ROUND(IF($D109="","",INDEX('M04-S11'!DL$18:DL$199,2*(ROWS(EC$103:EC109)-1)+1)),6),"")</f>
        <v/>
      </c>
      <c r="ED109" s="150" t="str" cm="1">
        <f t="array" ref="ED109">IFERROR(ROUND(IF($D109="","",INDEX('M04-S11'!DM$18:DM$199,2*(ROWS(ED$103:ED109)-1)+1)),6),"")</f>
        <v/>
      </c>
      <c r="EE109" s="150" t="str" cm="1">
        <f t="array" ref="EE109">IFERROR(ROUND(IF($D109="","",INDEX('M04-S11'!DN$18:DN$199,2*(ROWS(EE$103:EE109)-1)+1)),6),"")</f>
        <v/>
      </c>
      <c r="EF109" s="150" t="str" cm="1">
        <f t="array" ref="EF109">IFERROR(ROUND(IF($D109="","",INDEX('M04-S11'!DO$18:DO$199,2*(ROWS(EF$103:EF109)-1)+1)),6),"")</f>
        <v/>
      </c>
      <c r="EG109" s="150" t="str" cm="1">
        <f t="array" ref="EG109">IFERROR(ROUND(IF($D109="","",INDEX('M04-S11'!DP$18:DP$199,2*(ROWS(EG$103:EG109)-1)+1)),6),"")</f>
        <v/>
      </c>
      <c r="EH109" s="150" t="str" cm="1">
        <f t="array" ref="EH109">IFERROR(ROUND(IF($D109="","",INDEX('M04-S11'!DQ$18:DQ$199,2*(ROWS(EH$103:EH109)-1)+1)),6),"")</f>
        <v/>
      </c>
      <c r="EI109" s="150" t="str" cm="1">
        <f t="array" ref="EI109">IFERROR(ROUND(IF($D109="","",INDEX('M04-S11'!DR$18:DR$199,2*(ROWS(EI$103:EI109)-1)+1)),6),"")</f>
        <v/>
      </c>
      <c r="EJ109" s="150" t="str" cm="1">
        <f t="array" ref="EJ109">IFERROR(ROUND(IF($D109="","",INDEX('M04-S11'!DS$18:DS$199,2*(ROWS(EJ$103:EJ109)-1)+1)),6),"")</f>
        <v/>
      </c>
      <c r="EK109" s="150" t="str" cm="1">
        <f t="array" ref="EK109">IFERROR(ROUND(IF($D109="","",INDEX('M04-S11'!DT$18:DT$199,2*(ROWS(EK$103:EK109)-1)+1)),6),"")</f>
        <v/>
      </c>
      <c r="EL109" s="150" t="str" cm="1">
        <f t="array" ref="EL109">IFERROR(ROUND(IF($D109="","",INDEX('M04-S11'!DU$18:DU$199,2*(ROWS(EL$103:EL109)-1)+1)),6),"")</f>
        <v/>
      </c>
      <c r="EM109" s="150" t="str" cm="1">
        <f t="array" ref="EM109">IFERROR(ROUND(IF($D109="","",INDEX('M04-S11'!DV$18:DV$199,2*(ROWS(EM$103:EM109)-1)+1)),6),"")</f>
        <v/>
      </c>
      <c r="EN109" s="150" t="str" cm="1">
        <f t="array" ref="EN109">IFERROR(ROUND(IF($D109="","",INDEX('M04-S11'!DW$18:DW$199,2*(ROWS(EN$103:EN109)-1)+1)),6),"")</f>
        <v/>
      </c>
      <c r="EO109" s="150" t="str" cm="1">
        <f t="array" ref="EO109">IFERROR(ROUND(IF($D109="","",INDEX('M04-S11'!DX$18:DX$199,2*(ROWS(EO$103:EO109)-1)+1)),6),"")</f>
        <v/>
      </c>
      <c r="EP109" s="150" t="str" cm="1">
        <f t="array" ref="EP109">IFERROR(ROUND(IF($D109="","",INDEX('M04-S11'!DY$18:DY$199,2*(ROWS(EP$103:EP109)-1)+1)),6),"")</f>
        <v/>
      </c>
      <c r="EQ109" s="150" t="str" cm="1">
        <f t="array" ref="EQ109">IFERROR(ROUND(IF($D109="","",INDEX('M04-S11'!DZ$18:DZ$199,2*(ROWS(EQ$103:EQ109)-1)+1)),6),"")</f>
        <v/>
      </c>
      <c r="ER109" s="150" t="str">
        <f t="shared" si="109"/>
        <v/>
      </c>
      <c r="ES109" s="150" t="str">
        <f t="shared" si="134"/>
        <v/>
      </c>
      <c r="ET109" s="150" t="str">
        <f t="shared" si="135"/>
        <v/>
      </c>
      <c r="EU109" s="150" t="str">
        <f t="shared" si="136"/>
        <v/>
      </c>
      <c r="EV109" s="150" t="str">
        <f t="shared" si="137"/>
        <v/>
      </c>
      <c r="EW109" s="150" t="str">
        <f t="shared" si="138"/>
        <v/>
      </c>
      <c r="EX109" s="150" t="str">
        <f t="shared" si="139"/>
        <v/>
      </c>
      <c r="EY109" s="150" t="str">
        <f t="shared" si="110"/>
        <v/>
      </c>
      <c r="EZ109" s="150" t="str" cm="1">
        <f t="array" ref="EZ109">IFERROR(ROUND(IF($D109="","",INDEX('M04-S11'!EA$18:EA$199,2*(ROWS(EZ$103:EZ109)-1)+1)),6),"")</f>
        <v/>
      </c>
      <c r="FA109" s="150" t="str" cm="1">
        <f t="array" ref="FA109">IFERROR(ROUND(IF($D109="","",INDEX('M04-S11'!EB$18:EB$199,2*(ROWS(FA$103:FA109)-1)+1)),6),"")</f>
        <v/>
      </c>
      <c r="FB109" s="150" t="str" cm="1">
        <f t="array" ref="FB109">IFERROR(ROUND(IF($D109="","",INDEX('M04-S11'!EC$18:EC$199,2*(ROWS(FB$103:FB109)-1)+1)),6),"")</f>
        <v/>
      </c>
      <c r="FC109" s="150" t="str" cm="1">
        <f t="array" ref="FC109">IFERROR(ROUND(IF($D109="","",INDEX('M04-S11'!ED$18:ED$199,2*(ROWS(FC$103:FC109)-1)+1)),6),"")</f>
        <v/>
      </c>
      <c r="FD109" s="150" t="str" cm="1">
        <f t="array" ref="FD109">IFERROR(ROUND(IF($D109="","",INDEX('M04-S11'!EE$18:EE$199,2*(ROWS(FD$103:FD109)-1)+1)),6),"")</f>
        <v/>
      </c>
      <c r="FE109" s="150" t="str" cm="1">
        <f t="array" ref="FE109">IFERROR(ROUND(IF($D109="","",INDEX('M04-S11'!EF$18:EF$199,2*(ROWS(FE$103:FE109)-1)+1)),6),"")</f>
        <v/>
      </c>
      <c r="FF109" s="150" t="str" cm="1">
        <f t="array" ref="FF109">IFERROR(ROUND(IF($D109="","",INDEX('M04-S11'!EG$18:EG$199,2*(ROWS(FF$103:FF109)-1)+1)),6),"")</f>
        <v/>
      </c>
      <c r="FG109" s="150" t="str" cm="1">
        <f t="array" ref="FG109">IFERROR(ROUND(IF($D109="","",INDEX('M04-S11'!EH$18:EH$199,2*(ROWS(FG$103:FG109)-1)+1)),6),"")</f>
        <v/>
      </c>
      <c r="FH109" s="150" t="str" cm="1">
        <f t="array" ref="FH109">IFERROR(ROUND(IF($D109="","",INDEX('M04-S11'!EI$18:EI$199,2*(ROWS(FH$103:FH109)-1)+1)),6),"")</f>
        <v/>
      </c>
      <c r="FI109" s="150" t="str" cm="1">
        <f t="array" ref="FI109">IFERROR(ROUND(IF($D109="","",INDEX('M04-S11'!EJ$18:EJ$199,2*(ROWS(FI$103:FI109)-1)+1)),6),"")</f>
        <v/>
      </c>
      <c r="FJ109" s="150" t="str" cm="1">
        <f t="array" ref="FJ109">IFERROR(ROUND(IF($D109="","",INDEX('M04-S11'!EK$18:EK$199,2*(ROWS(FJ$103:FJ109)-1)+1)),6),"")</f>
        <v/>
      </c>
      <c r="FK109" s="150" t="str" cm="1">
        <f t="array" ref="FK109">IFERROR(ROUND(IF($D109="","",INDEX('M04-S11'!EL$18:EL$199,2*(ROWS(FK$103:FK109)-1)+1)),6),"")</f>
        <v/>
      </c>
      <c r="FL109" s="150" t="str" cm="1">
        <f t="array" ref="FL109">IFERROR(ROUND(IF($D109="","",INDEX('M04-S11'!EM$18:EM$199,2*(ROWS(FL$103:FL109)-1)+1)),6),"")</f>
        <v/>
      </c>
      <c r="FM109" s="150" t="str" cm="1">
        <f t="array" ref="FM109">IFERROR(ROUND(IF($D109="","",INDEX('M04-S11'!EN$18:EN$199,2*(ROWS(FM$103:FM109)-1)+1)),6),"")</f>
        <v/>
      </c>
    </row>
    <row r="110" spans="1:169">
      <c r="A110" t="str">
        <f t="shared" si="154"/>
        <v/>
      </c>
      <c r="B110" t="str">
        <f t="shared" si="165"/>
        <v/>
      </c>
      <c r="C110" t="str" cm="1">
        <f t="array" ref="C110">IFERROR(IF(D110="","",INDEX('M04-S11'!$B$18:$B$199,2*(ROWS(C$103:C110)-1)+1)),"")</f>
        <v/>
      </c>
      <c r="D110" t="str">
        <f t="shared" si="166"/>
        <v/>
      </c>
      <c r="E110" t="str" cm="1">
        <f t="array" ref="E110">IFERROR(IF(INDEX('M04-S11'!$CC$18:$CC$199,2*(ROWS(E$103:E110)-1)+1)="","",INDEX('M04-S11'!$CC$18:$CC$199,2*(ROWS(E$103:E110)-1)+1)),"")</f>
        <v/>
      </c>
      <c r="G110" t="str">
        <f t="shared" si="167"/>
        <v/>
      </c>
      <c r="H110" t="str">
        <f t="shared" si="168"/>
        <v/>
      </c>
      <c r="L110" t="str">
        <f t="shared" si="169"/>
        <v/>
      </c>
      <c r="O110" t="str">
        <f t="shared" si="160"/>
        <v/>
      </c>
      <c r="V110" t="str" cm="1">
        <f t="array" ref="V110">IFERROR(IF(D110="","",INDEX('M04-S11'!$AY$18:$AY$199,2*(ROWS(V$103:V110)-1)+1)),"")</f>
        <v/>
      </c>
      <c r="W110" t="str" cm="1">
        <f t="array" ref="W110">IFERROR(IF(D110="","",INDEX('M04-S11'!$AV$18:$AV$199,2*(ROWS(W$103:W110)-1)+1)),"")</f>
        <v/>
      </c>
      <c r="X110" t="str" cm="1">
        <f t="array" ref="X110">IFERROR(IF(D110="","",INDEX('M04-S11'!$AV$18:$AV$199,2*(ROWS(X$103:X110)-0)+0)),"")</f>
        <v/>
      </c>
      <c r="AG110" s="98" t="str" cm="1">
        <f t="array" ref="AG110">IFERROR(IF(D110="","",IF(INDEX('M04-S11'!$CB$18:$CB$199,2*(ROWS(AG$103:AG110)-1)+1)="","",INDEX('M04-S11'!$CB$18:$CB$199,2*(ROWS(AG$103:AG110)-1)+1))),"")</f>
        <v/>
      </c>
      <c r="AH110" s="98" t="str" cm="1">
        <f t="array" ref="AH110">IFERROR(IF(D110="","",IF(INDEX('M04-S11'!$CU$18:$CU$199,2*(ROWS(AH$103:AH110)-1)+1)="","",INDEX('M04-S11'!$CU$18:$CU$199,2*(ROWS(AH$103:AH110)-1)+1))),"")</f>
        <v/>
      </c>
      <c r="AI110" s="20" t="str" cm="1">
        <f t="array" ref="AI110">IFERROR(IF(D110="","",IF(INDEX('M04-S11'!$CM$18:$CM$199,2*(ROWS(AI$103:AI110)-1)+1)="",0,INDEX('M04-S11'!$CM$18:$CM$199,2*(ROWS(AI$103:AI110)-1)+1))),"")</f>
        <v/>
      </c>
      <c r="AJ110" s="20" t="str">
        <f t="shared" si="86"/>
        <v/>
      </c>
      <c r="AK110" s="487" t="str" cm="1">
        <f t="array" ref="AK110">IFERROR(IF(D110="","",IF(INDEX('M04-S11'!$CN$18:$CN$199,2*(ROWS(AK$103:AK110)-1)+1)="",0,INDEX('M04-S11'!$CN$18:$CN$199,2*(ROWS(AK$103:AK110)-1)+1))),"")</f>
        <v/>
      </c>
      <c r="AL110" s="20" t="str">
        <f t="shared" si="170"/>
        <v/>
      </c>
      <c r="AM110" s="20" t="str">
        <f t="shared" si="162"/>
        <v/>
      </c>
      <c r="AN110" s="20" t="str" cm="1">
        <f t="array" ref="AN110">IFERROR(IF(D110="","",IF(INDEX('M04-S11'!$CO$18:$CO$199,2*(ROWS(AN$103:AN110)-1)+1)="",0,INDEX('M04-S11'!$CO$18:$CO$199,2*(ROWS(AN$103:AN110)-1)+1))),"")</f>
        <v/>
      </c>
      <c r="AO110" s="20" t="str" cm="1">
        <f t="array" ref="AO110">IFERROR(IF(D110="","",INDEX('M04-S11'!$R$18:$R$199,2*(ROWS(AO$103:AO110)-1)+1)),"")</f>
        <v/>
      </c>
      <c r="AP110" s="20" t="str" cm="1">
        <f t="array" ref="AP110">IFERROR(IF(D110="","",INDEX('M04-S11'!$AJ$18:$AJ$199,2*(ROWS(AP$103:AP110)-1)+1)),"")</f>
        <v/>
      </c>
      <c r="AQ110" s="487" t="str" cm="1">
        <f t="array" ref="AQ110">IFERROR(IF(D110="","",INDEX('M04-S11'!$U$18:$U$199,2*(ROWS(AQ$103:AQ110)-1)+1)),"")</f>
        <v/>
      </c>
      <c r="AR110" s="487" t="str" cm="1">
        <f t="array" ref="AR110">IFERROR(IF(D110="","",INDEX('M04-S11'!$AM$18:$AM$199,2*(ROWS(AR$103:AR110)-1)+1)),"")</f>
        <v/>
      </c>
      <c r="AS110" s="20" t="str" cm="1">
        <f t="array" ref="AS110">IFERROR(IF(D110="","",INDEX('M04-S11'!$X$18:$X$199,2*(ROWS(AS$103:AS110)-1)+1)),"")</f>
        <v/>
      </c>
      <c r="AT110" s="20" t="str" cm="1">
        <f t="array" ref="AT110">IFERROR(IF(D110="","",INDEX('M04-S11'!$AP$18:$AP$199,2*(ROWS(AT$103:AT110)-1)+1)),"")</f>
        <v/>
      </c>
      <c r="BP110" t="str" cm="1">
        <f t="array" ref="BP110">IFERROR(IF(D110="","",INDEX('M04-S11'!$CS$18:$CS$199,2*(ROWS(BP$103:BP110)-1)+1)),"")</f>
        <v/>
      </c>
      <c r="BR110" t="str" cm="1">
        <f t="array" ref="BR110">IFERROR(IF(D110="","",LEFT(INDEX('M04-S11'!$C$18:$C$199,2*(ROWS(BR$103:BR110)-1)+1),150)),"")</f>
        <v/>
      </c>
      <c r="BS110" t="str" cm="1">
        <f t="array" ref="BS110">IFERROR(IF(D110="","",INDEX('M04-S11'!$CT$18:$CT$199,2*(ROWS(BS$103:BS110)-1)+1)),"")</f>
        <v/>
      </c>
      <c r="BT110" s="6" t="str" cm="1">
        <f t="array" ref="BT110">IFERROR(ROUND(IF(D110="","",INDEX('M04-S11'!$BB$18:$BB$199,2*(ROWS(BT$103:BT110)-1)+1)),2),"")</f>
        <v/>
      </c>
      <c r="BU110" s="6" t="str" cm="1">
        <f t="array" ref="BU110">IFERROR(IF(D110="","",INDEX('M04-S11'!$CX$18:$CX$199,2*(ROWS(BU$103:BU110)-1)+1)),"")</f>
        <v/>
      </c>
      <c r="BV110" s="6" t="str" cm="1">
        <f t="array" ref="BV110">IFERROR(IF(D110="","",INDEX('M04-S11'!$CY$18:$CY$199,2*(ROWS(BV$103:BV110)-1)+1)),"")</f>
        <v/>
      </c>
      <c r="BW110" t="str">
        <f t="shared" si="171"/>
        <v/>
      </c>
      <c r="BX110" t="str">
        <f t="shared" si="172"/>
        <v/>
      </c>
      <c r="BY110" s="6" t="str" cm="1">
        <f t="array" ref="BY110">IFERROR(IF(D110="","",INDEX('M04-S11'!$CI$18:$CI$199,2*(ROWS(BY$103:BY110)-1)+1)),"")</f>
        <v/>
      </c>
      <c r="BZ110" s="6" t="str">
        <f t="shared" si="105"/>
        <v/>
      </c>
      <c r="CA110" s="6" t="str">
        <f t="shared" si="106"/>
        <v/>
      </c>
      <c r="CB110" s="6" t="str">
        <f t="shared" si="87"/>
        <v/>
      </c>
      <c r="CC110" s="6" t="str">
        <f t="shared" si="163"/>
        <v/>
      </c>
      <c r="CD110" s="6" t="str">
        <f t="shared" si="164"/>
        <v/>
      </c>
      <c r="CS110" t="str" cm="1">
        <f t="array" ref="CS110">IFERROR(IF(D110="","",INDEX('M04-S11'!$F$18:$F$199,2*(ROWS(CS$103:CS110)-1)+1)),"")</f>
        <v/>
      </c>
      <c r="CT110" t="str" cm="1">
        <f t="array" ref="CT110">IFERROR(IF(D110="","",INDEX('M04-S11'!$L$18:$L$199,2*(ROWS(CT$103:CT110)-1)+1)),"")</f>
        <v/>
      </c>
      <c r="CU110" t="str" cm="1">
        <f t="array" ref="CU110">IFERROR(IF(D110="","",INDEX('M04-S11'!$AD$18:$AD$199,2*(ROWS(CU$103:CU110)-1)+1)),"")</f>
        <v/>
      </c>
      <c r="DE110" s="150"/>
      <c r="DF110" s="150" t="str">
        <f>IFERROR(ROUND(IF(OR(D110="",DE110=""),"",TEMPLATE!$V$19),2),"")</f>
        <v/>
      </c>
      <c r="DG110" s="150"/>
      <c r="DH110" s="150" t="str">
        <f>IFERROR(ROUND(IF(OR(D110="",DG110=""),"",TEMPLATE!$V$19),2),"")</f>
        <v/>
      </c>
      <c r="DI110" s="150"/>
      <c r="DJ110" s="150" t="str">
        <f>IFERROR(ROUND(IF(OR(D110="",DI110=""),"",TEMPLATE!$V$19),2),"")</f>
        <v/>
      </c>
      <c r="DK110" s="150"/>
      <c r="DL110" s="150" t="str">
        <f>IFERROR(ROUND(IF(OR(D110="",DK110=""),"",TEMPLATE!$V$19),2),"")</f>
        <v/>
      </c>
      <c r="DM110" s="150"/>
      <c r="DN110" s="150" t="str">
        <f>IFERROR(ROUND(IF(OR(D110="",DM110=""),"",TEMPLATE!$V$19),2),"")</f>
        <v/>
      </c>
      <c r="DO110" s="150"/>
      <c r="DP110" s="150" t="str">
        <f>IFERROR(ROUND(IF(OR(D110="",DO110=""),"",TEMPLATE!$V$19),2),"")</f>
        <v/>
      </c>
      <c r="DQ110" s="150"/>
      <c r="DR110" s="150" t="str">
        <f>IFERROR(ROUND(IF(OR(D110="",DQ110=""),"",TEMPLATE!$V$19),2),"")</f>
        <v/>
      </c>
      <c r="DS110" s="150"/>
      <c r="DT110" s="150" t="str">
        <f>IFERROR(ROUND(IF(OR(D110="",DS110=""),"",TEMPLATE!$V$19),2),"")</f>
        <v/>
      </c>
      <c r="DU110" s="150" t="str" cm="1">
        <f t="array" ref="DU110">IFERROR(ROUND(IF($D110="","",INDEX('M04-S11'!DD$18:DD$199,2*(ROWS(DU$103:DU110)-1)+1)),4),"")</f>
        <v/>
      </c>
      <c r="DV110" s="150" t="str" cm="1">
        <f t="array" ref="DV110">IFERROR(ROUND(IF($D110="","",INDEX('M04-S11'!DE$18:DE$199,2*(ROWS(DV$103:DV110)-1)+1)),4),"")</f>
        <v/>
      </c>
      <c r="DW110" s="150" t="str" cm="1">
        <f t="array" ref="DW110">IFERROR(ROUND(IF($D110="","",INDEX('M04-S11'!DF$18:DF$199,2*(ROWS(DW$103:DW110)-1)+1)),4),"")</f>
        <v/>
      </c>
      <c r="DX110" s="150" t="str" cm="1">
        <f t="array" ref="DX110">IFERROR(ROUND(IF($D110="","",INDEX('M04-S11'!DG$18:DG$199,2*(ROWS(DX$103:DX110)-1)+1)),4),"")</f>
        <v/>
      </c>
      <c r="DY110" s="150" t="str" cm="1">
        <f t="array" ref="DY110">IFERROR(ROUND(IF($D110="","",INDEX('M04-S11'!DH$18:DH$199,2*(ROWS(DY$103:DY110)-1)+1)),4),"")</f>
        <v/>
      </c>
      <c r="DZ110" s="150" t="str" cm="1">
        <f t="array" ref="DZ110">IFERROR(ROUND(IF($D110="","",INDEX('M04-S11'!DI$18:DI$199,2*(ROWS(DZ$103:DZ110)-1)+1)),4),"")</f>
        <v/>
      </c>
      <c r="EA110" s="150" t="str" cm="1">
        <f t="array" ref="EA110">IFERROR(ROUND(IF($D110="","",INDEX('M04-S11'!DJ$18:DJ$199,2*(ROWS(EA$103:EA110)-1)+1)),4),"")</f>
        <v/>
      </c>
      <c r="EB110" s="150" t="str" cm="1">
        <f t="array" ref="EB110">IFERROR(ROUND(IF($D110="","",INDEX('M04-S11'!DK$18:DK$199,2*(ROWS(EB$103:EB110)-1)+1)),6),"")</f>
        <v/>
      </c>
      <c r="EC110" s="150" t="str" cm="1">
        <f t="array" ref="EC110">IFERROR(ROUND(IF($D110="","",INDEX('M04-S11'!DL$18:DL$199,2*(ROWS(EC$103:EC110)-1)+1)),6),"")</f>
        <v/>
      </c>
      <c r="ED110" s="150" t="str" cm="1">
        <f t="array" ref="ED110">IFERROR(ROUND(IF($D110="","",INDEX('M04-S11'!DM$18:DM$199,2*(ROWS(ED$103:ED110)-1)+1)),6),"")</f>
        <v/>
      </c>
      <c r="EE110" s="150" t="str" cm="1">
        <f t="array" ref="EE110">IFERROR(ROUND(IF($D110="","",INDEX('M04-S11'!DN$18:DN$199,2*(ROWS(EE$103:EE110)-1)+1)),6),"")</f>
        <v/>
      </c>
      <c r="EF110" s="150" t="str" cm="1">
        <f t="array" ref="EF110">IFERROR(ROUND(IF($D110="","",INDEX('M04-S11'!DO$18:DO$199,2*(ROWS(EF$103:EF110)-1)+1)),6),"")</f>
        <v/>
      </c>
      <c r="EG110" s="150" t="str" cm="1">
        <f t="array" ref="EG110">IFERROR(ROUND(IF($D110="","",INDEX('M04-S11'!DP$18:DP$199,2*(ROWS(EG$103:EG110)-1)+1)),6),"")</f>
        <v/>
      </c>
      <c r="EH110" s="150" t="str" cm="1">
        <f t="array" ref="EH110">IFERROR(ROUND(IF($D110="","",INDEX('M04-S11'!DQ$18:DQ$199,2*(ROWS(EH$103:EH110)-1)+1)),6),"")</f>
        <v/>
      </c>
      <c r="EI110" s="150" t="str" cm="1">
        <f t="array" ref="EI110">IFERROR(ROUND(IF($D110="","",INDEX('M04-S11'!DR$18:DR$199,2*(ROWS(EI$103:EI110)-1)+1)),6),"")</f>
        <v/>
      </c>
      <c r="EJ110" s="150" t="str" cm="1">
        <f t="array" ref="EJ110">IFERROR(ROUND(IF($D110="","",INDEX('M04-S11'!DS$18:DS$199,2*(ROWS(EJ$103:EJ110)-1)+1)),6),"")</f>
        <v/>
      </c>
      <c r="EK110" s="150" t="str" cm="1">
        <f t="array" ref="EK110">IFERROR(ROUND(IF($D110="","",INDEX('M04-S11'!DT$18:DT$199,2*(ROWS(EK$103:EK110)-1)+1)),6),"")</f>
        <v/>
      </c>
      <c r="EL110" s="150" t="str" cm="1">
        <f t="array" ref="EL110">IFERROR(ROUND(IF($D110="","",INDEX('M04-S11'!DU$18:DU$199,2*(ROWS(EL$103:EL110)-1)+1)),6),"")</f>
        <v/>
      </c>
      <c r="EM110" s="150" t="str" cm="1">
        <f t="array" ref="EM110">IFERROR(ROUND(IF($D110="","",INDEX('M04-S11'!DV$18:DV$199,2*(ROWS(EM$103:EM110)-1)+1)),6),"")</f>
        <v/>
      </c>
      <c r="EN110" s="150" t="str" cm="1">
        <f t="array" ref="EN110">IFERROR(ROUND(IF($D110="","",INDEX('M04-S11'!DW$18:DW$199,2*(ROWS(EN$103:EN110)-1)+1)),6),"")</f>
        <v/>
      </c>
      <c r="EO110" s="150" t="str" cm="1">
        <f t="array" ref="EO110">IFERROR(ROUND(IF($D110="","",INDEX('M04-S11'!DX$18:DX$199,2*(ROWS(EO$103:EO110)-1)+1)),6),"")</f>
        <v/>
      </c>
      <c r="EP110" s="150" t="str" cm="1">
        <f t="array" ref="EP110">IFERROR(ROUND(IF($D110="","",INDEX('M04-S11'!DY$18:DY$199,2*(ROWS(EP$103:EP110)-1)+1)),6),"")</f>
        <v/>
      </c>
      <c r="EQ110" s="150" t="str" cm="1">
        <f t="array" ref="EQ110">IFERROR(ROUND(IF($D110="","",INDEX('M04-S11'!DZ$18:DZ$199,2*(ROWS(EQ$103:EQ110)-1)+1)),6),"")</f>
        <v/>
      </c>
      <c r="ER110" s="150" t="str">
        <f t="shared" si="109"/>
        <v/>
      </c>
      <c r="ES110" s="150" t="str">
        <f t="shared" si="134"/>
        <v/>
      </c>
      <c r="ET110" s="150" t="str">
        <f t="shared" si="135"/>
        <v/>
      </c>
      <c r="EU110" s="150" t="str">
        <f t="shared" si="136"/>
        <v/>
      </c>
      <c r="EV110" s="150" t="str">
        <f t="shared" si="137"/>
        <v/>
      </c>
      <c r="EW110" s="150" t="str">
        <f t="shared" si="138"/>
        <v/>
      </c>
      <c r="EX110" s="150" t="str">
        <f t="shared" si="139"/>
        <v/>
      </c>
      <c r="EY110" s="150" t="str">
        <f t="shared" si="110"/>
        <v/>
      </c>
      <c r="EZ110" s="150" t="str" cm="1">
        <f t="array" ref="EZ110">IFERROR(ROUND(IF($D110="","",INDEX('M04-S11'!EA$18:EA$199,2*(ROWS(EZ$103:EZ110)-1)+1)),6),"")</f>
        <v/>
      </c>
      <c r="FA110" s="150" t="str" cm="1">
        <f t="array" ref="FA110">IFERROR(ROUND(IF($D110="","",INDEX('M04-S11'!EB$18:EB$199,2*(ROWS(FA$103:FA110)-1)+1)),6),"")</f>
        <v/>
      </c>
      <c r="FB110" s="150" t="str" cm="1">
        <f t="array" ref="FB110">IFERROR(ROUND(IF($D110="","",INDEX('M04-S11'!EC$18:EC$199,2*(ROWS(FB$103:FB110)-1)+1)),6),"")</f>
        <v/>
      </c>
      <c r="FC110" s="150" t="str" cm="1">
        <f t="array" ref="FC110">IFERROR(ROUND(IF($D110="","",INDEX('M04-S11'!ED$18:ED$199,2*(ROWS(FC$103:FC110)-1)+1)),6),"")</f>
        <v/>
      </c>
      <c r="FD110" s="150" t="str" cm="1">
        <f t="array" ref="FD110">IFERROR(ROUND(IF($D110="","",INDEX('M04-S11'!EE$18:EE$199,2*(ROWS(FD$103:FD110)-1)+1)),6),"")</f>
        <v/>
      </c>
      <c r="FE110" s="150" t="str" cm="1">
        <f t="array" ref="FE110">IFERROR(ROUND(IF($D110="","",INDEX('M04-S11'!EF$18:EF$199,2*(ROWS(FE$103:FE110)-1)+1)),6),"")</f>
        <v/>
      </c>
      <c r="FF110" s="150" t="str" cm="1">
        <f t="array" ref="FF110">IFERROR(ROUND(IF($D110="","",INDEX('M04-S11'!EG$18:EG$199,2*(ROWS(FF$103:FF110)-1)+1)),6),"")</f>
        <v/>
      </c>
      <c r="FG110" s="150" t="str" cm="1">
        <f t="array" ref="FG110">IFERROR(ROUND(IF($D110="","",INDEX('M04-S11'!EH$18:EH$199,2*(ROWS(FG$103:FG110)-1)+1)),6),"")</f>
        <v/>
      </c>
      <c r="FH110" s="150" t="str" cm="1">
        <f t="array" ref="FH110">IFERROR(ROUND(IF($D110="","",INDEX('M04-S11'!EI$18:EI$199,2*(ROWS(FH$103:FH110)-1)+1)),6),"")</f>
        <v/>
      </c>
      <c r="FI110" s="150" t="str" cm="1">
        <f t="array" ref="FI110">IFERROR(ROUND(IF($D110="","",INDEX('M04-S11'!EJ$18:EJ$199,2*(ROWS(FI$103:FI110)-1)+1)),6),"")</f>
        <v/>
      </c>
      <c r="FJ110" s="150" t="str" cm="1">
        <f t="array" ref="FJ110">IFERROR(ROUND(IF($D110="","",INDEX('M04-S11'!EK$18:EK$199,2*(ROWS(FJ$103:FJ110)-1)+1)),6),"")</f>
        <v/>
      </c>
      <c r="FK110" s="150" t="str" cm="1">
        <f t="array" ref="FK110">IFERROR(ROUND(IF($D110="","",INDEX('M04-S11'!EL$18:EL$199,2*(ROWS(FK$103:FK110)-1)+1)),6),"")</f>
        <v/>
      </c>
      <c r="FL110" s="150" t="str" cm="1">
        <f t="array" ref="FL110">IFERROR(ROUND(IF($D110="","",INDEX('M04-S11'!EM$18:EM$199,2*(ROWS(FL$103:FL110)-1)+1)),6),"")</f>
        <v/>
      </c>
      <c r="FM110" s="150" t="str" cm="1">
        <f t="array" ref="FM110">IFERROR(ROUND(IF($D110="","",INDEX('M04-S11'!EN$18:EN$199,2*(ROWS(FM$103:FM110)-1)+1)),6),"")</f>
        <v/>
      </c>
    </row>
    <row r="111" spans="1:169">
      <c r="A111" t="str">
        <f t="shared" si="154"/>
        <v/>
      </c>
      <c r="B111" t="str">
        <f t="shared" si="165"/>
        <v/>
      </c>
      <c r="C111" t="str" cm="1">
        <f t="array" ref="C111">IFERROR(IF(D111="","",INDEX('M04-S11'!$B$18:$B$199,2*(ROWS(C$103:C111)-1)+1)),"")</f>
        <v/>
      </c>
      <c r="D111" t="str">
        <f t="shared" si="166"/>
        <v/>
      </c>
      <c r="E111" t="str" cm="1">
        <f t="array" ref="E111">IFERROR(IF(INDEX('M04-S11'!$CC$18:$CC$199,2*(ROWS(E$103:E111)-1)+1)="","",INDEX('M04-S11'!$CC$18:$CC$199,2*(ROWS(E$103:E111)-1)+1)),"")</f>
        <v/>
      </c>
      <c r="G111" t="str">
        <f t="shared" si="167"/>
        <v/>
      </c>
      <c r="H111" t="str">
        <f t="shared" si="168"/>
        <v/>
      </c>
      <c r="L111" t="str">
        <f t="shared" si="169"/>
        <v/>
      </c>
      <c r="O111" t="str">
        <f t="shared" si="160"/>
        <v/>
      </c>
      <c r="V111" t="str" cm="1">
        <f t="array" ref="V111">IFERROR(IF(D111="","",INDEX('M04-S11'!$AY$18:$AY$199,2*(ROWS(V$103:V111)-1)+1)),"")</f>
        <v/>
      </c>
      <c r="W111" t="str" cm="1">
        <f t="array" ref="W111">IFERROR(IF(D111="","",INDEX('M04-S11'!$AV$18:$AV$199,2*(ROWS(W$103:W111)-1)+1)),"")</f>
        <v/>
      </c>
      <c r="X111" t="str" cm="1">
        <f t="array" ref="X111">IFERROR(IF(D111="","",INDEX('M04-S11'!$AV$18:$AV$199,2*(ROWS(X$103:X111)-0)+0)),"")</f>
        <v/>
      </c>
      <c r="AG111" s="98" t="str" cm="1">
        <f t="array" ref="AG111">IFERROR(IF(D111="","",IF(INDEX('M04-S11'!$CB$18:$CB$199,2*(ROWS(AG$103:AG111)-1)+1)="","",INDEX('M04-S11'!$CB$18:$CB$199,2*(ROWS(AG$103:AG111)-1)+1))),"")</f>
        <v/>
      </c>
      <c r="AH111" s="98" t="str" cm="1">
        <f t="array" ref="AH111">IFERROR(IF(D111="","",IF(INDEX('M04-S11'!$CU$18:$CU$199,2*(ROWS(AH$103:AH111)-1)+1)="","",INDEX('M04-S11'!$CU$18:$CU$199,2*(ROWS(AH$103:AH111)-1)+1))),"")</f>
        <v/>
      </c>
      <c r="AI111" s="20" t="str" cm="1">
        <f t="array" ref="AI111">IFERROR(IF(D111="","",IF(INDEX('M04-S11'!$CM$18:$CM$199,2*(ROWS(AI$103:AI111)-1)+1)="",0,INDEX('M04-S11'!$CM$18:$CM$199,2*(ROWS(AI$103:AI111)-1)+1))),"")</f>
        <v/>
      </c>
      <c r="AJ111" s="20" t="str">
        <f t="shared" si="86"/>
        <v/>
      </c>
      <c r="AK111" s="487" t="str" cm="1">
        <f t="array" ref="AK111">IFERROR(IF(D111="","",IF(INDEX('M04-S11'!$CN$18:$CN$199,2*(ROWS(AK$103:AK111)-1)+1)="",0,INDEX('M04-S11'!$CN$18:$CN$199,2*(ROWS(AK$103:AK111)-1)+1))),"")</f>
        <v/>
      </c>
      <c r="AL111" s="20" t="str">
        <f t="shared" si="170"/>
        <v/>
      </c>
      <c r="AM111" s="20" t="str">
        <f t="shared" si="162"/>
        <v/>
      </c>
      <c r="AN111" s="20" t="str" cm="1">
        <f t="array" ref="AN111">IFERROR(IF(D111="","",IF(INDEX('M04-S11'!$CO$18:$CO$199,2*(ROWS(AN$103:AN111)-1)+1)="",0,INDEX('M04-S11'!$CO$18:$CO$199,2*(ROWS(AN$103:AN111)-1)+1))),"")</f>
        <v/>
      </c>
      <c r="AO111" s="20" t="str" cm="1">
        <f t="array" ref="AO111">IFERROR(IF(D111="","",INDEX('M04-S11'!$R$18:$R$199,2*(ROWS(AO$103:AO111)-1)+1)),"")</f>
        <v/>
      </c>
      <c r="AP111" s="20" t="str" cm="1">
        <f t="array" ref="AP111">IFERROR(IF(D111="","",INDEX('M04-S11'!$AJ$18:$AJ$199,2*(ROWS(AP$103:AP111)-1)+1)),"")</f>
        <v/>
      </c>
      <c r="AQ111" s="487" t="str" cm="1">
        <f t="array" ref="AQ111">IFERROR(IF(D111="","",INDEX('M04-S11'!$U$18:$U$199,2*(ROWS(AQ$103:AQ111)-1)+1)),"")</f>
        <v/>
      </c>
      <c r="AR111" s="487" t="str" cm="1">
        <f t="array" ref="AR111">IFERROR(IF(D111="","",INDEX('M04-S11'!$AM$18:$AM$199,2*(ROWS(AR$103:AR111)-1)+1)),"")</f>
        <v/>
      </c>
      <c r="AS111" s="20" t="str" cm="1">
        <f t="array" ref="AS111">IFERROR(IF(D111="","",INDEX('M04-S11'!$X$18:$X$199,2*(ROWS(AS$103:AS111)-1)+1)),"")</f>
        <v/>
      </c>
      <c r="AT111" s="20" t="str" cm="1">
        <f t="array" ref="AT111">IFERROR(IF(D111="","",INDEX('M04-S11'!$AP$18:$AP$199,2*(ROWS(AT$103:AT111)-1)+1)),"")</f>
        <v/>
      </c>
      <c r="BP111" t="str" cm="1">
        <f t="array" ref="BP111">IFERROR(IF(D111="","",INDEX('M04-S11'!$CS$18:$CS$199,2*(ROWS(BP$103:BP111)-1)+1)),"")</f>
        <v/>
      </c>
      <c r="BR111" t="str" cm="1">
        <f t="array" ref="BR111">IFERROR(IF(D111="","",LEFT(INDEX('M04-S11'!$C$18:$C$199,2*(ROWS(BR$103:BR111)-1)+1),150)),"")</f>
        <v/>
      </c>
      <c r="BS111" t="str" cm="1">
        <f t="array" ref="BS111">IFERROR(IF(D111="","",INDEX('M04-S11'!$CT$18:$CT$199,2*(ROWS(BS$103:BS111)-1)+1)),"")</f>
        <v/>
      </c>
      <c r="BT111" s="6" t="str" cm="1">
        <f t="array" ref="BT111">IFERROR(ROUND(IF(D111="","",INDEX('M04-S11'!$BB$18:$BB$199,2*(ROWS(BT$103:BT111)-1)+1)),2),"")</f>
        <v/>
      </c>
      <c r="BU111" s="6" t="str" cm="1">
        <f t="array" ref="BU111">IFERROR(IF(D111="","",INDEX('M04-S11'!$CX$18:$CX$199,2*(ROWS(BU$103:BU111)-1)+1)),"")</f>
        <v/>
      </c>
      <c r="BV111" s="6" t="str" cm="1">
        <f t="array" ref="BV111">IFERROR(IF(D111="","",INDEX('M04-S11'!$CY$18:$CY$199,2*(ROWS(BV$103:BV111)-1)+1)),"")</f>
        <v/>
      </c>
      <c r="BW111" t="str">
        <f t="shared" si="171"/>
        <v/>
      </c>
      <c r="BX111" t="str">
        <f t="shared" si="172"/>
        <v/>
      </c>
      <c r="BY111" s="6" t="str" cm="1">
        <f t="array" ref="BY111">IFERROR(IF(D111="","",INDEX('M04-S11'!$CI$18:$CI$199,2*(ROWS(BY$103:BY111)-1)+1)),"")</f>
        <v/>
      </c>
      <c r="BZ111" s="6" t="str">
        <f t="shared" si="105"/>
        <v/>
      </c>
      <c r="CA111" s="6" t="str">
        <f t="shared" si="106"/>
        <v/>
      </c>
      <c r="CB111" s="6" t="str">
        <f t="shared" si="87"/>
        <v/>
      </c>
      <c r="CC111" s="6" t="str">
        <f t="shared" si="163"/>
        <v/>
      </c>
      <c r="CD111" s="6" t="str">
        <f t="shared" si="164"/>
        <v/>
      </c>
      <c r="CS111" t="str" cm="1">
        <f t="array" ref="CS111">IFERROR(IF(D111="","",INDEX('M04-S11'!$F$18:$F$199,2*(ROWS(CS$103:CS111)-1)+1)),"")</f>
        <v/>
      </c>
      <c r="CT111" t="str" cm="1">
        <f t="array" ref="CT111">IFERROR(IF(D111="","",INDEX('M04-S11'!$L$18:$L$199,2*(ROWS(CT$103:CT111)-1)+1)),"")</f>
        <v/>
      </c>
      <c r="CU111" t="str" cm="1">
        <f t="array" ref="CU111">IFERROR(IF(D111="","",INDEX('M04-S11'!$AD$18:$AD$199,2*(ROWS(CU$103:CU111)-1)+1)),"")</f>
        <v/>
      </c>
      <c r="DE111" s="150"/>
      <c r="DF111" s="150" t="str">
        <f>IFERROR(ROUND(IF(OR(D111="",DE111=""),"",TEMPLATE!$V$19),2),"")</f>
        <v/>
      </c>
      <c r="DG111" s="150"/>
      <c r="DH111" s="150" t="str">
        <f>IFERROR(ROUND(IF(OR(D111="",DG111=""),"",TEMPLATE!$V$19),2),"")</f>
        <v/>
      </c>
      <c r="DI111" s="150"/>
      <c r="DJ111" s="150" t="str">
        <f>IFERROR(ROUND(IF(OR(D111="",DI111=""),"",TEMPLATE!$V$19),2),"")</f>
        <v/>
      </c>
      <c r="DK111" s="150"/>
      <c r="DL111" s="150" t="str">
        <f>IFERROR(ROUND(IF(OR(D111="",DK111=""),"",TEMPLATE!$V$19),2),"")</f>
        <v/>
      </c>
      <c r="DM111" s="150"/>
      <c r="DN111" s="150" t="str">
        <f>IFERROR(ROUND(IF(OR(D111="",DM111=""),"",TEMPLATE!$V$19),2),"")</f>
        <v/>
      </c>
      <c r="DO111" s="150"/>
      <c r="DP111" s="150" t="str">
        <f>IFERROR(ROUND(IF(OR(D111="",DO111=""),"",TEMPLATE!$V$19),2),"")</f>
        <v/>
      </c>
      <c r="DQ111" s="150"/>
      <c r="DR111" s="150" t="str">
        <f>IFERROR(ROUND(IF(OR(D111="",DQ111=""),"",TEMPLATE!$V$19),2),"")</f>
        <v/>
      </c>
      <c r="DS111" s="150"/>
      <c r="DT111" s="150" t="str">
        <f>IFERROR(ROUND(IF(OR(D111="",DS111=""),"",TEMPLATE!$V$19),2),"")</f>
        <v/>
      </c>
      <c r="DU111" s="150" t="str" cm="1">
        <f t="array" ref="DU111">IFERROR(ROUND(IF($D111="","",INDEX('M04-S11'!DD$18:DD$199,2*(ROWS(DU$103:DU111)-1)+1)),4),"")</f>
        <v/>
      </c>
      <c r="DV111" s="150" t="str" cm="1">
        <f t="array" ref="DV111">IFERROR(ROUND(IF($D111="","",INDEX('M04-S11'!DE$18:DE$199,2*(ROWS(DV$103:DV111)-1)+1)),4),"")</f>
        <v/>
      </c>
      <c r="DW111" s="150" t="str" cm="1">
        <f t="array" ref="DW111">IFERROR(ROUND(IF($D111="","",INDEX('M04-S11'!DF$18:DF$199,2*(ROWS(DW$103:DW111)-1)+1)),4),"")</f>
        <v/>
      </c>
      <c r="DX111" s="150" t="str" cm="1">
        <f t="array" ref="DX111">IFERROR(ROUND(IF($D111="","",INDEX('M04-S11'!DG$18:DG$199,2*(ROWS(DX$103:DX111)-1)+1)),4),"")</f>
        <v/>
      </c>
      <c r="DY111" s="150" t="str" cm="1">
        <f t="array" ref="DY111">IFERROR(ROUND(IF($D111="","",INDEX('M04-S11'!DH$18:DH$199,2*(ROWS(DY$103:DY111)-1)+1)),4),"")</f>
        <v/>
      </c>
      <c r="DZ111" s="150" t="str" cm="1">
        <f t="array" ref="DZ111">IFERROR(ROUND(IF($D111="","",INDEX('M04-S11'!DI$18:DI$199,2*(ROWS(DZ$103:DZ111)-1)+1)),4),"")</f>
        <v/>
      </c>
      <c r="EA111" s="150" t="str" cm="1">
        <f t="array" ref="EA111">IFERROR(ROUND(IF($D111="","",INDEX('M04-S11'!DJ$18:DJ$199,2*(ROWS(EA$103:EA111)-1)+1)),4),"")</f>
        <v/>
      </c>
      <c r="EB111" s="150" t="str" cm="1">
        <f t="array" ref="EB111">IFERROR(ROUND(IF($D111="","",INDEX('M04-S11'!DK$18:DK$199,2*(ROWS(EB$103:EB111)-1)+1)),6),"")</f>
        <v/>
      </c>
      <c r="EC111" s="150" t="str" cm="1">
        <f t="array" ref="EC111">IFERROR(ROUND(IF($D111="","",INDEX('M04-S11'!DL$18:DL$199,2*(ROWS(EC$103:EC111)-1)+1)),6),"")</f>
        <v/>
      </c>
      <c r="ED111" s="150" t="str" cm="1">
        <f t="array" ref="ED111">IFERROR(ROUND(IF($D111="","",INDEX('M04-S11'!DM$18:DM$199,2*(ROWS(ED$103:ED111)-1)+1)),6),"")</f>
        <v/>
      </c>
      <c r="EE111" s="150" t="str" cm="1">
        <f t="array" ref="EE111">IFERROR(ROUND(IF($D111="","",INDEX('M04-S11'!DN$18:DN$199,2*(ROWS(EE$103:EE111)-1)+1)),6),"")</f>
        <v/>
      </c>
      <c r="EF111" s="150" t="str" cm="1">
        <f t="array" ref="EF111">IFERROR(ROUND(IF($D111="","",INDEX('M04-S11'!DO$18:DO$199,2*(ROWS(EF$103:EF111)-1)+1)),6),"")</f>
        <v/>
      </c>
      <c r="EG111" s="150" t="str" cm="1">
        <f t="array" ref="EG111">IFERROR(ROUND(IF($D111="","",INDEX('M04-S11'!DP$18:DP$199,2*(ROWS(EG$103:EG111)-1)+1)),6),"")</f>
        <v/>
      </c>
      <c r="EH111" s="150" t="str" cm="1">
        <f t="array" ref="EH111">IFERROR(ROUND(IF($D111="","",INDEX('M04-S11'!DQ$18:DQ$199,2*(ROWS(EH$103:EH111)-1)+1)),6),"")</f>
        <v/>
      </c>
      <c r="EI111" s="150" t="str" cm="1">
        <f t="array" ref="EI111">IFERROR(ROUND(IF($D111="","",INDEX('M04-S11'!DR$18:DR$199,2*(ROWS(EI$103:EI111)-1)+1)),6),"")</f>
        <v/>
      </c>
      <c r="EJ111" s="150" t="str" cm="1">
        <f t="array" ref="EJ111">IFERROR(ROUND(IF($D111="","",INDEX('M04-S11'!DS$18:DS$199,2*(ROWS(EJ$103:EJ111)-1)+1)),6),"")</f>
        <v/>
      </c>
      <c r="EK111" s="150" t="str" cm="1">
        <f t="array" ref="EK111">IFERROR(ROUND(IF($D111="","",INDEX('M04-S11'!DT$18:DT$199,2*(ROWS(EK$103:EK111)-1)+1)),6),"")</f>
        <v/>
      </c>
      <c r="EL111" s="150" t="str" cm="1">
        <f t="array" ref="EL111">IFERROR(ROUND(IF($D111="","",INDEX('M04-S11'!DU$18:DU$199,2*(ROWS(EL$103:EL111)-1)+1)),6),"")</f>
        <v/>
      </c>
      <c r="EM111" s="150" t="str" cm="1">
        <f t="array" ref="EM111">IFERROR(ROUND(IF($D111="","",INDEX('M04-S11'!DV$18:DV$199,2*(ROWS(EM$103:EM111)-1)+1)),6),"")</f>
        <v/>
      </c>
      <c r="EN111" s="150" t="str" cm="1">
        <f t="array" ref="EN111">IFERROR(ROUND(IF($D111="","",INDEX('M04-S11'!DW$18:DW$199,2*(ROWS(EN$103:EN111)-1)+1)),6),"")</f>
        <v/>
      </c>
      <c r="EO111" s="150" t="str" cm="1">
        <f t="array" ref="EO111">IFERROR(ROUND(IF($D111="","",INDEX('M04-S11'!DX$18:DX$199,2*(ROWS(EO$103:EO111)-1)+1)),6),"")</f>
        <v/>
      </c>
      <c r="EP111" s="150" t="str" cm="1">
        <f t="array" ref="EP111">IFERROR(ROUND(IF($D111="","",INDEX('M04-S11'!DY$18:DY$199,2*(ROWS(EP$103:EP111)-1)+1)),6),"")</f>
        <v/>
      </c>
      <c r="EQ111" s="150" t="str" cm="1">
        <f t="array" ref="EQ111">IFERROR(ROUND(IF($D111="","",INDEX('M04-S11'!DZ$18:DZ$199,2*(ROWS(EQ$103:EQ111)-1)+1)),6),"")</f>
        <v/>
      </c>
      <c r="ER111" s="150" t="str">
        <f t="shared" si="109"/>
        <v/>
      </c>
      <c r="ES111" s="150" t="str">
        <f t="shared" si="134"/>
        <v/>
      </c>
      <c r="ET111" s="150" t="str">
        <f t="shared" si="135"/>
        <v/>
      </c>
      <c r="EU111" s="150" t="str">
        <f t="shared" si="136"/>
        <v/>
      </c>
      <c r="EV111" s="150" t="str">
        <f t="shared" si="137"/>
        <v/>
      </c>
      <c r="EW111" s="150" t="str">
        <f t="shared" si="138"/>
        <v/>
      </c>
      <c r="EX111" s="150" t="str">
        <f t="shared" si="139"/>
        <v/>
      </c>
      <c r="EY111" s="150" t="str">
        <f t="shared" si="110"/>
        <v/>
      </c>
      <c r="EZ111" s="150" t="str" cm="1">
        <f t="array" ref="EZ111">IFERROR(ROUND(IF($D111="","",INDEX('M04-S11'!EA$18:EA$199,2*(ROWS(EZ$103:EZ111)-1)+1)),6),"")</f>
        <v/>
      </c>
      <c r="FA111" s="150" t="str" cm="1">
        <f t="array" ref="FA111">IFERROR(ROUND(IF($D111="","",INDEX('M04-S11'!EB$18:EB$199,2*(ROWS(FA$103:FA111)-1)+1)),6),"")</f>
        <v/>
      </c>
      <c r="FB111" s="150" t="str" cm="1">
        <f t="array" ref="FB111">IFERROR(ROUND(IF($D111="","",INDEX('M04-S11'!EC$18:EC$199,2*(ROWS(FB$103:FB111)-1)+1)),6),"")</f>
        <v/>
      </c>
      <c r="FC111" s="150" t="str" cm="1">
        <f t="array" ref="FC111">IFERROR(ROUND(IF($D111="","",INDEX('M04-S11'!ED$18:ED$199,2*(ROWS(FC$103:FC111)-1)+1)),6),"")</f>
        <v/>
      </c>
      <c r="FD111" s="150" t="str" cm="1">
        <f t="array" ref="FD111">IFERROR(ROUND(IF($D111="","",INDEX('M04-S11'!EE$18:EE$199,2*(ROWS(FD$103:FD111)-1)+1)),6),"")</f>
        <v/>
      </c>
      <c r="FE111" s="150" t="str" cm="1">
        <f t="array" ref="FE111">IFERROR(ROUND(IF($D111="","",INDEX('M04-S11'!EF$18:EF$199,2*(ROWS(FE$103:FE111)-1)+1)),6),"")</f>
        <v/>
      </c>
      <c r="FF111" s="150" t="str" cm="1">
        <f t="array" ref="FF111">IFERROR(ROUND(IF($D111="","",INDEX('M04-S11'!EG$18:EG$199,2*(ROWS(FF$103:FF111)-1)+1)),6),"")</f>
        <v/>
      </c>
      <c r="FG111" s="150" t="str" cm="1">
        <f t="array" ref="FG111">IFERROR(ROUND(IF($D111="","",INDEX('M04-S11'!EH$18:EH$199,2*(ROWS(FG$103:FG111)-1)+1)),6),"")</f>
        <v/>
      </c>
      <c r="FH111" s="150" t="str" cm="1">
        <f t="array" ref="FH111">IFERROR(ROUND(IF($D111="","",INDEX('M04-S11'!EI$18:EI$199,2*(ROWS(FH$103:FH111)-1)+1)),6),"")</f>
        <v/>
      </c>
      <c r="FI111" s="150" t="str" cm="1">
        <f t="array" ref="FI111">IFERROR(ROUND(IF($D111="","",INDEX('M04-S11'!EJ$18:EJ$199,2*(ROWS(FI$103:FI111)-1)+1)),6),"")</f>
        <v/>
      </c>
      <c r="FJ111" s="150" t="str" cm="1">
        <f t="array" ref="FJ111">IFERROR(ROUND(IF($D111="","",INDEX('M04-S11'!EK$18:EK$199,2*(ROWS(FJ$103:FJ111)-1)+1)),6),"")</f>
        <v/>
      </c>
      <c r="FK111" s="150" t="str" cm="1">
        <f t="array" ref="FK111">IFERROR(ROUND(IF($D111="","",INDEX('M04-S11'!EL$18:EL$199,2*(ROWS(FK$103:FK111)-1)+1)),6),"")</f>
        <v/>
      </c>
      <c r="FL111" s="150" t="str" cm="1">
        <f t="array" ref="FL111">IFERROR(ROUND(IF($D111="","",INDEX('M04-S11'!EM$18:EM$199,2*(ROWS(FL$103:FL111)-1)+1)),6),"")</f>
        <v/>
      </c>
      <c r="FM111" s="150" t="str" cm="1">
        <f t="array" ref="FM111">IFERROR(ROUND(IF($D111="","",INDEX('M04-S11'!EN$18:EN$199,2*(ROWS(FM$103:FM111)-1)+1)),6),"")</f>
        <v/>
      </c>
    </row>
    <row r="112" spans="1:169">
      <c r="A112" t="str">
        <f t="shared" si="154"/>
        <v/>
      </c>
      <c r="B112" t="str">
        <f t="shared" si="165"/>
        <v/>
      </c>
      <c r="C112" t="str" cm="1">
        <f t="array" ref="C112">IFERROR(IF(D112="","",INDEX('M04-S11'!$B$18:$B$199,2*(ROWS(C$103:C112)-1)+1)),"")</f>
        <v/>
      </c>
      <c r="D112" t="str">
        <f t="shared" si="166"/>
        <v/>
      </c>
      <c r="E112" t="str" cm="1">
        <f t="array" ref="E112">IFERROR(IF(INDEX('M04-S11'!$CC$18:$CC$199,2*(ROWS(E$103:E112)-1)+1)="","",INDEX('M04-S11'!$CC$18:$CC$199,2*(ROWS(E$103:E112)-1)+1)),"")</f>
        <v/>
      </c>
      <c r="G112" t="str">
        <f t="shared" si="167"/>
        <v/>
      </c>
      <c r="H112" t="str">
        <f t="shared" si="168"/>
        <v/>
      </c>
      <c r="L112" t="str">
        <f t="shared" si="169"/>
        <v/>
      </c>
      <c r="O112" t="str">
        <f t="shared" si="160"/>
        <v/>
      </c>
      <c r="V112" t="str" cm="1">
        <f t="array" ref="V112">IFERROR(IF(D112="","",INDEX('M04-S11'!$AY$18:$AY$199,2*(ROWS(V$103:V112)-1)+1)),"")</f>
        <v/>
      </c>
      <c r="W112" t="str" cm="1">
        <f t="array" ref="W112">IFERROR(IF(D112="","",INDEX('M04-S11'!$AV$18:$AV$199,2*(ROWS(W$103:W112)-1)+1)),"")</f>
        <v/>
      </c>
      <c r="X112" t="str" cm="1">
        <f t="array" ref="X112">IFERROR(IF(D112="","",INDEX('M04-S11'!$AV$18:$AV$199,2*(ROWS(X$103:X112)-0)+0)),"")</f>
        <v/>
      </c>
      <c r="AG112" s="98" t="str" cm="1">
        <f t="array" ref="AG112">IFERROR(IF(D112="","",IF(INDEX('M04-S11'!$CB$18:$CB$199,2*(ROWS(AG$103:AG112)-1)+1)="","",INDEX('M04-S11'!$CB$18:$CB$199,2*(ROWS(AG$103:AG112)-1)+1))),"")</f>
        <v/>
      </c>
      <c r="AH112" s="98" t="str" cm="1">
        <f t="array" ref="AH112">IFERROR(IF(D112="","",IF(INDEX('M04-S11'!$CU$18:$CU$199,2*(ROWS(AH$103:AH112)-1)+1)="","",INDEX('M04-S11'!$CU$18:$CU$199,2*(ROWS(AH$103:AH112)-1)+1))),"")</f>
        <v/>
      </c>
      <c r="AI112" s="20" t="str" cm="1">
        <f t="array" ref="AI112">IFERROR(IF(D112="","",IF(INDEX('M04-S11'!$CM$18:$CM$199,2*(ROWS(AI$103:AI112)-1)+1)="",0,INDEX('M04-S11'!$CM$18:$CM$199,2*(ROWS(AI$103:AI112)-1)+1))),"")</f>
        <v/>
      </c>
      <c r="AJ112" s="20" t="str">
        <f t="shared" si="86"/>
        <v/>
      </c>
      <c r="AK112" s="487" t="str" cm="1">
        <f t="array" ref="AK112">IFERROR(IF(D112="","",IF(INDEX('M04-S11'!$CN$18:$CN$199,2*(ROWS(AK$103:AK112)-1)+1)="",0,INDEX('M04-S11'!$CN$18:$CN$199,2*(ROWS(AK$103:AK112)-1)+1))),"")</f>
        <v/>
      </c>
      <c r="AL112" s="20" t="str">
        <f t="shared" si="170"/>
        <v/>
      </c>
      <c r="AM112" s="20" t="str">
        <f t="shared" si="162"/>
        <v/>
      </c>
      <c r="AN112" s="20" t="str" cm="1">
        <f t="array" ref="AN112">IFERROR(IF(D112="","",IF(INDEX('M04-S11'!$CO$18:$CO$199,2*(ROWS(AN$103:AN112)-1)+1)="",0,INDEX('M04-S11'!$CO$18:$CO$199,2*(ROWS(AN$103:AN112)-1)+1))),"")</f>
        <v/>
      </c>
      <c r="AO112" s="20" t="str" cm="1">
        <f t="array" ref="AO112">IFERROR(IF(D112="","",INDEX('M04-S11'!$R$18:$R$199,2*(ROWS(AO$103:AO112)-1)+1)),"")</f>
        <v/>
      </c>
      <c r="AP112" s="20" t="str" cm="1">
        <f t="array" ref="AP112">IFERROR(IF(D112="","",INDEX('M04-S11'!$AJ$18:$AJ$199,2*(ROWS(AP$103:AP112)-1)+1)),"")</f>
        <v/>
      </c>
      <c r="AQ112" s="487" t="str" cm="1">
        <f t="array" ref="AQ112">IFERROR(IF(D112="","",INDEX('M04-S11'!$U$18:$U$199,2*(ROWS(AQ$103:AQ112)-1)+1)),"")</f>
        <v/>
      </c>
      <c r="AR112" s="487" t="str" cm="1">
        <f t="array" ref="AR112">IFERROR(IF(D112="","",INDEX('M04-S11'!$AM$18:$AM$199,2*(ROWS(AR$103:AR112)-1)+1)),"")</f>
        <v/>
      </c>
      <c r="AS112" s="20" t="str" cm="1">
        <f t="array" ref="AS112">IFERROR(IF(D112="","",INDEX('M04-S11'!$X$18:$X$199,2*(ROWS(AS$103:AS112)-1)+1)),"")</f>
        <v/>
      </c>
      <c r="AT112" s="20" t="str" cm="1">
        <f t="array" ref="AT112">IFERROR(IF(D112="","",INDEX('M04-S11'!$AP$18:$AP$199,2*(ROWS(AT$103:AT112)-1)+1)),"")</f>
        <v/>
      </c>
      <c r="BP112" t="str" cm="1">
        <f t="array" ref="BP112">IFERROR(IF(D112="","",INDEX('M04-S11'!$CS$18:$CS$199,2*(ROWS(BP$103:BP112)-1)+1)),"")</f>
        <v/>
      </c>
      <c r="BR112" t="str" cm="1">
        <f t="array" ref="BR112">IFERROR(IF(D112="","",LEFT(INDEX('M04-S11'!$C$18:$C$199,2*(ROWS(BR$103:BR112)-1)+1),150)),"")</f>
        <v/>
      </c>
      <c r="BS112" t="str" cm="1">
        <f t="array" ref="BS112">IFERROR(IF(D112="","",INDEX('M04-S11'!$CT$18:$CT$199,2*(ROWS(BS$103:BS112)-1)+1)),"")</f>
        <v/>
      </c>
      <c r="BT112" s="6" t="str" cm="1">
        <f t="array" ref="BT112">IFERROR(ROUND(IF(D112="","",INDEX('M04-S11'!$BB$18:$BB$199,2*(ROWS(BT$103:BT112)-1)+1)),2),"")</f>
        <v/>
      </c>
      <c r="BU112" s="6" t="str" cm="1">
        <f t="array" ref="BU112">IFERROR(IF(D112="","",INDEX('M04-S11'!$CX$18:$CX$199,2*(ROWS(BU$103:BU112)-1)+1)),"")</f>
        <v/>
      </c>
      <c r="BV112" s="6" t="str" cm="1">
        <f t="array" ref="BV112">IFERROR(IF(D112="","",INDEX('M04-S11'!$CY$18:$CY$199,2*(ROWS(BV$103:BV112)-1)+1)),"")</f>
        <v/>
      </c>
      <c r="BW112" t="str">
        <f t="shared" si="171"/>
        <v/>
      </c>
      <c r="BX112" t="str">
        <f t="shared" si="172"/>
        <v/>
      </c>
      <c r="BY112" s="6" t="str" cm="1">
        <f t="array" ref="BY112">IFERROR(IF(D112="","",INDEX('M04-S11'!$CI$18:$CI$199,2*(ROWS(BY$103:BY112)-1)+1)),"")</f>
        <v/>
      </c>
      <c r="BZ112" s="6" t="str">
        <f t="shared" si="105"/>
        <v/>
      </c>
      <c r="CA112" s="6" t="str">
        <f t="shared" si="106"/>
        <v/>
      </c>
      <c r="CB112" s="6" t="str">
        <f t="shared" si="87"/>
        <v/>
      </c>
      <c r="CC112" s="6" t="str">
        <f t="shared" si="163"/>
        <v/>
      </c>
      <c r="CD112" s="6" t="str">
        <f t="shared" si="164"/>
        <v/>
      </c>
      <c r="CS112" t="str" cm="1">
        <f t="array" ref="CS112">IFERROR(IF(D112="","",INDEX('M04-S11'!$F$18:$F$199,2*(ROWS(CS$103:CS112)-1)+1)),"")</f>
        <v/>
      </c>
      <c r="CT112" t="str" cm="1">
        <f t="array" ref="CT112">IFERROR(IF(D112="","",INDEX('M04-S11'!$L$18:$L$199,2*(ROWS(CT$103:CT112)-1)+1)),"")</f>
        <v/>
      </c>
      <c r="CU112" t="str" cm="1">
        <f t="array" ref="CU112">IFERROR(IF(D112="","",INDEX('M04-S11'!$AD$18:$AD$199,2*(ROWS(CU$103:CU112)-1)+1)),"")</f>
        <v/>
      </c>
      <c r="DE112" s="150"/>
      <c r="DF112" s="150" t="str">
        <f>IFERROR(ROUND(IF(OR(D112="",DE112=""),"",TEMPLATE!$V$19),2),"")</f>
        <v/>
      </c>
      <c r="DG112" s="150"/>
      <c r="DH112" s="150" t="str">
        <f>IFERROR(ROUND(IF(OR(D112="",DG112=""),"",TEMPLATE!$V$19),2),"")</f>
        <v/>
      </c>
      <c r="DI112" s="150"/>
      <c r="DJ112" s="150" t="str">
        <f>IFERROR(ROUND(IF(OR(D112="",DI112=""),"",TEMPLATE!$V$19),2),"")</f>
        <v/>
      </c>
      <c r="DK112" s="150"/>
      <c r="DL112" s="150" t="str">
        <f>IFERROR(ROUND(IF(OR(D112="",DK112=""),"",TEMPLATE!$V$19),2),"")</f>
        <v/>
      </c>
      <c r="DM112" s="150"/>
      <c r="DN112" s="150" t="str">
        <f>IFERROR(ROUND(IF(OR(D112="",DM112=""),"",TEMPLATE!$V$19),2),"")</f>
        <v/>
      </c>
      <c r="DO112" s="150"/>
      <c r="DP112" s="150" t="str">
        <f>IFERROR(ROUND(IF(OR(D112="",DO112=""),"",TEMPLATE!$V$19),2),"")</f>
        <v/>
      </c>
      <c r="DQ112" s="150"/>
      <c r="DR112" s="150" t="str">
        <f>IFERROR(ROUND(IF(OR(D112="",DQ112=""),"",TEMPLATE!$V$19),2),"")</f>
        <v/>
      </c>
      <c r="DS112" s="150"/>
      <c r="DT112" s="150" t="str">
        <f>IFERROR(ROUND(IF(OR(D112="",DS112=""),"",TEMPLATE!$V$19),2),"")</f>
        <v/>
      </c>
      <c r="DU112" s="150" t="str" cm="1">
        <f t="array" ref="DU112">IFERROR(ROUND(IF($D112="","",INDEX('M04-S11'!DD$18:DD$199,2*(ROWS(DU$103:DU112)-1)+1)),4),"")</f>
        <v/>
      </c>
      <c r="DV112" s="150" t="str" cm="1">
        <f t="array" ref="DV112">IFERROR(ROUND(IF($D112="","",INDEX('M04-S11'!DE$18:DE$199,2*(ROWS(DV$103:DV112)-1)+1)),4),"")</f>
        <v/>
      </c>
      <c r="DW112" s="150" t="str" cm="1">
        <f t="array" ref="DW112">IFERROR(ROUND(IF($D112="","",INDEX('M04-S11'!DF$18:DF$199,2*(ROWS(DW$103:DW112)-1)+1)),4),"")</f>
        <v/>
      </c>
      <c r="DX112" s="150" t="str" cm="1">
        <f t="array" ref="DX112">IFERROR(ROUND(IF($D112="","",INDEX('M04-S11'!DG$18:DG$199,2*(ROWS(DX$103:DX112)-1)+1)),4),"")</f>
        <v/>
      </c>
      <c r="DY112" s="150" t="str" cm="1">
        <f t="array" ref="DY112">IFERROR(ROUND(IF($D112="","",INDEX('M04-S11'!DH$18:DH$199,2*(ROWS(DY$103:DY112)-1)+1)),4),"")</f>
        <v/>
      </c>
      <c r="DZ112" s="150" t="str" cm="1">
        <f t="array" ref="DZ112">IFERROR(ROUND(IF($D112="","",INDEX('M04-S11'!DI$18:DI$199,2*(ROWS(DZ$103:DZ112)-1)+1)),4),"")</f>
        <v/>
      </c>
      <c r="EA112" s="150" t="str" cm="1">
        <f t="array" ref="EA112">IFERROR(ROUND(IF($D112="","",INDEX('M04-S11'!DJ$18:DJ$199,2*(ROWS(EA$103:EA112)-1)+1)),4),"")</f>
        <v/>
      </c>
      <c r="EB112" s="150" t="str" cm="1">
        <f t="array" ref="EB112">IFERROR(ROUND(IF($D112="","",INDEX('M04-S11'!DK$18:DK$199,2*(ROWS(EB$103:EB112)-1)+1)),6),"")</f>
        <v/>
      </c>
      <c r="EC112" s="150" t="str" cm="1">
        <f t="array" ref="EC112">IFERROR(ROUND(IF($D112="","",INDEX('M04-S11'!DL$18:DL$199,2*(ROWS(EC$103:EC112)-1)+1)),6),"")</f>
        <v/>
      </c>
      <c r="ED112" s="150" t="str" cm="1">
        <f t="array" ref="ED112">IFERROR(ROUND(IF($D112="","",INDEX('M04-S11'!DM$18:DM$199,2*(ROWS(ED$103:ED112)-1)+1)),6),"")</f>
        <v/>
      </c>
      <c r="EE112" s="150" t="str" cm="1">
        <f t="array" ref="EE112">IFERROR(ROUND(IF($D112="","",INDEX('M04-S11'!DN$18:DN$199,2*(ROWS(EE$103:EE112)-1)+1)),6),"")</f>
        <v/>
      </c>
      <c r="EF112" s="150" t="str" cm="1">
        <f t="array" ref="EF112">IFERROR(ROUND(IF($D112="","",INDEX('M04-S11'!DO$18:DO$199,2*(ROWS(EF$103:EF112)-1)+1)),6),"")</f>
        <v/>
      </c>
      <c r="EG112" s="150" t="str" cm="1">
        <f t="array" ref="EG112">IFERROR(ROUND(IF($D112="","",INDEX('M04-S11'!DP$18:DP$199,2*(ROWS(EG$103:EG112)-1)+1)),6),"")</f>
        <v/>
      </c>
      <c r="EH112" s="150" t="str" cm="1">
        <f t="array" ref="EH112">IFERROR(ROUND(IF($D112="","",INDEX('M04-S11'!DQ$18:DQ$199,2*(ROWS(EH$103:EH112)-1)+1)),6),"")</f>
        <v/>
      </c>
      <c r="EI112" s="150" t="str" cm="1">
        <f t="array" ref="EI112">IFERROR(ROUND(IF($D112="","",INDEX('M04-S11'!DR$18:DR$199,2*(ROWS(EI$103:EI112)-1)+1)),6),"")</f>
        <v/>
      </c>
      <c r="EJ112" s="150" t="str" cm="1">
        <f t="array" ref="EJ112">IFERROR(ROUND(IF($D112="","",INDEX('M04-S11'!DS$18:DS$199,2*(ROWS(EJ$103:EJ112)-1)+1)),6),"")</f>
        <v/>
      </c>
      <c r="EK112" s="150" t="str" cm="1">
        <f t="array" ref="EK112">IFERROR(ROUND(IF($D112="","",INDEX('M04-S11'!DT$18:DT$199,2*(ROWS(EK$103:EK112)-1)+1)),6),"")</f>
        <v/>
      </c>
      <c r="EL112" s="150" t="str" cm="1">
        <f t="array" ref="EL112">IFERROR(ROUND(IF($D112="","",INDEX('M04-S11'!DU$18:DU$199,2*(ROWS(EL$103:EL112)-1)+1)),6),"")</f>
        <v/>
      </c>
      <c r="EM112" s="150" t="str" cm="1">
        <f t="array" ref="EM112">IFERROR(ROUND(IF($D112="","",INDEX('M04-S11'!DV$18:DV$199,2*(ROWS(EM$103:EM112)-1)+1)),6),"")</f>
        <v/>
      </c>
      <c r="EN112" s="150" t="str" cm="1">
        <f t="array" ref="EN112">IFERROR(ROUND(IF($D112="","",INDEX('M04-S11'!DW$18:DW$199,2*(ROWS(EN$103:EN112)-1)+1)),6),"")</f>
        <v/>
      </c>
      <c r="EO112" s="150" t="str" cm="1">
        <f t="array" ref="EO112">IFERROR(ROUND(IF($D112="","",INDEX('M04-S11'!DX$18:DX$199,2*(ROWS(EO$103:EO112)-1)+1)),6),"")</f>
        <v/>
      </c>
      <c r="EP112" s="150" t="str" cm="1">
        <f t="array" ref="EP112">IFERROR(ROUND(IF($D112="","",INDEX('M04-S11'!DY$18:DY$199,2*(ROWS(EP$103:EP112)-1)+1)),6),"")</f>
        <v/>
      </c>
      <c r="EQ112" s="150" t="str" cm="1">
        <f t="array" ref="EQ112">IFERROR(ROUND(IF($D112="","",INDEX('M04-S11'!DZ$18:DZ$199,2*(ROWS(EQ$103:EQ112)-1)+1)),6),"")</f>
        <v/>
      </c>
      <c r="ER112" s="150" t="str">
        <f t="shared" si="109"/>
        <v/>
      </c>
      <c r="ES112" s="150" t="str">
        <f t="shared" si="134"/>
        <v/>
      </c>
      <c r="ET112" s="150" t="str">
        <f t="shared" si="135"/>
        <v/>
      </c>
      <c r="EU112" s="150" t="str">
        <f t="shared" si="136"/>
        <v/>
      </c>
      <c r="EV112" s="150" t="str">
        <f t="shared" si="137"/>
        <v/>
      </c>
      <c r="EW112" s="150" t="str">
        <f t="shared" si="138"/>
        <v/>
      </c>
      <c r="EX112" s="150" t="str">
        <f t="shared" si="139"/>
        <v/>
      </c>
      <c r="EY112" s="150" t="str">
        <f t="shared" si="110"/>
        <v/>
      </c>
      <c r="EZ112" s="150" t="str" cm="1">
        <f t="array" ref="EZ112">IFERROR(ROUND(IF($D112="","",INDEX('M04-S11'!EA$18:EA$199,2*(ROWS(EZ$103:EZ112)-1)+1)),6),"")</f>
        <v/>
      </c>
      <c r="FA112" s="150" t="str" cm="1">
        <f t="array" ref="FA112">IFERROR(ROUND(IF($D112="","",INDEX('M04-S11'!EB$18:EB$199,2*(ROWS(FA$103:FA112)-1)+1)),6),"")</f>
        <v/>
      </c>
      <c r="FB112" s="150" t="str" cm="1">
        <f t="array" ref="FB112">IFERROR(ROUND(IF($D112="","",INDEX('M04-S11'!EC$18:EC$199,2*(ROWS(FB$103:FB112)-1)+1)),6),"")</f>
        <v/>
      </c>
      <c r="FC112" s="150" t="str" cm="1">
        <f t="array" ref="FC112">IFERROR(ROUND(IF($D112="","",INDEX('M04-S11'!ED$18:ED$199,2*(ROWS(FC$103:FC112)-1)+1)),6),"")</f>
        <v/>
      </c>
      <c r="FD112" s="150" t="str" cm="1">
        <f t="array" ref="FD112">IFERROR(ROUND(IF($D112="","",INDEX('M04-S11'!EE$18:EE$199,2*(ROWS(FD$103:FD112)-1)+1)),6),"")</f>
        <v/>
      </c>
      <c r="FE112" s="150" t="str" cm="1">
        <f t="array" ref="FE112">IFERROR(ROUND(IF($D112="","",INDEX('M04-S11'!EF$18:EF$199,2*(ROWS(FE$103:FE112)-1)+1)),6),"")</f>
        <v/>
      </c>
      <c r="FF112" s="150" t="str" cm="1">
        <f t="array" ref="FF112">IFERROR(ROUND(IF($D112="","",INDEX('M04-S11'!EG$18:EG$199,2*(ROWS(FF$103:FF112)-1)+1)),6),"")</f>
        <v/>
      </c>
      <c r="FG112" s="150" t="str" cm="1">
        <f t="array" ref="FG112">IFERROR(ROUND(IF($D112="","",INDEX('M04-S11'!EH$18:EH$199,2*(ROWS(FG$103:FG112)-1)+1)),6),"")</f>
        <v/>
      </c>
      <c r="FH112" s="150" t="str" cm="1">
        <f t="array" ref="FH112">IFERROR(ROUND(IF($D112="","",INDEX('M04-S11'!EI$18:EI$199,2*(ROWS(FH$103:FH112)-1)+1)),6),"")</f>
        <v/>
      </c>
      <c r="FI112" s="150" t="str" cm="1">
        <f t="array" ref="FI112">IFERROR(ROUND(IF($D112="","",INDEX('M04-S11'!EJ$18:EJ$199,2*(ROWS(FI$103:FI112)-1)+1)),6),"")</f>
        <v/>
      </c>
      <c r="FJ112" s="150" t="str" cm="1">
        <f t="array" ref="FJ112">IFERROR(ROUND(IF($D112="","",INDEX('M04-S11'!EK$18:EK$199,2*(ROWS(FJ$103:FJ112)-1)+1)),6),"")</f>
        <v/>
      </c>
      <c r="FK112" s="150" t="str" cm="1">
        <f t="array" ref="FK112">IFERROR(ROUND(IF($D112="","",INDEX('M04-S11'!EL$18:EL$199,2*(ROWS(FK$103:FK112)-1)+1)),6),"")</f>
        <v/>
      </c>
      <c r="FL112" s="150" t="str" cm="1">
        <f t="array" ref="FL112">IFERROR(ROUND(IF($D112="","",INDEX('M04-S11'!EM$18:EM$199,2*(ROWS(FL$103:FL112)-1)+1)),6),"")</f>
        <v/>
      </c>
      <c r="FM112" s="150" t="str" cm="1">
        <f t="array" ref="FM112">IFERROR(ROUND(IF($D112="","",INDEX('M04-S11'!EN$18:EN$199,2*(ROWS(FM$103:FM112)-1)+1)),6),"")</f>
        <v/>
      </c>
    </row>
    <row r="113" spans="73:74" s="593" customFormat="1">
      <c r="BU113"/>
      <c r="BV113"/>
    </row>
  </sheetData>
  <sheetProtection algorithmName="SHA-512" hashValue="4rYTjZ3u/iDn37nxOAkBw7m+nxwMWOrYoBBSw0BVO6Wte20t6VGuXzW8+H1MMEurKr8cKv8sw0aSPWEi6dZwtw==" saltValue="F7LdFKDWsoWvWECoFBSbBQ==" spinCount="100000" sheet="1" objects="1" scenarios="1"/>
  <phoneticPr fontId="78" type="noConversion"/>
  <hyperlinks>
    <hyperlink ref="A3" location="'M04-S02'!A1" display="'M04-S02'!A1" xr:uid="{FDAD251A-95EF-456A-A148-DDC95BED0D39}"/>
    <hyperlink ref="A25" location="'M04-S04'!A1" display="'M04-S04'!A1" xr:uid="{21E1EB3D-C5AB-4038-AFD6-767626AA7A23}"/>
    <hyperlink ref="A36" location="'M04-S05'!A1" display="'M04-S05'!A1" xr:uid="{45E9FC1F-2E0A-4EDA-834F-97B2955D90F5}"/>
    <hyperlink ref="A47" location="'M04-S06'!A1" display="'M04-S06'!A1" xr:uid="{BFBE9478-5D48-4D15-8B68-62DEFCFB97ED}"/>
    <hyperlink ref="A58" location="'M04-S07'!A1" display="'M04-S07'!A1" xr:uid="{BA165CC2-1927-4B40-BE19-6F835F2C39F4}"/>
    <hyperlink ref="A69" location="'M04-S08'!A1" display="'M04-S08'!A1" xr:uid="{1B8019B9-E655-44A7-9D03-04B2FB9B4048}"/>
    <hyperlink ref="A80" location="'M04-S09'!A1" display="'M04-S09'!A1" xr:uid="{53E7EB8F-C9F3-4653-8A1D-6F39EFCA1C16}"/>
    <hyperlink ref="A91" location="'M04-S10'!A1" display="'M04-S10'!A1" xr:uid="{57A8E0D0-96E6-48D1-830D-44D8FE8AD483}"/>
    <hyperlink ref="A102" location="'M04-S11'!A1" display="'M04-S11'!A1" xr:uid="{944EF4F0-43C5-485A-B961-EC759BE6840D}"/>
    <hyperlink ref="A14" location="'M04-S03'!A1" display="'M04-S03'!A1" xr:uid="{9D3DA51C-1F74-48D9-8F13-01CADEFBF6B4}"/>
  </hyperlinks>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00CF-F3C8-45B2-A1C4-417458DA5F20}">
  <sheetPr codeName="Sheet4">
    <pageSetUpPr fitToPage="1"/>
  </sheetPr>
  <dimension ref="A1:BG202"/>
  <sheetViews>
    <sheetView showGridLines="0" showRowColHeaders="0" zoomScale="90" zoomScaleNormal="90" workbookViewId="0">
      <selection activeCell="A4" sqref="A4"/>
    </sheetView>
  </sheetViews>
  <sheetFormatPr defaultColWidth="0" defaultRowHeight="16.350000000000001" customHeight="1" zeroHeight="1"/>
  <cols>
    <col min="1" max="58" width="4.5703125" style="503" customWidth="1"/>
    <col min="59" max="59" width="4.5703125" style="502" customWidth="1"/>
    <col min="60" max="16384" width="4.5703125" hidden="1"/>
  </cols>
  <sheetData>
    <row r="1" spans="1:59" ht="15" customHeight="1">
      <c r="A1" s="12"/>
      <c r="B1" s="36"/>
      <c r="C1" s="36"/>
      <c r="D1" s="36"/>
      <c r="E1" s="36"/>
      <c r="F1" s="750" t="str">
        <f>M1S1</f>
        <v>WELCOME</v>
      </c>
      <c r="G1" s="750"/>
      <c r="H1" s="750"/>
      <c r="I1" s="750"/>
      <c r="J1" s="727" t="str">
        <f>M1S2</f>
        <v>INSTRUCTIONS</v>
      </c>
      <c r="K1" s="727"/>
      <c r="L1" s="727"/>
      <c r="M1" s="727"/>
      <c r="N1" s="166"/>
      <c r="O1" s="166"/>
      <c r="P1" s="166"/>
      <c r="Q1" s="166"/>
      <c r="R1" s="166"/>
      <c r="S1" s="166"/>
      <c r="T1" s="189"/>
      <c r="U1" s="190" t="s">
        <v>118</v>
      </c>
      <c r="V1" s="190"/>
      <c r="W1" s="190"/>
      <c r="X1" s="190"/>
      <c r="Y1" s="166"/>
      <c r="Z1" s="166"/>
      <c r="AA1" s="166"/>
      <c r="AB1" s="166"/>
      <c r="AC1" s="166"/>
      <c r="AD1" s="166"/>
      <c r="AE1" s="166"/>
      <c r="AF1" s="166"/>
      <c r="AG1"/>
      <c r="AH1"/>
      <c r="AI1"/>
      <c r="AJ1"/>
      <c r="AK1"/>
      <c r="AL1" s="734" t="str">
        <f>IF(ACTIVEINSPECT="Yes","Complete "&amp;M5S4,"")</f>
        <v/>
      </c>
      <c r="AM1" s="734"/>
      <c r="AN1" s="734"/>
      <c r="AO1" s="734"/>
      <c r="AP1" s="753" t="str">
        <f>IF(ACTIVEOFFER="Yes","Sign "&amp;M5S6,"")</f>
        <v>Sign OBR: Repayment Agreement</v>
      </c>
      <c r="AQ1" s="753"/>
      <c r="AR1" s="753"/>
      <c r="AS1" s="753"/>
      <c r="AT1" s="730" t="str">
        <f>IF(ACTIVECOMPL="Yes","Sign "&amp;M5S5,"")</f>
        <v xml:space="preserve">Sign Project Completion Certification </v>
      </c>
      <c r="AU1" s="730"/>
      <c r="AV1" s="730"/>
      <c r="AW1" s="730"/>
      <c r="AX1" s="732" t="str">
        <f>M1S4</f>
        <v>INCENTIVE RATES &amp; REQUIREMENTS</v>
      </c>
      <c r="AY1" s="732"/>
      <c r="AZ1" s="732"/>
      <c r="BA1" s="732"/>
      <c r="BB1" s="732"/>
      <c r="BC1" s="732"/>
      <c r="BD1" s="768" t="s">
        <v>119</v>
      </c>
      <c r="BE1" s="769"/>
      <c r="BF1" s="769"/>
      <c r="BG1" s="769"/>
    </row>
    <row r="2" spans="1:59" ht="16.350000000000001" customHeight="1">
      <c r="A2"/>
      <c r="B2" s="36"/>
      <c r="C2" s="36"/>
      <c r="D2" s="36"/>
      <c r="E2" s="36"/>
      <c r="F2" s="750"/>
      <c r="G2" s="750"/>
      <c r="H2" s="750"/>
      <c r="I2" s="750"/>
      <c r="J2" s="728"/>
      <c r="K2" s="728"/>
      <c r="L2" s="728"/>
      <c r="M2" s="728"/>
      <c r="N2" s="166"/>
      <c r="O2" s="166"/>
      <c r="P2" s="166"/>
      <c r="Q2" s="166"/>
      <c r="R2" s="166"/>
      <c r="S2" s="166"/>
      <c r="T2" s="189"/>
      <c r="U2" s="190"/>
      <c r="V2" s="190"/>
      <c r="W2" s="190"/>
      <c r="X2" s="190"/>
      <c r="Y2" s="166"/>
      <c r="Z2" s="166"/>
      <c r="AA2" s="166"/>
      <c r="AB2" s="166"/>
      <c r="AC2" s="166"/>
      <c r="AD2" s="166"/>
      <c r="AE2" s="166"/>
      <c r="AF2" s="166"/>
      <c r="AG2"/>
      <c r="AH2"/>
      <c r="AI2"/>
      <c r="AJ2"/>
      <c r="AK2"/>
      <c r="AL2" s="734"/>
      <c r="AM2" s="734"/>
      <c r="AN2" s="734"/>
      <c r="AO2" s="734"/>
      <c r="AP2" s="753"/>
      <c r="AQ2" s="753"/>
      <c r="AR2" s="753"/>
      <c r="AS2" s="753"/>
      <c r="AT2" s="730"/>
      <c r="AU2" s="730"/>
      <c r="AV2" s="730"/>
      <c r="AW2" s="730"/>
      <c r="AX2" s="732"/>
      <c r="AY2" s="732"/>
      <c r="AZ2" s="732"/>
      <c r="BA2" s="732"/>
      <c r="BB2" s="732"/>
      <c r="BC2" s="732"/>
      <c r="BD2" s="769"/>
      <c r="BE2" s="769"/>
      <c r="BF2" s="769"/>
      <c r="BG2" s="769"/>
    </row>
    <row r="3" spans="1:59" ht="16.350000000000001" customHeight="1" thickBot="1">
      <c r="A3" s="38"/>
      <c r="B3" s="39"/>
      <c r="C3" s="39"/>
      <c r="D3" s="39"/>
      <c r="E3" s="39"/>
      <c r="F3" s="751"/>
      <c r="G3" s="751"/>
      <c r="H3" s="751"/>
      <c r="I3" s="751"/>
      <c r="J3" s="729"/>
      <c r="K3" s="729"/>
      <c r="L3" s="729"/>
      <c r="M3" s="729"/>
      <c r="N3" s="191"/>
      <c r="O3" s="191"/>
      <c r="P3" s="191"/>
      <c r="Q3" s="191"/>
      <c r="R3" s="191"/>
      <c r="S3" s="191"/>
      <c r="T3" s="191"/>
      <c r="U3" s="192"/>
      <c r="V3" s="192"/>
      <c r="W3" s="192"/>
      <c r="X3" s="192"/>
      <c r="Y3" s="38"/>
      <c r="Z3" s="38"/>
      <c r="AA3" s="38"/>
      <c r="AB3" s="38"/>
      <c r="AC3" s="38"/>
      <c r="AD3" s="38"/>
      <c r="AE3" s="38"/>
      <c r="AF3" s="38"/>
      <c r="AG3" s="38"/>
      <c r="AH3" s="38"/>
      <c r="AI3" s="38"/>
      <c r="AJ3" s="38"/>
      <c r="AK3" s="38"/>
      <c r="AL3" s="734"/>
      <c r="AM3" s="734"/>
      <c r="AN3" s="734"/>
      <c r="AO3" s="734"/>
      <c r="AP3" s="731"/>
      <c r="AQ3" s="731"/>
      <c r="AR3" s="731"/>
      <c r="AS3" s="731"/>
      <c r="AT3" s="731"/>
      <c r="AU3" s="731"/>
      <c r="AV3" s="731"/>
      <c r="AW3" s="731"/>
      <c r="AX3" s="733"/>
      <c r="AY3" s="733"/>
      <c r="AZ3" s="733"/>
      <c r="BA3" s="733"/>
      <c r="BB3" s="733"/>
      <c r="BC3" s="733"/>
      <c r="BD3" s="770"/>
      <c r="BE3" s="770"/>
      <c r="BF3" s="770"/>
      <c r="BG3" s="770"/>
    </row>
    <row r="4" spans="1:59" s="43" customFormat="1" ht="16.350000000000001" customHeight="1">
      <c r="A4" s="764" t="str">
        <f>M1S3</f>
        <v>CONTACT US</v>
      </c>
      <c r="B4" s="764"/>
      <c r="C4" s="764"/>
      <c r="D4" s="764"/>
      <c r="E4" s="764"/>
      <c r="F4" s="765"/>
      <c r="G4" s="765"/>
      <c r="H4" s="765"/>
      <c r="I4" s="765"/>
      <c r="J4" s="764"/>
      <c r="K4" s="764"/>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4"/>
      <c r="AL4" s="764"/>
      <c r="AM4" s="764"/>
      <c r="AN4" s="764"/>
      <c r="AO4" s="764"/>
      <c r="AP4" s="764"/>
      <c r="AQ4" s="764"/>
      <c r="AR4" s="764"/>
      <c r="AS4" s="764"/>
      <c r="AT4" s="764"/>
      <c r="AU4" s="764"/>
      <c r="AV4" s="764"/>
      <c r="AW4" s="764"/>
      <c r="AX4" s="764"/>
      <c r="AY4" s="764"/>
      <c r="AZ4" s="764"/>
      <c r="BA4" s="764"/>
      <c r="BB4" s="764"/>
      <c r="BC4" s="764"/>
      <c r="BD4" s="765"/>
      <c r="BE4" s="765"/>
      <c r="BF4" s="765"/>
      <c r="BG4" s="200"/>
    </row>
    <row r="5" spans="1:59" s="43" customFormat="1" ht="16.350000000000001" customHeight="1">
      <c r="A5" s="765"/>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c r="AT5" s="765"/>
      <c r="AU5" s="765"/>
      <c r="AV5" s="765"/>
      <c r="AW5" s="765"/>
      <c r="AX5" s="765"/>
      <c r="AY5" s="765"/>
      <c r="AZ5" s="765"/>
      <c r="BA5" s="765"/>
      <c r="BB5" s="765"/>
      <c r="BC5" s="765"/>
      <c r="BD5" s="765"/>
      <c r="BE5" s="765"/>
      <c r="BF5" s="765"/>
    </row>
    <row r="6" spans="1:59" ht="16.350000000000001" customHeight="1">
      <c r="A6" s="40"/>
      <c r="B6" s="40"/>
      <c r="C6" s="40"/>
      <c r="D6" s="40"/>
      <c r="E6" s="40"/>
      <c r="F6" s="40"/>
      <c r="G6" s="40"/>
      <c r="H6" s="40"/>
      <c r="I6" s="40"/>
      <c r="J6" s="40"/>
      <c r="K6" s="40"/>
      <c r="L6" s="40"/>
      <c r="M6" s="40"/>
      <c r="N6" s="40"/>
      <c r="O6" s="40"/>
      <c r="P6" s="40"/>
      <c r="Q6" s="40"/>
      <c r="R6" s="767" t="s">
        <v>154</v>
      </c>
      <c r="S6" s="767"/>
      <c r="T6" s="767"/>
      <c r="U6" s="767"/>
      <c r="V6" s="767"/>
      <c r="W6" s="767"/>
      <c r="X6" s="767"/>
      <c r="Y6" s="767"/>
      <c r="Z6" s="767"/>
      <c r="AA6" s="767"/>
      <c r="AB6" s="767"/>
      <c r="AC6" s="767"/>
      <c r="AD6" s="767"/>
      <c r="AE6" s="40"/>
      <c r="AF6" s="40"/>
      <c r="AG6" s="40"/>
      <c r="AH6" s="145"/>
      <c r="AI6" s="40"/>
      <c r="AJ6" s="40"/>
      <c r="AK6" s="40"/>
      <c r="AL6" s="40"/>
      <c r="AM6" s="40"/>
      <c r="AN6" s="40"/>
      <c r="AO6" s="40"/>
      <c r="AP6" s="40"/>
      <c r="AQ6" s="40"/>
      <c r="AR6" s="40"/>
      <c r="AS6" s="40"/>
      <c r="AT6"/>
      <c r="AU6"/>
      <c r="AV6"/>
      <c r="AW6"/>
      <c r="AX6"/>
      <c r="AY6"/>
      <c r="AZ6"/>
      <c r="BA6"/>
      <c r="BB6"/>
      <c r="BC6"/>
      <c r="BD6"/>
      <c r="BE6"/>
      <c r="BF6"/>
      <c r="BG6"/>
    </row>
    <row r="7" spans="1:59" ht="16.350000000000001" customHeight="1">
      <c r="A7"/>
      <c r="B7"/>
      <c r="C7"/>
      <c r="D7"/>
      <c r="E7"/>
      <c r="F7"/>
      <c r="G7"/>
      <c r="H7"/>
      <c r="I7"/>
      <c r="J7"/>
      <c r="K7" s="40"/>
      <c r="L7" s="40"/>
      <c r="M7" s="40"/>
      <c r="N7" s="40"/>
      <c r="O7" s="40"/>
      <c r="P7" s="40"/>
      <c r="Q7" s="40"/>
      <c r="R7" s="767"/>
      <c r="S7" s="767"/>
      <c r="T7" s="767"/>
      <c r="U7" s="767"/>
      <c r="V7" s="767"/>
      <c r="W7" s="767"/>
      <c r="X7" s="767"/>
      <c r="Y7" s="767"/>
      <c r="Z7" s="767"/>
      <c r="AA7" s="767"/>
      <c r="AB7" s="767"/>
      <c r="AC7" s="767"/>
      <c r="AD7" s="767"/>
      <c r="AE7" s="30" t="s">
        <v>157</v>
      </c>
      <c r="AF7" s="23"/>
      <c r="AG7"/>
      <c r="AH7" s="146" t="s">
        <v>158</v>
      </c>
      <c r="AI7"/>
      <c r="AJ7"/>
      <c r="AK7"/>
      <c r="AL7"/>
      <c r="AM7"/>
      <c r="AN7"/>
      <c r="AO7"/>
      <c r="AP7"/>
      <c r="AQ7"/>
      <c r="AR7"/>
      <c r="AS7"/>
      <c r="AT7"/>
      <c r="AU7"/>
      <c r="AV7"/>
      <c r="AW7"/>
      <c r="AX7"/>
      <c r="AY7"/>
      <c r="AZ7"/>
      <c r="BA7"/>
      <c r="BB7"/>
      <c r="BC7"/>
      <c r="BD7"/>
      <c r="BE7"/>
      <c r="BF7"/>
      <c r="BG7"/>
    </row>
    <row r="8" spans="1:59" ht="16.350000000000001" customHeight="1">
      <c r="A8"/>
      <c r="B8"/>
      <c r="C8"/>
      <c r="D8"/>
      <c r="E8"/>
      <c r="F8"/>
      <c r="G8"/>
      <c r="H8"/>
      <c r="I8"/>
      <c r="J8"/>
      <c r="K8" s="40"/>
      <c r="L8" s="40"/>
      <c r="M8" s="40"/>
      <c r="N8" s="40"/>
      <c r="O8" s="40"/>
      <c r="P8" s="40"/>
      <c r="Q8" s="40"/>
      <c r="R8" s="766" t="s">
        <v>159</v>
      </c>
      <c r="S8" s="766"/>
      <c r="T8" s="766"/>
      <c r="U8" s="766"/>
      <c r="V8" s="766"/>
      <c r="W8" s="766"/>
      <c r="X8" s="766"/>
      <c r="Y8" s="766"/>
      <c r="Z8" s="766"/>
      <c r="AA8" s="766"/>
      <c r="AB8" s="766"/>
      <c r="AC8" s="766"/>
      <c r="AD8" s="766"/>
      <c r="AE8" s="30" t="s">
        <v>160</v>
      </c>
      <c r="AF8" s="23"/>
      <c r="AG8"/>
      <c r="AH8" s="32" t="str">
        <f>FOOT2</f>
        <v>1-844-300-PSEG (7734)</v>
      </c>
      <c r="AI8"/>
      <c r="AJ8"/>
      <c r="AK8"/>
      <c r="AL8"/>
      <c r="AM8"/>
      <c r="AN8"/>
      <c r="AO8"/>
      <c r="AP8"/>
      <c r="AQ8"/>
      <c r="AR8"/>
      <c r="AS8"/>
      <c r="AT8"/>
      <c r="AU8"/>
      <c r="AV8"/>
      <c r="AW8"/>
      <c r="AX8"/>
      <c r="AY8"/>
      <c r="AZ8"/>
      <c r="BA8"/>
      <c r="BB8"/>
      <c r="BC8"/>
      <c r="BD8"/>
      <c r="BE8"/>
      <c r="BF8"/>
      <c r="BG8"/>
    </row>
    <row r="9" spans="1:59" ht="16.350000000000001" customHeight="1">
      <c r="A9"/>
      <c r="B9"/>
      <c r="C9"/>
      <c r="D9"/>
      <c r="E9"/>
      <c r="F9"/>
      <c r="G9"/>
      <c r="H9"/>
      <c r="I9"/>
      <c r="J9"/>
      <c r="K9" s="40"/>
      <c r="L9" s="40"/>
      <c r="M9" s="40"/>
      <c r="N9" s="40"/>
      <c r="O9" s="40"/>
      <c r="P9" s="40"/>
      <c r="Q9" s="40"/>
      <c r="R9" s="766"/>
      <c r="S9" s="766"/>
      <c r="T9" s="766"/>
      <c r="U9" s="766"/>
      <c r="V9" s="766"/>
      <c r="W9" s="766"/>
      <c r="X9" s="766"/>
      <c r="Y9" s="766"/>
      <c r="Z9" s="766"/>
      <c r="AA9" s="766"/>
      <c r="AB9" s="766"/>
      <c r="AC9" s="766"/>
      <c r="AD9" s="766"/>
      <c r="AE9" s="30" t="s">
        <v>161</v>
      </c>
      <c r="AF9" s="23"/>
      <c r="AG9"/>
      <c r="AH9" s="61" t="str">
        <f>FOOT3</f>
        <v>PSEGenergysaver@TRCcompanies.com</v>
      </c>
      <c r="AI9"/>
      <c r="AJ9"/>
      <c r="AK9"/>
      <c r="AL9"/>
      <c r="AM9"/>
      <c r="AN9"/>
      <c r="AO9"/>
      <c r="AP9"/>
      <c r="AQ9"/>
      <c r="AR9"/>
      <c r="AS9"/>
      <c r="AT9"/>
      <c r="AU9"/>
      <c r="AV9"/>
      <c r="AW9"/>
      <c r="AX9"/>
      <c r="AY9"/>
      <c r="AZ9"/>
      <c r="BA9"/>
      <c r="BB9"/>
      <c r="BC9"/>
      <c r="BD9"/>
      <c r="BE9"/>
      <c r="BF9"/>
      <c r="BG9"/>
    </row>
    <row r="10" spans="1:59" ht="16.350000000000001" customHeight="1">
      <c r="A10"/>
      <c r="B10"/>
      <c r="C10"/>
      <c r="D10"/>
      <c r="E10"/>
      <c r="F10"/>
      <c r="G10"/>
      <c r="H10"/>
      <c r="I10"/>
      <c r="J10"/>
      <c r="K10"/>
      <c r="L10"/>
      <c r="M10" s="62"/>
      <c r="N10" s="62"/>
      <c r="O10"/>
      <c r="P10"/>
      <c r="Q10"/>
      <c r="R10"/>
      <c r="S10"/>
      <c r="T10"/>
      <c r="U10"/>
      <c r="V10"/>
      <c r="W10" s="62"/>
      <c r="X10" s="62"/>
      <c r="Y10" s="62"/>
      <c r="Z10"/>
      <c r="AA10"/>
      <c r="AB10"/>
      <c r="AC10"/>
      <c r="AD10"/>
      <c r="AE10"/>
      <c r="AF10"/>
      <c r="AG10"/>
      <c r="AH10"/>
      <c r="AI10"/>
      <c r="AJ10"/>
      <c r="AK10"/>
      <c r="AL10"/>
      <c r="AM10"/>
      <c r="AN10"/>
      <c r="AO10"/>
      <c r="AP10"/>
      <c r="AQ10"/>
      <c r="AR10"/>
      <c r="AS10"/>
      <c r="AT10"/>
      <c r="AU10"/>
      <c r="AV10"/>
      <c r="AW10"/>
      <c r="AX10"/>
      <c r="AY10"/>
      <c r="AZ10"/>
      <c r="BA10"/>
      <c r="BB10"/>
      <c r="BC10"/>
      <c r="BD10"/>
      <c r="BE10"/>
      <c r="BF10"/>
      <c r="BG10"/>
    </row>
    <row r="11" spans="1:59" ht="16.350000000000001" hidden="1" customHeight="1">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row>
    <row r="12" spans="1:59" ht="16.350000000000001" hidden="1" customHeight="1">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row>
    <row r="13" spans="1:59" ht="16.350000000000001" hidden="1" customHeight="1">
      <c r="A13"/>
      <c r="B13"/>
      <c r="C13"/>
      <c r="D13"/>
      <c r="E13"/>
      <c r="F13"/>
      <c r="G13"/>
      <c r="H13"/>
      <c r="I13"/>
      <c r="J13" s="31"/>
      <c r="K13"/>
      <c r="L13" s="23"/>
      <c r="M13" s="31"/>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row>
    <row r="14" spans="1:59" ht="16.350000000000001" hidden="1" customHeight="1">
      <c r="A14"/>
      <c r="B14"/>
      <c r="C14"/>
      <c r="D14"/>
      <c r="E14"/>
      <c r="F14"/>
      <c r="G14"/>
      <c r="H14"/>
      <c r="I14"/>
      <c r="J14" s="24"/>
      <c r="K14"/>
      <c r="L14" s="24"/>
      <c r="M14" s="2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row>
    <row r="15" spans="1:59" ht="16.350000000000001" hidden="1" customHeight="1">
      <c r="A15"/>
      <c r="B15"/>
      <c r="C15"/>
      <c r="D15"/>
      <c r="E15"/>
      <c r="F15"/>
      <c r="G15"/>
      <c r="H15"/>
      <c r="I15"/>
      <c r="J15" s="24"/>
      <c r="K15"/>
      <c r="L15" s="24"/>
      <c r="M15" s="24"/>
      <c r="N15" s="28"/>
      <c r="O15" s="28"/>
      <c r="P15" s="27"/>
      <c r="Q15"/>
      <c r="R15"/>
      <c r="S15"/>
      <c r="T15"/>
      <c r="U15"/>
      <c r="V15"/>
      <c r="W15"/>
      <c r="X15"/>
      <c r="Y15"/>
      <c r="Z15"/>
      <c r="AA15"/>
      <c r="AB15"/>
      <c r="AC15"/>
      <c r="AD15" s="24"/>
      <c r="AE15" s="24"/>
      <c r="AF15" s="24"/>
      <c r="AG15" s="26"/>
      <c r="AH15"/>
      <c r="AI15"/>
      <c r="AJ15"/>
      <c r="AK15"/>
      <c r="AL15"/>
      <c r="AM15"/>
      <c r="AN15"/>
      <c r="AO15"/>
      <c r="AP15"/>
      <c r="AQ15"/>
      <c r="AR15"/>
      <c r="AS15"/>
      <c r="AT15"/>
      <c r="AU15"/>
      <c r="AV15"/>
      <c r="AW15"/>
      <c r="AX15"/>
      <c r="AY15"/>
      <c r="AZ15"/>
      <c r="BA15"/>
      <c r="BB15"/>
      <c r="BC15"/>
      <c r="BD15"/>
      <c r="BE15"/>
      <c r="BF15"/>
      <c r="BG15"/>
    </row>
    <row r="16" spans="1:59" ht="16.350000000000001" hidden="1" customHeigh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customFormat="1" ht="16.350000000000001" hidden="1" customHeight="1"/>
    <row r="18" customFormat="1" ht="16.350000000000001" hidden="1" customHeight="1"/>
    <row r="19" customFormat="1" ht="16.350000000000001" hidden="1" customHeight="1"/>
    <row r="20" customFormat="1" ht="16.350000000000001" hidden="1" customHeight="1"/>
    <row r="21" customFormat="1" ht="16.350000000000001" hidden="1" customHeight="1"/>
    <row r="22" customFormat="1" ht="16.350000000000001" hidden="1" customHeight="1"/>
    <row r="23" customFormat="1" ht="16.350000000000001" hidden="1" customHeight="1"/>
    <row r="24" customFormat="1" ht="16.350000000000001" hidden="1" customHeight="1"/>
    <row r="25" customFormat="1" ht="16.350000000000001" hidden="1" customHeight="1"/>
    <row r="26" customFormat="1" ht="16.350000000000001" hidden="1" customHeight="1"/>
    <row r="27" customFormat="1" ht="16.350000000000001" hidden="1" customHeight="1"/>
    <row r="28" customFormat="1" ht="16.350000000000001" hidden="1" customHeight="1"/>
    <row r="29" customFormat="1" ht="16.350000000000001" hidden="1" customHeight="1"/>
    <row r="30" customFormat="1" ht="16.350000000000001" hidden="1" customHeight="1"/>
    <row r="31" customFormat="1" ht="16.350000000000001" hidden="1" customHeight="1"/>
    <row r="32" customFormat="1" ht="16.350000000000001" hidden="1" customHeight="1"/>
    <row r="33" customFormat="1" ht="16.350000000000001" hidden="1" customHeight="1"/>
    <row r="34" customFormat="1" ht="16.350000000000001" hidden="1" customHeight="1"/>
    <row r="35" customFormat="1" ht="16.350000000000001" hidden="1" customHeight="1"/>
    <row r="36" customFormat="1" ht="16.350000000000001" hidden="1" customHeight="1"/>
    <row r="37" customFormat="1" ht="16.350000000000001" hidden="1" customHeight="1"/>
    <row r="38" customFormat="1" ht="16.350000000000001" hidden="1" customHeight="1"/>
    <row r="39" customFormat="1" ht="16.350000000000001" hidden="1" customHeight="1"/>
    <row r="40" customFormat="1" ht="16.350000000000001" hidden="1" customHeight="1"/>
    <row r="41" customFormat="1" ht="16.350000000000001" hidden="1" customHeight="1"/>
    <row r="42" customFormat="1" ht="16.350000000000001" hidden="1" customHeight="1"/>
    <row r="43" customFormat="1" ht="16.350000000000001" hidden="1" customHeight="1"/>
    <row r="44" customFormat="1" ht="16.350000000000001" hidden="1" customHeight="1"/>
    <row r="45" customFormat="1" ht="16.350000000000001" hidden="1" customHeight="1"/>
    <row r="46" customFormat="1" ht="16.350000000000001" hidden="1" customHeight="1"/>
    <row r="47" customFormat="1" ht="16.350000000000001" hidden="1" customHeight="1"/>
    <row r="48" customFormat="1" ht="16.350000000000001" hidden="1" customHeight="1"/>
    <row r="49" customFormat="1" ht="16.350000000000001" hidden="1" customHeight="1"/>
    <row r="50" customFormat="1" ht="16.350000000000001" hidden="1" customHeight="1"/>
    <row r="51" customFormat="1" ht="16.350000000000001" hidden="1" customHeight="1"/>
    <row r="52" customFormat="1" ht="16.350000000000001" hidden="1" customHeight="1"/>
    <row r="53" customFormat="1" ht="16.350000000000001" hidden="1" customHeight="1"/>
    <row r="54" customFormat="1" ht="16.350000000000001" hidden="1" customHeight="1"/>
    <row r="55" customFormat="1" ht="16.350000000000001" hidden="1" customHeight="1"/>
    <row r="56" customFormat="1" ht="16.350000000000001" hidden="1" customHeight="1"/>
    <row r="57" customFormat="1" ht="16.350000000000001" hidden="1" customHeight="1"/>
    <row r="58" customFormat="1" ht="16.350000000000001" hidden="1" customHeight="1"/>
    <row r="59" customFormat="1" ht="16.350000000000001" hidden="1" customHeight="1"/>
    <row r="60" customFormat="1" ht="16.350000000000001" hidden="1" customHeight="1"/>
    <row r="61" customFormat="1" ht="16.350000000000001" hidden="1" customHeight="1"/>
    <row r="62" customFormat="1" ht="16.350000000000001" hidden="1" customHeight="1"/>
    <row r="63" customFormat="1" ht="16.350000000000001" hidden="1" customHeight="1"/>
    <row r="64" customFormat="1" ht="16.350000000000001" hidden="1" customHeight="1"/>
    <row r="65" customFormat="1" ht="16.350000000000001" hidden="1" customHeight="1"/>
    <row r="66" customFormat="1" ht="16.350000000000001" hidden="1" customHeight="1"/>
    <row r="67" customFormat="1" ht="16.350000000000001" hidden="1" customHeight="1"/>
    <row r="68" customFormat="1" ht="16.350000000000001" hidden="1" customHeight="1"/>
    <row r="69" customFormat="1" ht="16.350000000000001" hidden="1" customHeight="1"/>
    <row r="70" customFormat="1" ht="16.350000000000001" hidden="1" customHeight="1"/>
    <row r="71" customFormat="1" ht="16.350000000000001" hidden="1" customHeight="1"/>
    <row r="72" customFormat="1" ht="16.350000000000001" hidden="1" customHeight="1"/>
    <row r="73" customFormat="1" ht="16.350000000000001" hidden="1" customHeight="1"/>
    <row r="74" customFormat="1" ht="16.350000000000001" hidden="1" customHeight="1"/>
    <row r="75" customFormat="1" ht="16.350000000000001" hidden="1" customHeight="1"/>
    <row r="76" customFormat="1" ht="16.350000000000001" hidden="1" customHeight="1"/>
    <row r="77" customFormat="1" ht="16.350000000000001" hidden="1" customHeight="1"/>
    <row r="78" customFormat="1" ht="16.350000000000001" hidden="1" customHeight="1"/>
    <row r="79" customFormat="1" ht="16.350000000000001" hidden="1" customHeight="1"/>
    <row r="80" customFormat="1" ht="16.350000000000001" hidden="1" customHeight="1"/>
    <row r="81" customFormat="1" ht="16.350000000000001" hidden="1" customHeight="1"/>
    <row r="82" customFormat="1" ht="16.350000000000001" hidden="1" customHeight="1"/>
    <row r="83" customFormat="1" ht="16.350000000000001" hidden="1" customHeight="1"/>
    <row r="84" customFormat="1" ht="16.350000000000001" hidden="1" customHeight="1"/>
    <row r="85" customFormat="1" ht="16.350000000000001" hidden="1" customHeight="1"/>
    <row r="86" customFormat="1" ht="16.350000000000001" hidden="1" customHeight="1"/>
    <row r="87" customFormat="1" ht="16.350000000000001" hidden="1" customHeight="1"/>
    <row r="88" customFormat="1" ht="16.350000000000001" hidden="1" customHeight="1"/>
    <row r="89" customFormat="1" ht="16.350000000000001" hidden="1" customHeight="1"/>
    <row r="90" customFormat="1" ht="16.350000000000001" hidden="1" customHeight="1"/>
    <row r="91" customFormat="1" ht="16.350000000000001" hidden="1" customHeight="1"/>
    <row r="92" customFormat="1" ht="16.350000000000001" hidden="1" customHeight="1"/>
    <row r="93" customFormat="1" ht="16.350000000000001" hidden="1" customHeight="1"/>
    <row r="94" customFormat="1" ht="16.350000000000001" hidden="1" customHeight="1"/>
    <row r="95" customFormat="1" ht="16.350000000000001" hidden="1" customHeight="1"/>
    <row r="96" customFormat="1" ht="16.350000000000001" hidden="1" customHeight="1"/>
    <row r="97" customFormat="1" ht="16.350000000000001" hidden="1" customHeight="1"/>
    <row r="98" customFormat="1" ht="16.350000000000001" hidden="1" customHeight="1"/>
    <row r="99" customFormat="1" ht="16.350000000000001" hidden="1" customHeight="1"/>
    <row r="100" customFormat="1" ht="16.350000000000001" hidden="1" customHeight="1"/>
    <row r="101" customFormat="1" ht="16.350000000000001" hidden="1" customHeight="1"/>
    <row r="102" customFormat="1" ht="16.350000000000001" hidden="1" customHeight="1"/>
    <row r="103" customFormat="1" ht="16.350000000000001" hidden="1" customHeight="1"/>
    <row r="104" customFormat="1" ht="16.350000000000001" hidden="1" customHeight="1"/>
    <row r="105" customFormat="1" ht="16.350000000000001" hidden="1" customHeight="1"/>
    <row r="106" customFormat="1" ht="16.350000000000001" hidden="1" customHeight="1"/>
    <row r="107" customFormat="1" ht="16.350000000000001" hidden="1" customHeight="1"/>
    <row r="108" customFormat="1" ht="16.350000000000001" hidden="1" customHeight="1"/>
    <row r="109" customFormat="1" ht="16.350000000000001" hidden="1" customHeight="1"/>
    <row r="110" customFormat="1" ht="16.350000000000001" hidden="1" customHeight="1"/>
    <row r="111" customFormat="1" ht="16.350000000000001" hidden="1" customHeight="1"/>
    <row r="112" customFormat="1" ht="16.350000000000001" hidden="1" customHeight="1"/>
    <row r="113" customFormat="1" ht="16.350000000000001" hidden="1" customHeight="1"/>
    <row r="114" customFormat="1" ht="16.350000000000001" hidden="1" customHeight="1"/>
    <row r="115" customFormat="1" ht="16.350000000000001" hidden="1" customHeight="1"/>
    <row r="116" customFormat="1" ht="16.350000000000001" hidden="1" customHeight="1"/>
    <row r="117" customFormat="1" ht="16.350000000000001" hidden="1" customHeight="1"/>
    <row r="118" customFormat="1" ht="16.350000000000001" hidden="1" customHeight="1"/>
    <row r="119" customFormat="1" ht="16.350000000000001" hidden="1" customHeight="1"/>
    <row r="120" customFormat="1" ht="16.350000000000001" hidden="1" customHeight="1"/>
    <row r="121" customFormat="1" ht="16.350000000000001" hidden="1" customHeight="1"/>
    <row r="122" customFormat="1" ht="16.350000000000001" hidden="1" customHeight="1"/>
    <row r="123" customFormat="1" ht="16.350000000000001" hidden="1" customHeight="1"/>
    <row r="124" customFormat="1" ht="16.350000000000001" hidden="1" customHeight="1"/>
    <row r="125" customFormat="1" ht="16.350000000000001" hidden="1" customHeight="1"/>
    <row r="126" customFormat="1" ht="16.350000000000001" hidden="1" customHeight="1"/>
    <row r="127" customFormat="1" ht="16.350000000000001" hidden="1" customHeight="1"/>
    <row r="128" customFormat="1" ht="16.350000000000001" hidden="1" customHeight="1"/>
    <row r="129" customFormat="1" ht="16.350000000000001" hidden="1" customHeight="1"/>
    <row r="130" customFormat="1" ht="16.350000000000001" hidden="1" customHeight="1"/>
    <row r="131" customFormat="1" ht="16.350000000000001" hidden="1" customHeight="1"/>
    <row r="132" customFormat="1" ht="16.350000000000001" hidden="1" customHeight="1"/>
    <row r="133" customFormat="1" ht="16.350000000000001" hidden="1" customHeight="1"/>
    <row r="134" customFormat="1" ht="16.350000000000001" hidden="1" customHeight="1"/>
    <row r="135" customFormat="1" ht="16.350000000000001" hidden="1" customHeight="1"/>
    <row r="136" customFormat="1" ht="16.350000000000001" hidden="1" customHeight="1"/>
    <row r="137" customFormat="1" ht="16.350000000000001" hidden="1" customHeight="1"/>
    <row r="138" customFormat="1" ht="16.350000000000001" hidden="1" customHeight="1"/>
    <row r="139" customFormat="1" ht="16.350000000000001" hidden="1" customHeight="1"/>
    <row r="140" customFormat="1" ht="16.350000000000001" hidden="1" customHeight="1"/>
    <row r="141" customFormat="1" ht="16.350000000000001" hidden="1" customHeight="1"/>
    <row r="142" customFormat="1" ht="16.350000000000001" hidden="1" customHeight="1"/>
    <row r="143" customFormat="1" ht="16.350000000000001" hidden="1" customHeight="1"/>
    <row r="144" customFormat="1" ht="16.350000000000001" hidden="1" customHeight="1"/>
    <row r="145" customFormat="1" ht="16.350000000000001" hidden="1" customHeight="1"/>
    <row r="146" customFormat="1" ht="16.350000000000001" hidden="1" customHeight="1"/>
    <row r="147" customFormat="1" ht="16.350000000000001" hidden="1" customHeight="1"/>
    <row r="148" customFormat="1" ht="16.350000000000001" hidden="1" customHeight="1"/>
    <row r="149" customFormat="1" ht="16.350000000000001" hidden="1" customHeight="1"/>
    <row r="150" customFormat="1" ht="16.350000000000001" hidden="1" customHeight="1"/>
    <row r="151" customFormat="1" ht="16.350000000000001" hidden="1" customHeight="1"/>
    <row r="152" customFormat="1" ht="16.350000000000001" hidden="1" customHeight="1"/>
    <row r="153" customFormat="1" ht="16.350000000000001" hidden="1" customHeight="1"/>
    <row r="154" customFormat="1" ht="16.350000000000001" hidden="1" customHeight="1"/>
    <row r="155" customFormat="1" ht="16.350000000000001" hidden="1" customHeight="1"/>
    <row r="156" customFormat="1" ht="16.350000000000001" hidden="1" customHeight="1"/>
    <row r="157" customFormat="1" ht="16.350000000000001" hidden="1" customHeight="1"/>
    <row r="158" customFormat="1" ht="16.350000000000001" hidden="1" customHeight="1"/>
    <row r="159" customFormat="1" ht="16.350000000000001" hidden="1" customHeight="1"/>
    <row r="160" customFormat="1" ht="16.350000000000001" hidden="1" customHeight="1"/>
    <row r="161" customFormat="1" ht="16.350000000000001" hidden="1" customHeight="1"/>
    <row r="162" customFormat="1" ht="16.350000000000001" hidden="1" customHeight="1"/>
    <row r="163" customFormat="1" ht="16.350000000000001" hidden="1" customHeight="1"/>
    <row r="164" customFormat="1" ht="16.350000000000001" hidden="1" customHeight="1"/>
    <row r="165" customFormat="1" ht="16.350000000000001" hidden="1" customHeight="1"/>
    <row r="166" customFormat="1" ht="16.350000000000001" hidden="1" customHeight="1"/>
    <row r="167" customFormat="1" ht="16.350000000000001" hidden="1" customHeight="1"/>
    <row r="168" customFormat="1" ht="16.350000000000001" hidden="1" customHeight="1"/>
    <row r="169" customFormat="1" ht="16.350000000000001" hidden="1" customHeight="1"/>
    <row r="170" customFormat="1" ht="16.350000000000001" hidden="1" customHeight="1"/>
    <row r="171" customFormat="1" ht="16.350000000000001" hidden="1" customHeight="1"/>
    <row r="172" customFormat="1" ht="16.350000000000001" hidden="1" customHeight="1"/>
    <row r="173" customFormat="1" ht="16.350000000000001" hidden="1" customHeight="1"/>
    <row r="174" customFormat="1" ht="16.350000000000001" hidden="1" customHeight="1"/>
    <row r="175" customFormat="1" ht="16.350000000000001" hidden="1" customHeight="1"/>
    <row r="176" customFormat="1" ht="16.350000000000001" hidden="1" customHeight="1"/>
    <row r="177" customFormat="1" ht="16.350000000000001" hidden="1" customHeight="1"/>
    <row r="178" customFormat="1" ht="16.350000000000001" hidden="1" customHeight="1"/>
    <row r="179" customFormat="1" ht="16.350000000000001" hidden="1" customHeight="1"/>
    <row r="180" customFormat="1" ht="16.350000000000001" hidden="1" customHeight="1"/>
    <row r="181" customFormat="1" ht="16.350000000000001" hidden="1" customHeight="1"/>
    <row r="182" customFormat="1" ht="16.350000000000001" hidden="1" customHeight="1"/>
    <row r="183" customFormat="1" ht="16.350000000000001" hidden="1" customHeight="1"/>
    <row r="184" customFormat="1" ht="16.350000000000001" hidden="1" customHeight="1"/>
    <row r="185" customFormat="1" ht="16.350000000000001" hidden="1" customHeight="1"/>
    <row r="186" customFormat="1" ht="16.350000000000001" hidden="1" customHeight="1"/>
    <row r="187" customFormat="1" ht="16.350000000000001" hidden="1" customHeight="1"/>
    <row r="188" customFormat="1" ht="16.350000000000001" hidden="1" customHeight="1"/>
    <row r="189" customFormat="1" ht="16.350000000000001" hidden="1" customHeight="1"/>
    <row r="190" customFormat="1" ht="16.350000000000001" hidden="1" customHeight="1"/>
    <row r="191" customFormat="1" ht="16.350000000000001" hidden="1" customHeight="1"/>
    <row r="192" customFormat="1" ht="16.350000000000001" hidden="1" customHeight="1"/>
    <row r="193" spans="1:59" ht="16.350000000000001" hidden="1" customHeigh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row>
    <row r="194" spans="1:59" ht="16.350000000000001" hidden="1" customHeigh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row>
    <row r="195" spans="1:59" ht="16.350000000000001" hidden="1"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row>
    <row r="196" spans="1:59" ht="16.350000000000001" hidden="1"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row>
    <row r="197" spans="1:59" ht="16.350000000000001" hidden="1" customHeigh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row>
    <row r="198" spans="1:59" ht="16.350000000000001" hidden="1" customHeigh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row>
    <row r="199" spans="1:59" ht="16.350000000000001" hidden="1" customHeigh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row>
    <row r="200" spans="1:59"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68"/>
    </row>
    <row r="201" spans="1:59"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68"/>
    </row>
    <row r="202" spans="1:59"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68"/>
    </row>
  </sheetData>
  <sheetProtection algorithmName="SHA-512" hashValue="Kj3ybtLrRI04KnqNLTri4n2tZW7/z8Xt94/72Jcmclh4WOw9F6L5kvjCppwZZRJa31ksEpsPIgO/HDYXUTxhSA==" saltValue="h9yGwhhF9KQKhA6H1YTo2g==" spinCount="100000" sheet="1" objects="1" scenarios="1" selectLockedCells="1"/>
  <mergeCells count="11">
    <mergeCell ref="R200:AR201"/>
    <mergeCell ref="A4:BF5"/>
    <mergeCell ref="R8:AD9"/>
    <mergeCell ref="R6:AD7"/>
    <mergeCell ref="F1:I3"/>
    <mergeCell ref="J1:M3"/>
    <mergeCell ref="AP1:AS3"/>
    <mergeCell ref="AT1:AW3"/>
    <mergeCell ref="AX1:BC3"/>
    <mergeCell ref="BD1:BG3"/>
    <mergeCell ref="AL1:AO3"/>
  </mergeCells>
  <hyperlinks>
    <hyperlink ref="AH9" r:id="rId1" display="businessrebates@kcpl.com" xr:uid="{F0C6C6D7-82AB-4347-863F-8D0329787D80}"/>
    <hyperlink ref="AH7" r:id="rId2" xr:uid="{893166AB-E175-41AD-B9C5-6DD686546A10}"/>
    <hyperlink ref="J1:M3" location="'M01-S02'!J1" tooltip="Instructions" display="'M01-S02'!J1" xr:uid="{4B2446B2-38EB-42B4-A37F-717A947A9E29}"/>
    <hyperlink ref="AT1:AW3" location="'M05-S05'!AL1" tooltip=" " display="'M05-S05'!AL1" xr:uid="{475DE948-1B66-4A27-945B-49C30CCE4DE4}"/>
    <hyperlink ref="BD1:BG3" location="'M01-S03'!AP1" tooltip="Contact" display="'M01-S03'!AP1" xr:uid="{16B172A5-A270-43BA-B5F3-E6E29292458C}"/>
    <hyperlink ref="AP1:AS3" location="'M05-S04'!AH1" tooltip=" " display="'M05-S04'!AH1" xr:uid="{516B6038-9F4A-4734-9ABD-B6E7C7CFB0F7}"/>
    <hyperlink ref="AL1:AO3" location="'M05-S05'!AL1" tooltip=" " display="'M05-S05'!AL1" xr:uid="{676EBA3E-2498-4697-BEC4-0E4D2AA16181}"/>
  </hyperlinks>
  <printOptions horizontalCentered="1"/>
  <pageMargins left="0" right="0" top="0.25" bottom="0.25" header="0.25" footer="0.25"/>
  <pageSetup scale="52" fitToHeight="0"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E2011-CDC0-4B4C-BDB4-3640B85B5FD2}">
  <sheetPr codeName="Sheet39">
    <pageSetUpPr fitToPage="1"/>
  </sheetPr>
  <dimension ref="A1:BG75"/>
  <sheetViews>
    <sheetView showGridLines="0" showRowColHeaders="0" zoomScale="90" zoomScaleNormal="90" workbookViewId="0"/>
  </sheetViews>
  <sheetFormatPr defaultColWidth="0" defaultRowHeight="0" customHeight="1" zeroHeight="1"/>
  <cols>
    <col min="1" max="24" width="4.5703125" style="502" customWidth="1"/>
    <col min="25" max="25" width="5.140625" style="502" customWidth="1"/>
    <col min="26" max="59" width="4.5703125" style="502" customWidth="1"/>
    <col min="60" max="124" width="4.5703125" style="502" hidden="1" customWidth="1"/>
    <col min="125" max="16384" width="4.5703125" style="502" hidden="1"/>
  </cols>
  <sheetData>
    <row r="1" spans="1:59" s="12" customFormat="1" ht="15" customHeight="1">
      <c r="B1" s="125"/>
      <c r="C1" s="125"/>
      <c r="D1" s="125"/>
      <c r="E1" s="125"/>
      <c r="F1" s="750" t="str">
        <f>M1S1</f>
        <v>WELCOME</v>
      </c>
      <c r="G1" s="750"/>
      <c r="H1" s="750"/>
      <c r="I1" s="750"/>
      <c r="J1" s="727" t="str">
        <f>M1S2</f>
        <v>INSTRUCTIONS</v>
      </c>
      <c r="K1" s="727"/>
      <c r="L1" s="727"/>
      <c r="M1" s="727"/>
      <c r="N1" s="197"/>
      <c r="O1" s="197"/>
      <c r="P1" s="197"/>
      <c r="Q1" s="197"/>
      <c r="R1" s="197"/>
      <c r="S1" s="197"/>
      <c r="T1" s="189"/>
      <c r="U1" s="190" t="s">
        <v>118</v>
      </c>
      <c r="V1" s="190"/>
      <c r="W1" s="190"/>
      <c r="X1" s="190"/>
      <c r="Y1" s="197"/>
      <c r="Z1" s="197"/>
      <c r="AA1" s="197"/>
      <c r="AB1" s="197"/>
      <c r="AC1" s="197"/>
      <c r="AD1" s="197"/>
      <c r="AE1" s="197"/>
      <c r="AF1" s="197"/>
      <c r="AL1" s="734" t="str">
        <f>IF(ACTIVEINSPECT="Yes","Complete "&amp;M5S4,"")</f>
        <v/>
      </c>
      <c r="AM1" s="734"/>
      <c r="AN1" s="734"/>
      <c r="AO1" s="734"/>
      <c r="AP1" s="753" t="str">
        <f>IF(ACTIVEOFFER="Yes","Sign "&amp;M5S6,"")</f>
        <v>Sign OBR: Repayment Agreement</v>
      </c>
      <c r="AQ1" s="753"/>
      <c r="AR1" s="753"/>
      <c r="AS1" s="753"/>
      <c r="AT1" s="730" t="str">
        <f>IF(ACTIVECOMPL="Yes","Sign "&amp;M5S5,"")</f>
        <v xml:space="preserve">Sign Project Completion Certification </v>
      </c>
      <c r="AU1" s="730"/>
      <c r="AV1" s="730"/>
      <c r="AW1" s="730"/>
      <c r="AX1" s="783" t="str">
        <f>M1S4</f>
        <v>INCENTIVE RATES &amp; REQUIREMENTS</v>
      </c>
      <c r="AY1" s="783"/>
      <c r="AZ1" s="783"/>
      <c r="BA1" s="783"/>
      <c r="BB1" s="783"/>
      <c r="BC1" s="783"/>
      <c r="BD1" s="773" t="s">
        <v>119</v>
      </c>
      <c r="BE1" s="774"/>
      <c r="BF1" s="774"/>
      <c r="BG1" s="774"/>
    </row>
    <row r="2" spans="1:59" s="12" customFormat="1" ht="16.350000000000001" customHeight="1">
      <c r="B2" s="125"/>
      <c r="C2" s="125"/>
      <c r="D2" s="125"/>
      <c r="E2" s="125"/>
      <c r="F2" s="750"/>
      <c r="G2" s="750"/>
      <c r="H2" s="750"/>
      <c r="I2" s="750"/>
      <c r="J2" s="728"/>
      <c r="K2" s="728"/>
      <c r="L2" s="728"/>
      <c r="M2" s="728"/>
      <c r="N2" s="197"/>
      <c r="O2" s="197"/>
      <c r="P2" s="197"/>
      <c r="Q2" s="197"/>
      <c r="R2" s="197"/>
      <c r="S2" s="197"/>
      <c r="T2" s="189"/>
      <c r="U2" s="190"/>
      <c r="V2" s="190"/>
      <c r="W2" s="190"/>
      <c r="X2" s="190"/>
      <c r="Y2" s="197"/>
      <c r="Z2" s="197"/>
      <c r="AA2" s="197"/>
      <c r="AB2" s="197"/>
      <c r="AC2" s="197"/>
      <c r="AD2" s="197"/>
      <c r="AE2" s="197"/>
      <c r="AF2" s="197"/>
      <c r="AL2" s="734"/>
      <c r="AM2" s="734"/>
      <c r="AN2" s="734"/>
      <c r="AO2" s="734"/>
      <c r="AP2" s="753"/>
      <c r="AQ2" s="753"/>
      <c r="AR2" s="753"/>
      <c r="AS2" s="753"/>
      <c r="AT2" s="730"/>
      <c r="AU2" s="730"/>
      <c r="AV2" s="730"/>
      <c r="AW2" s="730"/>
      <c r="AX2" s="783"/>
      <c r="AY2" s="783"/>
      <c r="AZ2" s="783"/>
      <c r="BA2" s="783"/>
      <c r="BB2" s="783"/>
      <c r="BC2" s="783"/>
      <c r="BD2" s="774"/>
      <c r="BE2" s="774"/>
      <c r="BF2" s="774"/>
      <c r="BG2" s="774"/>
    </row>
    <row r="3" spans="1:59" s="12" customFormat="1" ht="16.350000000000001" customHeight="1" thickBot="1">
      <c r="A3" s="198"/>
      <c r="B3" s="251"/>
      <c r="C3" s="251"/>
      <c r="D3" s="251"/>
      <c r="E3" s="251"/>
      <c r="F3" s="751"/>
      <c r="G3" s="751"/>
      <c r="H3" s="751"/>
      <c r="I3" s="751"/>
      <c r="J3" s="729"/>
      <c r="K3" s="729"/>
      <c r="L3" s="729"/>
      <c r="M3" s="729"/>
      <c r="N3" s="191"/>
      <c r="O3" s="191"/>
      <c r="P3" s="191"/>
      <c r="Q3" s="191"/>
      <c r="R3" s="191"/>
      <c r="S3" s="191"/>
      <c r="T3" s="191"/>
      <c r="U3" s="192"/>
      <c r="V3" s="192"/>
      <c r="W3" s="192"/>
      <c r="X3" s="192"/>
      <c r="Y3" s="198"/>
      <c r="Z3" s="198"/>
      <c r="AA3" s="198"/>
      <c r="AB3" s="198"/>
      <c r="AC3" s="198"/>
      <c r="AD3" s="198"/>
      <c r="AE3" s="198"/>
      <c r="AF3" s="198"/>
      <c r="AG3" s="198"/>
      <c r="AH3" s="198"/>
      <c r="AI3" s="198"/>
      <c r="AJ3" s="198"/>
      <c r="AK3" s="198"/>
      <c r="AL3" s="734"/>
      <c r="AM3" s="734"/>
      <c r="AN3" s="734"/>
      <c r="AO3" s="734"/>
      <c r="AP3" s="731"/>
      <c r="AQ3" s="731"/>
      <c r="AR3" s="731"/>
      <c r="AS3" s="731"/>
      <c r="AT3" s="731"/>
      <c r="AU3" s="731"/>
      <c r="AV3" s="731"/>
      <c r="AW3" s="731"/>
      <c r="AX3" s="784"/>
      <c r="AY3" s="784"/>
      <c r="AZ3" s="784"/>
      <c r="BA3" s="784"/>
      <c r="BB3" s="784"/>
      <c r="BC3" s="784"/>
      <c r="BD3" s="775"/>
      <c r="BE3" s="775"/>
      <c r="BF3" s="775"/>
      <c r="BG3" s="775"/>
    </row>
    <row r="4" spans="1:59" s="50" customFormat="1" ht="16.350000000000001" customHeight="1">
      <c r="A4" s="764" t="str">
        <f>M1S4</f>
        <v>INCENTIVE RATES &amp; REQUIREMENTS</v>
      </c>
      <c r="B4" s="764"/>
      <c r="C4" s="764"/>
      <c r="D4" s="764"/>
      <c r="E4" s="764"/>
      <c r="F4" s="764"/>
      <c r="G4" s="764"/>
      <c r="H4" s="764"/>
      <c r="I4" s="764"/>
      <c r="J4" s="764"/>
      <c r="K4" s="764"/>
      <c r="L4" s="764"/>
      <c r="M4" s="764"/>
      <c r="N4" s="765"/>
      <c r="O4" s="765"/>
      <c r="P4" s="765"/>
      <c r="Q4" s="765"/>
      <c r="R4" s="765"/>
      <c r="S4" s="765"/>
      <c r="T4" s="764"/>
      <c r="U4" s="764"/>
      <c r="V4" s="764"/>
      <c r="W4" s="764"/>
      <c r="X4" s="764"/>
      <c r="Y4" s="764"/>
      <c r="Z4" s="764"/>
      <c r="AA4" s="764"/>
      <c r="AB4" s="764"/>
      <c r="AC4" s="764"/>
      <c r="AD4" s="764"/>
      <c r="AE4" s="764"/>
      <c r="AF4" s="764"/>
      <c r="AG4" s="764"/>
      <c r="AH4" s="764"/>
      <c r="AI4" s="764"/>
      <c r="AJ4" s="764"/>
      <c r="AK4" s="764"/>
      <c r="AL4" s="764"/>
      <c r="AM4" s="764"/>
      <c r="AN4" s="764"/>
      <c r="AO4" s="764"/>
      <c r="AP4" s="764"/>
      <c r="AQ4" s="764"/>
      <c r="AR4" s="764"/>
      <c r="AS4" s="764"/>
      <c r="AT4" s="764"/>
      <c r="AU4" s="764"/>
      <c r="AV4" s="764"/>
      <c r="AW4" s="764"/>
      <c r="AX4" s="765"/>
      <c r="AY4" s="765"/>
      <c r="AZ4" s="765"/>
      <c r="BA4" s="765"/>
      <c r="BB4" s="765"/>
      <c r="BC4" s="765"/>
      <c r="BD4" s="764"/>
      <c r="BE4" s="764"/>
      <c r="BF4" s="764"/>
      <c r="BG4" s="234"/>
    </row>
    <row r="5" spans="1:59" s="50" customFormat="1" ht="16.350000000000001" customHeight="1">
      <c r="A5" s="765"/>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c r="AT5" s="765"/>
      <c r="AU5" s="765"/>
      <c r="AV5" s="765"/>
      <c r="AW5" s="765"/>
      <c r="AX5" s="765"/>
      <c r="AY5" s="765"/>
      <c r="AZ5" s="765"/>
      <c r="BA5" s="765"/>
      <c r="BB5" s="765"/>
      <c r="BC5" s="765"/>
      <c r="BD5" s="765"/>
      <c r="BE5" s="765"/>
      <c r="BF5" s="765"/>
    </row>
    <row r="6" spans="1:59" s="12" customFormat="1" ht="16.350000000000001" customHeight="1">
      <c r="A6" s="40"/>
      <c r="B6" s="40"/>
      <c r="C6" s="40"/>
      <c r="D6" s="40"/>
      <c r="E6" s="40"/>
      <c r="F6" s="40"/>
      <c r="G6" s="40"/>
      <c r="H6" s="40"/>
      <c r="I6" s="40"/>
      <c r="J6" s="40"/>
      <c r="K6" s="40"/>
      <c r="L6" s="40"/>
      <c r="M6" s="40"/>
      <c r="N6" s="40"/>
      <c r="O6" s="40"/>
      <c r="P6" s="40"/>
      <c r="Q6" s="40"/>
      <c r="R6" s="167"/>
      <c r="S6" s="167"/>
      <c r="T6" s="167"/>
      <c r="U6" s="167"/>
      <c r="V6" s="167"/>
      <c r="W6" s="167"/>
      <c r="X6" s="167"/>
      <c r="Y6" s="167"/>
      <c r="Z6" s="167"/>
      <c r="AA6" s="167"/>
      <c r="AB6" s="167"/>
      <c r="AC6" s="167"/>
      <c r="AD6" s="167"/>
      <c r="AE6" s="40"/>
      <c r="AF6" s="40"/>
      <c r="AG6" s="40"/>
      <c r="AH6" s="145"/>
      <c r="AI6" s="40"/>
      <c r="AJ6" s="40"/>
      <c r="AK6" s="40"/>
      <c r="AL6" s="40"/>
      <c r="AM6" s="40"/>
      <c r="AN6" s="40"/>
      <c r="AO6" s="40"/>
      <c r="AP6" s="40"/>
      <c r="AQ6" s="40"/>
      <c r="AR6" s="40"/>
      <c r="AS6" s="40"/>
    </row>
    <row r="7" spans="1:59" s="12" customFormat="1" ht="16.350000000000001" customHeight="1">
      <c r="K7" s="40"/>
      <c r="L7" s="40"/>
      <c r="M7" s="40"/>
      <c r="N7" s="40"/>
      <c r="O7" s="40"/>
      <c r="P7" s="40"/>
      <c r="Q7" s="40"/>
      <c r="R7" s="167"/>
      <c r="S7" s="167"/>
      <c r="T7" s="167"/>
      <c r="U7" s="167"/>
      <c r="V7" s="167"/>
      <c r="W7" s="167"/>
      <c r="X7" s="167"/>
      <c r="Y7" s="167"/>
      <c r="Z7" s="167"/>
      <c r="AA7" s="167"/>
      <c r="AB7" s="167"/>
      <c r="AC7" s="167"/>
      <c r="AD7" s="167"/>
      <c r="AE7" s="30"/>
      <c r="AF7" s="23"/>
      <c r="AH7" s="146"/>
    </row>
    <row r="8" spans="1:59" s="12" customFormat="1" ht="16.350000000000001" customHeight="1">
      <c r="K8" s="40"/>
      <c r="L8" s="40"/>
      <c r="M8" s="40"/>
      <c r="N8" s="40"/>
      <c r="O8" s="40"/>
      <c r="P8" s="40"/>
      <c r="Q8" s="40"/>
      <c r="R8" s="168"/>
      <c r="S8" s="168"/>
      <c r="T8" s="168"/>
      <c r="U8" s="168"/>
      <c r="V8" s="168"/>
      <c r="W8" s="168"/>
      <c r="X8" s="168"/>
      <c r="Y8" s="168"/>
      <c r="Z8" s="168"/>
      <c r="AA8" s="168"/>
      <c r="AB8" s="168"/>
      <c r="AC8" s="168"/>
      <c r="AD8" s="168"/>
      <c r="AE8" s="30"/>
      <c r="AF8" s="23"/>
      <c r="AH8" s="32"/>
    </row>
    <row r="9" spans="1:59" s="12" customFormat="1" ht="30">
      <c r="F9" s="252" t="s">
        <v>162</v>
      </c>
      <c r="G9" s="164"/>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253"/>
      <c r="AS9" s="253"/>
      <c r="AT9" s="165"/>
      <c r="AU9" s="253"/>
      <c r="AV9" s="253"/>
      <c r="AW9" s="253"/>
      <c r="AX9" s="253"/>
      <c r="AY9" s="254"/>
      <c r="AZ9" s="141"/>
      <c r="BA9" s="141"/>
      <c r="BB9" s="141"/>
    </row>
    <row r="10" spans="1:59" s="12" customFormat="1" ht="30.75" customHeight="1">
      <c r="F10" s="255" t="s">
        <v>163</v>
      </c>
      <c r="K10" s="125"/>
      <c r="L10" s="125"/>
      <c r="M10" s="169"/>
      <c r="N10" s="169"/>
      <c r="O10" s="125"/>
      <c r="P10" s="125"/>
      <c r="Q10" s="125"/>
      <c r="R10" s="125"/>
      <c r="S10" s="125"/>
      <c r="T10" s="125"/>
      <c r="U10" s="125"/>
      <c r="V10" s="125"/>
      <c r="W10" s="169"/>
      <c r="X10" s="169"/>
      <c r="Y10" s="169"/>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row>
    <row r="11" spans="1:59" s="12" customFormat="1" ht="16.350000000000001" customHeight="1">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row>
    <row r="12" spans="1:59" s="12" customFormat="1" ht="16.350000000000001" customHeight="1">
      <c r="F12" s="235"/>
      <c r="G12" s="237"/>
      <c r="H12" s="237"/>
      <c r="I12" s="237"/>
      <c r="J12" s="237"/>
      <c r="K12" s="237"/>
      <c r="L12" s="237"/>
      <c r="M12" s="237"/>
      <c r="N12" s="237"/>
      <c r="O12" s="237"/>
      <c r="P12" s="237"/>
      <c r="Q12" s="237"/>
      <c r="R12" s="237"/>
      <c r="S12" s="237"/>
      <c r="T12" s="237"/>
      <c r="U12" s="235"/>
      <c r="V12" s="230"/>
      <c r="W12" s="230"/>
      <c r="X12" s="230"/>
      <c r="Y12" s="230"/>
      <c r="Z12" s="249"/>
      <c r="AA12" s="232"/>
      <c r="AB12" s="232"/>
      <c r="AC12" s="232"/>
      <c r="AD12" s="232"/>
      <c r="AE12" s="232"/>
      <c r="AF12" s="235"/>
      <c r="AG12" s="231"/>
      <c r="AH12" s="231"/>
      <c r="AI12" s="231"/>
      <c r="AJ12" s="236"/>
      <c r="AK12" s="236"/>
      <c r="AL12" s="236"/>
    </row>
    <row r="13" spans="1:59" s="12" customFormat="1" ht="36" customHeight="1">
      <c r="F13" s="785" t="s">
        <v>164</v>
      </c>
      <c r="G13" s="786"/>
      <c r="H13" s="786"/>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c r="AF13" s="786"/>
      <c r="AG13" s="786"/>
      <c r="AH13" s="786"/>
      <c r="AI13" s="786"/>
      <c r="AJ13" s="786"/>
      <c r="AK13" s="786"/>
      <c r="AL13" s="786"/>
      <c r="AM13" s="786"/>
      <c r="AN13" s="786"/>
      <c r="AO13" s="786"/>
      <c r="AP13" s="786"/>
      <c r="AQ13" s="786"/>
      <c r="AR13" s="786"/>
      <c r="AS13" s="786"/>
      <c r="AT13" s="786"/>
      <c r="AU13" s="786"/>
      <c r="AV13" s="781"/>
      <c r="AW13" s="781"/>
      <c r="AX13" s="781"/>
      <c r="AY13" s="781"/>
      <c r="AZ13" s="781"/>
      <c r="BA13" s="781"/>
      <c r="BB13" s="782"/>
    </row>
    <row r="14" spans="1:59" s="12" customFormat="1" ht="22.5" customHeight="1">
      <c r="F14" s="582" t="s">
        <v>165</v>
      </c>
      <c r="G14" s="478"/>
      <c r="H14" s="478"/>
      <c r="I14" s="478"/>
      <c r="J14" s="478"/>
      <c r="K14" s="478"/>
      <c r="L14" s="237"/>
      <c r="M14" s="237"/>
      <c r="N14" s="237"/>
      <c r="O14" s="237"/>
      <c r="P14" s="237"/>
      <c r="Q14" s="237"/>
      <c r="R14" s="237"/>
      <c r="S14" s="237"/>
      <c r="T14" s="237"/>
      <c r="U14" s="235"/>
      <c r="V14" s="230"/>
      <c r="W14" s="230"/>
      <c r="X14" s="230"/>
      <c r="Y14" s="230"/>
      <c r="Z14" s="249"/>
      <c r="AA14" s="232"/>
      <c r="AB14" s="232"/>
      <c r="AC14" s="232"/>
      <c r="AD14" s="232"/>
      <c r="AE14" s="232"/>
      <c r="AF14" s="235"/>
      <c r="AG14" s="231"/>
      <c r="AH14" s="231"/>
      <c r="AI14" s="231"/>
      <c r="AJ14" s="236"/>
      <c r="AK14" s="236"/>
      <c r="AL14" s="236"/>
    </row>
    <row r="15" spans="1:59" s="12" customFormat="1" ht="16.350000000000001" customHeight="1">
      <c r="F15" s="780" t="s">
        <v>166</v>
      </c>
      <c r="G15" s="780"/>
      <c r="H15" s="780"/>
      <c r="I15" s="780"/>
      <c r="J15" s="780"/>
      <c r="K15" s="780"/>
      <c r="L15" s="780"/>
      <c r="M15" s="780"/>
      <c r="N15" s="780"/>
      <c r="O15" s="780"/>
      <c r="P15" s="780"/>
      <c r="Q15" s="780"/>
      <c r="R15" s="780"/>
      <c r="S15" s="780"/>
      <c r="T15" s="780"/>
      <c r="U15" s="780"/>
      <c r="V15" s="780"/>
      <c r="W15" s="780"/>
      <c r="X15" s="780"/>
      <c r="Y15" s="780"/>
      <c r="Z15" s="780"/>
      <c r="AA15" s="780"/>
      <c r="AB15" s="780"/>
      <c r="AC15" s="780"/>
      <c r="AD15" s="780"/>
      <c r="AE15" s="780"/>
      <c r="AF15" s="780"/>
      <c r="AG15" s="780"/>
      <c r="AH15" s="780"/>
      <c r="AI15" s="780"/>
      <c r="AJ15" s="780"/>
      <c r="AK15" s="780"/>
      <c r="AL15" s="780"/>
      <c r="AM15" s="780"/>
      <c r="AN15" s="780"/>
      <c r="AO15" s="780"/>
      <c r="AP15" s="780"/>
      <c r="AQ15" s="780"/>
      <c r="AR15" s="780"/>
      <c r="AS15" s="780"/>
      <c r="AT15" s="780"/>
      <c r="AU15" s="780"/>
      <c r="AV15" s="780"/>
      <c r="AW15" s="780"/>
      <c r="AX15" s="780"/>
      <c r="AY15" s="780"/>
      <c r="AZ15" s="780"/>
      <c r="BA15" s="780"/>
      <c r="BB15" s="780"/>
    </row>
    <row r="16" spans="1:59" s="12" customFormat="1" ht="16.350000000000001" customHeight="1">
      <c r="F16" s="780"/>
      <c r="G16" s="780"/>
      <c r="H16" s="780"/>
      <c r="I16" s="780"/>
      <c r="J16" s="780"/>
      <c r="K16" s="780"/>
      <c r="L16" s="780"/>
      <c r="M16" s="780"/>
      <c r="N16" s="780"/>
      <c r="O16" s="780"/>
      <c r="P16" s="780"/>
      <c r="Q16" s="780"/>
      <c r="R16" s="780"/>
      <c r="S16" s="780"/>
      <c r="T16" s="780"/>
      <c r="U16" s="780"/>
      <c r="V16" s="780"/>
      <c r="W16" s="780"/>
      <c r="X16" s="780"/>
      <c r="Y16" s="780"/>
      <c r="Z16" s="780"/>
      <c r="AA16" s="780"/>
      <c r="AB16" s="780"/>
      <c r="AC16" s="780"/>
      <c r="AD16" s="780"/>
      <c r="AE16" s="780"/>
      <c r="AF16" s="780"/>
      <c r="AG16" s="780"/>
      <c r="AH16" s="780"/>
      <c r="AI16" s="780"/>
      <c r="AJ16" s="780"/>
      <c r="AK16" s="780"/>
      <c r="AL16" s="780"/>
      <c r="AM16" s="780"/>
      <c r="AN16" s="780"/>
      <c r="AO16" s="780"/>
      <c r="AP16" s="780"/>
      <c r="AQ16" s="780"/>
      <c r="AR16" s="780"/>
      <c r="AS16" s="780"/>
      <c r="AT16" s="780"/>
      <c r="AU16" s="780"/>
      <c r="AV16" s="780"/>
      <c r="AW16" s="780"/>
      <c r="AX16" s="780"/>
      <c r="AY16" s="780"/>
      <c r="AZ16" s="780"/>
      <c r="BA16" s="780"/>
      <c r="BB16" s="780"/>
    </row>
    <row r="17" spans="6:54" s="12" customFormat="1" ht="16.350000000000001" customHeight="1">
      <c r="F17" s="779" t="s">
        <v>167</v>
      </c>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779"/>
      <c r="AG17" s="779"/>
      <c r="AH17" s="779"/>
      <c r="AI17" s="779"/>
      <c r="AJ17" s="779"/>
      <c r="AK17" s="779"/>
      <c r="AL17" s="779"/>
      <c r="AM17" s="779"/>
      <c r="AN17" s="779"/>
      <c r="AO17" s="779"/>
      <c r="AP17" s="779"/>
      <c r="AQ17" s="779"/>
      <c r="AR17" s="779"/>
      <c r="AS17" s="779"/>
      <c r="AT17" s="779"/>
      <c r="AU17" s="779"/>
      <c r="AV17" s="779"/>
      <c r="AW17" s="779"/>
      <c r="AX17" s="779"/>
      <c r="AY17" s="779"/>
      <c r="AZ17" s="779"/>
      <c r="BA17" s="779"/>
      <c r="BB17" s="779"/>
    </row>
    <row r="18" spans="6:54" s="12" customFormat="1" ht="16.350000000000001" customHeight="1">
      <c r="F18" s="779" t="s">
        <v>168</v>
      </c>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779"/>
      <c r="AG18" s="779"/>
      <c r="AH18" s="779"/>
      <c r="AI18" s="779"/>
      <c r="AJ18" s="779"/>
      <c r="AK18" s="779"/>
      <c r="AL18" s="779"/>
      <c r="AM18" s="779"/>
      <c r="AN18" s="779"/>
      <c r="AO18" s="779"/>
      <c r="AP18" s="779"/>
      <c r="AQ18" s="779"/>
      <c r="AR18" s="779"/>
      <c r="AS18" s="779"/>
      <c r="AT18" s="779"/>
      <c r="AU18" s="779"/>
      <c r="AV18" s="779"/>
      <c r="AW18" s="779"/>
      <c r="AX18" s="779"/>
      <c r="AY18" s="779"/>
      <c r="AZ18" s="779"/>
      <c r="BA18" s="779"/>
      <c r="BB18" s="779"/>
    </row>
    <row r="19" spans="6:54" s="12" customFormat="1" ht="27.75" customHeight="1">
      <c r="F19" s="778" t="s">
        <v>169</v>
      </c>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778"/>
      <c r="AG19" s="778"/>
      <c r="AH19" s="778"/>
      <c r="AI19" s="778"/>
      <c r="AJ19" s="778"/>
      <c r="AK19" s="778"/>
      <c r="AL19" s="778"/>
      <c r="AM19" s="778"/>
      <c r="AN19" s="778"/>
      <c r="AO19" s="778"/>
      <c r="AP19" s="778"/>
      <c r="AQ19" s="778"/>
      <c r="AR19" s="778"/>
      <c r="AS19" s="778"/>
      <c r="AT19" s="778"/>
      <c r="AU19" s="778"/>
      <c r="AV19" s="778"/>
      <c r="AW19" s="778"/>
      <c r="AX19" s="778"/>
      <c r="AY19" s="778"/>
      <c r="AZ19" s="778"/>
      <c r="BA19" s="778"/>
      <c r="BB19" s="778"/>
    </row>
    <row r="20" spans="6:54" s="12" customFormat="1" ht="29.25" customHeight="1">
      <c r="F20" s="778" t="s">
        <v>170</v>
      </c>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778"/>
      <c r="AG20" s="778"/>
      <c r="AH20" s="778"/>
      <c r="AI20" s="778"/>
      <c r="AJ20" s="778"/>
      <c r="AK20" s="778"/>
      <c r="AL20" s="778"/>
      <c r="AM20" s="778"/>
      <c r="AN20" s="778"/>
      <c r="AO20" s="778"/>
      <c r="AP20" s="778"/>
      <c r="AQ20" s="778"/>
      <c r="AR20" s="778"/>
      <c r="AS20" s="778"/>
      <c r="AT20" s="778"/>
      <c r="AU20" s="778"/>
      <c r="AV20" s="778"/>
      <c r="AW20" s="778"/>
      <c r="AX20" s="778"/>
      <c r="AY20" s="778"/>
      <c r="AZ20" s="778"/>
      <c r="BA20" s="778"/>
      <c r="BB20" s="778"/>
    </row>
    <row r="21" spans="6:54" s="12" customFormat="1" ht="45" customHeight="1">
      <c r="F21" s="778" t="s">
        <v>171</v>
      </c>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778"/>
      <c r="AV21" s="778"/>
      <c r="AW21" s="778"/>
      <c r="AX21" s="778"/>
      <c r="AY21" s="778"/>
      <c r="AZ21" s="778"/>
      <c r="BA21" s="778"/>
      <c r="BB21" s="778"/>
    </row>
    <row r="22" spans="6:54" s="12" customFormat="1" ht="16.350000000000001" customHeight="1">
      <c r="F22" s="250" t="s">
        <v>172</v>
      </c>
      <c r="G22" s="237"/>
      <c r="H22" s="237"/>
      <c r="I22" s="237"/>
      <c r="J22" s="237"/>
      <c r="K22" s="237"/>
      <c r="L22" s="237"/>
      <c r="M22" s="237"/>
      <c r="N22" s="237"/>
      <c r="O22" s="237"/>
      <c r="P22" s="237"/>
      <c r="Q22" s="237"/>
      <c r="R22" s="237"/>
      <c r="S22" s="237"/>
      <c r="T22" s="237"/>
      <c r="U22" s="235"/>
      <c r="V22" s="230"/>
      <c r="W22" s="230"/>
      <c r="X22" s="230"/>
      <c r="Y22" s="230"/>
      <c r="Z22" s="249"/>
      <c r="AA22" s="232"/>
      <c r="AB22" s="232"/>
      <c r="AC22" s="232"/>
      <c r="AD22" s="232"/>
      <c r="AE22" s="232"/>
      <c r="AF22" s="235"/>
      <c r="AG22" s="231"/>
      <c r="AH22" s="231"/>
      <c r="AI22" s="231"/>
      <c r="AJ22" s="236"/>
      <c r="AK22" s="236"/>
      <c r="AL22" s="236"/>
    </row>
    <row r="23" spans="6:54" s="12" customFormat="1" ht="16.350000000000001" customHeight="1">
      <c r="F23" s="250" t="s">
        <v>173</v>
      </c>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row>
    <row r="24" spans="6:54" s="12" customFormat="1" ht="16.350000000000001" customHeight="1">
      <c r="F24" s="250" t="s">
        <v>174</v>
      </c>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row>
    <row r="25" spans="6:54" s="12" customFormat="1" ht="29.25" customHeight="1">
      <c r="F25" s="778" t="s">
        <v>175</v>
      </c>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778"/>
      <c r="AV25" s="778"/>
      <c r="AW25" s="778"/>
      <c r="AX25" s="778"/>
      <c r="AY25" s="778"/>
      <c r="AZ25" s="778"/>
      <c r="BA25" s="778"/>
      <c r="BB25" s="778"/>
    </row>
    <row r="26" spans="6:54" s="12" customFormat="1" ht="16.350000000000001" customHeight="1"/>
    <row r="27" spans="6:54" s="12" customFormat="1" ht="16.350000000000001" customHeight="1">
      <c r="F27" s="771" t="s">
        <v>176</v>
      </c>
      <c r="G27" s="771"/>
      <c r="H27" s="771"/>
      <c r="I27" s="771"/>
      <c r="J27" s="771"/>
      <c r="K27" s="771"/>
      <c r="L27" s="771"/>
      <c r="M27" s="771"/>
      <c r="N27" s="771"/>
      <c r="O27" s="771"/>
      <c r="P27" s="771"/>
      <c r="Q27" s="771"/>
      <c r="R27" s="771"/>
      <c r="S27" s="771"/>
      <c r="T27" s="771"/>
      <c r="U27" s="771" t="s">
        <v>177</v>
      </c>
      <c r="V27" s="771"/>
      <c r="W27" s="771"/>
      <c r="X27" s="771"/>
      <c r="Y27" s="771"/>
      <c r="Z27" s="771" t="s">
        <v>178</v>
      </c>
      <c r="AA27" s="771"/>
      <c r="AB27" s="771"/>
      <c r="AC27" s="771"/>
      <c r="AD27" s="771"/>
      <c r="AE27" s="771"/>
      <c r="AF27" s="777" t="s">
        <v>179</v>
      </c>
      <c r="AG27" s="777"/>
      <c r="AH27" s="777"/>
      <c r="AI27" s="777"/>
      <c r="AJ27" s="771" t="s">
        <v>180</v>
      </c>
      <c r="AK27" s="771"/>
      <c r="AL27" s="771"/>
      <c r="AM27" s="771"/>
      <c r="AN27" s="771"/>
      <c r="AO27" s="771"/>
      <c r="AP27" s="771"/>
      <c r="AQ27" s="771"/>
      <c r="AR27" s="771"/>
      <c r="AS27" s="771"/>
      <c r="AT27" s="771"/>
      <c r="AU27" s="771"/>
      <c r="AV27" s="771"/>
      <c r="AW27" s="771"/>
      <c r="AX27" s="771"/>
      <c r="AY27" s="771"/>
      <c r="AZ27" s="771"/>
      <c r="BA27" s="771"/>
      <c r="BB27" s="771"/>
    </row>
    <row r="28" spans="6:54" s="12" customFormat="1" ht="16.350000000000001" customHeight="1">
      <c r="F28" s="772" t="s">
        <v>181</v>
      </c>
      <c r="G28" s="772"/>
      <c r="H28" s="772"/>
      <c r="I28" s="772"/>
      <c r="J28" s="772"/>
      <c r="K28" s="772"/>
      <c r="L28" s="772"/>
      <c r="M28" s="772"/>
      <c r="N28" s="772"/>
      <c r="O28" s="772"/>
      <c r="P28" s="772"/>
      <c r="Q28" s="772"/>
      <c r="R28" s="772"/>
      <c r="S28" s="772"/>
      <c r="T28" s="772"/>
      <c r="U28" s="772" t="s">
        <v>182</v>
      </c>
      <c r="V28" s="772"/>
      <c r="W28" s="772"/>
      <c r="X28" s="772"/>
      <c r="Y28" s="772"/>
      <c r="Z28" s="787">
        <v>0.5</v>
      </c>
      <c r="AA28" s="787"/>
      <c r="AB28" s="787"/>
      <c r="AC28" s="787"/>
      <c r="AD28" s="787"/>
      <c r="AE28" s="787"/>
      <c r="AF28" s="772" t="s">
        <v>183</v>
      </c>
      <c r="AG28" s="772"/>
      <c r="AH28" s="772"/>
      <c r="AI28" s="772"/>
      <c r="AJ28" s="776" t="s">
        <v>184</v>
      </c>
      <c r="AK28" s="776"/>
      <c r="AL28" s="776"/>
      <c r="AM28" s="776"/>
      <c r="AN28" s="776"/>
      <c r="AO28" s="776"/>
      <c r="AP28" s="776"/>
      <c r="AQ28" s="776"/>
      <c r="AR28" s="776"/>
      <c r="AS28" s="776"/>
      <c r="AT28" s="776"/>
      <c r="AU28" s="776"/>
      <c r="AV28" s="776"/>
      <c r="AW28" s="776"/>
      <c r="AX28" s="776"/>
      <c r="AY28" s="776"/>
      <c r="AZ28" s="776"/>
      <c r="BA28" s="776"/>
      <c r="BB28" s="776"/>
    </row>
    <row r="29" spans="6:54" s="12" customFormat="1" ht="16.350000000000001" customHeight="1">
      <c r="F29" s="772" t="s">
        <v>185</v>
      </c>
      <c r="G29" s="772"/>
      <c r="H29" s="772"/>
      <c r="I29" s="772"/>
      <c r="J29" s="772"/>
      <c r="K29" s="772"/>
      <c r="L29" s="772"/>
      <c r="M29" s="772"/>
      <c r="N29" s="772"/>
      <c r="O29" s="772"/>
      <c r="P29" s="772"/>
      <c r="Q29" s="772"/>
      <c r="R29" s="772"/>
      <c r="S29" s="772"/>
      <c r="T29" s="772"/>
      <c r="U29" s="772"/>
      <c r="V29" s="772"/>
      <c r="W29" s="772"/>
      <c r="X29" s="772"/>
      <c r="Y29" s="772"/>
      <c r="Z29" s="787"/>
      <c r="AA29" s="787"/>
      <c r="AB29" s="787"/>
      <c r="AC29" s="787"/>
      <c r="AD29" s="787"/>
      <c r="AE29" s="787"/>
      <c r="AF29" s="772"/>
      <c r="AG29" s="772"/>
      <c r="AH29" s="772"/>
      <c r="AI29" s="772"/>
      <c r="AJ29" s="776"/>
      <c r="AK29" s="776"/>
      <c r="AL29" s="776"/>
      <c r="AM29" s="776"/>
      <c r="AN29" s="776"/>
      <c r="AO29" s="776"/>
      <c r="AP29" s="776"/>
      <c r="AQ29" s="776"/>
      <c r="AR29" s="776"/>
      <c r="AS29" s="776"/>
      <c r="AT29" s="776"/>
      <c r="AU29" s="776"/>
      <c r="AV29" s="776"/>
      <c r="AW29" s="776"/>
      <c r="AX29" s="776"/>
      <c r="AY29" s="776"/>
      <c r="AZ29" s="776"/>
      <c r="BA29" s="776"/>
      <c r="BB29" s="776"/>
    </row>
    <row r="30" spans="6:54" s="12" customFormat="1" ht="16.350000000000001" customHeight="1">
      <c r="F30" s="772" t="s">
        <v>186</v>
      </c>
      <c r="G30" s="772"/>
      <c r="H30" s="772"/>
      <c r="I30" s="772"/>
      <c r="J30" s="772"/>
      <c r="K30" s="772"/>
      <c r="L30" s="772"/>
      <c r="M30" s="772"/>
      <c r="N30" s="772"/>
      <c r="O30" s="772"/>
      <c r="P30" s="772"/>
      <c r="Q30" s="772"/>
      <c r="R30" s="772"/>
      <c r="S30" s="772"/>
      <c r="T30" s="772"/>
      <c r="U30" s="788" t="s">
        <v>182</v>
      </c>
      <c r="V30" s="789"/>
      <c r="W30" s="789"/>
      <c r="X30" s="789"/>
      <c r="Y30" s="790"/>
      <c r="Z30" s="794">
        <v>1</v>
      </c>
      <c r="AA30" s="795"/>
      <c r="AB30" s="795"/>
      <c r="AC30" s="795"/>
      <c r="AD30" s="795"/>
      <c r="AE30" s="796"/>
      <c r="AF30" s="772"/>
      <c r="AG30" s="772"/>
      <c r="AH30" s="772"/>
      <c r="AI30" s="772"/>
      <c r="AJ30" s="776"/>
      <c r="AK30" s="776"/>
      <c r="AL30" s="776"/>
      <c r="AM30" s="776"/>
      <c r="AN30" s="776"/>
      <c r="AO30" s="776"/>
      <c r="AP30" s="776"/>
      <c r="AQ30" s="776"/>
      <c r="AR30" s="776"/>
      <c r="AS30" s="776"/>
      <c r="AT30" s="776"/>
      <c r="AU30" s="776"/>
      <c r="AV30" s="776"/>
      <c r="AW30" s="776"/>
      <c r="AX30" s="776"/>
      <c r="AY30" s="776"/>
      <c r="AZ30" s="776"/>
      <c r="BA30" s="776"/>
      <c r="BB30" s="776"/>
    </row>
    <row r="31" spans="6:54" s="12" customFormat="1" ht="16.350000000000001" customHeight="1">
      <c r="F31" s="772" t="s">
        <v>187</v>
      </c>
      <c r="G31" s="772"/>
      <c r="H31" s="772"/>
      <c r="I31" s="772"/>
      <c r="J31" s="772"/>
      <c r="K31" s="772"/>
      <c r="L31" s="772"/>
      <c r="M31" s="772"/>
      <c r="N31" s="772"/>
      <c r="O31" s="772"/>
      <c r="P31" s="772"/>
      <c r="Q31" s="772"/>
      <c r="R31" s="772"/>
      <c r="S31" s="772"/>
      <c r="T31" s="772"/>
      <c r="U31" s="788"/>
      <c r="V31" s="789"/>
      <c r="W31" s="789"/>
      <c r="X31" s="789"/>
      <c r="Y31" s="790"/>
      <c r="Z31" s="794"/>
      <c r="AA31" s="795"/>
      <c r="AB31" s="795"/>
      <c r="AC31" s="795"/>
      <c r="AD31" s="795"/>
      <c r="AE31" s="796"/>
      <c r="AF31" s="772"/>
      <c r="AG31" s="772"/>
      <c r="AH31" s="772"/>
      <c r="AI31" s="772"/>
      <c r="AJ31" s="776"/>
      <c r="AK31" s="776"/>
      <c r="AL31" s="776"/>
      <c r="AM31" s="776"/>
      <c r="AN31" s="776"/>
      <c r="AO31" s="776"/>
      <c r="AP31" s="776"/>
      <c r="AQ31" s="776"/>
      <c r="AR31" s="776"/>
      <c r="AS31" s="776"/>
      <c r="AT31" s="776"/>
      <c r="AU31" s="776"/>
      <c r="AV31" s="776"/>
      <c r="AW31" s="776"/>
      <c r="AX31" s="776"/>
      <c r="AY31" s="776"/>
      <c r="AZ31" s="776"/>
      <c r="BA31" s="776"/>
      <c r="BB31" s="776"/>
    </row>
    <row r="32" spans="6:54" s="12" customFormat="1" ht="16.350000000000001" customHeight="1">
      <c r="F32" s="772" t="s">
        <v>188</v>
      </c>
      <c r="G32" s="772"/>
      <c r="H32" s="772"/>
      <c r="I32" s="772"/>
      <c r="J32" s="772"/>
      <c r="K32" s="772"/>
      <c r="L32" s="772"/>
      <c r="M32" s="772"/>
      <c r="N32" s="772"/>
      <c r="O32" s="772"/>
      <c r="P32" s="772"/>
      <c r="Q32" s="772"/>
      <c r="R32" s="772"/>
      <c r="S32" s="772"/>
      <c r="T32" s="772"/>
      <c r="U32" s="788"/>
      <c r="V32" s="789"/>
      <c r="W32" s="789"/>
      <c r="X32" s="789"/>
      <c r="Y32" s="790"/>
      <c r="Z32" s="794"/>
      <c r="AA32" s="795"/>
      <c r="AB32" s="795"/>
      <c r="AC32" s="795"/>
      <c r="AD32" s="795"/>
      <c r="AE32" s="796"/>
      <c r="AF32" s="772"/>
      <c r="AG32" s="772"/>
      <c r="AH32" s="772"/>
      <c r="AI32" s="772"/>
      <c r="AJ32" s="776"/>
      <c r="AK32" s="776"/>
      <c r="AL32" s="776"/>
      <c r="AM32" s="776"/>
      <c r="AN32" s="776"/>
      <c r="AO32" s="776"/>
      <c r="AP32" s="776"/>
      <c r="AQ32" s="776"/>
      <c r="AR32" s="776"/>
      <c r="AS32" s="776"/>
      <c r="AT32" s="776"/>
      <c r="AU32" s="776"/>
      <c r="AV32" s="776"/>
      <c r="AW32" s="776"/>
      <c r="AX32" s="776"/>
      <c r="AY32" s="776"/>
      <c r="AZ32" s="776"/>
      <c r="BA32" s="776"/>
      <c r="BB32" s="776"/>
    </row>
    <row r="33" spans="6:54" s="12" customFormat="1" ht="16.350000000000001" customHeight="1">
      <c r="F33" s="772" t="s">
        <v>89</v>
      </c>
      <c r="G33" s="772"/>
      <c r="H33" s="772"/>
      <c r="I33" s="772"/>
      <c r="J33" s="772"/>
      <c r="K33" s="772"/>
      <c r="L33" s="772"/>
      <c r="M33" s="772"/>
      <c r="N33" s="772"/>
      <c r="O33" s="772"/>
      <c r="P33" s="772"/>
      <c r="Q33" s="772"/>
      <c r="R33" s="772"/>
      <c r="S33" s="772"/>
      <c r="T33" s="772"/>
      <c r="U33" s="788"/>
      <c r="V33" s="789"/>
      <c r="W33" s="789"/>
      <c r="X33" s="789"/>
      <c r="Y33" s="790"/>
      <c r="Z33" s="794"/>
      <c r="AA33" s="795"/>
      <c r="AB33" s="795"/>
      <c r="AC33" s="795"/>
      <c r="AD33" s="795"/>
      <c r="AE33" s="796"/>
      <c r="AF33" s="772"/>
      <c r="AG33" s="772"/>
      <c r="AH33" s="772"/>
      <c r="AI33" s="772"/>
      <c r="AJ33" s="776"/>
      <c r="AK33" s="776"/>
      <c r="AL33" s="776"/>
      <c r="AM33" s="776"/>
      <c r="AN33" s="776"/>
      <c r="AO33" s="776"/>
      <c r="AP33" s="776"/>
      <c r="AQ33" s="776"/>
      <c r="AR33" s="776"/>
      <c r="AS33" s="776"/>
      <c r="AT33" s="776"/>
      <c r="AU33" s="776"/>
      <c r="AV33" s="776"/>
      <c r="AW33" s="776"/>
      <c r="AX33" s="776"/>
      <c r="AY33" s="776"/>
      <c r="AZ33" s="776"/>
      <c r="BA33" s="776"/>
      <c r="BB33" s="776"/>
    </row>
    <row r="34" spans="6:54" s="12" customFormat="1" ht="16.350000000000001" customHeight="1">
      <c r="F34" s="772" t="s">
        <v>189</v>
      </c>
      <c r="G34" s="772"/>
      <c r="H34" s="772"/>
      <c r="I34" s="772"/>
      <c r="J34" s="772"/>
      <c r="K34" s="772"/>
      <c r="L34" s="772"/>
      <c r="M34" s="772"/>
      <c r="N34" s="772"/>
      <c r="O34" s="772"/>
      <c r="P34" s="772"/>
      <c r="Q34" s="772"/>
      <c r="R34" s="772"/>
      <c r="S34" s="772"/>
      <c r="T34" s="772"/>
      <c r="U34" s="791"/>
      <c r="V34" s="792"/>
      <c r="W34" s="792"/>
      <c r="X34" s="792"/>
      <c r="Y34" s="793"/>
      <c r="Z34" s="797"/>
      <c r="AA34" s="798"/>
      <c r="AB34" s="798"/>
      <c r="AC34" s="798"/>
      <c r="AD34" s="798"/>
      <c r="AE34" s="799"/>
      <c r="AF34" s="772"/>
      <c r="AG34" s="772"/>
      <c r="AH34" s="772"/>
      <c r="AI34" s="772"/>
      <c r="AJ34" s="776"/>
      <c r="AK34" s="776"/>
      <c r="AL34" s="776"/>
      <c r="AM34" s="776"/>
      <c r="AN34" s="776"/>
      <c r="AO34" s="776"/>
      <c r="AP34" s="776"/>
      <c r="AQ34" s="776"/>
      <c r="AR34" s="776"/>
      <c r="AS34" s="776"/>
      <c r="AT34" s="776"/>
      <c r="AU34" s="776"/>
      <c r="AV34" s="776"/>
      <c r="AW34" s="776"/>
      <c r="AX34" s="776"/>
      <c r="AY34" s="776"/>
      <c r="AZ34" s="776"/>
      <c r="BA34" s="776"/>
      <c r="BB34" s="776"/>
    </row>
    <row r="35" spans="6:54" s="12" customFormat="1" ht="16.350000000000001" customHeight="1">
      <c r="F35" s="772" t="s">
        <v>190</v>
      </c>
      <c r="G35" s="772"/>
      <c r="H35" s="772"/>
      <c r="I35" s="772"/>
      <c r="J35" s="772"/>
      <c r="K35" s="772"/>
      <c r="L35" s="772"/>
      <c r="M35" s="772"/>
      <c r="N35" s="772"/>
      <c r="O35" s="772"/>
      <c r="P35" s="772"/>
      <c r="Q35" s="772"/>
      <c r="R35" s="772"/>
      <c r="S35" s="772"/>
      <c r="T35" s="772"/>
      <c r="U35" s="772" t="s">
        <v>191</v>
      </c>
      <c r="V35" s="772"/>
      <c r="W35" s="772"/>
      <c r="X35" s="772"/>
      <c r="Y35" s="772"/>
      <c r="Z35" s="787">
        <v>7</v>
      </c>
      <c r="AA35" s="787"/>
      <c r="AB35" s="787"/>
      <c r="AC35" s="787"/>
      <c r="AD35" s="787"/>
      <c r="AE35" s="787"/>
      <c r="AF35" s="772" t="s">
        <v>192</v>
      </c>
      <c r="AG35" s="772"/>
      <c r="AH35" s="772"/>
      <c r="AI35" s="772"/>
      <c r="AJ35" s="776"/>
      <c r="AK35" s="776"/>
      <c r="AL35" s="776"/>
      <c r="AM35" s="776"/>
      <c r="AN35" s="776"/>
      <c r="AO35" s="776"/>
      <c r="AP35" s="776"/>
      <c r="AQ35" s="776"/>
      <c r="AR35" s="776"/>
      <c r="AS35" s="776"/>
      <c r="AT35" s="776"/>
      <c r="AU35" s="776"/>
      <c r="AV35" s="776"/>
      <c r="AW35" s="776"/>
      <c r="AX35" s="776"/>
      <c r="AY35" s="776"/>
      <c r="AZ35" s="776"/>
      <c r="BA35" s="776"/>
      <c r="BB35" s="776"/>
    </row>
    <row r="36" spans="6:54" s="12" customFormat="1" ht="16.350000000000001" customHeight="1">
      <c r="F36" s="772" t="s">
        <v>193</v>
      </c>
      <c r="G36" s="772"/>
      <c r="H36" s="772"/>
      <c r="I36" s="772"/>
      <c r="J36" s="772"/>
      <c r="K36" s="772"/>
      <c r="L36" s="772"/>
      <c r="M36" s="772"/>
      <c r="N36" s="772"/>
      <c r="O36" s="772"/>
      <c r="P36" s="772"/>
      <c r="Q36" s="772"/>
      <c r="R36" s="772"/>
      <c r="S36" s="772"/>
      <c r="T36" s="772"/>
      <c r="U36" s="772"/>
      <c r="V36" s="772"/>
      <c r="W36" s="772"/>
      <c r="X36" s="772"/>
      <c r="Y36" s="772"/>
      <c r="Z36" s="787"/>
      <c r="AA36" s="787"/>
      <c r="AB36" s="787"/>
      <c r="AC36" s="787"/>
      <c r="AD36" s="787"/>
      <c r="AE36" s="787"/>
      <c r="AF36" s="772"/>
      <c r="AG36" s="772"/>
      <c r="AH36" s="772"/>
      <c r="AI36" s="772"/>
      <c r="AJ36" s="776"/>
      <c r="AK36" s="776"/>
      <c r="AL36" s="776"/>
      <c r="AM36" s="776"/>
      <c r="AN36" s="776"/>
      <c r="AO36" s="776"/>
      <c r="AP36" s="776"/>
      <c r="AQ36" s="776"/>
      <c r="AR36" s="776"/>
      <c r="AS36" s="776"/>
      <c r="AT36" s="776"/>
      <c r="AU36" s="776"/>
      <c r="AV36" s="776"/>
      <c r="AW36" s="776"/>
      <c r="AX36" s="776"/>
      <c r="AY36" s="776"/>
      <c r="AZ36" s="776"/>
      <c r="BA36" s="776"/>
      <c r="BB36" s="776"/>
    </row>
    <row r="37" spans="6:54" s="12" customFormat="1" ht="16.350000000000001" customHeight="1">
      <c r="F37" s="772" t="s">
        <v>194</v>
      </c>
      <c r="G37" s="772"/>
      <c r="H37" s="772"/>
      <c r="I37" s="772"/>
      <c r="J37" s="772"/>
      <c r="K37" s="772"/>
      <c r="L37" s="772"/>
      <c r="M37" s="772"/>
      <c r="N37" s="772"/>
      <c r="O37" s="772"/>
      <c r="P37" s="772"/>
      <c r="Q37" s="772"/>
      <c r="R37" s="772"/>
      <c r="S37" s="772"/>
      <c r="T37" s="772"/>
      <c r="U37" s="772"/>
      <c r="V37" s="772"/>
      <c r="W37" s="772"/>
      <c r="X37" s="772"/>
      <c r="Y37" s="772"/>
      <c r="Z37" s="787"/>
      <c r="AA37" s="787"/>
      <c r="AB37" s="787"/>
      <c r="AC37" s="787"/>
      <c r="AD37" s="787"/>
      <c r="AE37" s="787"/>
      <c r="AF37" s="772"/>
      <c r="AG37" s="772"/>
      <c r="AH37" s="772"/>
      <c r="AI37" s="772"/>
      <c r="AJ37" s="776"/>
      <c r="AK37" s="776"/>
      <c r="AL37" s="776"/>
      <c r="AM37" s="776"/>
      <c r="AN37" s="776"/>
      <c r="AO37" s="776"/>
      <c r="AP37" s="776"/>
      <c r="AQ37" s="776"/>
      <c r="AR37" s="776"/>
      <c r="AS37" s="776"/>
      <c r="AT37" s="776"/>
      <c r="AU37" s="776"/>
      <c r="AV37" s="776"/>
      <c r="AW37" s="776"/>
      <c r="AX37" s="776"/>
      <c r="AY37" s="776"/>
      <c r="AZ37" s="776"/>
      <c r="BA37" s="776"/>
      <c r="BB37" s="776"/>
    </row>
    <row r="38" spans="6:54" s="12" customFormat="1" ht="16.350000000000001" customHeight="1">
      <c r="F38" s="772" t="s">
        <v>195</v>
      </c>
      <c r="G38" s="772"/>
      <c r="H38" s="772"/>
      <c r="I38" s="772"/>
      <c r="J38" s="772"/>
      <c r="K38" s="772"/>
      <c r="L38" s="772"/>
      <c r="M38" s="772"/>
      <c r="N38" s="772"/>
      <c r="O38" s="772"/>
      <c r="P38" s="772"/>
      <c r="Q38" s="772"/>
      <c r="R38" s="772"/>
      <c r="S38" s="772"/>
      <c r="T38" s="772"/>
      <c r="U38" s="772"/>
      <c r="V38" s="772"/>
      <c r="W38" s="772"/>
      <c r="X38" s="772"/>
      <c r="Y38" s="772"/>
      <c r="Z38" s="787"/>
      <c r="AA38" s="787"/>
      <c r="AB38" s="787"/>
      <c r="AC38" s="787"/>
      <c r="AD38" s="787"/>
      <c r="AE38" s="787"/>
      <c r="AF38" s="772"/>
      <c r="AG38" s="772"/>
      <c r="AH38" s="772"/>
      <c r="AI38" s="772"/>
      <c r="AJ38" s="776"/>
      <c r="AK38" s="776"/>
      <c r="AL38" s="776"/>
      <c r="AM38" s="776"/>
      <c r="AN38" s="776"/>
      <c r="AO38" s="776"/>
      <c r="AP38" s="776"/>
      <c r="AQ38" s="776"/>
      <c r="AR38" s="776"/>
      <c r="AS38" s="776"/>
      <c r="AT38" s="776"/>
      <c r="AU38" s="776"/>
      <c r="AV38" s="776"/>
      <c r="AW38" s="776"/>
      <c r="AX38" s="776"/>
      <c r="AY38" s="776"/>
      <c r="AZ38" s="776"/>
      <c r="BA38" s="776"/>
      <c r="BB38" s="776"/>
    </row>
    <row r="39" spans="6:54" s="12" customFormat="1" ht="16.350000000000001" customHeight="1">
      <c r="F39" s="772" t="s">
        <v>196</v>
      </c>
      <c r="G39" s="772"/>
      <c r="H39" s="772"/>
      <c r="I39" s="772"/>
      <c r="J39" s="772"/>
      <c r="K39" s="772"/>
      <c r="L39" s="772"/>
      <c r="M39" s="772"/>
      <c r="N39" s="772"/>
      <c r="O39" s="772"/>
      <c r="P39" s="772"/>
      <c r="Q39" s="772"/>
      <c r="R39" s="772"/>
      <c r="S39" s="772"/>
      <c r="T39" s="772"/>
      <c r="U39" s="772"/>
      <c r="V39" s="772"/>
      <c r="W39" s="772"/>
      <c r="X39" s="772"/>
      <c r="Y39" s="772"/>
      <c r="Z39" s="787"/>
      <c r="AA39" s="787"/>
      <c r="AB39" s="787"/>
      <c r="AC39" s="787"/>
      <c r="AD39" s="787"/>
      <c r="AE39" s="787"/>
      <c r="AF39" s="772"/>
      <c r="AG39" s="772"/>
      <c r="AH39" s="772"/>
      <c r="AI39" s="772"/>
      <c r="AJ39" s="776"/>
      <c r="AK39" s="776"/>
      <c r="AL39" s="776"/>
      <c r="AM39" s="776"/>
      <c r="AN39" s="776"/>
      <c r="AO39" s="776"/>
      <c r="AP39" s="776"/>
      <c r="AQ39" s="776"/>
      <c r="AR39" s="776"/>
      <c r="AS39" s="776"/>
      <c r="AT39" s="776"/>
      <c r="AU39" s="776"/>
      <c r="AV39" s="776"/>
      <c r="AW39" s="776"/>
      <c r="AX39" s="776"/>
      <c r="AY39" s="776"/>
      <c r="AZ39" s="776"/>
      <c r="BA39" s="776"/>
      <c r="BB39" s="776"/>
    </row>
    <row r="40" spans="6:54" s="12" customFormat="1" ht="16.350000000000001" customHeight="1">
      <c r="F40" s="772" t="s">
        <v>197</v>
      </c>
      <c r="G40" s="772"/>
      <c r="H40" s="772"/>
      <c r="I40" s="772"/>
      <c r="J40" s="772"/>
      <c r="K40" s="772"/>
      <c r="L40" s="772"/>
      <c r="M40" s="772"/>
      <c r="N40" s="772"/>
      <c r="O40" s="772"/>
      <c r="P40" s="772"/>
      <c r="Q40" s="772"/>
      <c r="R40" s="772"/>
      <c r="S40" s="772"/>
      <c r="T40" s="772"/>
      <c r="U40" s="772"/>
      <c r="V40" s="772"/>
      <c r="W40" s="772"/>
      <c r="X40" s="772"/>
      <c r="Y40" s="772"/>
      <c r="Z40" s="787"/>
      <c r="AA40" s="787"/>
      <c r="AB40" s="787"/>
      <c r="AC40" s="787"/>
      <c r="AD40" s="787"/>
      <c r="AE40" s="787"/>
      <c r="AF40" s="772"/>
      <c r="AG40" s="772"/>
      <c r="AH40" s="772"/>
      <c r="AI40" s="772"/>
      <c r="AJ40" s="776"/>
      <c r="AK40" s="776"/>
      <c r="AL40" s="776"/>
      <c r="AM40" s="776"/>
      <c r="AN40" s="776"/>
      <c r="AO40" s="776"/>
      <c r="AP40" s="776"/>
      <c r="AQ40" s="776"/>
      <c r="AR40" s="776"/>
      <c r="AS40" s="776"/>
      <c r="AT40" s="776"/>
      <c r="AU40" s="776"/>
      <c r="AV40" s="776"/>
      <c r="AW40" s="776"/>
      <c r="AX40" s="776"/>
      <c r="AY40" s="776"/>
      <c r="AZ40" s="776"/>
      <c r="BA40" s="776"/>
      <c r="BB40" s="776"/>
    </row>
    <row r="41" spans="6:54" s="12" customFormat="1" ht="16.350000000000001" customHeight="1">
      <c r="F41" s="235"/>
      <c r="G41" s="237"/>
      <c r="H41" s="237"/>
      <c r="I41" s="237"/>
      <c r="J41" s="237"/>
      <c r="K41" s="237"/>
      <c r="L41" s="237"/>
      <c r="M41" s="237"/>
      <c r="N41" s="237"/>
      <c r="O41" s="237"/>
      <c r="P41" s="237"/>
      <c r="Q41" s="237"/>
      <c r="R41" s="237"/>
      <c r="S41" s="237"/>
      <c r="T41" s="237"/>
      <c r="U41" s="235"/>
      <c r="V41" s="230"/>
      <c r="W41" s="230"/>
      <c r="X41" s="230"/>
      <c r="Y41" s="230"/>
      <c r="Z41" s="249"/>
      <c r="AA41" s="232"/>
      <c r="AB41" s="232"/>
      <c r="AC41" s="232"/>
      <c r="AD41" s="232"/>
      <c r="AE41" s="232"/>
      <c r="AF41" s="235"/>
      <c r="AG41" s="231"/>
      <c r="AH41" s="231"/>
      <c r="AI41" s="231"/>
      <c r="AJ41" s="236"/>
      <c r="AK41" s="236"/>
      <c r="AL41" s="236"/>
    </row>
    <row r="42" spans="6:54" s="12" customFormat="1" ht="16.350000000000001" hidden="1" customHeight="1">
      <c r="F42" s="235"/>
      <c r="G42" s="237"/>
      <c r="H42" s="237"/>
      <c r="I42" s="237"/>
      <c r="J42" s="237"/>
      <c r="K42" s="237"/>
      <c r="L42" s="237"/>
      <c r="M42" s="237"/>
      <c r="N42" s="237"/>
      <c r="O42" s="237"/>
      <c r="P42" s="237"/>
      <c r="Q42" s="237"/>
      <c r="R42" s="237"/>
      <c r="S42" s="237"/>
      <c r="T42" s="237"/>
      <c r="U42" s="235"/>
      <c r="V42" s="230"/>
      <c r="W42" s="230"/>
      <c r="X42" s="230"/>
      <c r="Y42" s="230"/>
      <c r="Z42" s="249"/>
      <c r="AA42" s="232"/>
      <c r="AB42" s="232"/>
      <c r="AC42" s="232"/>
      <c r="AD42" s="232"/>
      <c r="AE42" s="232"/>
      <c r="AF42" s="235"/>
      <c r="AG42" s="231"/>
      <c r="AH42" s="231"/>
      <c r="AI42" s="231"/>
      <c r="AJ42" s="236"/>
      <c r="AK42" s="236"/>
      <c r="AL42" s="236"/>
    </row>
    <row r="43" spans="6:54" s="12" customFormat="1" ht="16.350000000000001" hidden="1" customHeight="1">
      <c r="F43" s="235"/>
      <c r="G43" s="237"/>
      <c r="H43" s="237"/>
      <c r="I43" s="237"/>
      <c r="J43" s="237"/>
      <c r="K43" s="237"/>
      <c r="L43" s="237"/>
      <c r="M43" s="237"/>
      <c r="N43" s="237"/>
      <c r="O43" s="237"/>
      <c r="P43" s="237"/>
      <c r="Q43" s="237"/>
      <c r="R43" s="237"/>
      <c r="S43" s="237"/>
      <c r="T43" s="237"/>
      <c r="U43" s="235"/>
      <c r="V43" s="230"/>
      <c r="W43" s="230"/>
      <c r="X43" s="230"/>
      <c r="Y43" s="230"/>
      <c r="Z43" s="249"/>
      <c r="AA43" s="232"/>
      <c r="AB43" s="232"/>
      <c r="AC43" s="232"/>
      <c r="AD43" s="232"/>
      <c r="AE43" s="232"/>
      <c r="AF43" s="235"/>
      <c r="AG43" s="231"/>
      <c r="AH43" s="231"/>
      <c r="AI43" s="231"/>
      <c r="AJ43" s="236"/>
      <c r="AK43" s="236"/>
      <c r="AL43" s="236"/>
    </row>
    <row r="44" spans="6:54" s="12" customFormat="1" ht="16.350000000000001" hidden="1" customHeight="1">
      <c r="F44" s="235"/>
      <c r="G44" s="237"/>
      <c r="H44" s="237"/>
      <c r="I44" s="237"/>
      <c r="J44" s="237"/>
      <c r="K44" s="237"/>
      <c r="L44" s="237"/>
      <c r="M44" s="237"/>
      <c r="N44" s="237"/>
      <c r="O44" s="237"/>
      <c r="P44" s="237"/>
      <c r="Q44" s="237"/>
      <c r="R44" s="237"/>
      <c r="S44" s="237"/>
      <c r="T44" s="237"/>
      <c r="U44" s="235"/>
      <c r="V44" s="230"/>
      <c r="W44" s="230"/>
      <c r="X44" s="230"/>
      <c r="Y44" s="230"/>
      <c r="Z44" s="249"/>
      <c r="AA44" s="232"/>
      <c r="AB44" s="232"/>
      <c r="AC44" s="232"/>
      <c r="AD44" s="232"/>
      <c r="AE44" s="232"/>
      <c r="AF44" s="235"/>
      <c r="AG44" s="231"/>
      <c r="AH44" s="231"/>
      <c r="AI44" s="231"/>
      <c r="AJ44" s="236"/>
      <c r="AK44" s="236"/>
      <c r="AL44" s="236"/>
    </row>
    <row r="45" spans="6:54" s="12" customFormat="1" ht="16.350000000000001" hidden="1" customHeight="1">
      <c r="F45" s="235"/>
      <c r="G45" s="237"/>
      <c r="H45" s="237"/>
      <c r="I45" s="237"/>
      <c r="J45" s="237"/>
      <c r="K45" s="237"/>
      <c r="L45" s="237"/>
      <c r="M45" s="237"/>
      <c r="N45" s="237"/>
      <c r="O45" s="237"/>
      <c r="P45" s="237"/>
      <c r="Q45" s="237"/>
      <c r="R45" s="237"/>
      <c r="S45" s="237"/>
      <c r="T45" s="237"/>
      <c r="U45" s="235"/>
      <c r="V45" s="230"/>
      <c r="W45" s="230"/>
      <c r="X45" s="230"/>
      <c r="Y45" s="230"/>
      <c r="Z45" s="249"/>
      <c r="AA45" s="232"/>
      <c r="AB45" s="232"/>
      <c r="AC45" s="232"/>
      <c r="AD45" s="232"/>
      <c r="AE45" s="232"/>
      <c r="AF45" s="235"/>
      <c r="AG45" s="231"/>
      <c r="AH45" s="231"/>
      <c r="AI45" s="231"/>
      <c r="AJ45" s="236"/>
      <c r="AK45" s="236"/>
      <c r="AL45" s="236"/>
    </row>
    <row r="46" spans="6:54" s="12" customFormat="1" ht="16.350000000000001" hidden="1" customHeight="1">
      <c r="F46" s="235"/>
      <c r="G46" s="237"/>
      <c r="H46" s="237"/>
      <c r="I46" s="237"/>
      <c r="J46" s="237"/>
      <c r="K46" s="237"/>
      <c r="L46" s="237"/>
      <c r="M46" s="237"/>
      <c r="N46" s="237"/>
      <c r="O46" s="237"/>
      <c r="P46" s="237"/>
      <c r="Q46" s="237"/>
      <c r="R46" s="237"/>
      <c r="S46" s="237"/>
      <c r="T46" s="237"/>
      <c r="U46" s="235"/>
      <c r="V46" s="230"/>
      <c r="W46" s="230"/>
      <c r="X46" s="230"/>
      <c r="Y46" s="230"/>
      <c r="Z46" s="249"/>
      <c r="AA46" s="232"/>
      <c r="AB46" s="232"/>
      <c r="AC46" s="232"/>
      <c r="AD46" s="232"/>
      <c r="AE46" s="232"/>
      <c r="AF46" s="235"/>
      <c r="AG46" s="231"/>
      <c r="AH46" s="231"/>
      <c r="AI46" s="231"/>
      <c r="AJ46" s="236"/>
      <c r="AK46" s="236"/>
      <c r="AL46" s="236"/>
    </row>
    <row r="47" spans="6:54" s="12" customFormat="1" ht="16.350000000000001" hidden="1" customHeight="1">
      <c r="F47" s="235"/>
      <c r="G47" s="237"/>
      <c r="H47" s="237"/>
      <c r="I47" s="237"/>
      <c r="J47" s="237"/>
      <c r="K47" s="237"/>
      <c r="L47" s="237"/>
      <c r="M47" s="237"/>
      <c r="N47" s="237"/>
      <c r="O47" s="237"/>
      <c r="P47" s="237"/>
      <c r="Q47" s="237"/>
      <c r="R47" s="237"/>
      <c r="S47" s="237"/>
      <c r="T47" s="237"/>
      <c r="U47" s="235"/>
      <c r="V47" s="230"/>
      <c r="W47" s="230"/>
      <c r="X47" s="230"/>
      <c r="Y47" s="230"/>
      <c r="Z47" s="249"/>
      <c r="AA47" s="232"/>
      <c r="AB47" s="232"/>
      <c r="AC47" s="232"/>
      <c r="AD47" s="232"/>
      <c r="AE47" s="232"/>
      <c r="AF47" s="235"/>
      <c r="AG47" s="231"/>
      <c r="AH47" s="231"/>
      <c r="AI47" s="231"/>
      <c r="AJ47" s="236"/>
      <c r="AK47" s="236"/>
      <c r="AL47" s="236"/>
    </row>
    <row r="48" spans="6:54" s="12" customFormat="1" ht="16.350000000000001" hidden="1" customHeight="1">
      <c r="F48" s="235"/>
      <c r="G48" s="237"/>
      <c r="H48" s="237"/>
      <c r="I48" s="237"/>
      <c r="J48" s="237"/>
      <c r="K48" s="237"/>
      <c r="L48" s="237"/>
      <c r="M48" s="237"/>
      <c r="N48" s="237"/>
      <c r="O48" s="237"/>
      <c r="P48" s="237"/>
      <c r="Q48" s="237"/>
      <c r="R48" s="237"/>
      <c r="S48" s="237"/>
      <c r="T48" s="237"/>
      <c r="U48" s="235"/>
      <c r="V48" s="230"/>
      <c r="W48" s="230"/>
      <c r="X48" s="230"/>
      <c r="Y48" s="230"/>
      <c r="Z48" s="249"/>
      <c r="AA48" s="232"/>
      <c r="AB48" s="232"/>
      <c r="AC48" s="232"/>
      <c r="AD48" s="232"/>
      <c r="AE48" s="232"/>
      <c r="AF48" s="235"/>
      <c r="AG48" s="231"/>
      <c r="AH48" s="231"/>
      <c r="AI48" s="231"/>
      <c r="AJ48" s="236"/>
      <c r="AK48" s="236"/>
      <c r="AL48" s="236"/>
    </row>
    <row r="49" spans="6:38" s="12" customFormat="1" ht="16.350000000000001" hidden="1" customHeight="1">
      <c r="F49" s="235"/>
      <c r="G49" s="237"/>
      <c r="H49" s="237"/>
      <c r="I49" s="237"/>
      <c r="J49" s="237"/>
      <c r="K49" s="237"/>
      <c r="L49" s="237"/>
      <c r="M49" s="237"/>
      <c r="N49" s="237"/>
      <c r="O49" s="237"/>
      <c r="P49" s="237"/>
      <c r="Q49" s="237"/>
      <c r="R49" s="237"/>
      <c r="S49" s="237"/>
      <c r="T49" s="237"/>
      <c r="U49" s="235"/>
      <c r="V49" s="230"/>
      <c r="W49" s="230"/>
      <c r="X49" s="230"/>
      <c r="Y49" s="230"/>
      <c r="Z49" s="249"/>
      <c r="AA49" s="232"/>
      <c r="AB49" s="232"/>
      <c r="AC49" s="232"/>
      <c r="AD49" s="232"/>
      <c r="AE49" s="232"/>
      <c r="AF49" s="235"/>
      <c r="AG49" s="231"/>
      <c r="AH49" s="231"/>
      <c r="AI49" s="231"/>
      <c r="AJ49" s="236"/>
      <c r="AK49" s="236"/>
      <c r="AL49" s="236"/>
    </row>
    <row r="50" spans="6:38" s="12" customFormat="1" ht="16.350000000000001" hidden="1" customHeight="1">
      <c r="F50" s="235"/>
      <c r="G50" s="237"/>
      <c r="H50" s="237"/>
      <c r="I50" s="237"/>
      <c r="J50" s="237"/>
      <c r="K50" s="237"/>
      <c r="L50" s="237"/>
      <c r="M50" s="237"/>
      <c r="N50" s="237"/>
      <c r="O50" s="237"/>
      <c r="P50" s="237"/>
      <c r="Q50" s="237"/>
      <c r="R50" s="237"/>
      <c r="S50" s="237"/>
      <c r="T50" s="237"/>
      <c r="U50" s="235"/>
      <c r="V50" s="230"/>
      <c r="W50" s="230"/>
      <c r="X50" s="230"/>
      <c r="Y50" s="230"/>
      <c r="Z50" s="249"/>
      <c r="AA50" s="232"/>
      <c r="AB50" s="232"/>
      <c r="AC50" s="232"/>
      <c r="AD50" s="232"/>
      <c r="AE50" s="232"/>
      <c r="AF50" s="235"/>
      <c r="AG50" s="231"/>
      <c r="AH50" s="231"/>
      <c r="AI50" s="231"/>
      <c r="AJ50" s="236"/>
      <c r="AK50" s="236"/>
      <c r="AL50" s="236"/>
    </row>
    <row r="51" spans="6:38" s="12" customFormat="1" ht="16.350000000000001" hidden="1" customHeight="1">
      <c r="F51" s="235"/>
      <c r="G51" s="237"/>
      <c r="H51" s="237"/>
      <c r="I51" s="237"/>
      <c r="J51" s="237"/>
      <c r="K51" s="237"/>
      <c r="L51" s="237"/>
      <c r="M51" s="237"/>
      <c r="N51" s="237"/>
      <c r="O51" s="237"/>
      <c r="P51" s="237"/>
      <c r="Q51" s="237"/>
      <c r="R51" s="237"/>
      <c r="S51" s="237"/>
      <c r="T51" s="237"/>
      <c r="U51" s="235"/>
      <c r="V51" s="230"/>
      <c r="W51" s="230"/>
      <c r="X51" s="230"/>
      <c r="Y51" s="230"/>
      <c r="Z51" s="249"/>
      <c r="AA51" s="232"/>
      <c r="AB51" s="232"/>
      <c r="AC51" s="232"/>
      <c r="AD51" s="232"/>
      <c r="AE51" s="232"/>
      <c r="AF51" s="235"/>
      <c r="AG51" s="231"/>
      <c r="AH51" s="231"/>
      <c r="AI51" s="231"/>
      <c r="AJ51" s="236"/>
      <c r="AK51" s="236"/>
      <c r="AL51" s="236"/>
    </row>
    <row r="52" spans="6:38" s="12" customFormat="1" ht="16.350000000000001" hidden="1" customHeight="1">
      <c r="F52" s="235"/>
      <c r="G52" s="237"/>
      <c r="H52" s="237"/>
      <c r="I52" s="237"/>
      <c r="J52" s="237"/>
      <c r="K52" s="237"/>
      <c r="L52" s="237"/>
      <c r="M52" s="237"/>
      <c r="N52" s="237"/>
      <c r="O52" s="237"/>
      <c r="P52" s="237"/>
      <c r="Q52" s="237"/>
      <c r="R52" s="237"/>
      <c r="S52" s="237"/>
      <c r="T52" s="237"/>
      <c r="U52" s="235"/>
      <c r="V52" s="230"/>
      <c r="W52" s="230"/>
      <c r="X52" s="230"/>
      <c r="Y52" s="230"/>
      <c r="Z52" s="249"/>
      <c r="AA52" s="232"/>
      <c r="AB52" s="232"/>
      <c r="AC52" s="232"/>
      <c r="AD52" s="232"/>
      <c r="AE52" s="232"/>
      <c r="AF52" s="235"/>
      <c r="AG52" s="231"/>
      <c r="AH52" s="231"/>
      <c r="AI52" s="231"/>
      <c r="AJ52" s="236"/>
      <c r="AK52" s="236"/>
      <c r="AL52" s="236"/>
    </row>
    <row r="53" spans="6:38" s="12" customFormat="1" ht="16.350000000000001" hidden="1" customHeight="1">
      <c r="F53" s="235"/>
      <c r="G53" s="237"/>
      <c r="H53" s="237"/>
      <c r="I53" s="237"/>
      <c r="J53" s="237"/>
      <c r="K53" s="237"/>
      <c r="L53" s="237"/>
      <c r="M53" s="237"/>
      <c r="N53" s="237"/>
      <c r="O53" s="237"/>
      <c r="P53" s="237"/>
      <c r="Q53" s="237"/>
      <c r="R53" s="237"/>
      <c r="S53" s="237"/>
      <c r="T53" s="237"/>
      <c r="U53" s="235"/>
      <c r="V53" s="230"/>
      <c r="W53" s="230"/>
      <c r="X53" s="230"/>
      <c r="Y53" s="230"/>
      <c r="Z53" s="249"/>
      <c r="AA53" s="232"/>
      <c r="AB53" s="232"/>
      <c r="AC53" s="232"/>
      <c r="AD53" s="232"/>
      <c r="AE53" s="232"/>
      <c r="AF53" s="235"/>
      <c r="AG53" s="231"/>
      <c r="AH53" s="231"/>
      <c r="AI53" s="231"/>
      <c r="AJ53" s="236"/>
      <c r="AK53" s="236"/>
      <c r="AL53" s="236"/>
    </row>
    <row r="54" spans="6:38" s="12" customFormat="1" ht="16.350000000000001" hidden="1" customHeight="1">
      <c r="F54" s="235"/>
      <c r="G54" s="237"/>
      <c r="H54" s="237"/>
      <c r="I54" s="237"/>
      <c r="J54" s="237"/>
      <c r="K54" s="237"/>
      <c r="L54" s="237"/>
      <c r="M54" s="237"/>
      <c r="N54" s="237"/>
      <c r="O54" s="237"/>
      <c r="P54" s="237"/>
      <c r="Q54" s="237"/>
      <c r="R54" s="237"/>
      <c r="S54" s="237"/>
      <c r="T54" s="237"/>
      <c r="U54" s="235"/>
      <c r="V54" s="230"/>
      <c r="W54" s="230"/>
      <c r="X54" s="230"/>
      <c r="Y54" s="230"/>
      <c r="Z54" s="249"/>
      <c r="AA54" s="232"/>
      <c r="AB54" s="232"/>
      <c r="AC54" s="232"/>
      <c r="AD54" s="232"/>
      <c r="AE54" s="232"/>
      <c r="AF54" s="235"/>
      <c r="AG54" s="231"/>
      <c r="AH54" s="231"/>
      <c r="AI54" s="231"/>
      <c r="AJ54" s="236"/>
      <c r="AK54" s="236"/>
      <c r="AL54" s="236"/>
    </row>
    <row r="55" spans="6:38" s="12" customFormat="1" ht="16.350000000000001" hidden="1" customHeight="1">
      <c r="F55" s="235"/>
      <c r="G55" s="237"/>
      <c r="H55" s="237"/>
      <c r="I55" s="237"/>
      <c r="J55" s="237"/>
      <c r="K55" s="237"/>
      <c r="L55" s="237"/>
      <c r="M55" s="237"/>
      <c r="N55" s="237"/>
      <c r="O55" s="237"/>
      <c r="P55" s="237"/>
      <c r="Q55" s="237"/>
      <c r="R55" s="237"/>
      <c r="S55" s="237"/>
      <c r="T55" s="237"/>
      <c r="U55" s="235"/>
      <c r="V55" s="230"/>
      <c r="W55" s="230"/>
      <c r="X55" s="230"/>
      <c r="Y55" s="230"/>
      <c r="Z55" s="249"/>
      <c r="AA55" s="232"/>
      <c r="AB55" s="232"/>
      <c r="AC55" s="232"/>
      <c r="AD55" s="232"/>
      <c r="AE55" s="232"/>
      <c r="AF55" s="235"/>
      <c r="AG55" s="231"/>
      <c r="AH55" s="231"/>
      <c r="AI55" s="231"/>
      <c r="AJ55" s="236"/>
      <c r="AK55" s="236"/>
      <c r="AL55" s="236"/>
    </row>
    <row r="56" spans="6:38" s="12" customFormat="1" ht="16.350000000000001" hidden="1" customHeight="1">
      <c r="F56" s="235"/>
      <c r="G56" s="237"/>
      <c r="H56" s="237"/>
      <c r="I56" s="237"/>
      <c r="J56" s="237"/>
      <c r="K56" s="237"/>
      <c r="L56" s="237"/>
      <c r="M56" s="237"/>
      <c r="N56" s="237"/>
      <c r="O56" s="237"/>
      <c r="P56" s="237"/>
      <c r="Q56" s="237"/>
      <c r="R56" s="237"/>
      <c r="S56" s="237"/>
      <c r="T56" s="237"/>
      <c r="U56" s="235"/>
      <c r="V56" s="230"/>
      <c r="W56" s="230"/>
      <c r="X56" s="230"/>
      <c r="Y56" s="230"/>
      <c r="Z56" s="249"/>
      <c r="AA56" s="232"/>
      <c r="AB56" s="232"/>
      <c r="AC56" s="232"/>
      <c r="AD56" s="232"/>
      <c r="AE56" s="232"/>
      <c r="AF56" s="235"/>
      <c r="AG56" s="231"/>
      <c r="AH56" s="231"/>
      <c r="AI56" s="231"/>
      <c r="AJ56" s="236"/>
      <c r="AK56" s="236"/>
      <c r="AL56" s="236"/>
    </row>
    <row r="57" spans="6:38" s="12" customFormat="1" ht="16.350000000000001" hidden="1" customHeight="1">
      <c r="F57" s="235"/>
      <c r="G57" s="237"/>
      <c r="H57" s="237"/>
      <c r="I57" s="237"/>
      <c r="J57" s="237"/>
      <c r="K57" s="237"/>
      <c r="L57" s="237"/>
      <c r="M57" s="237"/>
      <c r="N57" s="237"/>
      <c r="O57" s="237"/>
      <c r="P57" s="237"/>
      <c r="Q57" s="237"/>
      <c r="R57" s="237"/>
      <c r="S57" s="237"/>
      <c r="T57" s="237"/>
      <c r="U57" s="235"/>
      <c r="V57" s="230"/>
      <c r="W57" s="230"/>
      <c r="X57" s="230"/>
      <c r="Y57" s="230"/>
      <c r="Z57" s="249"/>
      <c r="AA57" s="232"/>
      <c r="AB57" s="232"/>
      <c r="AC57" s="232"/>
      <c r="AD57" s="232"/>
      <c r="AE57" s="232"/>
      <c r="AF57" s="235"/>
      <c r="AG57" s="231"/>
      <c r="AH57" s="231"/>
      <c r="AI57" s="231"/>
      <c r="AJ57" s="236"/>
      <c r="AK57" s="236"/>
      <c r="AL57" s="236"/>
    </row>
    <row r="58" spans="6:38" s="12" customFormat="1" ht="16.350000000000001" hidden="1" customHeight="1">
      <c r="F58" s="235"/>
      <c r="G58" s="237"/>
      <c r="H58" s="237"/>
      <c r="I58" s="237"/>
      <c r="J58" s="237"/>
      <c r="K58" s="237"/>
      <c r="L58" s="237"/>
      <c r="M58" s="237"/>
      <c r="N58" s="237"/>
      <c r="O58" s="237"/>
      <c r="P58" s="237"/>
      <c r="Q58" s="237"/>
      <c r="R58" s="237"/>
      <c r="S58" s="237"/>
      <c r="T58" s="237"/>
      <c r="U58" s="235"/>
      <c r="V58" s="230"/>
      <c r="W58" s="230"/>
      <c r="X58" s="230"/>
      <c r="Y58" s="230"/>
      <c r="Z58" s="249"/>
      <c r="AA58" s="232"/>
      <c r="AB58" s="232"/>
      <c r="AC58" s="232"/>
      <c r="AD58" s="232"/>
      <c r="AE58" s="232"/>
      <c r="AF58" s="235"/>
      <c r="AG58" s="231"/>
      <c r="AH58" s="231"/>
      <c r="AI58" s="231"/>
      <c r="AJ58" s="236"/>
      <c r="AK58" s="236"/>
      <c r="AL58" s="236"/>
    </row>
    <row r="59" spans="6:38" s="12" customFormat="1" ht="16.350000000000001" hidden="1" customHeight="1">
      <c r="F59" s="235"/>
      <c r="G59" s="237"/>
      <c r="H59" s="237"/>
      <c r="I59" s="237"/>
      <c r="J59" s="237"/>
      <c r="K59" s="237"/>
      <c r="L59" s="237"/>
      <c r="M59" s="237"/>
      <c r="N59" s="237"/>
      <c r="O59" s="237"/>
      <c r="P59" s="237"/>
      <c r="Q59" s="237"/>
      <c r="R59" s="237"/>
      <c r="S59" s="237"/>
      <c r="T59" s="237"/>
      <c r="U59" s="235"/>
      <c r="V59" s="230"/>
      <c r="W59" s="230"/>
      <c r="X59" s="230"/>
      <c r="Y59" s="230"/>
      <c r="Z59" s="249"/>
      <c r="AA59" s="232"/>
      <c r="AB59" s="232"/>
      <c r="AC59" s="232"/>
      <c r="AD59" s="232"/>
      <c r="AE59" s="232"/>
      <c r="AF59" s="235"/>
      <c r="AG59" s="231"/>
      <c r="AH59" s="231"/>
      <c r="AI59" s="231"/>
      <c r="AJ59" s="236"/>
      <c r="AK59" s="236"/>
      <c r="AL59" s="236"/>
    </row>
    <row r="60" spans="6:38" s="12" customFormat="1" ht="16.350000000000001" hidden="1" customHeight="1">
      <c r="F60" s="235"/>
      <c r="G60" s="237"/>
      <c r="H60" s="237"/>
      <c r="I60" s="237"/>
      <c r="J60" s="237"/>
      <c r="K60" s="237"/>
      <c r="L60" s="237"/>
      <c r="M60" s="237"/>
      <c r="N60" s="237"/>
      <c r="O60" s="237"/>
      <c r="P60" s="237"/>
      <c r="Q60" s="237"/>
      <c r="R60" s="237"/>
      <c r="S60" s="237"/>
      <c r="T60" s="237"/>
      <c r="U60" s="235"/>
      <c r="V60" s="230"/>
      <c r="W60" s="230"/>
      <c r="X60" s="230"/>
      <c r="Y60" s="230"/>
      <c r="Z60" s="249"/>
      <c r="AA60" s="232"/>
      <c r="AB60" s="232"/>
      <c r="AC60" s="232"/>
      <c r="AD60" s="232"/>
      <c r="AE60" s="232"/>
      <c r="AF60" s="235"/>
      <c r="AG60" s="231"/>
      <c r="AH60" s="231"/>
      <c r="AI60" s="231"/>
      <c r="AJ60" s="236"/>
      <c r="AK60" s="236"/>
      <c r="AL60" s="236"/>
    </row>
    <row r="61" spans="6:38" s="12" customFormat="1" ht="16.350000000000001" hidden="1" customHeight="1">
      <c r="F61" s="235"/>
      <c r="G61" s="237"/>
      <c r="H61" s="237"/>
      <c r="I61" s="237"/>
      <c r="J61" s="237"/>
      <c r="K61" s="237"/>
      <c r="L61" s="237"/>
      <c r="M61" s="237"/>
      <c r="N61" s="237"/>
      <c r="O61" s="237"/>
      <c r="P61" s="237"/>
      <c r="Q61" s="237"/>
      <c r="R61" s="237"/>
      <c r="S61" s="237"/>
      <c r="T61" s="237"/>
      <c r="U61" s="235"/>
      <c r="V61" s="230"/>
      <c r="W61" s="230"/>
      <c r="X61" s="230"/>
      <c r="Y61" s="230"/>
      <c r="Z61" s="249"/>
      <c r="AA61" s="232"/>
      <c r="AB61" s="232"/>
      <c r="AC61" s="232"/>
      <c r="AD61" s="232"/>
      <c r="AE61" s="232"/>
      <c r="AF61" s="235"/>
      <c r="AG61" s="231"/>
      <c r="AH61" s="231"/>
      <c r="AI61" s="231"/>
      <c r="AJ61" s="236"/>
      <c r="AK61" s="236"/>
      <c r="AL61" s="236"/>
    </row>
    <row r="62" spans="6:38" s="12" customFormat="1" ht="16.350000000000001" hidden="1" customHeight="1">
      <c r="F62" s="235"/>
      <c r="G62" s="237"/>
      <c r="H62" s="237"/>
      <c r="I62" s="237"/>
      <c r="J62" s="237"/>
      <c r="K62" s="237"/>
      <c r="L62" s="237"/>
      <c r="M62" s="237"/>
      <c r="N62" s="237"/>
      <c r="O62" s="237"/>
      <c r="P62" s="237"/>
      <c r="Q62" s="237"/>
      <c r="R62" s="237"/>
      <c r="S62" s="237"/>
      <c r="T62" s="237"/>
      <c r="U62" s="235"/>
      <c r="V62" s="230"/>
      <c r="W62" s="230"/>
      <c r="X62" s="230"/>
      <c r="Y62" s="230"/>
      <c r="Z62" s="249"/>
      <c r="AA62" s="232"/>
      <c r="AB62" s="232"/>
      <c r="AC62" s="232"/>
      <c r="AD62" s="232"/>
      <c r="AE62" s="232"/>
      <c r="AF62" s="235"/>
      <c r="AG62" s="231"/>
      <c r="AH62" s="231"/>
      <c r="AI62" s="231"/>
      <c r="AJ62" s="236"/>
      <c r="AK62" s="236"/>
      <c r="AL62" s="236"/>
    </row>
    <row r="63" spans="6:38" s="12" customFormat="1" ht="16.350000000000001" hidden="1" customHeight="1">
      <c r="F63" s="235"/>
      <c r="G63" s="237"/>
      <c r="H63" s="237"/>
      <c r="I63" s="237"/>
      <c r="J63" s="237"/>
      <c r="K63" s="237"/>
      <c r="L63" s="237"/>
      <c r="M63" s="237"/>
      <c r="N63" s="237"/>
      <c r="O63" s="237"/>
      <c r="P63" s="237"/>
      <c r="Q63" s="237"/>
      <c r="R63" s="237"/>
      <c r="S63" s="237"/>
      <c r="T63" s="237"/>
      <c r="U63" s="235"/>
      <c r="V63" s="230"/>
      <c r="W63" s="230"/>
      <c r="X63" s="230"/>
      <c r="Y63" s="230"/>
      <c r="Z63" s="249"/>
      <c r="AA63" s="232"/>
      <c r="AB63" s="232"/>
      <c r="AC63" s="232"/>
      <c r="AD63" s="232"/>
      <c r="AE63" s="232"/>
      <c r="AF63" s="235"/>
      <c r="AG63" s="231"/>
      <c r="AH63" s="231"/>
      <c r="AI63" s="231"/>
      <c r="AJ63" s="236"/>
      <c r="AK63" s="236"/>
      <c r="AL63" s="236"/>
    </row>
    <row r="64" spans="6:38" s="12" customFormat="1" ht="16.350000000000001" hidden="1" customHeight="1">
      <c r="F64" s="235"/>
      <c r="G64" s="237"/>
      <c r="H64" s="237"/>
      <c r="I64" s="237"/>
      <c r="J64" s="237"/>
      <c r="K64" s="237"/>
      <c r="L64" s="237"/>
      <c r="M64" s="237"/>
      <c r="N64" s="237"/>
      <c r="O64" s="237"/>
      <c r="P64" s="237"/>
      <c r="Q64" s="237"/>
      <c r="R64" s="237"/>
      <c r="S64" s="237"/>
      <c r="T64" s="237"/>
      <c r="U64" s="235"/>
      <c r="V64" s="230"/>
      <c r="W64" s="230"/>
      <c r="X64" s="230"/>
      <c r="Y64" s="230"/>
      <c r="Z64" s="249"/>
      <c r="AA64" s="232"/>
      <c r="AB64" s="232"/>
      <c r="AC64" s="232"/>
      <c r="AD64" s="232"/>
      <c r="AE64" s="232"/>
      <c r="AF64" s="235"/>
      <c r="AG64" s="231"/>
      <c r="AH64" s="231"/>
      <c r="AI64" s="231"/>
      <c r="AJ64" s="236"/>
      <c r="AK64" s="236"/>
      <c r="AL64" s="236"/>
    </row>
    <row r="65" spans="1:58" s="12" customFormat="1" ht="16.350000000000001" hidden="1" customHeight="1">
      <c r="F65" s="235"/>
      <c r="G65" s="237"/>
      <c r="H65" s="237"/>
      <c r="I65" s="237"/>
      <c r="J65" s="237"/>
      <c r="K65" s="237"/>
      <c r="L65" s="237"/>
      <c r="M65" s="237"/>
      <c r="N65" s="237"/>
      <c r="O65" s="237"/>
      <c r="P65" s="237"/>
      <c r="Q65" s="237"/>
      <c r="R65" s="237"/>
      <c r="S65" s="237"/>
      <c r="T65" s="237"/>
      <c r="U65" s="235"/>
      <c r="V65" s="230"/>
      <c r="W65" s="230"/>
      <c r="X65" s="230"/>
      <c r="Y65" s="230"/>
      <c r="Z65" s="249"/>
      <c r="AA65" s="232"/>
      <c r="AB65" s="232"/>
      <c r="AC65" s="232"/>
      <c r="AD65" s="232"/>
      <c r="AE65" s="232"/>
      <c r="AF65" s="235"/>
      <c r="AG65" s="231"/>
      <c r="AH65" s="231"/>
      <c r="AI65" s="231"/>
      <c r="AJ65" s="236"/>
      <c r="AK65" s="236"/>
      <c r="AL65" s="236"/>
    </row>
    <row r="66" spans="1:58" s="12" customFormat="1" ht="16.350000000000001" hidden="1" customHeight="1">
      <c r="F66" s="235"/>
      <c r="G66" s="237"/>
      <c r="H66" s="237"/>
      <c r="I66" s="237"/>
      <c r="J66" s="237"/>
      <c r="K66" s="237"/>
      <c r="L66" s="237"/>
      <c r="M66" s="237"/>
      <c r="N66" s="237"/>
      <c r="O66" s="237"/>
      <c r="P66" s="237"/>
      <c r="Q66" s="237"/>
      <c r="R66" s="237"/>
      <c r="S66" s="237"/>
      <c r="T66" s="237"/>
      <c r="U66" s="235"/>
      <c r="V66" s="230"/>
      <c r="W66" s="230"/>
      <c r="X66" s="230"/>
      <c r="Y66" s="230"/>
      <c r="Z66" s="249"/>
      <c r="AA66" s="232"/>
      <c r="AB66" s="232"/>
      <c r="AC66" s="232"/>
      <c r="AD66" s="232"/>
      <c r="AE66" s="232"/>
      <c r="AF66" s="235"/>
      <c r="AG66" s="231"/>
      <c r="AH66" s="231"/>
      <c r="AI66" s="231"/>
      <c r="AJ66" s="236"/>
      <c r="AK66" s="236"/>
      <c r="AL66" s="236"/>
    </row>
    <row r="67" spans="1:58" s="12" customFormat="1" ht="16.350000000000001" hidden="1" customHeight="1">
      <c r="F67" s="235"/>
      <c r="G67" s="237"/>
      <c r="H67" s="237"/>
      <c r="I67" s="237"/>
      <c r="J67" s="237"/>
      <c r="K67" s="237"/>
      <c r="L67" s="237"/>
      <c r="M67" s="237"/>
      <c r="N67" s="237"/>
      <c r="O67" s="237"/>
      <c r="P67" s="237"/>
      <c r="Q67" s="237"/>
      <c r="R67" s="237"/>
      <c r="S67" s="237"/>
      <c r="T67" s="237"/>
      <c r="U67" s="235"/>
      <c r="V67" s="230"/>
      <c r="W67" s="230"/>
      <c r="X67" s="230"/>
      <c r="Y67" s="230"/>
      <c r="Z67" s="249"/>
      <c r="AA67" s="232"/>
      <c r="AB67" s="232"/>
      <c r="AC67" s="232"/>
      <c r="AD67" s="232"/>
      <c r="AE67" s="232"/>
      <c r="AF67" s="235"/>
      <c r="AG67" s="231"/>
      <c r="AH67" s="231"/>
      <c r="AI67" s="231"/>
      <c r="AJ67" s="236"/>
      <c r="AK67" s="236"/>
      <c r="AL67" s="236"/>
    </row>
    <row r="68" spans="1:58" s="12" customFormat="1" ht="16.350000000000001" hidden="1" customHeight="1">
      <c r="F68" s="235"/>
      <c r="G68" s="237"/>
      <c r="H68" s="237"/>
      <c r="I68" s="237"/>
      <c r="J68" s="237"/>
      <c r="K68" s="237"/>
      <c r="L68" s="237"/>
      <c r="M68" s="237"/>
      <c r="N68" s="237"/>
      <c r="O68" s="237"/>
      <c r="P68" s="237"/>
      <c r="Q68" s="237"/>
      <c r="R68" s="237"/>
      <c r="S68" s="237"/>
      <c r="T68" s="237"/>
      <c r="U68" s="235"/>
      <c r="V68" s="230"/>
      <c r="W68" s="230"/>
      <c r="X68" s="230"/>
      <c r="Y68" s="230"/>
      <c r="Z68" s="249"/>
      <c r="AA68" s="232"/>
      <c r="AB68" s="232"/>
      <c r="AC68" s="232"/>
      <c r="AD68" s="232"/>
      <c r="AE68" s="232"/>
      <c r="AF68" s="235"/>
      <c r="AG68" s="231"/>
      <c r="AH68" s="231"/>
      <c r="AI68" s="231"/>
      <c r="AJ68" s="236"/>
      <c r="AK68" s="236"/>
      <c r="AL68" s="236"/>
    </row>
    <row r="69" spans="1:58" s="12" customFormat="1" ht="16.350000000000001" hidden="1" customHeight="1">
      <c r="F69" s="235"/>
      <c r="G69" s="237"/>
      <c r="H69" s="237"/>
      <c r="I69" s="237"/>
      <c r="J69" s="237"/>
      <c r="K69" s="237"/>
      <c r="L69" s="237"/>
      <c r="M69" s="237"/>
      <c r="N69" s="237"/>
      <c r="O69" s="237"/>
      <c r="P69" s="237"/>
      <c r="Q69" s="237"/>
      <c r="R69" s="237"/>
      <c r="S69" s="237"/>
      <c r="T69" s="237"/>
      <c r="U69" s="235"/>
      <c r="V69" s="230"/>
      <c r="W69" s="230"/>
      <c r="X69" s="230"/>
      <c r="Y69" s="230"/>
      <c r="Z69" s="249"/>
      <c r="AA69" s="232"/>
      <c r="AB69" s="232"/>
      <c r="AC69" s="232"/>
      <c r="AD69" s="232"/>
      <c r="AE69" s="232"/>
      <c r="AF69" s="235"/>
      <c r="AG69" s="231"/>
      <c r="AH69" s="231"/>
      <c r="AI69" s="231"/>
      <c r="AJ69" s="236"/>
      <c r="AK69" s="236"/>
      <c r="AL69" s="236"/>
    </row>
    <row r="70" spans="1:58" s="12" customFormat="1" ht="16.350000000000001" hidden="1" customHeight="1">
      <c r="F70" s="235"/>
      <c r="G70" s="237"/>
      <c r="H70" s="237"/>
      <c r="I70" s="237"/>
      <c r="J70" s="237"/>
      <c r="K70" s="237"/>
      <c r="L70" s="237"/>
      <c r="M70" s="237"/>
      <c r="N70" s="237"/>
      <c r="O70" s="237"/>
      <c r="P70" s="237"/>
      <c r="Q70" s="237"/>
      <c r="R70" s="237"/>
      <c r="S70" s="237"/>
      <c r="T70" s="237"/>
      <c r="U70" s="235"/>
      <c r="V70" s="230"/>
      <c r="W70" s="230"/>
      <c r="X70" s="230"/>
      <c r="Y70" s="230"/>
      <c r="Z70" s="249"/>
      <c r="AA70" s="232"/>
      <c r="AB70" s="232"/>
      <c r="AC70" s="232"/>
      <c r="AD70" s="232"/>
      <c r="AE70" s="232"/>
      <c r="AF70" s="235"/>
      <c r="AG70" s="231"/>
      <c r="AH70" s="231"/>
      <c r="AI70" s="231"/>
      <c r="AJ70" s="236"/>
      <c r="AK70" s="236"/>
      <c r="AL70" s="236"/>
    </row>
    <row r="71" spans="1:58" s="12" customFormat="1" ht="16.350000000000001" hidden="1" customHeight="1"/>
    <row r="72" spans="1:58" customFormat="1" ht="16.350000000000001" hidden="1" customHeight="1"/>
    <row r="73" spans="1:58" s="568" customFormat="1" ht="16.350000000000001" customHeight="1">
      <c r="A73" s="504"/>
      <c r="B73" s="504" t="str">
        <f>FOOT1</f>
        <v>PSE&amp;G C&amp;I Energy Efficiency Program</v>
      </c>
      <c r="C73" s="504"/>
      <c r="D73" s="504"/>
      <c r="E73" s="504"/>
      <c r="F73" s="504"/>
      <c r="G73" s="504"/>
      <c r="H73" s="504"/>
      <c r="I73" s="504"/>
      <c r="J73" s="504"/>
      <c r="K73" s="504"/>
      <c r="L73" s="504"/>
      <c r="M73" s="504"/>
      <c r="N73" s="504"/>
      <c r="O73" s="504"/>
      <c r="P73" s="504"/>
      <c r="Q73" s="504"/>
      <c r="R73" s="721" t="s">
        <v>137</v>
      </c>
      <c r="S73" s="721"/>
      <c r="T73" s="721"/>
      <c r="U73" s="721"/>
      <c r="V73" s="721"/>
      <c r="W73" s="721"/>
      <c r="X73" s="721"/>
      <c r="Y73" s="721"/>
      <c r="Z73" s="721"/>
      <c r="AA73" s="721"/>
      <c r="AB73" s="721"/>
      <c r="AC73" s="721"/>
      <c r="AD73" s="721"/>
      <c r="AE73" s="721"/>
      <c r="AF73" s="721"/>
      <c r="AG73" s="721"/>
      <c r="AH73" s="721"/>
      <c r="AI73" s="721"/>
      <c r="AJ73" s="721"/>
      <c r="AK73" s="721"/>
      <c r="AL73" s="721"/>
      <c r="AM73" s="721"/>
      <c r="AN73" s="721"/>
      <c r="AO73" s="721"/>
      <c r="AP73" s="721"/>
      <c r="AQ73" s="721"/>
      <c r="AR73" s="721"/>
      <c r="AS73" s="504"/>
      <c r="AT73" s="504"/>
      <c r="AU73" s="504"/>
      <c r="AV73" s="504"/>
      <c r="AW73" s="504"/>
      <c r="AX73" s="504"/>
      <c r="AY73" s="504"/>
      <c r="AZ73" s="504"/>
      <c r="BA73" s="504"/>
      <c r="BB73" s="504"/>
      <c r="BC73" s="504"/>
      <c r="BD73" s="504"/>
      <c r="BE73" s="701"/>
      <c r="BF73" s="701" t="str">
        <f>FOOT4</f>
        <v>Engineered Solutions Tier 2 Advance Custom Incentive Application</v>
      </c>
    </row>
    <row r="74" spans="1:58" s="568" customFormat="1" ht="16.350000000000001" customHeight="1">
      <c r="A74" s="504"/>
      <c r="B74" s="504" t="str">
        <f>FOOT2</f>
        <v>1-844-300-PSEG (7734)</v>
      </c>
      <c r="C74" s="504"/>
      <c r="D74" s="504"/>
      <c r="E74" s="504"/>
      <c r="F74" s="504"/>
      <c r="G74" s="504"/>
      <c r="H74" s="504"/>
      <c r="I74" s="504"/>
      <c r="J74" s="504"/>
      <c r="K74" s="504"/>
      <c r="L74" s="504"/>
      <c r="M74" s="504"/>
      <c r="N74" s="504"/>
      <c r="O74" s="504"/>
      <c r="P74" s="504"/>
      <c r="Q74" s="504"/>
      <c r="R74" s="721"/>
      <c r="S74" s="721"/>
      <c r="T74" s="721"/>
      <c r="U74" s="721"/>
      <c r="V74" s="721"/>
      <c r="W74" s="721"/>
      <c r="X74" s="721"/>
      <c r="Y74" s="721"/>
      <c r="Z74" s="721"/>
      <c r="AA74" s="721"/>
      <c r="AB74" s="721"/>
      <c r="AC74" s="721"/>
      <c r="AD74" s="721"/>
      <c r="AE74" s="721"/>
      <c r="AF74" s="721"/>
      <c r="AG74" s="721"/>
      <c r="AH74" s="721"/>
      <c r="AI74" s="721"/>
      <c r="AJ74" s="721"/>
      <c r="AK74" s="721"/>
      <c r="AL74" s="721"/>
      <c r="AM74" s="721"/>
      <c r="AN74" s="721"/>
      <c r="AO74" s="721"/>
      <c r="AP74" s="721"/>
      <c r="AQ74" s="721"/>
      <c r="AR74" s="721"/>
      <c r="AS74" s="504"/>
      <c r="AT74" s="504"/>
      <c r="AU74" s="504"/>
      <c r="AV74" s="504"/>
      <c r="AW74" s="504"/>
      <c r="AX74" s="504"/>
      <c r="AY74" s="504"/>
      <c r="AZ74" s="504"/>
      <c r="BA74" s="504"/>
      <c r="BB74" s="504"/>
      <c r="BC74" s="504"/>
      <c r="BD74" s="504"/>
      <c r="BE74" s="701"/>
      <c r="BF74" s="701"/>
    </row>
    <row r="75" spans="1:58" s="568" customFormat="1" ht="16.350000000000001" customHeight="1">
      <c r="A75" s="504"/>
      <c r="B75" s="504" t="str">
        <f>FOOT3</f>
        <v>PSEGenergysaver@TRCcompanies.com</v>
      </c>
      <c r="C75" s="504"/>
      <c r="D75" s="504"/>
      <c r="E75" s="504"/>
      <c r="F75" s="504"/>
      <c r="G75" s="504"/>
      <c r="H75" s="504"/>
      <c r="I75" s="504"/>
      <c r="J75" s="504"/>
      <c r="K75" s="504"/>
      <c r="L75" s="504"/>
      <c r="M75" s="504"/>
      <c r="N75" s="504"/>
      <c r="O75" s="504"/>
      <c r="P75" s="504"/>
      <c r="Q75" s="504"/>
      <c r="R75" s="504"/>
      <c r="S75" s="504"/>
      <c r="T75" s="504"/>
      <c r="U75" s="504"/>
      <c r="V75" s="504"/>
      <c r="W75" s="504"/>
      <c r="X75" s="504"/>
      <c r="Y75" s="504"/>
      <c r="Z75" s="504"/>
      <c r="AA75" s="504"/>
      <c r="AB75" s="504"/>
      <c r="AC75" s="504"/>
      <c r="AD75" s="702" t="str">
        <f>VERSION</f>
        <v>V1.0          Effective Date 1/1/25</v>
      </c>
      <c r="AE75" s="504"/>
      <c r="AF75" s="504"/>
      <c r="AG75" s="504"/>
      <c r="AH75" s="504"/>
      <c r="AI75" s="504"/>
      <c r="AJ75" s="504"/>
      <c r="AK75" s="504"/>
      <c r="AL75" s="504"/>
      <c r="AM75" s="504"/>
      <c r="AN75" s="504"/>
      <c r="AO75" s="504"/>
      <c r="AP75" s="504"/>
      <c r="AQ75" s="504"/>
      <c r="AR75" s="504"/>
      <c r="AS75" s="504"/>
      <c r="AT75" s="504"/>
      <c r="AU75" s="504"/>
      <c r="AV75" s="504"/>
      <c r="AW75" s="504"/>
      <c r="AX75" s="504"/>
      <c r="AY75" s="504"/>
      <c r="AZ75" s="504"/>
      <c r="BA75" s="504"/>
      <c r="BB75" s="504"/>
      <c r="BC75" s="504"/>
      <c r="BD75" s="504"/>
      <c r="BE75" s="701"/>
      <c r="BF75" s="701" t="str">
        <f>FOOT6</f>
        <v>This is a TRC tool</v>
      </c>
    </row>
  </sheetData>
  <sheetProtection algorithmName="SHA-512" hashValue="ORnIobY2C54Pukol1S5lMVX0yG/ZNVNV1u3HVuk8pZ4w6c3H8XOUtznPYTWQli2puepvS2+hcMwO1+z2KYbGug==" saltValue="6/A+Narm70U6Sbn06xdjiQ==" spinCount="100000" sheet="1" objects="1" scenarios="1"/>
  <mergeCells count="45">
    <mergeCell ref="F13:AU13"/>
    <mergeCell ref="Z35:AE40"/>
    <mergeCell ref="AF28:AI34"/>
    <mergeCell ref="F18:BB18"/>
    <mergeCell ref="F30:T30"/>
    <mergeCell ref="U30:Y34"/>
    <mergeCell ref="Z30:AE34"/>
    <mergeCell ref="Z28:AE29"/>
    <mergeCell ref="U28:Y29"/>
    <mergeCell ref="F1:I3"/>
    <mergeCell ref="J1:M3"/>
    <mergeCell ref="AP1:AS3"/>
    <mergeCell ref="AT1:AW3"/>
    <mergeCell ref="AX1:BC3"/>
    <mergeCell ref="BD1:BG3"/>
    <mergeCell ref="AL1:AO3"/>
    <mergeCell ref="AF35:AI40"/>
    <mergeCell ref="AJ28:BB40"/>
    <mergeCell ref="AF27:AI27"/>
    <mergeCell ref="AJ27:BB27"/>
    <mergeCell ref="F19:BB19"/>
    <mergeCell ref="F21:BB21"/>
    <mergeCell ref="F17:BB17"/>
    <mergeCell ref="F15:BB16"/>
    <mergeCell ref="A4:BF5"/>
    <mergeCell ref="AV13:BB13"/>
    <mergeCell ref="F37:T37"/>
    <mergeCell ref="F25:BB25"/>
    <mergeCell ref="F20:BB20"/>
    <mergeCell ref="F33:T33"/>
    <mergeCell ref="R73:AR74"/>
    <mergeCell ref="F27:T27"/>
    <mergeCell ref="U27:Y27"/>
    <mergeCell ref="Z27:AE27"/>
    <mergeCell ref="F39:T39"/>
    <mergeCell ref="F40:T40"/>
    <mergeCell ref="U35:Y40"/>
    <mergeCell ref="F38:T38"/>
    <mergeCell ref="F34:T34"/>
    <mergeCell ref="F35:T35"/>
    <mergeCell ref="F28:T28"/>
    <mergeCell ref="F29:T29"/>
    <mergeCell ref="F31:T31"/>
    <mergeCell ref="F32:T32"/>
    <mergeCell ref="F36:T36"/>
  </mergeCells>
  <phoneticPr fontId="78" type="noConversion"/>
  <hyperlinks>
    <hyperlink ref="J1:M3" location="'M01-S02'!J1" tooltip="Instructions" display="'M01-S02'!J1" xr:uid="{2FFCDE7A-13CD-4930-847E-8FB21DEB90E1}"/>
    <hyperlink ref="AT1:AW3" location="'M05-S05'!AL1" tooltip=" " display="'M05-S05'!AL1" xr:uid="{28682A1B-65D2-4493-AE79-4000BEAB692C}"/>
    <hyperlink ref="BD1:BG3" location="'M01-S03'!AP1" tooltip="Contact" display="'M01-S03'!AP1" xr:uid="{799C0F4A-E607-4287-9C7D-7951AF630D2D}"/>
    <hyperlink ref="AP1:AS3" location="'M05-S04'!AH1" tooltip=" " display="'M05-S04'!AH1" xr:uid="{3FE02E7C-E1FC-4888-BDFA-F3F3331CB7CC}"/>
    <hyperlink ref="AL1:AO3" location="'M05-S05'!AL1" tooltip=" " display="'M05-S05'!AL1" xr:uid="{D52E09E0-4A52-41D3-9C6E-27A7BBF6DBDC}"/>
  </hyperlinks>
  <printOptions horizontalCentered="1"/>
  <pageMargins left="0" right="0" top="0.25" bottom="0.25" header="0.25" footer="0.25"/>
  <pageSetup scale="51" fitToHeight="0"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030A0"/>
  </sheetPr>
  <dimension ref="A1:AV365"/>
  <sheetViews>
    <sheetView zoomScale="80" zoomScaleNormal="80" workbookViewId="0">
      <selection activeCell="C14" sqref="C14"/>
    </sheetView>
  </sheetViews>
  <sheetFormatPr defaultColWidth="0" defaultRowHeight="15"/>
  <cols>
    <col min="1" max="1" width="23.5703125" style="65" bestFit="1" customWidth="1"/>
    <col min="2" max="2" width="63.42578125" style="65" bestFit="1" customWidth="1"/>
    <col min="3" max="3" width="31.42578125" style="65" bestFit="1" customWidth="1"/>
    <col min="4" max="4" width="35.5703125" style="65" bestFit="1" customWidth="1"/>
    <col min="5" max="6" width="12.5703125" style="65" bestFit="1" customWidth="1"/>
    <col min="7" max="7" width="28.42578125" style="65" bestFit="1" customWidth="1"/>
    <col min="8" max="8" width="23.5703125" style="65" customWidth="1"/>
    <col min="9" max="20" width="19.42578125" style="65" customWidth="1"/>
    <col min="21" max="21" width="26.140625" style="65" customWidth="1"/>
    <col min="22" max="22" width="27.42578125" style="65" customWidth="1"/>
    <col min="23" max="23" width="8.42578125" style="65" bestFit="1" customWidth="1"/>
    <col min="24" max="48" width="4.5703125" style="65" customWidth="1"/>
    <col min="49" max="16384" width="4.5703125" style="65" hidden="1"/>
  </cols>
  <sheetData>
    <row r="1" spans="1:47">
      <c r="A1" s="66" t="s">
        <v>198</v>
      </c>
      <c r="B1" s="500" t="s">
        <v>199</v>
      </c>
      <c r="G1" s="67" t="s">
        <v>200</v>
      </c>
      <c r="H1" s="68">
        <f ca="1">IF(EXPIRATION&lt;&gt;"","---",IF(kWh_Reported_Total_All=0,0,kWh_Reported_Total_All))</f>
        <v>0</v>
      </c>
    </row>
    <row r="2" spans="1:47" ht="15.75" customHeight="1">
      <c r="A2" s="66" t="s">
        <v>201</v>
      </c>
      <c r="B2" s="500" t="s">
        <v>202</v>
      </c>
      <c r="G2" s="67" t="s">
        <v>203</v>
      </c>
      <c r="H2" s="65">
        <f ca="1">IF(EXPIRATION&lt;&gt;"","---",IF(Thm_Reported_Total_All=0,0,Thm_Reported_Total_All))</f>
        <v>0</v>
      </c>
    </row>
    <row r="3" spans="1:47" ht="15" customHeight="1">
      <c r="A3" s="66" t="s">
        <v>204</v>
      </c>
      <c r="B3" s="105" t="s">
        <v>205</v>
      </c>
      <c r="G3" s="67" t="s">
        <v>206</v>
      </c>
      <c r="H3" s="78" t="str">
        <f ca="1">IF(EXPIRATION&lt;&gt;"","---",IF(N21=0,"---",Incent_Total_Cap_All))</f>
        <v>---</v>
      </c>
      <c r="AQ3" s="69"/>
    </row>
    <row r="4" spans="1:47" ht="15.75" customHeight="1">
      <c r="A4" s="66" t="s">
        <v>207</v>
      </c>
      <c r="B4" s="500" t="s">
        <v>202</v>
      </c>
      <c r="G4" s="67" t="s">
        <v>208</v>
      </c>
      <c r="H4" s="68" t="str">
        <f ca="1">IF(EXPIRATION&lt;&gt;"",PROJSTATEXP,
IF(MEASTOTALALL=0,PROJSTATMEASURE,
IF(MSF20227="Yes",Status_Final,Status_Pre)))</f>
        <v>Enter Measures</v>
      </c>
    </row>
    <row r="5" spans="1:47">
      <c r="A5" s="66" t="s">
        <v>209</v>
      </c>
      <c r="B5" s="501">
        <v>46023</v>
      </c>
      <c r="G5" s="67" t="s">
        <v>210</v>
      </c>
      <c r="H5" s="115">
        <f ca="1">AVERAGE(COMPINSTRUCT,COMPTERMS,COMPBUILD,COMPCUSTOMER,COMPTA,COMPMEASURE,COMPPAY,COMPOBR,COMPUNIONINFO)</f>
        <v>0</v>
      </c>
      <c r="W5"/>
      <c r="X5"/>
      <c r="Y5"/>
      <c r="Z5"/>
      <c r="AA5"/>
      <c r="AB5"/>
      <c r="AC5"/>
      <c r="AD5"/>
      <c r="AE5"/>
      <c r="AF5"/>
      <c r="AG5"/>
      <c r="AH5"/>
      <c r="AI5"/>
      <c r="AJ5"/>
      <c r="AK5"/>
      <c r="AL5"/>
      <c r="AM5"/>
      <c r="AN5"/>
      <c r="AO5"/>
      <c r="AP5"/>
      <c r="AQ5"/>
      <c r="AR5"/>
      <c r="AS5"/>
      <c r="AT5"/>
      <c r="AU5"/>
    </row>
    <row r="6" spans="1:47">
      <c r="A6" s="66" t="s">
        <v>211</v>
      </c>
      <c r="B6" s="501" t="str">
        <f ca="1">IFERROR(IF(OR(ACTIVEOFFER_N="Yes",ACTIVECOMPL_N="Yes",ACTIVEOFFER="Yes",ACTIVECOMPL="Yes",ACTIVEOFFER_X="Yes",ACTIVECOMPL_X="Yes"),"",IF(EXPIRATION_DATE&lt;TODAY(),"Application expired.","")),"")</f>
        <v/>
      </c>
      <c r="W6"/>
      <c r="X6"/>
      <c r="Y6"/>
      <c r="Z6"/>
      <c r="AA6"/>
      <c r="AB6"/>
      <c r="AC6"/>
      <c r="AD6"/>
      <c r="AE6"/>
      <c r="AF6"/>
      <c r="AG6"/>
      <c r="AH6"/>
      <c r="AI6"/>
      <c r="AJ6"/>
      <c r="AK6"/>
      <c r="AL6"/>
      <c r="AM6"/>
      <c r="AN6"/>
      <c r="AO6"/>
      <c r="AP6"/>
      <c r="AQ6"/>
      <c r="AR6"/>
      <c r="AS6"/>
      <c r="AT6"/>
      <c r="AU6"/>
    </row>
    <row r="7" spans="1:47">
      <c r="W7"/>
      <c r="X7"/>
      <c r="Y7"/>
      <c r="Z7"/>
      <c r="AA7"/>
      <c r="AB7"/>
      <c r="AC7"/>
      <c r="AD7"/>
      <c r="AE7"/>
      <c r="AF7"/>
      <c r="AG7"/>
      <c r="AH7"/>
      <c r="AI7"/>
      <c r="AJ7"/>
      <c r="AK7"/>
      <c r="AL7"/>
      <c r="AM7"/>
      <c r="AN7"/>
      <c r="AO7"/>
      <c r="AP7"/>
      <c r="AQ7"/>
      <c r="AR7"/>
      <c r="AS7"/>
      <c r="AT7"/>
      <c r="AU7"/>
    </row>
    <row r="8" spans="1:47">
      <c r="A8" s="70" t="s">
        <v>212</v>
      </c>
      <c r="B8" s="71" t="s">
        <v>213</v>
      </c>
      <c r="G8" s="72" t="str">
        <f>MAIN3</f>
        <v>Equipment Input</v>
      </c>
      <c r="H8" s="72" t="s">
        <v>214</v>
      </c>
      <c r="I8" s="72" t="s">
        <v>215</v>
      </c>
      <c r="J8" s="72" t="s">
        <v>216</v>
      </c>
      <c r="K8" s="72" t="s">
        <v>217</v>
      </c>
      <c r="L8" s="72" t="s">
        <v>218</v>
      </c>
      <c r="M8" s="72" t="s">
        <v>219</v>
      </c>
      <c r="N8" s="72" t="s">
        <v>220</v>
      </c>
      <c r="O8" s="72" t="s">
        <v>221</v>
      </c>
      <c r="P8" s="72" t="s">
        <v>222</v>
      </c>
      <c r="Q8" s="72" t="s">
        <v>223</v>
      </c>
      <c r="R8" s="72" t="s">
        <v>224</v>
      </c>
      <c r="S8" s="72" t="s">
        <v>225</v>
      </c>
      <c r="T8" s="72" t="s">
        <v>226</v>
      </c>
      <c r="U8" s="72" t="s">
        <v>227</v>
      </c>
      <c r="V8" s="72" t="s">
        <v>228</v>
      </c>
      <c r="W8"/>
      <c r="X8"/>
      <c r="Y8"/>
      <c r="Z8"/>
      <c r="AA8"/>
      <c r="AB8"/>
      <c r="AC8"/>
      <c r="AD8"/>
      <c r="AE8"/>
      <c r="AF8"/>
      <c r="AG8"/>
      <c r="AH8"/>
      <c r="AI8"/>
      <c r="AJ8"/>
      <c r="AK8"/>
      <c r="AL8"/>
      <c r="AM8"/>
      <c r="AN8"/>
      <c r="AO8"/>
      <c r="AP8"/>
      <c r="AQ8"/>
      <c r="AR8"/>
      <c r="AS8"/>
      <c r="AT8"/>
      <c r="AU8"/>
    </row>
    <row r="9" spans="1:47">
      <c r="A9" s="73" t="s">
        <v>229</v>
      </c>
      <c r="B9" s="74"/>
      <c r="G9" s="204" t="s">
        <v>230</v>
      </c>
      <c r="H9" s="76"/>
      <c r="I9" s="76"/>
      <c r="J9" s="77"/>
      <c r="K9" s="77"/>
      <c r="L9" s="78"/>
      <c r="M9" s="78"/>
      <c r="N9" s="78"/>
      <c r="O9" s="77"/>
      <c r="P9" s="77"/>
      <c r="Q9" s="77"/>
      <c r="R9" s="77"/>
      <c r="S9" s="78"/>
      <c r="T9" s="78"/>
      <c r="U9" s="78"/>
      <c r="V9" s="78"/>
      <c r="W9"/>
      <c r="X9"/>
      <c r="Y9"/>
      <c r="Z9"/>
      <c r="AA9"/>
      <c r="AB9"/>
      <c r="AC9"/>
      <c r="AD9"/>
      <c r="AE9"/>
      <c r="AF9"/>
      <c r="AG9"/>
      <c r="AH9"/>
      <c r="AI9"/>
      <c r="AJ9"/>
      <c r="AK9"/>
      <c r="AL9"/>
      <c r="AM9"/>
      <c r="AN9"/>
      <c r="AO9"/>
      <c r="AP9"/>
      <c r="AQ9"/>
      <c r="AR9"/>
      <c r="AS9"/>
      <c r="AT9"/>
      <c r="AU9"/>
    </row>
    <row r="10" spans="1:47">
      <c r="A10" s="79" t="s">
        <v>231</v>
      </c>
      <c r="B10" s="80" t="s">
        <v>232</v>
      </c>
      <c r="G10" s="75" t="str">
        <f t="shared" ref="G10:G19" si="0">B41</f>
        <v>Lighting &amp; Lighting Controls</v>
      </c>
      <c r="H10" s="76">
        <f>COUNTA('M04-S02'!F$18:F$199)</f>
        <v>0</v>
      </c>
      <c r="I10" s="76"/>
      <c r="J10" s="77">
        <f>SUM('M04-S02'!CM$18:CM$199)</f>
        <v>0</v>
      </c>
      <c r="K10" s="77">
        <f>SUM('M04-S02'!CN$18:CN$199)</f>
        <v>0</v>
      </c>
      <c r="L10" s="77">
        <f>SUM('M04-S02'!CO$18:CO$199)</f>
        <v>0</v>
      </c>
      <c r="M10" s="77">
        <f>SUM('M04-S02'!CP$18:CP$199)</f>
        <v>0</v>
      </c>
      <c r="N10" s="77">
        <f>SUM('M04-S02'!CQ$18:CQ$199)</f>
        <v>0</v>
      </c>
      <c r="O10" s="77">
        <f>SUM('M04-S02'!CR$18:CR$199)</f>
        <v>0</v>
      </c>
      <c r="P10" s="78">
        <f>SUM('M04-S02'!BB$18:BB$199)</f>
        <v>0</v>
      </c>
      <c r="Q10" s="78">
        <f>SUM('M04-S02'!CX$18:CX$199)</f>
        <v>0</v>
      </c>
      <c r="R10" s="78">
        <f>SUM('M04-S02'!CY$18:CY$199)</f>
        <v>0</v>
      </c>
      <c r="S10" s="78">
        <f>SUM('M04-S02'!CH17:CH$199)</f>
        <v>0</v>
      </c>
      <c r="T10" s="78">
        <f>SUM('M04-S02'!CI17:CI$199)</f>
        <v>0</v>
      </c>
      <c r="U10" s="68">
        <f>COUNTIF('M05-S08'!S39:BF40,"&lt;&gt;")</f>
        <v>0</v>
      </c>
      <c r="V10" s="667" t="str">
        <f t="shared" ref="V10:V19" si="1">IFERROR(R10/H10,"")</f>
        <v/>
      </c>
      <c r="W10"/>
      <c r="X10"/>
      <c r="Y10"/>
      <c r="Z10"/>
      <c r="AA10"/>
      <c r="AB10"/>
      <c r="AC10"/>
      <c r="AD10"/>
      <c r="AE10"/>
      <c r="AF10"/>
      <c r="AG10"/>
      <c r="AH10"/>
      <c r="AI10"/>
      <c r="AJ10"/>
      <c r="AK10"/>
      <c r="AL10"/>
      <c r="AM10"/>
      <c r="AN10"/>
      <c r="AO10"/>
      <c r="AP10"/>
      <c r="AQ10"/>
      <c r="AR10"/>
      <c r="AS10"/>
      <c r="AT10"/>
      <c r="AU10"/>
    </row>
    <row r="11" spans="1:47">
      <c r="A11" s="79" t="s">
        <v>233</v>
      </c>
      <c r="B11" s="80" t="s">
        <v>234</v>
      </c>
      <c r="G11" s="75" t="str">
        <f t="shared" si="0"/>
        <v>HVAC</v>
      </c>
      <c r="H11" s="76">
        <f>COUNTA('M04-S03'!F$18:F$199)</f>
        <v>0</v>
      </c>
      <c r="I11" s="76"/>
      <c r="J11" s="77">
        <f>SUM('M04-S03'!CM$18:CM$199)</f>
        <v>0</v>
      </c>
      <c r="K11" s="77">
        <f>SUM('M04-S03'!CN$18:CN$199)</f>
        <v>0</v>
      </c>
      <c r="L11" s="77">
        <f>SUM('M04-S03'!CO$18:CO$199)</f>
        <v>0</v>
      </c>
      <c r="M11" s="77">
        <f>SUM('M04-S03'!CP$18:CP$199)</f>
        <v>0</v>
      </c>
      <c r="N11" s="77">
        <f>SUM('M04-S03'!CQ$18:CQ$199)</f>
        <v>0</v>
      </c>
      <c r="O11" s="77">
        <f>SUM('M04-S03'!CR$18:CR$199)</f>
        <v>0</v>
      </c>
      <c r="P11" s="78">
        <f>SUM('M04-S03'!BB$18:BB$199)</f>
        <v>0</v>
      </c>
      <c r="Q11" s="78">
        <f>SUM('M04-S03'!CX$18:CX$199)</f>
        <v>0</v>
      </c>
      <c r="R11" s="78">
        <f>SUM('M04-S03'!CY$18:CY$199)</f>
        <v>0</v>
      </c>
      <c r="S11" s="78">
        <f>SUM('M04-S03'!CH18:CH$199)</f>
        <v>0</v>
      </c>
      <c r="T11" s="78">
        <f>SUM('M04-S03'!CI18:CI$199)</f>
        <v>0</v>
      </c>
      <c r="U11" s="68">
        <f>COUNTIF('M05-S08'!S41:BF42,"&lt;&gt;")</f>
        <v>0</v>
      </c>
      <c r="V11" s="667" t="str">
        <f t="shared" si="1"/>
        <v/>
      </c>
      <c r="W11"/>
      <c r="X11"/>
      <c r="Y11"/>
      <c r="Z11"/>
      <c r="AA11"/>
      <c r="AB11"/>
      <c r="AC11"/>
      <c r="AD11"/>
      <c r="AE11"/>
      <c r="AF11"/>
      <c r="AG11"/>
      <c r="AH11"/>
      <c r="AI11"/>
      <c r="AJ11"/>
      <c r="AK11"/>
      <c r="AL11"/>
      <c r="AM11"/>
      <c r="AN11"/>
      <c r="AO11"/>
      <c r="AP11"/>
      <c r="AQ11"/>
      <c r="AR11"/>
      <c r="AS11"/>
      <c r="AT11"/>
      <c r="AU11"/>
    </row>
    <row r="12" spans="1:47">
      <c r="A12" s="79" t="s">
        <v>235</v>
      </c>
      <c r="B12" s="80" t="s">
        <v>236</v>
      </c>
      <c r="G12" s="75" t="str">
        <f t="shared" si="0"/>
        <v>Heating</v>
      </c>
      <c r="H12" s="76">
        <f>COUNTA('M04-S04'!F$18:F$199)</f>
        <v>0</v>
      </c>
      <c r="I12" s="76"/>
      <c r="J12" s="77">
        <f>SUM('M04-S04'!CM$18:CM$199)</f>
        <v>0</v>
      </c>
      <c r="K12" s="77">
        <f>SUM('M04-S04'!CN$18:CN$199)</f>
        <v>0</v>
      </c>
      <c r="L12" s="77">
        <f>SUM('M04-S04'!CO$18:CO$199)</f>
        <v>0</v>
      </c>
      <c r="M12" s="77">
        <f>SUM('M04-S04'!CP$18:CP$199)</f>
        <v>0</v>
      </c>
      <c r="N12" s="77">
        <f>SUM('M04-S04'!CQ$18:CQ$199)</f>
        <v>0</v>
      </c>
      <c r="O12" s="77">
        <f>SUM('M04-S04'!CR$18:CR$199)</f>
        <v>0</v>
      </c>
      <c r="P12" s="78">
        <f>SUM('M04-S04'!BB$18:BB$199)</f>
        <v>0</v>
      </c>
      <c r="Q12" s="78">
        <f>SUM('M04-S04'!CX$18:CX$199)</f>
        <v>0</v>
      </c>
      <c r="R12" s="78">
        <f>SUM('M04-S04'!CY$18:CY$199)</f>
        <v>0</v>
      </c>
      <c r="S12" s="78">
        <f>SUM('M04-S04'!CH18:CH$199)</f>
        <v>0</v>
      </c>
      <c r="T12" s="78">
        <f>SUM('M04-S04'!CI18:CI$199)</f>
        <v>0</v>
      </c>
      <c r="U12" s="68">
        <f>COUNTIF('M05-S08'!S43:BF44,"&lt;&gt;")</f>
        <v>0</v>
      </c>
      <c r="V12" s="667" t="str">
        <f t="shared" si="1"/>
        <v/>
      </c>
      <c r="W12"/>
      <c r="X12"/>
      <c r="Y12"/>
      <c r="Z12"/>
      <c r="AA12"/>
      <c r="AB12"/>
      <c r="AC12"/>
      <c r="AD12"/>
      <c r="AE12"/>
      <c r="AF12"/>
      <c r="AG12"/>
      <c r="AH12"/>
      <c r="AI12"/>
      <c r="AJ12"/>
      <c r="AK12"/>
      <c r="AL12"/>
      <c r="AM12"/>
      <c r="AN12"/>
      <c r="AO12"/>
      <c r="AP12"/>
      <c r="AQ12"/>
      <c r="AR12"/>
      <c r="AS12"/>
      <c r="AT12"/>
      <c r="AU12"/>
    </row>
    <row r="13" spans="1:47">
      <c r="A13" s="79" t="s">
        <v>237</v>
      </c>
      <c r="B13" s="80" t="s">
        <v>238</v>
      </c>
      <c r="G13" s="75" t="str">
        <f t="shared" si="0"/>
        <v>Water Heating &amp; Boilers</v>
      </c>
      <c r="H13" s="76">
        <f>COUNTA('M04-S05'!F$18:F$199)</f>
        <v>0</v>
      </c>
      <c r="I13" s="76"/>
      <c r="J13" s="77">
        <f>SUM('M04-S05'!CM$18:CM$199)</f>
        <v>0</v>
      </c>
      <c r="K13" s="77">
        <f>SUM('M04-S05'!CN$18:CN$199)</f>
        <v>0</v>
      </c>
      <c r="L13" s="77">
        <f>SUM('M04-S05'!CO$18:CO$199)</f>
        <v>0</v>
      </c>
      <c r="M13" s="77">
        <f>SUM('M04-S05'!CP$18:CP$199)</f>
        <v>0</v>
      </c>
      <c r="N13" s="77">
        <f>SUM('M04-S05'!CQ$18:CQ$199)</f>
        <v>0</v>
      </c>
      <c r="O13" s="77">
        <f>SUM('M04-S05'!CR$18:CR$199)</f>
        <v>0</v>
      </c>
      <c r="P13" s="78">
        <f>SUM('M04-S05'!BB$18:BB$199)</f>
        <v>0</v>
      </c>
      <c r="Q13" s="78">
        <f>SUM('M04-S05'!CX$18:CX$199)</f>
        <v>0</v>
      </c>
      <c r="R13" s="78">
        <f>SUM('M04-S05'!CY$18:CY$199)</f>
        <v>0</v>
      </c>
      <c r="S13" s="78">
        <f>SUM('M04-S05'!CH18:CH$199)</f>
        <v>0</v>
      </c>
      <c r="T13" s="78">
        <f>SUM('M04-S05'!CI18:CI$199)</f>
        <v>0</v>
      </c>
      <c r="U13" s="68">
        <f>COUNTIF('M05-S08'!S45:BF46,"&lt;&gt;")</f>
        <v>0</v>
      </c>
      <c r="V13" s="667" t="str">
        <f t="shared" si="1"/>
        <v/>
      </c>
      <c r="W13"/>
      <c r="X13"/>
      <c r="Y13"/>
      <c r="Z13"/>
      <c r="AA13"/>
      <c r="AB13"/>
      <c r="AC13"/>
      <c r="AD13"/>
      <c r="AE13"/>
      <c r="AF13"/>
      <c r="AG13"/>
      <c r="AH13"/>
      <c r="AI13"/>
      <c r="AJ13"/>
      <c r="AK13"/>
      <c r="AL13"/>
      <c r="AM13"/>
      <c r="AN13"/>
      <c r="AO13"/>
      <c r="AP13"/>
      <c r="AQ13"/>
      <c r="AR13"/>
      <c r="AS13"/>
      <c r="AT13"/>
      <c r="AU13"/>
    </row>
    <row r="14" spans="1:47">
      <c r="A14" s="79" t="s">
        <v>239</v>
      </c>
      <c r="B14" s="80"/>
      <c r="G14" s="75" t="str">
        <f t="shared" si="0"/>
        <v>Refrigeration</v>
      </c>
      <c r="H14" s="76">
        <f>COUNTA('M04-S06'!F$18:F$199)</f>
        <v>0</v>
      </c>
      <c r="I14" s="76"/>
      <c r="J14" s="77">
        <f>SUM('M04-S06'!CM$18:CM$199)</f>
        <v>0</v>
      </c>
      <c r="K14" s="77">
        <f>SUM('M04-S06'!CN$18:CN$199)</f>
        <v>0</v>
      </c>
      <c r="L14" s="77">
        <f>SUM('M04-S06'!CO$18:CO$199)</f>
        <v>0</v>
      </c>
      <c r="M14" s="77">
        <f>SUM('M04-S06'!CP$18:CP$199)</f>
        <v>0</v>
      </c>
      <c r="N14" s="77">
        <f>SUM('M04-S06'!CQ$18:CQ$199)</f>
        <v>0</v>
      </c>
      <c r="O14" s="77">
        <f>SUM('M04-S06'!CR$18:CR$199)</f>
        <v>0</v>
      </c>
      <c r="P14" s="78">
        <f>SUM('M04-S06'!BB$17:BB$199)</f>
        <v>0</v>
      </c>
      <c r="Q14" s="78">
        <f>SUM('M04-S06'!CX$18:CX$199)</f>
        <v>0</v>
      </c>
      <c r="R14" s="78">
        <f>SUM('M04-S06'!CY$18:CY$199)</f>
        <v>0</v>
      </c>
      <c r="S14" s="78">
        <f>SUM('M04-S06'!CH18:CH$199)</f>
        <v>0</v>
      </c>
      <c r="T14" s="78">
        <f>SUM('M04-S06'!CI18:CI$199)</f>
        <v>0</v>
      </c>
      <c r="U14" s="68">
        <f>COUNTIF('M05-S08'!S47:BF48,"&lt;&gt;")</f>
        <v>0</v>
      </c>
      <c r="V14" s="667" t="str">
        <f t="shared" si="1"/>
        <v/>
      </c>
      <c r="W14"/>
      <c r="X14"/>
      <c r="Y14"/>
      <c r="Z14"/>
      <c r="AA14"/>
      <c r="AB14"/>
      <c r="AC14"/>
      <c r="AD14"/>
      <c r="AE14"/>
      <c r="AF14"/>
      <c r="AG14"/>
      <c r="AH14"/>
      <c r="AI14"/>
      <c r="AJ14"/>
      <c r="AK14"/>
      <c r="AL14"/>
      <c r="AM14"/>
      <c r="AN14"/>
      <c r="AO14"/>
      <c r="AP14"/>
      <c r="AQ14"/>
      <c r="AR14"/>
      <c r="AS14"/>
      <c r="AT14"/>
      <c r="AU14"/>
    </row>
    <row r="15" spans="1:47">
      <c r="A15" s="79" t="s">
        <v>240</v>
      </c>
      <c r="B15" s="80"/>
      <c r="G15" s="75" t="str">
        <f t="shared" si="0"/>
        <v>Food Service</v>
      </c>
      <c r="H15" s="76">
        <f>COUNTA('M04-S07'!F$18:F$199)</f>
        <v>0</v>
      </c>
      <c r="I15" s="76"/>
      <c r="J15" s="77">
        <f>SUM('M04-S07'!CM$18:CM$199)</f>
        <v>0</v>
      </c>
      <c r="K15" s="77">
        <f>SUM('M04-S07'!CN$18:CN$199)</f>
        <v>0</v>
      </c>
      <c r="L15" s="77">
        <f>SUM('M04-S07'!CO$18:CO$199)</f>
        <v>0</v>
      </c>
      <c r="M15" s="77">
        <f>SUM('M04-S07'!CP$18:CP$199)</f>
        <v>0</v>
      </c>
      <c r="N15" s="77">
        <f>SUM('M04-S07'!CQ$18:CQ$199)</f>
        <v>0</v>
      </c>
      <c r="O15" s="77">
        <f>SUM('M04-S07'!CR$18:CR$199)</f>
        <v>0</v>
      </c>
      <c r="P15" s="78">
        <f>SUM('M04-S07'!BB$18:BB$199)</f>
        <v>0</v>
      </c>
      <c r="Q15" s="78">
        <f>SUM('M04-S07'!CX$18:CX$199)</f>
        <v>0</v>
      </c>
      <c r="R15" s="78">
        <f>SUM('M04-S07'!CY$18:CY$199)</f>
        <v>0</v>
      </c>
      <c r="S15" s="78">
        <f>SUM('M04-S07'!CH18:CH$199)</f>
        <v>0</v>
      </c>
      <c r="T15" s="78">
        <f>SUM('M04-S07'!CI18:CI$199)</f>
        <v>0</v>
      </c>
      <c r="U15" s="68">
        <f>COUNTIF('M05-S08'!S49:BF50,"&lt;&gt;")</f>
        <v>0</v>
      </c>
      <c r="V15" s="667" t="str">
        <f t="shared" si="1"/>
        <v/>
      </c>
      <c r="W15"/>
      <c r="X15"/>
      <c r="Y15"/>
      <c r="Z15"/>
      <c r="AA15"/>
      <c r="AB15"/>
      <c r="AC15"/>
      <c r="AD15"/>
      <c r="AE15"/>
      <c r="AF15"/>
      <c r="AG15"/>
      <c r="AH15"/>
      <c r="AI15"/>
      <c r="AJ15"/>
      <c r="AK15"/>
      <c r="AL15"/>
      <c r="AM15"/>
      <c r="AN15"/>
      <c r="AO15"/>
      <c r="AP15"/>
      <c r="AQ15"/>
      <c r="AR15"/>
      <c r="AS15"/>
      <c r="AT15"/>
      <c r="AU15"/>
    </row>
    <row r="16" spans="1:47">
      <c r="A16" s="79" t="s">
        <v>241</v>
      </c>
      <c r="B16" s="80"/>
      <c r="D16"/>
      <c r="E16"/>
      <c r="G16" s="75" t="str">
        <f t="shared" si="0"/>
        <v>Agriculture</v>
      </c>
      <c r="H16" s="76">
        <f>COUNTA('M04-S08'!F$18:F$199)</f>
        <v>0</v>
      </c>
      <c r="I16" s="76"/>
      <c r="J16" s="77">
        <f>SUM('M04-S08'!CM$18:CM$199)</f>
        <v>0</v>
      </c>
      <c r="K16" s="77">
        <f>SUM('M04-S08'!CN$18:CN$199)</f>
        <v>0</v>
      </c>
      <c r="L16" s="77">
        <f>SUM('M04-S08'!CO$18:CO$199)</f>
        <v>0</v>
      </c>
      <c r="M16" s="77">
        <f>SUM('M04-S08'!CP$18:CP$199)</f>
        <v>0</v>
      </c>
      <c r="N16" s="77">
        <f>SUM('M04-S08'!CQ$18:CQ$199)</f>
        <v>0</v>
      </c>
      <c r="O16" s="77">
        <f>SUM('M04-S08'!CR$18:CR$199)</f>
        <v>0</v>
      </c>
      <c r="P16" s="78">
        <f>SUM('M04-S08'!BB$18:BB$199)</f>
        <v>0</v>
      </c>
      <c r="Q16" s="78">
        <f>SUM('M04-S08'!CX$18:CX$199)</f>
        <v>0</v>
      </c>
      <c r="R16" s="78">
        <f>SUM('M04-S08'!CY$18:CY$199)</f>
        <v>0</v>
      </c>
      <c r="S16" s="78">
        <f>SUM('M04-S08'!CH18:CH$199)</f>
        <v>0</v>
      </c>
      <c r="T16" s="78">
        <f>SUM('M04-S08'!CI18:CI$199)</f>
        <v>0</v>
      </c>
      <c r="U16" s="68">
        <f>COUNTIF('M05-S08'!S51:BF52,"&lt;&gt;")</f>
        <v>0</v>
      </c>
      <c r="V16" s="667" t="str">
        <f>IFERROR(R16/H16,"")</f>
        <v/>
      </c>
      <c r="W16"/>
      <c r="X16"/>
      <c r="Y16"/>
      <c r="Z16"/>
      <c r="AA16"/>
      <c r="AB16"/>
      <c r="AC16"/>
      <c r="AD16"/>
      <c r="AE16"/>
      <c r="AF16"/>
      <c r="AG16"/>
      <c r="AH16"/>
      <c r="AI16"/>
      <c r="AJ16"/>
      <c r="AK16"/>
      <c r="AL16"/>
      <c r="AM16"/>
      <c r="AN16"/>
      <c r="AO16"/>
      <c r="AP16"/>
      <c r="AQ16"/>
      <c r="AR16"/>
      <c r="AS16"/>
      <c r="AT16"/>
      <c r="AU16"/>
    </row>
    <row r="17" spans="1:47">
      <c r="A17" s="81" t="s">
        <v>242</v>
      </c>
      <c r="B17" s="82"/>
      <c r="D17"/>
      <c r="E17"/>
      <c r="G17" s="75" t="str">
        <f t="shared" si="0"/>
        <v>Plug Load</v>
      </c>
      <c r="H17" s="76">
        <f>COUNTA('M04-S09'!F$18:F$199)</f>
        <v>0</v>
      </c>
      <c r="I17" s="76"/>
      <c r="J17" s="77">
        <f>SUM('M04-S09'!CM$18:CM$199)</f>
        <v>0</v>
      </c>
      <c r="K17" s="77">
        <f>SUM('M04-S09'!CN$18:CN$199)</f>
        <v>0</v>
      </c>
      <c r="L17" s="77">
        <f>SUM('M04-S09'!CO$18:CO$199)</f>
        <v>0</v>
      </c>
      <c r="M17" s="77">
        <f>SUM('M04-S09'!CP$18:CP$199)</f>
        <v>0</v>
      </c>
      <c r="N17" s="77">
        <f>SUM('M04-S09'!CQ$18:CQ$199)</f>
        <v>0</v>
      </c>
      <c r="O17" s="77">
        <f>SUM('M04-S09'!CR$18:CR$199)</f>
        <v>0</v>
      </c>
      <c r="P17" s="78">
        <f>SUM('M04-S09'!BB$18:BB$199)</f>
        <v>0</v>
      </c>
      <c r="Q17" s="78">
        <f>SUM('M04-S09'!CX$18:CX$199)</f>
        <v>0</v>
      </c>
      <c r="R17" s="78">
        <f>SUM('M04-S09'!CY$18:CY$199)</f>
        <v>0</v>
      </c>
      <c r="S17" s="78">
        <f>SUM('M04-S09'!CH18:CH$199)</f>
        <v>0</v>
      </c>
      <c r="T17" s="78">
        <f>SUM('M04-S09'!CI18:CI$199)</f>
        <v>0</v>
      </c>
      <c r="U17" s="68">
        <f>COUNTIF('M05-S08'!S53:BF54,"&lt;&gt;")</f>
        <v>0</v>
      </c>
      <c r="V17" s="667" t="str">
        <f t="shared" si="1"/>
        <v/>
      </c>
      <c r="W17"/>
      <c r="X17"/>
      <c r="Y17"/>
      <c r="Z17"/>
      <c r="AA17"/>
      <c r="AB17"/>
      <c r="AC17"/>
      <c r="AD17"/>
      <c r="AE17"/>
      <c r="AF17"/>
      <c r="AG17"/>
      <c r="AH17"/>
      <c r="AI17"/>
      <c r="AJ17"/>
      <c r="AK17"/>
      <c r="AL17"/>
      <c r="AM17"/>
      <c r="AN17"/>
      <c r="AO17"/>
      <c r="AP17"/>
      <c r="AQ17"/>
      <c r="AR17"/>
      <c r="AS17"/>
      <c r="AT17"/>
      <c r="AU17"/>
    </row>
    <row r="18" spans="1:47">
      <c r="A18" s="73" t="s">
        <v>243</v>
      </c>
      <c r="B18" s="74"/>
      <c r="D18"/>
      <c r="E18"/>
      <c r="G18" s="75" t="str">
        <f t="shared" si="0"/>
        <v>Residential Appliances</v>
      </c>
      <c r="H18" s="76">
        <f>COUNTA('M04-S10'!F$18:F$199)</f>
        <v>0</v>
      </c>
      <c r="I18" s="76"/>
      <c r="J18" s="77">
        <f>SUM('M04-S10'!CM$18:CM$199)</f>
        <v>0</v>
      </c>
      <c r="K18" s="77">
        <f>SUM('M04-S10'!CN$18:CN$199)</f>
        <v>0</v>
      </c>
      <c r="L18" s="77">
        <f>SUM('M04-S10'!CO$18:CO$199)</f>
        <v>0</v>
      </c>
      <c r="M18" s="77">
        <f>SUM('M04-S10'!CP$18:CP$199)</f>
        <v>0</v>
      </c>
      <c r="N18" s="77">
        <f>SUM('M04-S10'!CQ$18:CQ$199)</f>
        <v>0</v>
      </c>
      <c r="O18" s="77">
        <f>SUM('M04-S10'!CR$18:CR$199)</f>
        <v>0</v>
      </c>
      <c r="P18" s="78">
        <f>SUM('M04-S10'!BB$18:BB$199)</f>
        <v>0</v>
      </c>
      <c r="Q18" s="78">
        <f>SUM('M04-S10'!CX$18:CX$199)</f>
        <v>0</v>
      </c>
      <c r="R18" s="78">
        <f>SUM('M04-S10'!CY$18:CY$199)</f>
        <v>0</v>
      </c>
      <c r="S18" s="78">
        <f>SUM('M04-S10'!CH18:CH$199)</f>
        <v>0</v>
      </c>
      <c r="T18" s="78">
        <f>SUM('M04-S10'!CI18:CI$199)</f>
        <v>0</v>
      </c>
      <c r="U18" s="68">
        <f>COUNTIF('M05-S08'!S55:BF56,"&lt;&gt;")</f>
        <v>0</v>
      </c>
      <c r="V18" s="667" t="str">
        <f t="shared" si="1"/>
        <v/>
      </c>
      <c r="W18"/>
      <c r="X18"/>
      <c r="Y18"/>
      <c r="Z18"/>
      <c r="AA18"/>
      <c r="AB18"/>
      <c r="AC18"/>
      <c r="AD18"/>
      <c r="AE18"/>
      <c r="AF18"/>
      <c r="AG18"/>
      <c r="AH18"/>
      <c r="AI18"/>
      <c r="AJ18"/>
      <c r="AK18"/>
      <c r="AL18"/>
      <c r="AM18"/>
      <c r="AN18"/>
      <c r="AO18"/>
      <c r="AP18"/>
      <c r="AQ18"/>
      <c r="AR18"/>
      <c r="AS18"/>
      <c r="AT18"/>
      <c r="AU18"/>
    </row>
    <row r="19" spans="1:47">
      <c r="A19" s="79" t="s">
        <v>244</v>
      </c>
      <c r="B19" s="80" t="s">
        <v>245</v>
      </c>
      <c r="D19"/>
      <c r="E19"/>
      <c r="G19" s="75" t="str">
        <f t="shared" si="0"/>
        <v>Miscellaneous</v>
      </c>
      <c r="H19" s="76">
        <f>COUNTA('M04-S11'!F$18:F$199)</f>
        <v>0</v>
      </c>
      <c r="I19" s="76"/>
      <c r="J19" s="77">
        <f>SUM('M04-S11'!CM$18:CM$199)</f>
        <v>0</v>
      </c>
      <c r="K19" s="77">
        <f>SUM('M04-S11'!CN$18:CN$199)</f>
        <v>0</v>
      </c>
      <c r="L19" s="77">
        <f>SUM('M04-S11'!CO$18:CO$199)</f>
        <v>0</v>
      </c>
      <c r="M19" s="77">
        <f>SUM('M04-S11'!CP$18:CP$199)</f>
        <v>0</v>
      </c>
      <c r="N19" s="77">
        <f>SUM('M04-S11'!CQ$18:CQ$199)</f>
        <v>0</v>
      </c>
      <c r="O19" s="77">
        <f>SUM('M04-S11'!CR$18:CR$199)</f>
        <v>0</v>
      </c>
      <c r="P19" s="78">
        <f>SUM('M04-S11'!BB$18:BB$199)</f>
        <v>0</v>
      </c>
      <c r="Q19" s="78">
        <f>SUM('M04-S11'!CX$18:CX$199)</f>
        <v>0</v>
      </c>
      <c r="R19" s="78">
        <f>SUM('M04-S11'!CY$18:CY$199)</f>
        <v>0</v>
      </c>
      <c r="S19" s="78">
        <f>SUM('M04-S11'!CH18:CH$199)</f>
        <v>0</v>
      </c>
      <c r="T19" s="78">
        <f>SUM('M04-S11'!CI18:CI$199)</f>
        <v>0</v>
      </c>
      <c r="U19" s="68">
        <f>COUNTIF('M05-S08'!S57:BF58,"&lt;&gt;")</f>
        <v>0</v>
      </c>
      <c r="V19" s="667" t="str">
        <f t="shared" si="1"/>
        <v/>
      </c>
      <c r="W19"/>
      <c r="X19"/>
      <c r="Y19"/>
      <c r="Z19"/>
      <c r="AA19"/>
      <c r="AB19"/>
      <c r="AC19"/>
      <c r="AD19"/>
      <c r="AE19"/>
      <c r="AF19"/>
      <c r="AG19"/>
      <c r="AH19"/>
      <c r="AI19"/>
      <c r="AJ19"/>
      <c r="AK19"/>
      <c r="AL19"/>
      <c r="AM19"/>
      <c r="AN19"/>
      <c r="AO19"/>
      <c r="AP19"/>
      <c r="AQ19"/>
      <c r="AR19"/>
      <c r="AS19"/>
      <c r="AT19"/>
      <c r="AU19"/>
    </row>
    <row r="20" spans="1:47">
      <c r="A20" s="79" t="s">
        <v>246</v>
      </c>
      <c r="B20" s="80" t="s">
        <v>247</v>
      </c>
      <c r="D20"/>
      <c r="E20"/>
      <c r="G20" s="84" t="s">
        <v>248</v>
      </c>
      <c r="H20" s="85">
        <f>SUM(H10:H19)</f>
        <v>0</v>
      </c>
      <c r="I20" s="85"/>
      <c r="J20" s="85">
        <f t="shared" ref="J20:V20" si="2">SUM(J10:J19)</f>
        <v>0</v>
      </c>
      <c r="K20" s="85">
        <f t="shared" si="2"/>
        <v>0</v>
      </c>
      <c r="L20" s="85">
        <f t="shared" si="2"/>
        <v>0</v>
      </c>
      <c r="M20" s="85">
        <f t="shared" si="2"/>
        <v>0</v>
      </c>
      <c r="N20" s="85">
        <f t="shared" si="2"/>
        <v>0</v>
      </c>
      <c r="O20" s="85">
        <f t="shared" si="2"/>
        <v>0</v>
      </c>
      <c r="P20" s="256">
        <f t="shared" si="2"/>
        <v>0</v>
      </c>
      <c r="Q20" s="256">
        <f t="shared" si="2"/>
        <v>0</v>
      </c>
      <c r="R20" s="256">
        <f t="shared" si="2"/>
        <v>0</v>
      </c>
      <c r="S20" s="256">
        <f t="shared" si="2"/>
        <v>0</v>
      </c>
      <c r="T20" s="256">
        <f t="shared" si="2"/>
        <v>0</v>
      </c>
      <c r="U20" s="668">
        <f t="shared" si="2"/>
        <v>0</v>
      </c>
      <c r="V20" s="256">
        <f t="shared" si="2"/>
        <v>0</v>
      </c>
      <c r="W20"/>
      <c r="X20"/>
      <c r="Y20"/>
      <c r="Z20"/>
      <c r="AA20"/>
      <c r="AB20"/>
      <c r="AC20"/>
      <c r="AD20"/>
      <c r="AE20"/>
      <c r="AF20"/>
      <c r="AG20"/>
      <c r="AH20"/>
      <c r="AI20"/>
      <c r="AJ20"/>
      <c r="AK20"/>
      <c r="AL20"/>
      <c r="AM20"/>
      <c r="AN20"/>
      <c r="AO20"/>
      <c r="AP20"/>
      <c r="AQ20"/>
      <c r="AR20"/>
      <c r="AS20"/>
      <c r="AT20"/>
      <c r="AU20"/>
    </row>
    <row r="21" spans="1:47">
      <c r="A21" s="79" t="s">
        <v>249</v>
      </c>
      <c r="B21" s="80" t="s">
        <v>250</v>
      </c>
      <c r="D21"/>
      <c r="E21"/>
      <c r="G21" s="84" t="s">
        <v>251</v>
      </c>
      <c r="H21" s="85">
        <f>SUM(H9:H19)</f>
        <v>0</v>
      </c>
      <c r="I21" s="85"/>
      <c r="J21" s="86">
        <f t="shared" ref="J21:T21" si="3">SUM(J9:J19)</f>
        <v>0</v>
      </c>
      <c r="K21" s="86">
        <f t="shared" si="3"/>
        <v>0</v>
      </c>
      <c r="L21" s="86">
        <f t="shared" si="3"/>
        <v>0</v>
      </c>
      <c r="M21" s="86">
        <f t="shared" si="3"/>
        <v>0</v>
      </c>
      <c r="N21" s="86">
        <f t="shared" si="3"/>
        <v>0</v>
      </c>
      <c r="O21" s="86">
        <f t="shared" si="3"/>
        <v>0</v>
      </c>
      <c r="P21" s="256">
        <f t="shared" si="3"/>
        <v>0</v>
      </c>
      <c r="Q21" s="256">
        <f t="shared" si="3"/>
        <v>0</v>
      </c>
      <c r="R21" s="256">
        <f t="shared" si="3"/>
        <v>0</v>
      </c>
      <c r="S21" s="256">
        <f t="shared" si="3"/>
        <v>0</v>
      </c>
      <c r="T21" s="256">
        <f t="shared" si="3"/>
        <v>0</v>
      </c>
      <c r="U21" s="668">
        <f t="shared" ref="U21:V21" si="4">SUM(U10:U19)</f>
        <v>0</v>
      </c>
      <c r="V21" s="256">
        <f t="shared" si="4"/>
        <v>0</v>
      </c>
      <c r="W21"/>
      <c r="X21"/>
      <c r="Y21"/>
      <c r="Z21"/>
      <c r="AA21"/>
      <c r="AB21"/>
      <c r="AC21"/>
      <c r="AD21"/>
      <c r="AE21"/>
      <c r="AF21"/>
      <c r="AG21"/>
      <c r="AH21"/>
      <c r="AI21"/>
      <c r="AJ21"/>
      <c r="AK21"/>
      <c r="AL21"/>
      <c r="AM21"/>
      <c r="AN21"/>
      <c r="AO21"/>
      <c r="AP21"/>
      <c r="AQ21"/>
      <c r="AR21"/>
      <c r="AS21"/>
      <c r="AT21"/>
      <c r="AU21"/>
    </row>
    <row r="22" spans="1:47">
      <c r="A22" s="79" t="s">
        <v>252</v>
      </c>
      <c r="B22" s="80" t="s">
        <v>253</v>
      </c>
      <c r="D22"/>
      <c r="E22"/>
      <c r="U22"/>
      <c r="V22"/>
      <c r="W22"/>
      <c r="X22"/>
      <c r="Y22"/>
      <c r="Z22"/>
      <c r="AA22"/>
      <c r="AB22"/>
      <c r="AC22"/>
      <c r="AD22"/>
      <c r="AE22"/>
      <c r="AF22"/>
      <c r="AG22"/>
      <c r="AH22"/>
      <c r="AI22"/>
      <c r="AJ22"/>
      <c r="AK22"/>
      <c r="AL22"/>
      <c r="AM22"/>
      <c r="AN22"/>
      <c r="AO22"/>
      <c r="AP22"/>
      <c r="AQ22"/>
      <c r="AR22"/>
      <c r="AS22"/>
      <c r="AT22"/>
      <c r="AU22"/>
    </row>
    <row r="23" spans="1:47">
      <c r="A23" s="79" t="s">
        <v>254</v>
      </c>
      <c r="B23" s="83"/>
      <c r="D23"/>
      <c r="E23"/>
      <c r="W23"/>
      <c r="X23"/>
      <c r="Y23"/>
      <c r="Z23"/>
      <c r="AA23"/>
      <c r="AB23"/>
      <c r="AC23"/>
      <c r="AD23"/>
      <c r="AE23"/>
      <c r="AF23"/>
      <c r="AG23"/>
      <c r="AH23"/>
      <c r="AI23"/>
      <c r="AJ23"/>
      <c r="AK23"/>
      <c r="AL23"/>
      <c r="AM23"/>
      <c r="AN23"/>
      <c r="AO23"/>
      <c r="AP23"/>
      <c r="AQ23"/>
      <c r="AR23"/>
      <c r="AS23"/>
      <c r="AT23"/>
      <c r="AU23"/>
    </row>
    <row r="24" spans="1:47">
      <c r="A24" s="79" t="s">
        <v>255</v>
      </c>
      <c r="B24" s="80"/>
      <c r="D24"/>
      <c r="E24"/>
      <c r="W24"/>
      <c r="X24"/>
      <c r="Y24"/>
      <c r="Z24"/>
      <c r="AA24"/>
      <c r="AB24"/>
      <c r="AC24"/>
      <c r="AD24"/>
      <c r="AE24"/>
      <c r="AF24"/>
      <c r="AG24"/>
      <c r="AH24"/>
      <c r="AI24"/>
      <c r="AJ24"/>
      <c r="AK24"/>
      <c r="AL24"/>
      <c r="AM24"/>
      <c r="AN24"/>
      <c r="AO24"/>
      <c r="AP24"/>
      <c r="AQ24"/>
      <c r="AR24"/>
      <c r="AS24"/>
      <c r="AT24"/>
      <c r="AU24"/>
    </row>
    <row r="25" spans="1:47">
      <c r="A25" s="79" t="s">
        <v>256</v>
      </c>
      <c r="B25" s="80"/>
      <c r="D25"/>
      <c r="E25"/>
      <c r="W25"/>
      <c r="X25"/>
      <c r="Y25"/>
      <c r="Z25"/>
      <c r="AA25"/>
      <c r="AB25"/>
      <c r="AC25"/>
      <c r="AD25"/>
      <c r="AE25"/>
      <c r="AF25"/>
      <c r="AG25"/>
      <c r="AH25"/>
      <c r="AI25"/>
      <c r="AJ25"/>
      <c r="AK25"/>
      <c r="AL25"/>
      <c r="AM25"/>
      <c r="AN25"/>
      <c r="AO25"/>
      <c r="AP25"/>
      <c r="AQ25"/>
      <c r="AR25"/>
      <c r="AS25"/>
      <c r="AT25"/>
      <c r="AU25"/>
    </row>
    <row r="26" spans="1:47">
      <c r="A26" s="81" t="s">
        <v>257</v>
      </c>
      <c r="B26" s="82"/>
      <c r="D26"/>
      <c r="E26"/>
      <c r="F26"/>
      <c r="S26" s="84" t="s">
        <v>258</v>
      </c>
      <c r="T26" s="84" t="s">
        <v>259</v>
      </c>
      <c r="W26"/>
      <c r="X26"/>
      <c r="Y26"/>
      <c r="Z26"/>
      <c r="AA26"/>
      <c r="AB26"/>
      <c r="AC26"/>
      <c r="AD26"/>
      <c r="AE26"/>
      <c r="AF26"/>
      <c r="AG26"/>
      <c r="AH26"/>
      <c r="AI26"/>
      <c r="AJ26"/>
      <c r="AK26"/>
      <c r="AL26"/>
      <c r="AM26"/>
      <c r="AN26"/>
      <c r="AO26"/>
      <c r="AP26"/>
      <c r="AQ26"/>
      <c r="AR26"/>
      <c r="AS26"/>
      <c r="AT26"/>
      <c r="AU26"/>
    </row>
    <row r="27" spans="1:47">
      <c r="A27" s="73" t="s">
        <v>260</v>
      </c>
      <c r="B27" s="94" t="s">
        <v>261</v>
      </c>
      <c r="D27"/>
      <c r="E27"/>
      <c r="W27"/>
      <c r="X27"/>
      <c r="Y27"/>
      <c r="Z27"/>
      <c r="AA27"/>
      <c r="AB27"/>
      <c r="AC27"/>
      <c r="AD27"/>
      <c r="AE27"/>
      <c r="AF27"/>
      <c r="AG27"/>
      <c r="AH27"/>
      <c r="AI27"/>
      <c r="AJ27"/>
      <c r="AK27"/>
      <c r="AL27"/>
      <c r="AM27"/>
      <c r="AN27"/>
      <c r="AO27"/>
      <c r="AP27"/>
      <c r="AQ27"/>
      <c r="AR27"/>
      <c r="AS27"/>
      <c r="AT27"/>
      <c r="AU27"/>
    </row>
    <row r="28" spans="1:47">
      <c r="A28" s="79" t="s">
        <v>262</v>
      </c>
      <c r="B28" s="95" t="s">
        <v>263</v>
      </c>
      <c r="W28"/>
      <c r="X28"/>
      <c r="Y28"/>
      <c r="Z28"/>
      <c r="AA28"/>
      <c r="AB28"/>
      <c r="AC28"/>
      <c r="AD28"/>
      <c r="AE28"/>
      <c r="AF28"/>
      <c r="AG28"/>
      <c r="AH28"/>
      <c r="AI28"/>
      <c r="AJ28"/>
      <c r="AK28"/>
      <c r="AL28"/>
      <c r="AM28"/>
      <c r="AN28"/>
      <c r="AO28"/>
      <c r="AP28"/>
      <c r="AQ28"/>
      <c r="AR28"/>
      <c r="AS28"/>
      <c r="AT28"/>
      <c r="AU28"/>
    </row>
    <row r="29" spans="1:47">
      <c r="A29" s="79" t="s">
        <v>264</v>
      </c>
      <c r="B29" s="95" t="s">
        <v>265</v>
      </c>
      <c r="C29"/>
      <c r="W29"/>
      <c r="X29"/>
      <c r="Y29"/>
      <c r="Z29"/>
      <c r="AA29"/>
      <c r="AB29"/>
      <c r="AC29"/>
      <c r="AD29"/>
      <c r="AE29"/>
      <c r="AF29"/>
      <c r="AG29"/>
      <c r="AH29"/>
      <c r="AI29"/>
      <c r="AJ29"/>
      <c r="AK29"/>
      <c r="AL29"/>
      <c r="AM29"/>
      <c r="AN29"/>
      <c r="AO29"/>
      <c r="AP29"/>
      <c r="AQ29"/>
      <c r="AR29"/>
      <c r="AS29"/>
      <c r="AT29"/>
      <c r="AU29"/>
    </row>
    <row r="30" spans="1:47">
      <c r="A30" s="79" t="s">
        <v>266</v>
      </c>
      <c r="B30" s="80" t="s">
        <v>267</v>
      </c>
      <c r="C30"/>
      <c r="W30"/>
      <c r="X30"/>
      <c r="Y30"/>
      <c r="Z30"/>
      <c r="AA30"/>
      <c r="AB30"/>
      <c r="AC30"/>
      <c r="AD30"/>
      <c r="AE30"/>
      <c r="AF30"/>
      <c r="AG30"/>
      <c r="AH30"/>
      <c r="AI30"/>
      <c r="AJ30"/>
      <c r="AK30"/>
      <c r="AL30"/>
      <c r="AM30"/>
      <c r="AN30"/>
      <c r="AO30"/>
      <c r="AP30"/>
      <c r="AQ30"/>
      <c r="AR30"/>
      <c r="AS30"/>
      <c r="AT30"/>
      <c r="AU30"/>
    </row>
    <row r="31" spans="1:47">
      <c r="A31" s="79" t="s">
        <v>268</v>
      </c>
      <c r="B31" s="95" t="s">
        <v>269</v>
      </c>
      <c r="C31"/>
      <c r="W31"/>
      <c r="X31"/>
      <c r="Y31"/>
      <c r="Z31"/>
      <c r="AA31"/>
      <c r="AB31"/>
      <c r="AC31"/>
      <c r="AD31"/>
      <c r="AE31"/>
      <c r="AF31"/>
      <c r="AG31"/>
      <c r="AH31"/>
      <c r="AI31"/>
      <c r="AJ31"/>
      <c r="AK31"/>
      <c r="AL31"/>
      <c r="AM31"/>
      <c r="AN31"/>
      <c r="AO31"/>
      <c r="AP31"/>
      <c r="AQ31"/>
      <c r="AR31"/>
      <c r="AS31"/>
      <c r="AT31"/>
      <c r="AU31"/>
    </row>
    <row r="32" spans="1:47">
      <c r="A32" s="79" t="s">
        <v>270</v>
      </c>
      <c r="B32" s="95" t="s">
        <v>271</v>
      </c>
      <c r="C32"/>
      <c r="W32"/>
      <c r="X32"/>
      <c r="Y32"/>
      <c r="Z32"/>
      <c r="AA32"/>
      <c r="AB32"/>
      <c r="AC32"/>
      <c r="AD32"/>
      <c r="AE32"/>
      <c r="AF32"/>
      <c r="AG32"/>
      <c r="AH32"/>
      <c r="AI32"/>
      <c r="AJ32"/>
      <c r="AK32"/>
      <c r="AL32"/>
      <c r="AM32"/>
      <c r="AN32"/>
      <c r="AO32"/>
      <c r="AP32"/>
      <c r="AQ32"/>
      <c r="AR32"/>
      <c r="AS32"/>
      <c r="AT32"/>
      <c r="AU32"/>
    </row>
    <row r="33" spans="1:47">
      <c r="A33" s="79" t="s">
        <v>272</v>
      </c>
      <c r="B33" s="96" t="s">
        <v>89</v>
      </c>
      <c r="C33"/>
      <c r="W33"/>
      <c r="X33"/>
      <c r="Y33"/>
      <c r="Z33"/>
      <c r="AA33"/>
      <c r="AB33"/>
      <c r="AC33"/>
      <c r="AD33"/>
      <c r="AE33"/>
      <c r="AF33"/>
      <c r="AG33"/>
      <c r="AH33"/>
      <c r="AI33"/>
      <c r="AJ33"/>
      <c r="AK33"/>
      <c r="AL33"/>
      <c r="AM33"/>
      <c r="AN33"/>
      <c r="AO33"/>
      <c r="AP33"/>
      <c r="AQ33"/>
      <c r="AR33"/>
      <c r="AS33"/>
      <c r="AT33"/>
      <c r="AU33"/>
    </row>
    <row r="34" spans="1:47">
      <c r="A34" s="79" t="s">
        <v>273</v>
      </c>
      <c r="B34" s="95" t="s">
        <v>274</v>
      </c>
      <c r="C34"/>
      <c r="T34"/>
    </row>
    <row r="35" spans="1:47">
      <c r="A35" s="79" t="s">
        <v>275</v>
      </c>
      <c r="B35" s="95" t="s">
        <v>276</v>
      </c>
      <c r="C35"/>
    </row>
    <row r="36" spans="1:47">
      <c r="A36" s="79" t="s">
        <v>277</v>
      </c>
      <c r="B36" s="96" t="s">
        <v>278</v>
      </c>
      <c r="C36"/>
      <c r="G36" s="5"/>
      <c r="H36" s="219" t="s">
        <v>230</v>
      </c>
      <c r="K36" s="68" t="s">
        <v>279</v>
      </c>
      <c r="L36" s="68" t="str">
        <f>IF(M02S04F04="Customer/Self-Installed","Yes",IF(M02S04F04="TA/Contractor","No","Selection Error"))</f>
        <v>Selection Error</v>
      </c>
    </row>
    <row r="37" spans="1:47">
      <c r="A37" s="79" t="s">
        <v>280</v>
      </c>
      <c r="B37" s="83" t="s">
        <v>281</v>
      </c>
      <c r="C37"/>
      <c r="G37" s="5" t="s">
        <v>282</v>
      </c>
      <c r="H37" s="221" t="str">
        <f>IF(InternalLaborCost="Yes",Cost_Material_Cust,IF(InternalLaborCost="No",Cost_Total_Cust,""))</f>
        <v/>
      </c>
      <c r="T37"/>
      <c r="U37"/>
    </row>
    <row r="38" spans="1:47">
      <c r="A38" s="81" t="s">
        <v>283</v>
      </c>
      <c r="B38" s="80" t="s">
        <v>284</v>
      </c>
      <c r="G38" s="5" t="s">
        <v>225</v>
      </c>
      <c r="H38" s="221">
        <f>Incent_Total_Uncap_Cust</f>
        <v>0</v>
      </c>
      <c r="T38"/>
      <c r="U38"/>
    </row>
    <row r="39" spans="1:47">
      <c r="A39" s="73" t="s">
        <v>285</v>
      </c>
      <c r="B39" s="74"/>
      <c r="G39" s="5" t="s">
        <v>286</v>
      </c>
      <c r="H39" s="222" t="e">
        <f>H38/H37</f>
        <v>#VALUE!</v>
      </c>
      <c r="T39"/>
      <c r="U39"/>
    </row>
    <row r="40" spans="1:47">
      <c r="A40" s="79" t="s">
        <v>287</v>
      </c>
      <c r="B40" s="80"/>
      <c r="G40" s="5" t="s">
        <v>288</v>
      </c>
      <c r="H40" s="223">
        <v>0.6</v>
      </c>
      <c r="T40"/>
      <c r="U40"/>
    </row>
    <row r="41" spans="1:47">
      <c r="A41" s="79" t="s">
        <v>289</v>
      </c>
      <c r="B41" s="95" t="s">
        <v>265</v>
      </c>
      <c r="G41" s="224" t="s">
        <v>226</v>
      </c>
      <c r="H41" s="221">
        <f>Incent_Total_Cap_Cust</f>
        <v>0</v>
      </c>
      <c r="T41"/>
      <c r="U41"/>
    </row>
    <row r="42" spans="1:47">
      <c r="A42" s="79" t="s">
        <v>290</v>
      </c>
      <c r="B42" s="80" t="s">
        <v>267</v>
      </c>
      <c r="T42"/>
      <c r="U42"/>
    </row>
    <row r="43" spans="1:47">
      <c r="A43" s="79" t="s">
        <v>291</v>
      </c>
      <c r="B43" s="83" t="s">
        <v>269</v>
      </c>
      <c r="I43" s="259" t="s">
        <v>292</v>
      </c>
      <c r="T43"/>
      <c r="U43"/>
    </row>
    <row r="44" spans="1:47">
      <c r="A44" s="79" t="s">
        <v>293</v>
      </c>
      <c r="B44" s="83" t="s">
        <v>271</v>
      </c>
      <c r="I44" s="259" t="s">
        <v>294</v>
      </c>
      <c r="T44"/>
      <c r="U44"/>
    </row>
    <row r="45" spans="1:47">
      <c r="A45" s="79" t="s">
        <v>295</v>
      </c>
      <c r="B45" s="80" t="s">
        <v>89</v>
      </c>
    </row>
    <row r="46" spans="1:47">
      <c r="A46" s="79" t="s">
        <v>296</v>
      </c>
      <c r="B46" s="80" t="s">
        <v>274</v>
      </c>
      <c r="I46" s="257"/>
      <c r="J46" s="258"/>
    </row>
    <row r="47" spans="1:47">
      <c r="A47" s="79" t="s">
        <v>297</v>
      </c>
      <c r="B47" s="83" t="s">
        <v>276</v>
      </c>
    </row>
    <row r="48" spans="1:47">
      <c r="A48" s="79" t="s">
        <v>298</v>
      </c>
      <c r="B48" s="80" t="s">
        <v>278</v>
      </c>
    </row>
    <row r="49" spans="1:8">
      <c r="A49" s="79" t="s">
        <v>299</v>
      </c>
      <c r="B49" s="80" t="s">
        <v>281</v>
      </c>
    </row>
    <row r="50" spans="1:8">
      <c r="A50" s="81" t="s">
        <v>300</v>
      </c>
      <c r="B50" s="80" t="s">
        <v>284</v>
      </c>
      <c r="G50" s="85" t="s">
        <v>301</v>
      </c>
      <c r="H50" s="85" t="s">
        <v>302</v>
      </c>
    </row>
    <row r="51" spans="1:8">
      <c r="A51" s="73" t="s">
        <v>303</v>
      </c>
      <c r="B51" s="74" t="s">
        <v>304</v>
      </c>
      <c r="G51" s="68" t="str">
        <f>IFERROR(IF('M05-S08'!F28="","",'M05-S08'!F28),"")</f>
        <v/>
      </c>
      <c r="H51" s="669">
        <f>SUMIF(EXPORT!DE:DE,TEMPLATE!G51,EXPORT!DF:DF)+SUMIF(EXPORT!DG:DG,TEMPLATE!G51,EXPORT!DH:DH)+SUMIF(EXPORT!DI:DI,TEMPLATE!G51,EXPORT!DJ:DJ)+SUMIF(EXPORT!DK:DK,TEMPLATE!G51,EXPORT!DL:DL)+SUMIF(EXPORT!DM:DM,TEMPLATE!G51,EXPORT!DN:DN)+SUMIF(EXPORT!DO:DO,TEMPLATE!G51,EXPORT!DP:DP)+SUMIF(EXPORT!DQ:DQ,TEMPLATE!G51,EXPORT!DR:DR)+SUMIF(EXPORT!DS:DS,TEMPLATE!G51,EXPORT!DT:DT)</f>
        <v>0</v>
      </c>
    </row>
    <row r="52" spans="1:8">
      <c r="A52" s="79" t="s">
        <v>305</v>
      </c>
      <c r="B52" s="80" t="s">
        <v>306</v>
      </c>
      <c r="G52" s="68" t="str">
        <f>IFERROR(IF('M05-S08'!F29="","",'M05-S08'!F29),"")</f>
        <v/>
      </c>
      <c r="H52" s="669">
        <f>SUMIF(EXPORT!DE:DE,TEMPLATE!G52,EXPORT!DF:DF)+SUMIF(EXPORT!DG:DG,TEMPLATE!G52,EXPORT!DH:DH)+SUMIF(EXPORT!DI:DI,TEMPLATE!G52,EXPORT!DJ:DJ)+SUMIF(EXPORT!DK:DK,TEMPLATE!G52,EXPORT!DL:DL)+SUMIF(EXPORT!DM:DM,TEMPLATE!G52,EXPORT!DN:DN)+SUMIF(EXPORT!DO:DO,TEMPLATE!G52,EXPORT!DP:DP)+SUMIF(EXPORT!DQ:DQ,TEMPLATE!G52,EXPORT!DR:DR)+SUMIF(EXPORT!DS:DS,TEMPLATE!G52,EXPORT!DT:DT)</f>
        <v>0</v>
      </c>
    </row>
    <row r="53" spans="1:8">
      <c r="A53" s="79" t="s">
        <v>307</v>
      </c>
      <c r="B53" s="80" t="s">
        <v>308</v>
      </c>
      <c r="G53" s="68" t="str">
        <f>IFERROR(IF('M05-S08'!F30="","",'M05-S08'!F30),"")</f>
        <v/>
      </c>
      <c r="H53" s="669">
        <f>SUMIF(EXPORT!DE:DE,TEMPLATE!G53,EXPORT!DF:DF)+SUMIF(EXPORT!DG:DG,TEMPLATE!G53,EXPORT!DH:DH)+SUMIF(EXPORT!DI:DI,TEMPLATE!G53,EXPORT!DJ:DJ)+SUMIF(EXPORT!DK:DK,TEMPLATE!G53,EXPORT!DL:DL)+SUMIF(EXPORT!DM:DM,TEMPLATE!G53,EXPORT!DN:DN)+SUMIF(EXPORT!DO:DO,TEMPLATE!G53,EXPORT!DP:DP)+SUMIF(EXPORT!DQ:DQ,TEMPLATE!G53,EXPORT!DR:DR)+SUMIF(EXPORT!DS:DS,TEMPLATE!G53,EXPORT!DT:DT)</f>
        <v>0</v>
      </c>
    </row>
    <row r="54" spans="1:8">
      <c r="A54" s="79" t="s">
        <v>309</v>
      </c>
      <c r="B54" s="80" t="s">
        <v>310</v>
      </c>
      <c r="G54" s="68" t="str">
        <f>IFERROR(IF('M05-S08'!F31="","",'M05-S08'!F31),"")</f>
        <v/>
      </c>
      <c r="H54" s="669">
        <f>SUMIF(EXPORT!DE:DE,TEMPLATE!G54,EXPORT!DF:DF)+SUMIF(EXPORT!DG:DG,TEMPLATE!G54,EXPORT!DH:DH)+SUMIF(EXPORT!DI:DI,TEMPLATE!G54,EXPORT!DJ:DJ)+SUMIF(EXPORT!DK:DK,TEMPLATE!G54,EXPORT!DL:DL)+SUMIF(EXPORT!DM:DM,TEMPLATE!G54,EXPORT!DN:DN)+SUMIF(EXPORT!DO:DO,TEMPLATE!G54,EXPORT!DP:DP)+SUMIF(EXPORT!DQ:DQ,TEMPLATE!G54,EXPORT!DR:DR)+SUMIF(EXPORT!DS:DS,TEMPLATE!G54,EXPORT!DT:DT)</f>
        <v>0</v>
      </c>
    </row>
    <row r="55" spans="1:8">
      <c r="A55" s="79" t="s">
        <v>311</v>
      </c>
      <c r="B55" s="80" t="s">
        <v>312</v>
      </c>
      <c r="G55" s="68" t="str">
        <f>IFERROR(IF('M05-S08'!F32="","",'M05-S08'!F32),"")</f>
        <v/>
      </c>
      <c r="H55" s="669">
        <f>SUMIF(EXPORT!DE:DE,TEMPLATE!G55,EXPORT!DF:DF)+SUMIF(EXPORT!DG:DG,TEMPLATE!G55,EXPORT!DH:DH)+SUMIF(EXPORT!DI:DI,TEMPLATE!G55,EXPORT!DJ:DJ)+SUMIF(EXPORT!DK:DK,TEMPLATE!G55,EXPORT!DL:DL)+SUMIF(EXPORT!DM:DM,TEMPLATE!G55,EXPORT!DN:DN)+SUMIF(EXPORT!DO:DO,TEMPLATE!G55,EXPORT!DP:DP)+SUMIF(EXPORT!DQ:DQ,TEMPLATE!G55,EXPORT!DR:DR)+SUMIF(EXPORT!DS:DS,TEMPLATE!G55,EXPORT!DT:DT)</f>
        <v>0</v>
      </c>
    </row>
    <row r="56" spans="1:8">
      <c r="A56" s="79" t="s">
        <v>313</v>
      </c>
      <c r="B56" s="80" t="s">
        <v>314</v>
      </c>
      <c r="G56" s="68" t="str">
        <f>IFERROR(IF('M05-S08'!F33="","",'M05-S08'!F33),"")</f>
        <v/>
      </c>
      <c r="H56" s="669">
        <f>SUMIF(EXPORT!DE:DE,TEMPLATE!G56,EXPORT!DF:DF)+SUMIF(EXPORT!DG:DG,TEMPLATE!G56,EXPORT!DH:DH)+SUMIF(EXPORT!DI:DI,TEMPLATE!G56,EXPORT!DJ:DJ)+SUMIF(EXPORT!DK:DK,TEMPLATE!G56,EXPORT!DL:DL)+SUMIF(EXPORT!DM:DM,TEMPLATE!G56,EXPORT!DN:DN)+SUMIF(EXPORT!DO:DO,TEMPLATE!G56,EXPORT!DP:DP)+SUMIF(EXPORT!DQ:DQ,TEMPLATE!G56,EXPORT!DR:DR)+SUMIF(EXPORT!DS:DS,TEMPLATE!G56,EXPORT!DT:DT)</f>
        <v>0</v>
      </c>
    </row>
    <row r="57" spans="1:8">
      <c r="A57" s="79" t="s">
        <v>315</v>
      </c>
      <c r="B57" s="80" t="s">
        <v>316</v>
      </c>
      <c r="G57" s="68" t="str">
        <f>IFERROR(IF('M05-S08'!F34="","",'M05-S08'!F34),"")</f>
        <v/>
      </c>
      <c r="H57" s="669">
        <f>SUMIF(EXPORT!DE:DE,TEMPLATE!G57,EXPORT!DF:DF)+SUMIF(EXPORT!DG:DG,TEMPLATE!G57,EXPORT!DH:DH)+SUMIF(EXPORT!DI:DI,TEMPLATE!G57,EXPORT!DJ:DJ)+SUMIF(EXPORT!DK:DK,TEMPLATE!G57,EXPORT!DL:DL)+SUMIF(EXPORT!DM:DM,TEMPLATE!G57,EXPORT!DN:DN)+SUMIF(EXPORT!DO:DO,TEMPLATE!G57,EXPORT!DP:DP)+SUMIF(EXPORT!DQ:DQ,TEMPLATE!G57,EXPORT!DR:DR)+SUMIF(EXPORT!DS:DS,TEMPLATE!G57,EXPORT!DT:DT)</f>
        <v>0</v>
      </c>
    </row>
    <row r="58" spans="1:8">
      <c r="A58" s="79" t="s">
        <v>317</v>
      </c>
      <c r="B58" s="80" t="s">
        <v>318</v>
      </c>
      <c r="G58" s="68" t="str">
        <f>IFERROR(IF('M05-S08'!F35="","",'M05-S08'!F35),"")</f>
        <v/>
      </c>
      <c r="H58" s="669">
        <f>SUMIF(EXPORT!DE:DE,TEMPLATE!G58,EXPORT!DF:DF)+SUMIF(EXPORT!DG:DG,TEMPLATE!G58,EXPORT!DH:DH)+SUMIF(EXPORT!DI:DI,TEMPLATE!G58,EXPORT!DJ:DJ)+SUMIF(EXPORT!DK:DK,TEMPLATE!G58,EXPORT!DL:DL)+SUMIF(EXPORT!DM:DM,TEMPLATE!G58,EXPORT!DN:DN)+SUMIF(EXPORT!DO:DO,TEMPLATE!G58,EXPORT!DP:DP)+SUMIF(EXPORT!DQ:DQ,TEMPLATE!G58,EXPORT!DR:DR)+SUMIF(EXPORT!DS:DS,TEMPLATE!G58,EXPORT!DT:DT)</f>
        <v>0</v>
      </c>
    </row>
    <row r="59" spans="1:8">
      <c r="A59" s="79" t="s">
        <v>319</v>
      </c>
      <c r="B59" s="80" t="s">
        <v>320</v>
      </c>
    </row>
    <row r="60" spans="1:8">
      <c r="A60" s="81" t="s">
        <v>321</v>
      </c>
      <c r="B60" s="82" t="s">
        <v>322</v>
      </c>
    </row>
    <row r="61" spans="1:8">
      <c r="A61" s="73" t="s">
        <v>323</v>
      </c>
      <c r="B61" s="74"/>
    </row>
    <row r="62" spans="1:8">
      <c r="A62" s="79" t="s">
        <v>324</v>
      </c>
      <c r="B62" s="80"/>
    </row>
    <row r="63" spans="1:8">
      <c r="A63" s="79" t="s">
        <v>325</v>
      </c>
      <c r="B63" s="80"/>
    </row>
    <row r="64" spans="1:8">
      <c r="A64" s="79" t="s">
        <v>326</v>
      </c>
      <c r="B64" s="80"/>
    </row>
    <row r="65" spans="1:5">
      <c r="A65" s="79" t="s">
        <v>327</v>
      </c>
      <c r="B65" s="80"/>
    </row>
    <row r="66" spans="1:5">
      <c r="A66" s="79" t="s">
        <v>328</v>
      </c>
      <c r="B66" s="80"/>
    </row>
    <row r="67" spans="1:5">
      <c r="A67" s="79" t="s">
        <v>329</v>
      </c>
      <c r="B67" s="80"/>
    </row>
    <row r="68" spans="1:5">
      <c r="A68" s="79" t="s">
        <v>330</v>
      </c>
      <c r="B68" s="80"/>
    </row>
    <row r="69" spans="1:5">
      <c r="A69" s="81" t="s">
        <v>331</v>
      </c>
      <c r="B69" s="82"/>
    </row>
    <row r="70" spans="1:5">
      <c r="A70" s="73" t="s">
        <v>332</v>
      </c>
      <c r="B70" s="74"/>
    </row>
    <row r="71" spans="1:5">
      <c r="A71" s="79" t="s">
        <v>333</v>
      </c>
      <c r="B71" s="80"/>
    </row>
    <row r="72" spans="1:5">
      <c r="A72" s="79" t="s">
        <v>334</v>
      </c>
      <c r="B72" s="80"/>
    </row>
    <row r="73" spans="1:5">
      <c r="A73" s="79" t="s">
        <v>335</v>
      </c>
      <c r="B73" s="80"/>
    </row>
    <row r="74" spans="1:5">
      <c r="A74" s="79" t="s">
        <v>336</v>
      </c>
      <c r="B74" s="80"/>
    </row>
    <row r="75" spans="1:5">
      <c r="A75" s="79" t="s">
        <v>337</v>
      </c>
      <c r="B75" s="80"/>
    </row>
    <row r="76" spans="1:5">
      <c r="A76" s="79" t="s">
        <v>338</v>
      </c>
      <c r="B76" s="80"/>
    </row>
    <row r="77" spans="1:5">
      <c r="A77" s="79" t="s">
        <v>339</v>
      </c>
      <c r="B77" s="80"/>
    </row>
    <row r="78" spans="1:5">
      <c r="A78" s="81" t="s">
        <v>340</v>
      </c>
      <c r="B78" s="82"/>
    </row>
    <row r="80" spans="1:5">
      <c r="C80" s="65" t="s">
        <v>341</v>
      </c>
      <c r="D80" s="65" t="s">
        <v>142</v>
      </c>
      <c r="E80" s="65" t="s">
        <v>342</v>
      </c>
    </row>
    <row r="81" spans="1:12">
      <c r="A81" s="112" t="s">
        <v>343</v>
      </c>
      <c r="B81" s="116" t="str">
        <f>M1S2</f>
        <v>INSTRUCTIONS</v>
      </c>
      <c r="C81" s="112">
        <f ca="1">SUMIF(D82:D84, 1, C82:C84)</f>
        <v>0</v>
      </c>
      <c r="D81" s="112">
        <f>SUM(D82:D84)</f>
        <v>2</v>
      </c>
      <c r="E81" s="113">
        <f ca="1">IFERROR(C81/D81, 1)</f>
        <v>0</v>
      </c>
      <c r="F81" s="65" t="s">
        <v>344</v>
      </c>
      <c r="G81" s="65" t="s">
        <v>345</v>
      </c>
      <c r="H81" s="65" t="s">
        <v>346</v>
      </c>
      <c r="I81" s="65" t="s">
        <v>347</v>
      </c>
      <c r="J81" s="65" t="s">
        <v>348</v>
      </c>
      <c r="K81" s="65" t="s">
        <v>349</v>
      </c>
      <c r="L81" s="65" t="s">
        <v>350</v>
      </c>
    </row>
    <row r="82" spans="1:12">
      <c r="A82" s="65" t="s">
        <v>351</v>
      </c>
      <c r="B82" s="65" t="str">
        <f ca="1">OFFSET(INDIRECT(A82),-1,0)</f>
        <v>I am submitting this application as the:</v>
      </c>
      <c r="C82" s="65">
        <f ca="1">IFERROR(IF(I82=FALSE, 1,0), 0)</f>
        <v>0</v>
      </c>
      <c r="D82" s="114">
        <f>IFERROR(IF(G82=TRUE, 1,0), 0)</f>
        <v>1</v>
      </c>
      <c r="G82" s="65" t="b">
        <v>1</v>
      </c>
      <c r="H82" s="65">
        <f ca="1">INDIRECT(A82)</f>
        <v>0</v>
      </c>
      <c r="I82" s="65" t="b">
        <f t="shared" ref="I82:I84" ca="1" si="5">OR(H82=0,H82="")</f>
        <v>1</v>
      </c>
      <c r="J82" s="65" t="s">
        <v>352</v>
      </c>
      <c r="K82" s="65" t="str">
        <f ca="1">IF(AND(G82=TRUE,I82=TRUE),"Required","")</f>
        <v>Required</v>
      </c>
      <c r="L82" s="233" t="s">
        <v>353</v>
      </c>
    </row>
    <row r="83" spans="1:12">
      <c r="A83" s="65" t="s">
        <v>354</v>
      </c>
      <c r="B83" s="65" t="str">
        <f t="shared" ref="B83:B84" ca="1" si="6">OFFSET(INDIRECT(A83),-1,0)</f>
        <v>I am submitting this application through:</v>
      </c>
      <c r="C83" s="65">
        <f ca="1">IFERROR(IF(I83=FALSE, 1,0), 0)</f>
        <v>0</v>
      </c>
      <c r="D83" s="114">
        <f t="shared" ref="D83:D84" si="7">IFERROR(IF(G83=TRUE, 1,0), 0)</f>
        <v>1</v>
      </c>
      <c r="G83" s="65" t="b">
        <v>1</v>
      </c>
      <c r="H83" s="65">
        <f t="shared" ref="H83:H84" ca="1" si="8">INDIRECT(A83)</f>
        <v>0</v>
      </c>
      <c r="I83" s="65" t="b">
        <f t="shared" ca="1" si="5"/>
        <v>1</v>
      </c>
      <c r="J83" s="65" t="s">
        <v>355</v>
      </c>
      <c r="K83" s="65" t="str">
        <f ca="1">IF(AND(G83=TRUE,I83=TRUE),"Required","")</f>
        <v>Required</v>
      </c>
      <c r="L83" s="233" t="s">
        <v>356</v>
      </c>
    </row>
    <row r="84" spans="1:12">
      <c r="A84" s="65" t="s">
        <v>357</v>
      </c>
      <c r="B84" s="65" t="str">
        <f t="shared" ca="1" si="6"/>
        <v>What email platform will you use?</v>
      </c>
      <c r="C84" s="65">
        <f ca="1">IFERROR(IF(I84=FALSE, 1,0), 0)</f>
        <v>0</v>
      </c>
      <c r="D84" s="114">
        <f t="shared" si="7"/>
        <v>0</v>
      </c>
      <c r="G84" s="114" t="b">
        <f>IF(M01S02F02="Encrypted Email",TRUE,FALSE)</f>
        <v>0</v>
      </c>
      <c r="H84" s="65">
        <f t="shared" ca="1" si="8"/>
        <v>0</v>
      </c>
      <c r="I84" s="65" t="b">
        <f t="shared" ca="1" si="5"/>
        <v>1</v>
      </c>
      <c r="J84" s="65" t="s">
        <v>358</v>
      </c>
      <c r="K84" s="65" t="str">
        <f ca="1">IF(AND(G84=TRUE,SubmittingThrough=Txt_SubMthdOnline),Txt_SubmitOnline,IF(AND(G84=TRUE,SubmittingThrough=Txt_SubMthdEmail,I84=TRUE),Txt_Rqd,""))</f>
        <v/>
      </c>
      <c r="L84" s="233" t="s">
        <v>359</v>
      </c>
    </row>
    <row r="86" spans="1:12">
      <c r="A86" s="87"/>
      <c r="C86" s="65" t="s">
        <v>341</v>
      </c>
      <c r="D86" s="65" t="s">
        <v>142</v>
      </c>
      <c r="E86" s="65" t="s">
        <v>342</v>
      </c>
    </row>
    <row r="87" spans="1:12">
      <c r="A87" s="112" t="s">
        <v>343</v>
      </c>
      <c r="B87" s="116" t="str">
        <f>M2S1</f>
        <v>Terms &amp; Conditions</v>
      </c>
      <c r="C87" s="112">
        <f>SUMIF(D88:D90, 1, C88:C90)</f>
        <v>0</v>
      </c>
      <c r="D87" s="112">
        <f>SUM(D88:D90)</f>
        <v>0</v>
      </c>
      <c r="E87" s="113">
        <f ca="1">IFERROR(IF(COMPINSTRUCT=100%, 100%,0), 0)</f>
        <v>0</v>
      </c>
      <c r="F87" s="65" t="s">
        <v>360</v>
      </c>
      <c r="G87" s="65" t="s">
        <v>345</v>
      </c>
      <c r="H87" s="65" t="s">
        <v>346</v>
      </c>
      <c r="I87" s="65" t="s">
        <v>347</v>
      </c>
      <c r="J87" s="65" t="s">
        <v>348</v>
      </c>
      <c r="K87" s="65" t="s">
        <v>349</v>
      </c>
      <c r="L87" s="65" t="s">
        <v>350</v>
      </c>
    </row>
    <row r="88" spans="1:12">
      <c r="A88" s="65" t="s">
        <v>361</v>
      </c>
      <c r="B88" s="65" t="str">
        <f ca="1">OFFSET(INDIRECT(A88),-1,0)</f>
        <v>Print Name</v>
      </c>
      <c r="C88" s="65">
        <f ca="1">IFERROR(IF(I88=FALSE, 1,0), 0)</f>
        <v>0</v>
      </c>
      <c r="D88" s="114">
        <f t="shared" ref="D88" si="9">IFERROR(IF(G88=TRUE, 1,0), 0)</f>
        <v>0</v>
      </c>
      <c r="G88" s="598" t="b">
        <v>0</v>
      </c>
      <c r="H88" s="65">
        <f ca="1">INDIRECT(A88)</f>
        <v>0</v>
      </c>
      <c r="I88" s="65" t="b">
        <f t="shared" ref="I88:I90" ca="1" si="10">OR(H88=0,H88="")</f>
        <v>1</v>
      </c>
      <c r="J88" s="65" t="s">
        <v>362</v>
      </c>
      <c r="K88" s="65" t="str">
        <f ca="1">IF(AND(G88=TRUE,I88=TRUE),"Required","")</f>
        <v/>
      </c>
      <c r="L88" s="233" t="s">
        <v>363</v>
      </c>
    </row>
    <row r="89" spans="1:12">
      <c r="A89" s="65" t="s">
        <v>364</v>
      </c>
      <c r="B89" s="65" t="str">
        <f ca="1">OFFSET(INDIRECT(A89),-1,0)</f>
        <v>Signatory Title</v>
      </c>
      <c r="C89" s="65">
        <f ca="1">IFERROR(IF(I89=FALSE, 1,0), 0)</f>
        <v>0</v>
      </c>
      <c r="D89" s="114">
        <f>IFERROR(IF(G89=TRUE, 1,0), 0)</f>
        <v>0</v>
      </c>
      <c r="G89" s="65" t="b">
        <v>0</v>
      </c>
      <c r="H89" s="65">
        <f ca="1">INDIRECT(A89)</f>
        <v>0</v>
      </c>
      <c r="I89" s="65" t="b">
        <f t="shared" ca="1" si="10"/>
        <v>1</v>
      </c>
      <c r="J89" s="65" t="s">
        <v>365</v>
      </c>
      <c r="K89" s="65" t="str">
        <f ca="1">IF(AND(G89=TRUE,I89=TRUE),"Required","")</f>
        <v/>
      </c>
      <c r="L89" s="233" t="s">
        <v>366</v>
      </c>
    </row>
    <row r="90" spans="1:12">
      <c r="A90" s="65" t="s">
        <v>367</v>
      </c>
      <c r="B90" s="65" t="str">
        <f ca="1">OFFSET(INDIRECT(A90),-1,0)</f>
        <v>Date Signed</v>
      </c>
      <c r="C90" s="65">
        <f ca="1">IFERROR(IF(I90=FALSE, 1,0), 0)</f>
        <v>0</v>
      </c>
      <c r="D90" s="114">
        <f>IFERROR(IF(G90=TRUE, 1,0), 0)</f>
        <v>0</v>
      </c>
      <c r="G90" s="65" t="b">
        <v>0</v>
      </c>
      <c r="H90" s="591">
        <f ca="1">INDIRECT(A90)</f>
        <v>0</v>
      </c>
      <c r="I90" s="65" t="b">
        <f t="shared" ca="1" si="10"/>
        <v>1</v>
      </c>
      <c r="J90" s="65" t="s">
        <v>368</v>
      </c>
      <c r="K90" s="65" t="str">
        <f ca="1">IF(AND(G90=TRUE,I90=TRUE),"Required","")</f>
        <v/>
      </c>
      <c r="L90" s="233" t="s">
        <v>369</v>
      </c>
    </row>
    <row r="91" spans="1:12">
      <c r="L91" s="233"/>
    </row>
    <row r="92" spans="1:12">
      <c r="C92" s="65" t="s">
        <v>341</v>
      </c>
      <c r="D92" s="65" t="s">
        <v>142</v>
      </c>
      <c r="E92" s="65" t="s">
        <v>342</v>
      </c>
      <c r="L92" s="233"/>
    </row>
    <row r="93" spans="1:12">
      <c r="A93" s="112" t="s">
        <v>343</v>
      </c>
      <c r="B93" s="116" t="str">
        <f>M2S2</f>
        <v>Project Information</v>
      </c>
      <c r="C93" s="112">
        <f ca="1">SUMIF(D94:D126, 1, C94:C126)</f>
        <v>0</v>
      </c>
      <c r="D93" s="112">
        <f ca="1">SUM(D94:D126)</f>
        <v>30</v>
      </c>
      <c r="E93" s="113">
        <f ca="1">IFERROR(C93/D93, 1)</f>
        <v>0</v>
      </c>
      <c r="F93" s="65" t="s">
        <v>370</v>
      </c>
      <c r="G93" s="65" t="s">
        <v>345</v>
      </c>
      <c r="H93" s="65" t="s">
        <v>346</v>
      </c>
      <c r="I93" s="65" t="s">
        <v>347</v>
      </c>
      <c r="J93" s="65" t="s">
        <v>348</v>
      </c>
      <c r="K93" s="65" t="s">
        <v>349</v>
      </c>
      <c r="L93" s="65" t="s">
        <v>350</v>
      </c>
    </row>
    <row r="94" spans="1:12">
      <c r="A94" s="65" t="s">
        <v>371</v>
      </c>
      <c r="B94" s="65" t="str">
        <f ca="1">OFFSET(INDIRECT(A94),0,-1)</f>
        <v>Same as Service Address?</v>
      </c>
      <c r="C94" s="65">
        <f t="shared" ref="C94:C125" ca="1" si="11">IFERROR(IF(I94=FALSE, 1,0), 0)</f>
        <v>0</v>
      </c>
      <c r="D94" s="114">
        <f t="shared" ref="D94:D125" si="12">IFERROR(IF(G94=TRUE, 1,0), 0)</f>
        <v>1</v>
      </c>
      <c r="G94" s="65" t="b">
        <v>1</v>
      </c>
      <c r="H94" s="65">
        <f ca="1">INDIRECT(A94)</f>
        <v>0</v>
      </c>
      <c r="I94" s="65" t="b">
        <f t="shared" ref="I94:I123" ca="1" si="13">OR(H94=0,H94="")</f>
        <v>1</v>
      </c>
      <c r="J94" s="65" t="s">
        <v>372</v>
      </c>
      <c r="K94" s="65" t="str">
        <f t="shared" ref="K94:K123" ca="1" si="14">IF(AND(G94=TRUE,I94=TRUE),"Required","")</f>
        <v>Required</v>
      </c>
      <c r="L94" s="233" t="s">
        <v>373</v>
      </c>
    </row>
    <row r="95" spans="1:12">
      <c r="A95" s="65" t="s">
        <v>374</v>
      </c>
      <c r="B95" s="65" t="str">
        <f t="shared" ref="B95:B107" ca="1" si="15">OFFSET(INDIRECT(A95),-1,0)</f>
        <v>Name as it appears on PSE&amp;G Bill</v>
      </c>
      <c r="C95" s="65">
        <f t="shared" ca="1" si="11"/>
        <v>0</v>
      </c>
      <c r="D95" s="114">
        <f t="shared" si="12"/>
        <v>1</v>
      </c>
      <c r="G95" s="65" t="b">
        <v>1</v>
      </c>
      <c r="H95" s="65">
        <f t="shared" ref="H95:H101" ca="1" si="16">INDIRECT(A95)</f>
        <v>0</v>
      </c>
      <c r="I95" s="65" t="b">
        <f t="shared" ca="1" si="13"/>
        <v>1</v>
      </c>
      <c r="J95" s="65" t="s">
        <v>375</v>
      </c>
      <c r="K95" s="65" t="str">
        <f t="shared" ca="1" si="14"/>
        <v>Required</v>
      </c>
      <c r="L95" s="233" t="s">
        <v>376</v>
      </c>
    </row>
    <row r="96" spans="1:12">
      <c r="A96" s="65" t="s">
        <v>377</v>
      </c>
      <c r="B96" s="65" t="str">
        <f t="shared" ca="1" si="15"/>
        <v>Service Address</v>
      </c>
      <c r="C96" s="65">
        <f t="shared" ca="1" si="11"/>
        <v>0</v>
      </c>
      <c r="D96" s="114">
        <f t="shared" si="12"/>
        <v>1</v>
      </c>
      <c r="G96" s="65" t="b">
        <v>1</v>
      </c>
      <c r="H96" s="65">
        <f t="shared" ca="1" si="16"/>
        <v>0</v>
      </c>
      <c r="I96" s="65" t="b">
        <f t="shared" ca="1" si="13"/>
        <v>1</v>
      </c>
      <c r="J96" s="65" t="s">
        <v>378</v>
      </c>
      <c r="K96" s="65" t="str">
        <f t="shared" ca="1" si="14"/>
        <v>Required</v>
      </c>
      <c r="L96" s="233" t="s">
        <v>379</v>
      </c>
    </row>
    <row r="97" spans="1:12">
      <c r="A97" s="65" t="s">
        <v>380</v>
      </c>
      <c r="B97" s="65" t="str">
        <f t="shared" ca="1" si="15"/>
        <v>Mailing Address</v>
      </c>
      <c r="C97" s="65">
        <f t="shared" ca="1" si="11"/>
        <v>0</v>
      </c>
      <c r="D97" s="114">
        <f t="shared" si="12"/>
        <v>1</v>
      </c>
      <c r="G97" s="114" t="b">
        <v>1</v>
      </c>
      <c r="H97" s="65" t="str">
        <f t="shared" ca="1" si="16"/>
        <v/>
      </c>
      <c r="I97" s="65" t="b">
        <f t="shared" ca="1" si="13"/>
        <v>1</v>
      </c>
      <c r="J97" s="65" t="s">
        <v>381</v>
      </c>
      <c r="K97" s="65" t="str">
        <f t="shared" ca="1" si="14"/>
        <v>Required</v>
      </c>
      <c r="L97" s="233" t="s">
        <v>382</v>
      </c>
    </row>
    <row r="98" spans="1:12">
      <c r="A98" s="65" t="s">
        <v>383</v>
      </c>
      <c r="B98" s="65" t="str">
        <f t="shared" ca="1" si="15"/>
        <v>Customer Type</v>
      </c>
      <c r="C98" s="65">
        <f t="shared" ca="1" si="11"/>
        <v>0</v>
      </c>
      <c r="D98" s="114">
        <f t="shared" si="12"/>
        <v>1</v>
      </c>
      <c r="G98" s="65" t="b">
        <v>1</v>
      </c>
      <c r="H98" s="65">
        <f t="shared" ca="1" si="16"/>
        <v>0</v>
      </c>
      <c r="I98" s="65" t="b">
        <f t="shared" ca="1" si="13"/>
        <v>1</v>
      </c>
      <c r="J98" s="65" t="s">
        <v>384</v>
      </c>
      <c r="K98" s="65" t="str">
        <f t="shared" ca="1" si="14"/>
        <v>Required</v>
      </c>
      <c r="L98" s="233" t="s">
        <v>385</v>
      </c>
    </row>
    <row r="99" spans="1:12" ht="14.25" customHeight="1">
      <c r="A99" s="65" t="s">
        <v>386</v>
      </c>
      <c r="B99" s="65" t="str">
        <f t="shared" ca="1" si="15"/>
        <v>City</v>
      </c>
      <c r="C99" s="65">
        <f t="shared" ca="1" si="11"/>
        <v>0</v>
      </c>
      <c r="D99" s="114">
        <f t="shared" si="12"/>
        <v>1</v>
      </c>
      <c r="G99" s="65" t="b">
        <v>1</v>
      </c>
      <c r="H99" s="65">
        <f t="shared" ca="1" si="16"/>
        <v>0</v>
      </c>
      <c r="I99" s="65" t="b">
        <f t="shared" ca="1" si="13"/>
        <v>1</v>
      </c>
      <c r="J99" s="65" t="s">
        <v>387</v>
      </c>
      <c r="K99" s="65" t="str">
        <f t="shared" ca="1" si="14"/>
        <v>Required</v>
      </c>
      <c r="L99" s="233" t="s">
        <v>388</v>
      </c>
    </row>
    <row r="100" spans="1:12">
      <c r="A100" s="65" t="s">
        <v>389</v>
      </c>
      <c r="B100" s="65" t="str">
        <f t="shared" ca="1" si="15"/>
        <v>State</v>
      </c>
      <c r="C100" s="65">
        <f t="shared" ca="1" si="11"/>
        <v>1</v>
      </c>
      <c r="D100" s="114">
        <v>0</v>
      </c>
      <c r="G100" s="65" t="b">
        <v>1</v>
      </c>
      <c r="H100" s="65" t="str">
        <f t="shared" ca="1" si="16"/>
        <v>NJ</v>
      </c>
      <c r="I100" s="65" t="b">
        <f t="shared" ca="1" si="13"/>
        <v>0</v>
      </c>
      <c r="J100" s="65" t="s">
        <v>390</v>
      </c>
      <c r="K100" s="65" t="str">
        <f t="shared" ca="1" si="14"/>
        <v/>
      </c>
      <c r="L100" s="233" t="s">
        <v>391</v>
      </c>
    </row>
    <row r="101" spans="1:12">
      <c r="A101" s="65" t="s">
        <v>392</v>
      </c>
      <c r="B101" s="65" t="str">
        <f t="shared" ca="1" si="15"/>
        <v>ZIP Code</v>
      </c>
      <c r="C101" s="65">
        <f t="shared" ca="1" si="11"/>
        <v>0</v>
      </c>
      <c r="D101" s="114">
        <f t="shared" si="12"/>
        <v>1</v>
      </c>
      <c r="G101" s="65" t="b">
        <v>1</v>
      </c>
      <c r="H101" s="65">
        <f t="shared" ca="1" si="16"/>
        <v>0</v>
      </c>
      <c r="I101" s="65" t="b">
        <f t="shared" ca="1" si="13"/>
        <v>1</v>
      </c>
      <c r="J101" s="65" t="s">
        <v>393</v>
      </c>
      <c r="K101" s="65" t="str">
        <f t="shared" ca="1" si="14"/>
        <v>Required</v>
      </c>
      <c r="L101" s="233" t="s">
        <v>394</v>
      </c>
    </row>
    <row r="102" spans="1:12">
      <c r="A102" s="65" t="s">
        <v>395</v>
      </c>
      <c r="B102" s="65" t="str">
        <f t="shared" ca="1" si="15"/>
        <v>City</v>
      </c>
      <c r="C102" s="65">
        <f t="shared" ca="1" si="11"/>
        <v>0</v>
      </c>
      <c r="D102" s="114">
        <f t="shared" si="12"/>
        <v>1</v>
      </c>
      <c r="G102" s="114" t="b">
        <v>1</v>
      </c>
      <c r="H102" s="65" t="str">
        <f t="shared" ref="H102:H125" ca="1" si="17">INDIRECT(A102)</f>
        <v/>
      </c>
      <c r="I102" s="65" t="b">
        <f t="shared" ca="1" si="13"/>
        <v>1</v>
      </c>
      <c r="J102" s="65" t="s">
        <v>396</v>
      </c>
      <c r="K102" s="65" t="str">
        <f t="shared" ca="1" si="14"/>
        <v>Required</v>
      </c>
      <c r="L102" s="233" t="s">
        <v>397</v>
      </c>
    </row>
    <row r="103" spans="1:12">
      <c r="A103" s="65" t="s">
        <v>398</v>
      </c>
      <c r="B103" s="65" t="str">
        <f t="shared" ca="1" si="15"/>
        <v>State</v>
      </c>
      <c r="C103" s="65">
        <f t="shared" ca="1" si="11"/>
        <v>0</v>
      </c>
      <c r="D103" s="114">
        <f t="shared" si="12"/>
        <v>1</v>
      </c>
      <c r="G103" s="114" t="b">
        <v>1</v>
      </c>
      <c r="H103" s="65" t="str">
        <f t="shared" ca="1" si="17"/>
        <v/>
      </c>
      <c r="I103" s="65" t="b">
        <f t="shared" ca="1" si="13"/>
        <v>1</v>
      </c>
      <c r="J103" s="65" t="s">
        <v>399</v>
      </c>
      <c r="K103" s="65" t="str">
        <f t="shared" ca="1" si="14"/>
        <v>Required</v>
      </c>
      <c r="L103" s="233" t="s">
        <v>400</v>
      </c>
    </row>
    <row r="104" spans="1:12">
      <c r="A104" s="65" t="s">
        <v>401</v>
      </c>
      <c r="B104" s="65" t="str">
        <f t="shared" ca="1" si="15"/>
        <v>ZIP Code</v>
      </c>
      <c r="C104" s="65">
        <f t="shared" ca="1" si="11"/>
        <v>0</v>
      </c>
      <c r="D104" s="114">
        <f t="shared" si="12"/>
        <v>1</v>
      </c>
      <c r="G104" s="114" t="b">
        <v>1</v>
      </c>
      <c r="H104" s="65" t="str">
        <f t="shared" ca="1" si="17"/>
        <v/>
      </c>
      <c r="I104" s="65" t="b">
        <f t="shared" ca="1" si="13"/>
        <v>1</v>
      </c>
      <c r="J104" s="65" t="s">
        <v>402</v>
      </c>
      <c r="K104" s="65" t="str">
        <f t="shared" ca="1" si="14"/>
        <v>Required</v>
      </c>
      <c r="L104" s="233" t="s">
        <v>403</v>
      </c>
    </row>
    <row r="105" spans="1:12">
      <c r="A105" s="65" t="s">
        <v>404</v>
      </c>
      <c r="B105" s="65" t="str">
        <f t="shared" ca="1" si="15"/>
        <v>Type of PSE&amp;G Service</v>
      </c>
      <c r="C105" s="65">
        <f t="shared" ca="1" si="11"/>
        <v>0</v>
      </c>
      <c r="D105" s="114">
        <f t="shared" si="12"/>
        <v>1</v>
      </c>
      <c r="G105" s="65" t="b">
        <v>1</v>
      </c>
      <c r="H105" s="65">
        <f t="shared" ca="1" si="17"/>
        <v>0</v>
      </c>
      <c r="I105" s="65" t="b">
        <f t="shared" ca="1" si="13"/>
        <v>1</v>
      </c>
      <c r="J105" s="65" t="s">
        <v>405</v>
      </c>
      <c r="K105" s="65" t="str">
        <f t="shared" ca="1" si="14"/>
        <v>Required</v>
      </c>
      <c r="L105" s="233" t="s">
        <v>406</v>
      </c>
    </row>
    <row r="106" spans="1:12">
      <c r="A106" s="65" t="s">
        <v>407</v>
      </c>
      <c r="B106" s="65" t="str">
        <f t="shared" ca="1" si="15"/>
        <v>Electric Utility Name</v>
      </c>
      <c r="C106" s="65">
        <f t="shared" ca="1" si="11"/>
        <v>0</v>
      </c>
      <c r="D106" s="114">
        <f t="shared" si="12"/>
        <v>1</v>
      </c>
      <c r="G106" s="65" t="b">
        <v>1</v>
      </c>
      <c r="H106" s="65" t="str">
        <f t="shared" ca="1" si="17"/>
        <v/>
      </c>
      <c r="I106" s="65" t="b">
        <f t="shared" ca="1" si="13"/>
        <v>1</v>
      </c>
      <c r="J106" s="65" t="s">
        <v>408</v>
      </c>
      <c r="K106" s="65" t="str">
        <f t="shared" ca="1" si="14"/>
        <v>Required</v>
      </c>
      <c r="L106" s="233" t="s">
        <v>409</v>
      </c>
    </row>
    <row r="107" spans="1:12">
      <c r="A107" s="65" t="s">
        <v>410</v>
      </c>
      <c r="B107" s="65" t="str">
        <f t="shared" ca="1" si="15"/>
        <v>Electric Account Number</v>
      </c>
      <c r="C107" s="65">
        <f t="shared" ca="1" si="11"/>
        <v>0</v>
      </c>
      <c r="D107" s="114">
        <f t="shared" ca="1" si="12"/>
        <v>1</v>
      </c>
      <c r="G107" s="65" t="b">
        <f ca="1">IF(OR(H106="PSE&amp;G",H106=""),TRUE,FALSE)</f>
        <v>1</v>
      </c>
      <c r="H107" s="65">
        <f t="shared" ca="1" si="17"/>
        <v>0</v>
      </c>
      <c r="I107" s="65" t="b">
        <f t="shared" ca="1" si="13"/>
        <v>1</v>
      </c>
      <c r="J107" s="65" t="s">
        <v>411</v>
      </c>
      <c r="K107" s="65" t="str">
        <f t="shared" ca="1" si="14"/>
        <v>Required</v>
      </c>
      <c r="L107" s="233" t="s">
        <v>412</v>
      </c>
    </row>
    <row r="108" spans="1:12">
      <c r="A108" s="65" t="s">
        <v>413</v>
      </c>
      <c r="B108" s="65" t="str">
        <f ca="1">OFFSET(INDIRECT(A108),-1,0)</f>
        <v>Gas Utility Name</v>
      </c>
      <c r="C108" s="65">
        <f t="shared" ca="1" si="11"/>
        <v>0</v>
      </c>
      <c r="D108" s="114">
        <f t="shared" si="12"/>
        <v>1</v>
      </c>
      <c r="G108" s="65" t="b">
        <v>1</v>
      </c>
      <c r="H108" s="65" t="str">
        <f t="shared" ca="1" si="17"/>
        <v/>
      </c>
      <c r="I108" s="65" t="b">
        <f t="shared" ca="1" si="13"/>
        <v>1</v>
      </c>
      <c r="J108" s="65" t="s">
        <v>414</v>
      </c>
      <c r="K108" s="65" t="str">
        <f t="shared" ca="1" si="14"/>
        <v>Required</v>
      </c>
      <c r="L108" s="233" t="s">
        <v>415</v>
      </c>
    </row>
    <row r="109" spans="1:12">
      <c r="A109" s="65" t="s">
        <v>416</v>
      </c>
      <c r="B109" s="65" t="str">
        <f ca="1">OFFSET(INDIRECT(A109),-1,0)</f>
        <v>Gas Account Number</v>
      </c>
      <c r="C109" s="65">
        <f t="shared" ca="1" si="11"/>
        <v>0</v>
      </c>
      <c r="D109" s="114">
        <f t="shared" ca="1" si="12"/>
        <v>1</v>
      </c>
      <c r="G109" s="65" t="b">
        <f ca="1">IF(OR(H108="PSE&amp;G",H108=""),TRUE,FALSE)</f>
        <v>1</v>
      </c>
      <c r="H109" s="65">
        <f t="shared" ca="1" si="17"/>
        <v>0</v>
      </c>
      <c r="I109" s="65" t="b">
        <f t="shared" ca="1" si="13"/>
        <v>1</v>
      </c>
      <c r="J109" s="65" t="s">
        <v>417</v>
      </c>
      <c r="K109" s="65" t="str">
        <f t="shared" ca="1" si="14"/>
        <v>Required</v>
      </c>
      <c r="L109" s="233" t="s">
        <v>418</v>
      </c>
    </row>
    <row r="110" spans="1:12">
      <c r="A110" s="65" t="s">
        <v>419</v>
      </c>
      <c r="B110" s="65" t="str">
        <f ca="1">OFFSET(INDIRECT(A110),-1,0)</f>
        <v>Building Type</v>
      </c>
      <c r="C110" s="65">
        <f t="shared" ca="1" si="11"/>
        <v>0</v>
      </c>
      <c r="D110" s="114">
        <f t="shared" si="12"/>
        <v>1</v>
      </c>
      <c r="G110" s="65" t="b">
        <v>1</v>
      </c>
      <c r="H110" s="65">
        <f t="shared" ca="1" si="17"/>
        <v>0</v>
      </c>
      <c r="I110" s="65" t="b">
        <f t="shared" ca="1" si="13"/>
        <v>1</v>
      </c>
      <c r="J110" s="65" t="s">
        <v>420</v>
      </c>
      <c r="K110" s="65" t="str">
        <f t="shared" ca="1" si="14"/>
        <v>Required</v>
      </c>
      <c r="L110" s="233" t="s">
        <v>421</v>
      </c>
    </row>
    <row r="111" spans="1:12">
      <c r="A111" s="65" t="s">
        <v>422</v>
      </c>
      <c r="B111" s="65" t="str">
        <f t="shared" ref="B111:B125" ca="1" si="18">OFFSET(INDIRECT(A111),-1,0)</f>
        <v>Building Ownership</v>
      </c>
      <c r="C111" s="65">
        <f t="shared" ca="1" si="11"/>
        <v>0</v>
      </c>
      <c r="D111" s="114">
        <f t="shared" si="12"/>
        <v>1</v>
      </c>
      <c r="G111" s="65" t="b">
        <v>1</v>
      </c>
      <c r="H111" s="65">
        <f t="shared" ca="1" si="17"/>
        <v>0</v>
      </c>
      <c r="I111" s="65" t="b">
        <f t="shared" ca="1" si="13"/>
        <v>1</v>
      </c>
      <c r="J111" s="65" t="s">
        <v>423</v>
      </c>
      <c r="K111" s="65" t="str">
        <f t="shared" ca="1" si="14"/>
        <v>Required</v>
      </c>
      <c r="L111" s="233" t="s">
        <v>424</v>
      </c>
    </row>
    <row r="112" spans="1:12">
      <c r="A112" s="65" t="s">
        <v>425</v>
      </c>
      <c r="B112" s="65" t="str">
        <f t="shared" ca="1" si="18"/>
        <v>Space Conditioning Type</v>
      </c>
      <c r="C112" s="65">
        <f t="shared" ca="1" si="11"/>
        <v>0</v>
      </c>
      <c r="D112" s="114">
        <f t="shared" si="12"/>
        <v>1</v>
      </c>
      <c r="G112" s="65" t="b">
        <v>1</v>
      </c>
      <c r="H112" s="65">
        <f t="shared" ca="1" si="17"/>
        <v>0</v>
      </c>
      <c r="I112" s="65" t="b">
        <f t="shared" ca="1" si="13"/>
        <v>1</v>
      </c>
      <c r="J112" s="65" t="s">
        <v>426</v>
      </c>
      <c r="K112" s="65" t="str">
        <f t="shared" ca="1" si="14"/>
        <v>Required</v>
      </c>
      <c r="L112" s="233" t="s">
        <v>427</v>
      </c>
    </row>
    <row r="113" spans="1:12">
      <c r="A113" s="65" t="s">
        <v>428</v>
      </c>
      <c r="B113" s="65" t="str">
        <f t="shared" ca="1" si="18"/>
        <v>Annual Operating Hours</v>
      </c>
      <c r="C113" s="65">
        <f t="shared" ca="1" si="11"/>
        <v>0</v>
      </c>
      <c r="D113" s="114">
        <f t="shared" si="12"/>
        <v>1</v>
      </c>
      <c r="G113" s="65" t="b">
        <v>1</v>
      </c>
      <c r="H113" s="65">
        <f t="shared" ca="1" si="17"/>
        <v>0</v>
      </c>
      <c r="I113" s="65" t="b">
        <f t="shared" ca="1" si="13"/>
        <v>1</v>
      </c>
      <c r="J113" s="65" t="s">
        <v>429</v>
      </c>
      <c r="K113" s="65" t="str">
        <f t="shared" ca="1" si="14"/>
        <v>Required</v>
      </c>
      <c r="L113" s="233" t="s">
        <v>430</v>
      </c>
    </row>
    <row r="114" spans="1:12">
      <c r="A114" s="65" t="s">
        <v>431</v>
      </c>
      <c r="B114" s="65" t="str">
        <f t="shared" ca="1" si="18"/>
        <v>Square Footage</v>
      </c>
      <c r="C114" s="65">
        <f t="shared" ca="1" si="11"/>
        <v>0</v>
      </c>
      <c r="D114" s="114">
        <f t="shared" si="12"/>
        <v>1</v>
      </c>
      <c r="G114" s="65" t="b">
        <v>1</v>
      </c>
      <c r="H114" s="65">
        <f t="shared" ca="1" si="17"/>
        <v>0</v>
      </c>
      <c r="I114" s="65" t="b">
        <f t="shared" ca="1" si="13"/>
        <v>1</v>
      </c>
      <c r="J114" s="65" t="s">
        <v>432</v>
      </c>
      <c r="K114" s="65" t="str">
        <f t="shared" ca="1" si="14"/>
        <v>Required</v>
      </c>
      <c r="L114" s="233" t="s">
        <v>433</v>
      </c>
    </row>
    <row r="115" spans="1:12">
      <c r="A115" s="65" t="s">
        <v>434</v>
      </c>
      <c r="B115" s="65" t="str">
        <f t="shared" ca="1" si="18"/>
        <v>Number of Floors</v>
      </c>
      <c r="C115" s="65">
        <f t="shared" ca="1" si="11"/>
        <v>0</v>
      </c>
      <c r="D115" s="114">
        <f t="shared" si="12"/>
        <v>1</v>
      </c>
      <c r="G115" s="65" t="b">
        <v>1</v>
      </c>
      <c r="H115" s="65">
        <f t="shared" ca="1" si="17"/>
        <v>0</v>
      </c>
      <c r="I115" s="65" t="b">
        <f t="shared" ca="1" si="13"/>
        <v>1</v>
      </c>
      <c r="J115" s="65" t="s">
        <v>435</v>
      </c>
      <c r="K115" s="65" t="str">
        <f t="shared" ca="1" si="14"/>
        <v>Required</v>
      </c>
      <c r="L115" s="233" t="s">
        <v>436</v>
      </c>
    </row>
    <row r="116" spans="1:12">
      <c r="A116" s="65" t="s">
        <v>437</v>
      </c>
      <c r="B116" s="65" t="str">
        <f t="shared" ca="1" si="18"/>
        <v>Year Built</v>
      </c>
      <c r="C116" s="65">
        <f t="shared" ca="1" si="11"/>
        <v>0</v>
      </c>
      <c r="D116" s="114">
        <f t="shared" si="12"/>
        <v>1</v>
      </c>
      <c r="G116" s="65" t="b">
        <v>1</v>
      </c>
      <c r="H116" s="65">
        <f t="shared" ca="1" si="17"/>
        <v>0</v>
      </c>
      <c r="I116" s="65" t="b">
        <f t="shared" ca="1" si="13"/>
        <v>1</v>
      </c>
      <c r="J116" s="65" t="s">
        <v>438</v>
      </c>
      <c r="K116" s="65" t="str">
        <f t="shared" ca="1" si="14"/>
        <v>Required</v>
      </c>
      <c r="L116" s="233" t="s">
        <v>439</v>
      </c>
    </row>
    <row r="117" spans="1:12">
      <c r="A117" s="65" t="s">
        <v>440</v>
      </c>
      <c r="B117" s="65" t="str">
        <f t="shared" ca="1" si="18"/>
        <v>Existing Water Heating Type</v>
      </c>
      <c r="C117" s="65">
        <f t="shared" ca="1" si="11"/>
        <v>0</v>
      </c>
      <c r="D117" s="114">
        <f t="shared" si="12"/>
        <v>1</v>
      </c>
      <c r="G117" s="65" t="b">
        <v>1</v>
      </c>
      <c r="H117" s="65">
        <f t="shared" ca="1" si="17"/>
        <v>0</v>
      </c>
      <c r="I117" s="65" t="b">
        <f t="shared" ca="1" si="13"/>
        <v>1</v>
      </c>
      <c r="J117" s="65" t="s">
        <v>441</v>
      </c>
      <c r="K117" s="65" t="str">
        <f t="shared" ca="1" si="14"/>
        <v>Required</v>
      </c>
      <c r="L117" s="233" t="s">
        <v>442</v>
      </c>
    </row>
    <row r="118" spans="1:12">
      <c r="A118" s="65" t="s">
        <v>443</v>
      </c>
      <c r="B118" s="65" t="str">
        <f t="shared" ca="1" si="18"/>
        <v>Project Name / ID</v>
      </c>
      <c r="C118" s="65">
        <f t="shared" ca="1" si="11"/>
        <v>0</v>
      </c>
      <c r="D118" s="114">
        <f t="shared" si="12"/>
        <v>1</v>
      </c>
      <c r="G118" s="65" t="b">
        <v>1</v>
      </c>
      <c r="H118" s="65">
        <f t="shared" ca="1" si="17"/>
        <v>0</v>
      </c>
      <c r="I118" s="65" t="b">
        <f t="shared" ca="1" si="13"/>
        <v>1</v>
      </c>
      <c r="J118" s="65" t="s">
        <v>444</v>
      </c>
      <c r="K118" s="65" t="str">
        <f t="shared" ca="1" si="14"/>
        <v>Required</v>
      </c>
      <c r="L118" s="233" t="s">
        <v>445</v>
      </c>
    </row>
    <row r="119" spans="1:12">
      <c r="A119" s="65" t="s">
        <v>446</v>
      </c>
      <c r="B119" s="65" t="str">
        <f t="shared" ca="1" si="18"/>
        <v>How did you hear about the Program?</v>
      </c>
      <c r="C119" s="65">
        <f t="shared" ca="1" si="11"/>
        <v>0</v>
      </c>
      <c r="D119" s="114">
        <f t="shared" si="12"/>
        <v>1</v>
      </c>
      <c r="G119" s="65" t="b">
        <v>1</v>
      </c>
      <c r="H119" s="65">
        <f t="shared" ca="1" si="17"/>
        <v>0</v>
      </c>
      <c r="I119" s="65" t="b">
        <f t="shared" ca="1" si="13"/>
        <v>1</v>
      </c>
      <c r="J119" s="65" t="s">
        <v>447</v>
      </c>
      <c r="K119" s="65" t="str">
        <f t="shared" ca="1" si="14"/>
        <v>Required</v>
      </c>
      <c r="L119" s="233"/>
    </row>
    <row r="120" spans="1:12">
      <c r="A120" s="65" t="s">
        <v>448</v>
      </c>
      <c r="B120" s="65" t="str">
        <f t="shared" ca="1" si="18"/>
        <v>Is this project already installed?</v>
      </c>
      <c r="C120" s="65">
        <f t="shared" ca="1" si="11"/>
        <v>0</v>
      </c>
      <c r="D120" s="114">
        <f t="shared" si="12"/>
        <v>1</v>
      </c>
      <c r="G120" s="65" t="b">
        <v>1</v>
      </c>
      <c r="H120" s="65">
        <f t="shared" ca="1" si="17"/>
        <v>0</v>
      </c>
      <c r="I120" s="65" t="b">
        <f t="shared" ca="1" si="13"/>
        <v>1</v>
      </c>
      <c r="J120" s="65" t="s">
        <v>449</v>
      </c>
      <c r="K120" s="65" t="str">
        <f t="shared" ca="1" si="14"/>
        <v>Required</v>
      </c>
      <c r="L120" s="233" t="s">
        <v>450</v>
      </c>
    </row>
    <row r="121" spans="1:12">
      <c r="A121" s="65" t="s">
        <v>451</v>
      </c>
      <c r="B121" s="65" t="str">
        <f t="shared" ca="1" si="18"/>
        <v>Install Date</v>
      </c>
      <c r="C121" s="65">
        <f t="shared" ca="1" si="11"/>
        <v>0</v>
      </c>
      <c r="D121" s="114">
        <f t="shared" si="12"/>
        <v>1</v>
      </c>
      <c r="G121" s="65" t="b">
        <f>IF(M02S02F27="No",FALSE,TRUE)</f>
        <v>1</v>
      </c>
      <c r="H121" s="65">
        <f ca="1">INDIRECT(A121)</f>
        <v>0</v>
      </c>
      <c r="I121" s="65" t="b">
        <f t="shared" ca="1" si="13"/>
        <v>1</v>
      </c>
      <c r="J121" s="65" t="s">
        <v>452</v>
      </c>
      <c r="K121" s="65" t="str">
        <f t="shared" ca="1" si="14"/>
        <v>Required</v>
      </c>
      <c r="L121" s="233" t="s">
        <v>453</v>
      </c>
    </row>
    <row r="122" spans="1:12">
      <c r="A122" s="65" t="s">
        <v>454</v>
      </c>
      <c r="B122" s="65" t="str">
        <f t="shared" ca="1" si="18"/>
        <v>Estimated Start Date</v>
      </c>
      <c r="C122" s="65">
        <f t="shared" ca="1" si="11"/>
        <v>0</v>
      </c>
      <c r="D122" s="114">
        <f t="shared" si="12"/>
        <v>1</v>
      </c>
      <c r="G122" s="65" t="b">
        <f>IF(M02S02F27="Yes",FALSE,TRUE)</f>
        <v>1</v>
      </c>
      <c r="H122" s="65">
        <f t="shared" ca="1" si="17"/>
        <v>0</v>
      </c>
      <c r="I122" s="65" t="b">
        <f t="shared" ca="1" si="13"/>
        <v>1</v>
      </c>
      <c r="J122" s="65" t="s">
        <v>455</v>
      </c>
      <c r="K122" s="65" t="str">
        <f t="shared" ca="1" si="14"/>
        <v>Required</v>
      </c>
      <c r="L122" s="233" t="s">
        <v>456</v>
      </c>
    </row>
    <row r="123" spans="1:12">
      <c r="A123" s="65" t="s">
        <v>457</v>
      </c>
      <c r="B123" s="65" t="str">
        <f t="shared" ca="1" si="18"/>
        <v>Estimated Completion Date</v>
      </c>
      <c r="C123" s="65">
        <f t="shared" ca="1" si="11"/>
        <v>0</v>
      </c>
      <c r="D123" s="114">
        <f t="shared" si="12"/>
        <v>1</v>
      </c>
      <c r="G123" s="65" t="b">
        <f>IF(M02S02F27="Yes",FALSE,TRUE)</f>
        <v>1</v>
      </c>
      <c r="H123" s="65">
        <f t="shared" ca="1" si="17"/>
        <v>0</v>
      </c>
      <c r="I123" s="65" t="b">
        <f t="shared" ca="1" si="13"/>
        <v>1</v>
      </c>
      <c r="J123" s="65" t="s">
        <v>458</v>
      </c>
      <c r="K123" s="65" t="str">
        <f t="shared" ca="1" si="14"/>
        <v>Required</v>
      </c>
      <c r="L123" s="233" t="s">
        <v>459</v>
      </c>
    </row>
    <row r="124" spans="1:12">
      <c r="A124" s="65" t="s">
        <v>460</v>
      </c>
      <c r="B124" s="65" t="str">
        <f t="shared" ca="1" si="18"/>
        <v>Project Description</v>
      </c>
      <c r="C124" s="65">
        <f t="shared" ca="1" si="11"/>
        <v>0</v>
      </c>
      <c r="D124" s="114">
        <f t="shared" si="12"/>
        <v>1</v>
      </c>
      <c r="G124" s="65" t="b">
        <v>1</v>
      </c>
      <c r="H124" s="65">
        <f t="shared" ca="1" si="17"/>
        <v>0</v>
      </c>
      <c r="I124" s="65" t="b">
        <f ca="1">OR(H124=0,H124="")</f>
        <v>1</v>
      </c>
      <c r="J124" s="65" t="s">
        <v>461</v>
      </c>
      <c r="K124" s="65" t="str">
        <f ca="1">IF(AND(G124=TRUE,I124=TRUE),"Required","")</f>
        <v>Required</v>
      </c>
      <c r="L124" s="233" t="s">
        <v>462</v>
      </c>
    </row>
    <row r="125" spans="1:12">
      <c r="A125" s="65" t="s">
        <v>463</v>
      </c>
      <c r="B125" s="65" t="str">
        <f t="shared" ca="1" si="18"/>
        <v>Number of Buildings</v>
      </c>
      <c r="C125" s="65">
        <f t="shared" ca="1" si="11"/>
        <v>0</v>
      </c>
      <c r="D125" s="114">
        <f t="shared" si="12"/>
        <v>0</v>
      </c>
      <c r="G125" s="65" t="b">
        <f>IF(IFERROR(SEARCH("multifamily",(BuildingInfo_Building_Type)),0)&gt;0,TRUE,FALSE)</f>
        <v>0</v>
      </c>
      <c r="H125" s="65">
        <f t="shared" ca="1" si="17"/>
        <v>0</v>
      </c>
      <c r="I125" s="65" t="b">
        <f ca="1">OR(H125=0,H125="")</f>
        <v>1</v>
      </c>
      <c r="J125" s="65" t="s">
        <v>464</v>
      </c>
      <c r="K125" s="65" t="str">
        <f ca="1">IF(AND(G125=TRUE,I125=TRUE),"Required","")</f>
        <v/>
      </c>
      <c r="L125" s="233"/>
    </row>
    <row r="126" spans="1:12">
      <c r="A126" s="65" t="s">
        <v>465</v>
      </c>
      <c r="B126" s="65" t="s">
        <v>466</v>
      </c>
      <c r="C126" s="65">
        <f>IFERROR(IF(I128=FALSE, 1,0), 0)</f>
        <v>0</v>
      </c>
      <c r="D126" s="114">
        <f>IFERROR(IF(G125=TRUE, 1,0), 0)</f>
        <v>0</v>
      </c>
      <c r="G126" s="65" t="b">
        <v>1</v>
      </c>
      <c r="H126" s="65">
        <f ca="1">INDIRECT(A126)</f>
        <v>0</v>
      </c>
      <c r="I126" s="65" t="b">
        <f ca="1">OR(H126=0,H126="")</f>
        <v>1</v>
      </c>
      <c r="J126" s="65" t="s">
        <v>467</v>
      </c>
      <c r="K126" s="65" t="str">
        <f ca="1">IF(AND(G126=TRUE,I126=TRUE),"Required","")</f>
        <v>Required</v>
      </c>
      <c r="L126" s="233"/>
    </row>
    <row r="127" spans="1:12">
      <c r="A127" s="88"/>
      <c r="C127" s="65" t="s">
        <v>341</v>
      </c>
      <c r="D127" s="65" t="s">
        <v>142</v>
      </c>
      <c r="E127" s="65" t="s">
        <v>342</v>
      </c>
      <c r="L127" s="233"/>
    </row>
    <row r="128" spans="1:12">
      <c r="A128" s="112" t="s">
        <v>343</v>
      </c>
      <c r="B128" s="116" t="str">
        <f>M2S3</f>
        <v>Customer Information</v>
      </c>
      <c r="C128" s="112">
        <f ca="1">SUMIF(D129:D145, 1, C129:C145)</f>
        <v>0</v>
      </c>
      <c r="D128" s="112">
        <f>SUM(D129:D145)</f>
        <v>17</v>
      </c>
      <c r="E128" s="113">
        <f ca="1">IFERROR(C128/D128, 1)</f>
        <v>0</v>
      </c>
      <c r="F128" s="65" t="s">
        <v>468</v>
      </c>
      <c r="G128" s="65" t="s">
        <v>345</v>
      </c>
      <c r="H128" s="65" t="s">
        <v>346</v>
      </c>
      <c r="I128" s="65" t="s">
        <v>347</v>
      </c>
      <c r="J128" s="65" t="s">
        <v>348</v>
      </c>
      <c r="K128" s="65" t="s">
        <v>349</v>
      </c>
      <c r="L128" s="65" t="s">
        <v>350</v>
      </c>
    </row>
    <row r="129" spans="1:12">
      <c r="A129" s="65" t="s">
        <v>469</v>
      </c>
      <c r="B129" s="65" t="str">
        <f t="shared" ref="B129:B145" ca="1" si="19">OFFSET(INDIRECT(A129),-1,0)</f>
        <v>Legal Company Name</v>
      </c>
      <c r="C129" s="65">
        <f t="shared" ref="C129:C145" ca="1" si="20">IFERROR(IF(I129=FALSE, 1,0), 0)</f>
        <v>0</v>
      </c>
      <c r="D129" s="114">
        <f t="shared" ref="D129:D189" si="21">IFERROR(IF(G129=TRUE, 1,0), 0)</f>
        <v>1</v>
      </c>
      <c r="G129" s="65" t="b">
        <v>1</v>
      </c>
      <c r="H129" s="65">
        <f t="shared" ref="H129" ca="1" si="22">INDIRECT(A129)</f>
        <v>0</v>
      </c>
      <c r="I129" s="65" t="b">
        <f t="shared" ref="I129:I145" ca="1" si="23">OR(H129=0,H129="")</f>
        <v>1</v>
      </c>
      <c r="J129" s="65" t="s">
        <v>470</v>
      </c>
      <c r="K129" s="65" t="str">
        <f t="shared" ref="K129:K145" ca="1" si="24">IF(AND(G129=TRUE,I129=TRUE),"Required","")</f>
        <v>Required</v>
      </c>
      <c r="L129" s="233" t="s">
        <v>471</v>
      </c>
    </row>
    <row r="130" spans="1:12">
      <c r="A130" s="65" t="s">
        <v>472</v>
      </c>
      <c r="B130" s="65" t="str">
        <f ca="1">OFFSET(INDIRECT(A130),0,-1)</f>
        <v>Copy from:</v>
      </c>
      <c r="C130" s="65">
        <f t="shared" ca="1" si="20"/>
        <v>0</v>
      </c>
      <c r="D130" s="114">
        <f t="shared" si="21"/>
        <v>1</v>
      </c>
      <c r="G130" s="65" t="b">
        <v>1</v>
      </c>
      <c r="H130" s="65">
        <f t="shared" ref="H130:H145" ca="1" si="25">INDIRECT(A130)</f>
        <v>0</v>
      </c>
      <c r="I130" s="65" t="b">
        <f t="shared" ca="1" si="23"/>
        <v>1</v>
      </c>
      <c r="J130" s="65" t="s">
        <v>473</v>
      </c>
      <c r="K130" s="65" t="str">
        <f t="shared" ca="1" si="24"/>
        <v>Required</v>
      </c>
      <c r="L130" s="233" t="s">
        <v>474</v>
      </c>
    </row>
    <row r="131" spans="1:12">
      <c r="A131" s="65" t="s">
        <v>475</v>
      </c>
      <c r="B131" s="65" t="str">
        <f t="shared" ca="1" si="19"/>
        <v>Contact First Name</v>
      </c>
      <c r="C131" s="65">
        <f t="shared" ca="1" si="20"/>
        <v>0</v>
      </c>
      <c r="D131" s="114">
        <f t="shared" si="21"/>
        <v>1</v>
      </c>
      <c r="G131" s="65" t="b">
        <v>1</v>
      </c>
      <c r="H131" s="65">
        <f t="shared" ca="1" si="25"/>
        <v>0</v>
      </c>
      <c r="I131" s="65" t="b">
        <f t="shared" ca="1" si="23"/>
        <v>1</v>
      </c>
      <c r="J131" s="65" t="s">
        <v>476</v>
      </c>
      <c r="K131" s="65" t="str">
        <f t="shared" ca="1" si="24"/>
        <v>Required</v>
      </c>
      <c r="L131" s="233" t="s">
        <v>477</v>
      </c>
    </row>
    <row r="132" spans="1:12">
      <c r="A132" s="65" t="s">
        <v>478</v>
      </c>
      <c r="B132" s="65" t="str">
        <f t="shared" ca="1" si="19"/>
        <v>Last Name</v>
      </c>
      <c r="C132" s="65">
        <f t="shared" ca="1" si="20"/>
        <v>0</v>
      </c>
      <c r="D132" s="114">
        <f t="shared" si="21"/>
        <v>1</v>
      </c>
      <c r="G132" s="65" t="b">
        <v>1</v>
      </c>
      <c r="H132" s="65">
        <f t="shared" ca="1" si="25"/>
        <v>0</v>
      </c>
      <c r="I132" s="65" t="b">
        <f t="shared" ca="1" si="23"/>
        <v>1</v>
      </c>
      <c r="J132" s="65" t="s">
        <v>479</v>
      </c>
      <c r="K132" s="65" t="str">
        <f t="shared" ca="1" si="24"/>
        <v>Required</v>
      </c>
      <c r="L132" s="233" t="s">
        <v>474</v>
      </c>
    </row>
    <row r="133" spans="1:12">
      <c r="A133" s="65" t="s">
        <v>480</v>
      </c>
      <c r="B133" s="65" t="str">
        <f t="shared" ca="1" si="19"/>
        <v>Address</v>
      </c>
      <c r="C133" s="65">
        <f t="shared" ca="1" si="20"/>
        <v>0</v>
      </c>
      <c r="D133" s="114">
        <f t="shared" si="21"/>
        <v>1</v>
      </c>
      <c r="G133" s="65" t="b">
        <v>1</v>
      </c>
      <c r="H133" s="65" t="str">
        <f t="shared" ca="1" si="25"/>
        <v/>
      </c>
      <c r="I133" s="65" t="b">
        <f t="shared" ca="1" si="23"/>
        <v>1</v>
      </c>
      <c r="J133" s="65" t="s">
        <v>481</v>
      </c>
      <c r="K133" s="65" t="str">
        <f t="shared" ca="1" si="24"/>
        <v>Required</v>
      </c>
      <c r="L133" s="233" t="s">
        <v>482</v>
      </c>
    </row>
    <row r="134" spans="1:12">
      <c r="A134" s="65" t="s">
        <v>483</v>
      </c>
      <c r="B134" s="65" t="str">
        <f t="shared" ca="1" si="19"/>
        <v>Title</v>
      </c>
      <c r="C134" s="65">
        <f t="shared" ca="1" si="20"/>
        <v>0</v>
      </c>
      <c r="D134" s="114">
        <f t="shared" si="21"/>
        <v>1</v>
      </c>
      <c r="G134" s="65" t="b">
        <v>1</v>
      </c>
      <c r="H134" s="65">
        <f t="shared" ca="1" si="25"/>
        <v>0</v>
      </c>
      <c r="I134" s="65" t="b">
        <f t="shared" ca="1" si="23"/>
        <v>1</v>
      </c>
      <c r="J134" s="65" t="s">
        <v>484</v>
      </c>
      <c r="K134" s="65" t="str">
        <f t="shared" ca="1" si="24"/>
        <v>Required</v>
      </c>
      <c r="L134" s="233" t="s">
        <v>485</v>
      </c>
    </row>
    <row r="135" spans="1:12">
      <c r="A135" s="65" t="s">
        <v>486</v>
      </c>
      <c r="B135" s="65" t="str">
        <f t="shared" ca="1" si="19"/>
        <v>Primary Phone</v>
      </c>
      <c r="C135" s="65">
        <f t="shared" ca="1" si="20"/>
        <v>0</v>
      </c>
      <c r="D135" s="114">
        <f t="shared" si="21"/>
        <v>1</v>
      </c>
      <c r="G135" s="65" t="b">
        <v>1</v>
      </c>
      <c r="H135" s="65">
        <f t="shared" ca="1" si="25"/>
        <v>0</v>
      </c>
      <c r="I135" s="65" t="b">
        <f t="shared" ca="1" si="23"/>
        <v>1</v>
      </c>
      <c r="J135" s="65" t="s">
        <v>487</v>
      </c>
      <c r="K135" s="65" t="str">
        <f t="shared" ca="1" si="24"/>
        <v>Required</v>
      </c>
      <c r="L135" s="233" t="s">
        <v>488</v>
      </c>
    </row>
    <row r="136" spans="1:12">
      <c r="A136" s="65" t="s">
        <v>489</v>
      </c>
      <c r="B136" s="65" t="str">
        <f t="shared" ca="1" si="19"/>
        <v>Email</v>
      </c>
      <c r="C136" s="65">
        <f t="shared" ca="1" si="20"/>
        <v>0</v>
      </c>
      <c r="D136" s="114">
        <f t="shared" si="21"/>
        <v>1</v>
      </c>
      <c r="G136" s="65" t="b">
        <v>1</v>
      </c>
      <c r="H136" s="65">
        <f t="shared" ca="1" si="25"/>
        <v>0</v>
      </c>
      <c r="I136" s="65" t="b">
        <f t="shared" ca="1" si="23"/>
        <v>1</v>
      </c>
      <c r="J136" s="65" t="s">
        <v>490</v>
      </c>
      <c r="K136" s="65" t="str">
        <f t="shared" ca="1" si="24"/>
        <v>Required</v>
      </c>
      <c r="L136" s="233" t="s">
        <v>491</v>
      </c>
    </row>
    <row r="137" spans="1:12">
      <c r="A137" s="65" t="s">
        <v>492</v>
      </c>
      <c r="B137" s="65" t="str">
        <f t="shared" ca="1" si="19"/>
        <v>City</v>
      </c>
      <c r="C137" s="65">
        <f t="shared" ca="1" si="20"/>
        <v>0</v>
      </c>
      <c r="D137" s="114">
        <f t="shared" si="21"/>
        <v>1</v>
      </c>
      <c r="G137" s="65" t="b">
        <v>1</v>
      </c>
      <c r="H137" s="65" t="str">
        <f t="shared" ca="1" si="25"/>
        <v/>
      </c>
      <c r="I137" s="65" t="b">
        <f t="shared" ca="1" si="23"/>
        <v>1</v>
      </c>
      <c r="J137" s="65" t="s">
        <v>493</v>
      </c>
      <c r="K137" s="65" t="str">
        <f t="shared" ca="1" si="24"/>
        <v>Required</v>
      </c>
      <c r="L137" s="233" t="s">
        <v>494</v>
      </c>
    </row>
    <row r="138" spans="1:12">
      <c r="A138" s="65" t="s">
        <v>495</v>
      </c>
      <c r="B138" s="65" t="str">
        <f t="shared" ca="1" si="19"/>
        <v>State</v>
      </c>
      <c r="C138" s="65">
        <f t="shared" ca="1" si="20"/>
        <v>0</v>
      </c>
      <c r="D138" s="114">
        <f t="shared" si="21"/>
        <v>1</v>
      </c>
      <c r="G138" s="65" t="b">
        <v>1</v>
      </c>
      <c r="H138" s="65" t="str">
        <f t="shared" ca="1" si="25"/>
        <v/>
      </c>
      <c r="I138" s="65" t="b">
        <f t="shared" ca="1" si="23"/>
        <v>1</v>
      </c>
      <c r="J138" s="65" t="s">
        <v>496</v>
      </c>
      <c r="K138" s="65" t="str">
        <f t="shared" ca="1" si="24"/>
        <v>Required</v>
      </c>
      <c r="L138" s="233" t="s">
        <v>497</v>
      </c>
    </row>
    <row r="139" spans="1:12">
      <c r="A139" s="65" t="s">
        <v>498</v>
      </c>
      <c r="B139" s="65" t="str">
        <f t="shared" ca="1" si="19"/>
        <v>ZIP Code</v>
      </c>
      <c r="C139" s="65">
        <f t="shared" ca="1" si="20"/>
        <v>0</v>
      </c>
      <c r="D139" s="114">
        <f t="shared" si="21"/>
        <v>1</v>
      </c>
      <c r="G139" s="65" t="b">
        <v>1</v>
      </c>
      <c r="H139" s="65" t="str">
        <f t="shared" ca="1" si="25"/>
        <v/>
      </c>
      <c r="I139" s="65" t="b">
        <f t="shared" ca="1" si="23"/>
        <v>1</v>
      </c>
      <c r="J139" s="65" t="s">
        <v>499</v>
      </c>
      <c r="K139" s="65" t="str">
        <f t="shared" ca="1" si="24"/>
        <v>Required</v>
      </c>
      <c r="L139" s="233" t="s">
        <v>500</v>
      </c>
    </row>
    <row r="140" spans="1:12">
      <c r="A140" s="65" t="s">
        <v>501</v>
      </c>
      <c r="B140" s="65" t="str">
        <f ca="1">OFFSET(INDIRECT(A140),0,-1)</f>
        <v>Technical/Site Contact is the same as the Company Contact (above)?</v>
      </c>
      <c r="C140" s="65">
        <f t="shared" ca="1" si="20"/>
        <v>0</v>
      </c>
      <c r="D140" s="114">
        <f t="shared" si="21"/>
        <v>1</v>
      </c>
      <c r="G140" s="65" t="b">
        <v>1</v>
      </c>
      <c r="H140" s="65">
        <f t="shared" ca="1" si="25"/>
        <v>0</v>
      </c>
      <c r="I140" s="65" t="b">
        <f t="shared" ca="1" si="23"/>
        <v>1</v>
      </c>
      <c r="J140" s="65" t="s">
        <v>502</v>
      </c>
      <c r="K140" s="65" t="str">
        <f t="shared" ca="1" si="24"/>
        <v>Required</v>
      </c>
      <c r="L140" s="233" t="s">
        <v>503</v>
      </c>
    </row>
    <row r="141" spans="1:12">
      <c r="A141" s="65" t="s">
        <v>504</v>
      </c>
      <c r="B141" s="65" t="str">
        <f t="shared" ca="1" si="19"/>
        <v>Contact First Name</v>
      </c>
      <c r="C141" s="65">
        <f t="shared" ca="1" si="20"/>
        <v>0</v>
      </c>
      <c r="D141" s="114">
        <f t="shared" si="21"/>
        <v>1</v>
      </c>
      <c r="G141" s="65" t="b">
        <v>1</v>
      </c>
      <c r="H141" s="65" t="str">
        <f t="shared" ca="1" si="25"/>
        <v/>
      </c>
      <c r="I141" s="65" t="b">
        <f t="shared" ca="1" si="23"/>
        <v>1</v>
      </c>
      <c r="J141" s="65" t="s">
        <v>505</v>
      </c>
      <c r="K141" s="65" t="str">
        <f t="shared" ca="1" si="24"/>
        <v>Required</v>
      </c>
      <c r="L141" s="233" t="s">
        <v>506</v>
      </c>
    </row>
    <row r="142" spans="1:12">
      <c r="A142" s="65" t="s">
        <v>507</v>
      </c>
      <c r="B142" s="65" t="str">
        <f t="shared" ca="1" si="19"/>
        <v>Last Name</v>
      </c>
      <c r="C142" s="65">
        <f t="shared" ca="1" si="20"/>
        <v>0</v>
      </c>
      <c r="D142" s="114">
        <f t="shared" si="21"/>
        <v>1</v>
      </c>
      <c r="G142" s="65" t="b">
        <v>1</v>
      </c>
      <c r="H142" s="65" t="str">
        <f t="shared" ca="1" si="25"/>
        <v/>
      </c>
      <c r="I142" s="65" t="b">
        <f t="shared" ca="1" si="23"/>
        <v>1</v>
      </c>
      <c r="J142" s="65" t="s">
        <v>508</v>
      </c>
      <c r="K142" s="65" t="str">
        <f t="shared" ca="1" si="24"/>
        <v>Required</v>
      </c>
      <c r="L142" s="233" t="s">
        <v>509</v>
      </c>
    </row>
    <row r="143" spans="1:12">
      <c r="A143" s="65" t="s">
        <v>510</v>
      </c>
      <c r="B143" s="65" t="str">
        <f t="shared" ca="1" si="19"/>
        <v>Title</v>
      </c>
      <c r="C143" s="65">
        <f t="shared" ca="1" si="20"/>
        <v>0</v>
      </c>
      <c r="D143" s="114">
        <f t="shared" si="21"/>
        <v>1</v>
      </c>
      <c r="G143" s="65" t="b">
        <v>1</v>
      </c>
      <c r="H143" s="65" t="str">
        <f t="shared" ca="1" si="25"/>
        <v/>
      </c>
      <c r="I143" s="65" t="b">
        <f t="shared" ca="1" si="23"/>
        <v>1</v>
      </c>
      <c r="J143" s="65" t="s">
        <v>511</v>
      </c>
      <c r="K143" s="65" t="str">
        <f t="shared" ca="1" si="24"/>
        <v>Required</v>
      </c>
      <c r="L143" s="233" t="s">
        <v>512</v>
      </c>
    </row>
    <row r="144" spans="1:12">
      <c r="A144" s="65" t="s">
        <v>513</v>
      </c>
      <c r="B144" s="65" t="str">
        <f t="shared" ca="1" si="19"/>
        <v>Primary Phone</v>
      </c>
      <c r="C144" s="65">
        <f t="shared" ca="1" si="20"/>
        <v>0</v>
      </c>
      <c r="D144" s="114">
        <f t="shared" si="21"/>
        <v>1</v>
      </c>
      <c r="G144" s="65" t="b">
        <v>1</v>
      </c>
      <c r="H144" s="65" t="str">
        <f t="shared" ca="1" si="25"/>
        <v/>
      </c>
      <c r="I144" s="65" t="b">
        <f t="shared" ca="1" si="23"/>
        <v>1</v>
      </c>
      <c r="J144" s="65" t="s">
        <v>514</v>
      </c>
      <c r="K144" s="65" t="str">
        <f t="shared" ca="1" si="24"/>
        <v>Required</v>
      </c>
      <c r="L144" s="233" t="s">
        <v>515</v>
      </c>
    </row>
    <row r="145" spans="1:12">
      <c r="A145" s="65" t="s">
        <v>516</v>
      </c>
      <c r="B145" s="65" t="str">
        <f t="shared" ca="1" si="19"/>
        <v>Email</v>
      </c>
      <c r="C145" s="65">
        <f t="shared" ca="1" si="20"/>
        <v>0</v>
      </c>
      <c r="D145" s="114">
        <f t="shared" si="21"/>
        <v>1</v>
      </c>
      <c r="G145" s="65" t="b">
        <v>1</v>
      </c>
      <c r="H145" s="65" t="str">
        <f t="shared" ca="1" si="25"/>
        <v/>
      </c>
      <c r="I145" s="65" t="b">
        <f t="shared" ca="1" si="23"/>
        <v>1</v>
      </c>
      <c r="J145" s="65" t="s">
        <v>517</v>
      </c>
      <c r="K145" s="65" t="str">
        <f t="shared" ca="1" si="24"/>
        <v>Required</v>
      </c>
      <c r="L145" s="233" t="s">
        <v>518</v>
      </c>
    </row>
    <row r="146" spans="1:12">
      <c r="B146"/>
      <c r="C146"/>
      <c r="D146"/>
      <c r="L146" s="233"/>
    </row>
    <row r="147" spans="1:12">
      <c r="A147" s="88"/>
      <c r="C147" s="65" t="s">
        <v>341</v>
      </c>
      <c r="D147"/>
      <c r="E147" s="65" t="s">
        <v>342</v>
      </c>
      <c r="L147" s="233"/>
    </row>
    <row r="148" spans="1:12">
      <c r="A148" s="112" t="s">
        <v>343</v>
      </c>
      <c r="B148" s="116" t="str">
        <f>M2S4</f>
        <v>Trade Ally / Contractor Information</v>
      </c>
      <c r="C148" s="112">
        <f ca="1">SUMIF(D149:D165, 1, C149:C165)</f>
        <v>0</v>
      </c>
      <c r="D148" s="112">
        <f>SUM(D149:D165)</f>
        <v>2</v>
      </c>
      <c r="E148" s="113">
        <f ca="1">IFERROR(C148/D148, 1)</f>
        <v>0</v>
      </c>
      <c r="F148" s="65" t="s">
        <v>519</v>
      </c>
      <c r="G148" s="65" t="s">
        <v>345</v>
      </c>
      <c r="H148" s="65" t="s">
        <v>346</v>
      </c>
      <c r="I148" s="65" t="s">
        <v>347</v>
      </c>
      <c r="J148" s="65" t="s">
        <v>348</v>
      </c>
      <c r="K148" s="65" t="s">
        <v>349</v>
      </c>
      <c r="L148" s="65" t="s">
        <v>350</v>
      </c>
    </row>
    <row r="149" spans="1:12">
      <c r="A149" s="65" t="s">
        <v>520</v>
      </c>
      <c r="B149" s="65" t="str">
        <f ca="1">OFFSET(INDIRECT(A149),0,-1)</f>
        <v xml:space="preserve">Is there a Trade Ally (TA) or contractor involved with this project?  </v>
      </c>
      <c r="C149" s="65">
        <f t="shared" ref="C149:C165" ca="1" si="26">IFERROR(IF(I149=FALSE, 1,0), 0)</f>
        <v>0</v>
      </c>
      <c r="D149" s="114">
        <f t="shared" si="21"/>
        <v>1</v>
      </c>
      <c r="G149" s="65" t="b">
        <v>1</v>
      </c>
      <c r="H149" s="65">
        <f t="shared" ref="H149:H150" ca="1" si="27">INDIRECT(A149)</f>
        <v>0</v>
      </c>
      <c r="I149" s="65" t="b">
        <f t="shared" ref="I149:I165" ca="1" si="28">OR(H149=0,H149="")</f>
        <v>1</v>
      </c>
      <c r="J149" s="65" t="s">
        <v>521</v>
      </c>
      <c r="K149" s="65" t="str">
        <f t="shared" ref="K149:K166" ca="1" si="29">IF(AND(G149=TRUE,I149=TRUE),"Required","")</f>
        <v>Required</v>
      </c>
      <c r="L149" s="233" t="s">
        <v>522</v>
      </c>
    </row>
    <row r="150" spans="1:12">
      <c r="A150" s="65" t="s">
        <v>523</v>
      </c>
      <c r="B150" s="65" t="str">
        <f ca="1">OFFSET(INDIRECT(A150),-1,0)</f>
        <v>TA / Contractor Company</v>
      </c>
      <c r="C150" s="65">
        <f t="shared" ca="1" si="26"/>
        <v>0</v>
      </c>
      <c r="D150" s="114">
        <f t="shared" si="21"/>
        <v>0</v>
      </c>
      <c r="G150" s="65" t="b">
        <f t="shared" ref="G150:G160" si="30">IF(OR(M02S04F01="Trade Ally",M02S04F01="Contractor"),TRUE,FALSE)</f>
        <v>0</v>
      </c>
      <c r="H150" s="65">
        <f t="shared" ca="1" si="27"/>
        <v>0</v>
      </c>
      <c r="I150" s="65" t="b">
        <f t="shared" ca="1" si="28"/>
        <v>1</v>
      </c>
      <c r="J150" s="65" t="s">
        <v>524</v>
      </c>
      <c r="K150" s="65" t="str">
        <f t="shared" ca="1" si="29"/>
        <v/>
      </c>
      <c r="L150" s="233" t="s">
        <v>525</v>
      </c>
    </row>
    <row r="151" spans="1:12">
      <c r="A151" s="65" t="s">
        <v>526</v>
      </c>
      <c r="B151" s="65" t="str">
        <f t="shared" ref="B151:B165" ca="1" si="31">OFFSET(INDIRECT(A151),-1,0)</f>
        <v>Mailing Address</v>
      </c>
      <c r="C151" s="65">
        <f t="shared" ca="1" si="26"/>
        <v>0</v>
      </c>
      <c r="D151" s="114">
        <f t="shared" si="21"/>
        <v>0</v>
      </c>
      <c r="G151" s="65" t="b">
        <f t="shared" si="30"/>
        <v>0</v>
      </c>
      <c r="H151" s="65">
        <f t="shared" ref="H151:H165" ca="1" si="32">INDIRECT(A151)</f>
        <v>0</v>
      </c>
      <c r="I151" s="65" t="b">
        <f t="shared" ca="1" si="28"/>
        <v>1</v>
      </c>
      <c r="J151" s="65" t="s">
        <v>527</v>
      </c>
      <c r="K151" s="65" t="str">
        <f t="shared" ca="1" si="29"/>
        <v/>
      </c>
      <c r="L151" s="233" t="s">
        <v>528</v>
      </c>
    </row>
    <row r="152" spans="1:12">
      <c r="A152" s="65" t="s">
        <v>529</v>
      </c>
      <c r="B152" s="65" t="str">
        <f ca="1">OFFSET(INDIRECT(A152),0,-1)</f>
        <v xml:space="preserve">Who will install/installed the equipment for this project? </v>
      </c>
      <c r="C152" s="65">
        <f t="shared" ca="1" si="26"/>
        <v>0</v>
      </c>
      <c r="D152" s="114">
        <f t="shared" si="21"/>
        <v>1</v>
      </c>
      <c r="G152" s="65" t="b">
        <v>1</v>
      </c>
      <c r="H152" s="65">
        <f t="shared" ca="1" si="32"/>
        <v>0</v>
      </c>
      <c r="I152" s="65" t="b">
        <f t="shared" ca="1" si="28"/>
        <v>1</v>
      </c>
      <c r="J152" s="65" t="s">
        <v>530</v>
      </c>
      <c r="K152" s="65" t="str">
        <f t="shared" ca="1" si="29"/>
        <v>Required</v>
      </c>
      <c r="L152" s="233" t="s">
        <v>531</v>
      </c>
    </row>
    <row r="153" spans="1:12">
      <c r="A153" s="65" t="s">
        <v>532</v>
      </c>
      <c r="B153" s="65" t="str">
        <f t="shared" ca="1" si="31"/>
        <v>City</v>
      </c>
      <c r="C153" s="65">
        <f t="shared" ca="1" si="26"/>
        <v>0</v>
      </c>
      <c r="D153" s="114">
        <f t="shared" si="21"/>
        <v>0</v>
      </c>
      <c r="G153" s="65" t="b">
        <f t="shared" si="30"/>
        <v>0</v>
      </c>
      <c r="H153" s="65">
        <f t="shared" ca="1" si="32"/>
        <v>0</v>
      </c>
      <c r="I153" s="65" t="b">
        <f t="shared" ca="1" si="28"/>
        <v>1</v>
      </c>
      <c r="J153" s="65" t="s">
        <v>533</v>
      </c>
      <c r="K153" s="65" t="str">
        <f t="shared" ca="1" si="29"/>
        <v/>
      </c>
      <c r="L153" s="233" t="s">
        <v>534</v>
      </c>
    </row>
    <row r="154" spans="1:12">
      <c r="A154" s="65" t="s">
        <v>535</v>
      </c>
      <c r="B154" s="65" t="str">
        <f t="shared" ca="1" si="31"/>
        <v>State</v>
      </c>
      <c r="C154" s="65">
        <f t="shared" ca="1" si="26"/>
        <v>0</v>
      </c>
      <c r="D154" s="114">
        <f t="shared" si="21"/>
        <v>0</v>
      </c>
      <c r="G154" s="65" t="b">
        <f t="shared" si="30"/>
        <v>0</v>
      </c>
      <c r="H154" s="65">
        <f t="shared" ca="1" si="32"/>
        <v>0</v>
      </c>
      <c r="I154" s="65" t="b">
        <f t="shared" ca="1" si="28"/>
        <v>1</v>
      </c>
      <c r="J154" s="65" t="s">
        <v>536</v>
      </c>
      <c r="K154" s="65" t="str">
        <f t="shared" ca="1" si="29"/>
        <v/>
      </c>
      <c r="L154" s="233" t="s">
        <v>537</v>
      </c>
    </row>
    <row r="155" spans="1:12">
      <c r="A155" s="65" t="s">
        <v>538</v>
      </c>
      <c r="B155" s="65" t="str">
        <f t="shared" ca="1" si="31"/>
        <v>Zip Code</v>
      </c>
      <c r="C155" s="65">
        <f t="shared" ca="1" si="26"/>
        <v>0</v>
      </c>
      <c r="D155" s="114">
        <f t="shared" si="21"/>
        <v>0</v>
      </c>
      <c r="G155" s="65" t="b">
        <f t="shared" si="30"/>
        <v>0</v>
      </c>
      <c r="H155" s="65">
        <f t="shared" ca="1" si="32"/>
        <v>0</v>
      </c>
      <c r="I155" s="65" t="b">
        <f t="shared" ca="1" si="28"/>
        <v>1</v>
      </c>
      <c r="J155" s="65" t="s">
        <v>539</v>
      </c>
      <c r="K155" s="65" t="str">
        <f t="shared" ca="1" si="29"/>
        <v/>
      </c>
      <c r="L155" s="233" t="s">
        <v>540</v>
      </c>
    </row>
    <row r="156" spans="1:12">
      <c r="A156" s="65" t="s">
        <v>541</v>
      </c>
      <c r="B156" s="65" t="str">
        <f t="shared" ca="1" si="31"/>
        <v>Contact First Name</v>
      </c>
      <c r="C156" s="65">
        <f t="shared" ca="1" si="26"/>
        <v>0</v>
      </c>
      <c r="D156" s="114">
        <f t="shared" si="21"/>
        <v>0</v>
      </c>
      <c r="G156" s="65" t="b">
        <f t="shared" si="30"/>
        <v>0</v>
      </c>
      <c r="H156" s="65">
        <f t="shared" ca="1" si="32"/>
        <v>0</v>
      </c>
      <c r="I156" s="65" t="b">
        <f t="shared" ca="1" si="28"/>
        <v>1</v>
      </c>
      <c r="J156" s="65" t="s">
        <v>542</v>
      </c>
      <c r="K156" s="65" t="str">
        <f t="shared" ca="1" si="29"/>
        <v/>
      </c>
      <c r="L156" s="233" t="s">
        <v>543</v>
      </c>
    </row>
    <row r="157" spans="1:12">
      <c r="A157" s="65" t="s">
        <v>544</v>
      </c>
      <c r="B157" s="65" t="str">
        <f t="shared" ca="1" si="31"/>
        <v>Last Name</v>
      </c>
      <c r="C157" s="65">
        <f t="shared" ca="1" si="26"/>
        <v>0</v>
      </c>
      <c r="D157" s="114">
        <f t="shared" si="21"/>
        <v>0</v>
      </c>
      <c r="G157" s="65" t="b">
        <f t="shared" si="30"/>
        <v>0</v>
      </c>
      <c r="H157" s="65">
        <f t="shared" ca="1" si="32"/>
        <v>0</v>
      </c>
      <c r="I157" s="65" t="b">
        <f t="shared" ca="1" si="28"/>
        <v>1</v>
      </c>
      <c r="J157" s="65" t="s">
        <v>545</v>
      </c>
      <c r="K157" s="65" t="str">
        <f t="shared" ca="1" si="29"/>
        <v/>
      </c>
      <c r="L157" s="233" t="s">
        <v>546</v>
      </c>
    </row>
    <row r="158" spans="1:12">
      <c r="A158" s="65" t="s">
        <v>547</v>
      </c>
      <c r="B158" s="65" t="str">
        <f t="shared" ca="1" si="31"/>
        <v>Title</v>
      </c>
      <c r="C158" s="65">
        <f t="shared" ca="1" si="26"/>
        <v>0</v>
      </c>
      <c r="D158" s="114">
        <f t="shared" si="21"/>
        <v>0</v>
      </c>
      <c r="G158" s="65" t="b">
        <f t="shared" si="30"/>
        <v>0</v>
      </c>
      <c r="H158" s="65">
        <f t="shared" ca="1" si="32"/>
        <v>0</v>
      </c>
      <c r="I158" s="65" t="b">
        <f t="shared" ca="1" si="28"/>
        <v>1</v>
      </c>
      <c r="J158" s="65" t="s">
        <v>548</v>
      </c>
      <c r="K158" s="65" t="str">
        <f t="shared" ca="1" si="29"/>
        <v/>
      </c>
      <c r="L158" s="233" t="s">
        <v>549</v>
      </c>
    </row>
    <row r="159" spans="1:12">
      <c r="A159" s="65" t="s">
        <v>550</v>
      </c>
      <c r="B159" s="65" t="str">
        <f t="shared" ca="1" si="31"/>
        <v>Primary Phone</v>
      </c>
      <c r="C159" s="65">
        <f t="shared" ca="1" si="26"/>
        <v>0</v>
      </c>
      <c r="D159" s="114">
        <f t="shared" si="21"/>
        <v>0</v>
      </c>
      <c r="G159" s="65" t="b">
        <f t="shared" si="30"/>
        <v>0</v>
      </c>
      <c r="H159" s="65">
        <f t="shared" ca="1" si="32"/>
        <v>0</v>
      </c>
      <c r="I159" s="65" t="b">
        <f t="shared" ca="1" si="28"/>
        <v>1</v>
      </c>
      <c r="J159" s="65" t="s">
        <v>551</v>
      </c>
      <c r="K159" s="65" t="str">
        <f t="shared" ca="1" si="29"/>
        <v/>
      </c>
      <c r="L159" s="233" t="s">
        <v>552</v>
      </c>
    </row>
    <row r="160" spans="1:12">
      <c r="A160" s="65" t="s">
        <v>553</v>
      </c>
      <c r="B160" s="65" t="str">
        <f t="shared" ca="1" si="31"/>
        <v>Email</v>
      </c>
      <c r="C160" s="65">
        <f t="shared" ca="1" si="26"/>
        <v>0</v>
      </c>
      <c r="D160" s="114">
        <f t="shared" si="21"/>
        <v>0</v>
      </c>
      <c r="G160" s="65" t="b">
        <f t="shared" si="30"/>
        <v>0</v>
      </c>
      <c r="H160" s="65">
        <f t="shared" ca="1" si="32"/>
        <v>0</v>
      </c>
      <c r="I160" s="65" t="b">
        <f t="shared" ca="1" si="28"/>
        <v>1</v>
      </c>
      <c r="J160" s="65" t="s">
        <v>554</v>
      </c>
      <c r="K160" s="65" t="str">
        <f t="shared" ca="1" si="29"/>
        <v/>
      </c>
      <c r="L160" s="233" t="s">
        <v>555</v>
      </c>
    </row>
    <row r="161" spans="1:12">
      <c r="A161" s="65" t="s">
        <v>556</v>
      </c>
      <c r="B161" s="65" t="str">
        <f t="shared" ca="1" si="31"/>
        <v>Contact First Name</v>
      </c>
      <c r="C161" s="65">
        <f t="shared" ca="1" si="26"/>
        <v>0</v>
      </c>
      <c r="D161" s="114">
        <f t="shared" si="21"/>
        <v>0</v>
      </c>
      <c r="G161" s="65" t="b">
        <v>0</v>
      </c>
      <c r="H161" s="65">
        <f t="shared" ca="1" si="32"/>
        <v>0</v>
      </c>
      <c r="I161" s="65" t="b">
        <f t="shared" ca="1" si="28"/>
        <v>1</v>
      </c>
      <c r="J161" s="65" t="s">
        <v>557</v>
      </c>
      <c r="K161" s="65" t="str">
        <f t="shared" ca="1" si="29"/>
        <v/>
      </c>
      <c r="L161" s="233" t="s">
        <v>558</v>
      </c>
    </row>
    <row r="162" spans="1:12">
      <c r="A162" s="65" t="s">
        <v>559</v>
      </c>
      <c r="B162" s="65" t="str">
        <f t="shared" ca="1" si="31"/>
        <v>Last Name</v>
      </c>
      <c r="C162" s="65">
        <f t="shared" ca="1" si="26"/>
        <v>0</v>
      </c>
      <c r="D162" s="114">
        <f t="shared" si="21"/>
        <v>0</v>
      </c>
      <c r="G162" s="65" t="b">
        <v>0</v>
      </c>
      <c r="H162" s="65">
        <f t="shared" ca="1" si="32"/>
        <v>0</v>
      </c>
      <c r="I162" s="65" t="b">
        <f t="shared" ca="1" si="28"/>
        <v>1</v>
      </c>
      <c r="J162" s="65" t="s">
        <v>560</v>
      </c>
      <c r="K162" s="65" t="str">
        <f t="shared" ca="1" si="29"/>
        <v/>
      </c>
      <c r="L162" s="233" t="s">
        <v>561</v>
      </c>
    </row>
    <row r="163" spans="1:12">
      <c r="A163" s="65" t="s">
        <v>562</v>
      </c>
      <c r="B163" s="65" t="str">
        <f t="shared" ca="1" si="31"/>
        <v>Title</v>
      </c>
      <c r="C163" s="65">
        <f t="shared" ca="1" si="26"/>
        <v>0</v>
      </c>
      <c r="D163" s="114">
        <f t="shared" si="21"/>
        <v>0</v>
      </c>
      <c r="G163" s="65" t="b">
        <v>0</v>
      </c>
      <c r="H163" s="65">
        <f t="shared" ca="1" si="32"/>
        <v>0</v>
      </c>
      <c r="I163" s="65" t="b">
        <f t="shared" ca="1" si="28"/>
        <v>1</v>
      </c>
      <c r="J163" s="65" t="s">
        <v>563</v>
      </c>
      <c r="K163" s="65" t="str">
        <f t="shared" ca="1" si="29"/>
        <v/>
      </c>
      <c r="L163" s="233" t="s">
        <v>564</v>
      </c>
    </row>
    <row r="164" spans="1:12">
      <c r="A164" s="65" t="s">
        <v>565</v>
      </c>
      <c r="B164" s="65" t="str">
        <f t="shared" ca="1" si="31"/>
        <v>Primary Phone</v>
      </c>
      <c r="C164" s="65">
        <f t="shared" ca="1" si="26"/>
        <v>0</v>
      </c>
      <c r="D164" s="114">
        <f t="shared" si="21"/>
        <v>0</v>
      </c>
      <c r="G164" s="65" t="b">
        <v>0</v>
      </c>
      <c r="H164" s="65">
        <f t="shared" ca="1" si="32"/>
        <v>0</v>
      </c>
      <c r="I164" s="65" t="b">
        <f t="shared" ca="1" si="28"/>
        <v>1</v>
      </c>
      <c r="J164" s="65" t="s">
        <v>566</v>
      </c>
      <c r="K164" s="65" t="str">
        <f t="shared" ca="1" si="29"/>
        <v/>
      </c>
      <c r="L164" s="233" t="s">
        <v>567</v>
      </c>
    </row>
    <row r="165" spans="1:12">
      <c r="A165" s="65" t="s">
        <v>568</v>
      </c>
      <c r="B165" s="65" t="str">
        <f t="shared" ca="1" si="31"/>
        <v>Email</v>
      </c>
      <c r="C165" s="65">
        <f t="shared" ca="1" si="26"/>
        <v>0</v>
      </c>
      <c r="D165" s="114">
        <f t="shared" si="21"/>
        <v>0</v>
      </c>
      <c r="G165" s="65" t="b">
        <v>0</v>
      </c>
      <c r="H165" s="65">
        <f t="shared" ca="1" si="32"/>
        <v>0</v>
      </c>
      <c r="I165" s="65" t="b">
        <f t="shared" ca="1" si="28"/>
        <v>1</v>
      </c>
      <c r="J165" s="65" t="s">
        <v>569</v>
      </c>
      <c r="K165" s="65" t="str">
        <f t="shared" ca="1" si="29"/>
        <v/>
      </c>
      <c r="L165" s="233" t="s">
        <v>570</v>
      </c>
    </row>
    <row r="166" spans="1:12">
      <c r="D166"/>
      <c r="K166" s="65" t="str">
        <f t="shared" si="29"/>
        <v/>
      </c>
      <c r="L166" s="233"/>
    </row>
    <row r="167" spans="1:12">
      <c r="C167" s="65" t="s">
        <v>341</v>
      </c>
      <c r="D167"/>
      <c r="E167" s="65" t="s">
        <v>342</v>
      </c>
      <c r="K167" s="65" t="s">
        <v>349</v>
      </c>
      <c r="L167" s="65" t="s">
        <v>350</v>
      </c>
    </row>
    <row r="168" spans="1:12">
      <c r="A168" s="112" t="s">
        <v>343</v>
      </c>
      <c r="B168" s="116" t="s">
        <v>571</v>
      </c>
      <c r="C168" s="112"/>
      <c r="D168" s="112"/>
      <c r="E168" s="113">
        <f>IFERROR(IF(Incent_Total_Cap_All&gt;0,1,0),0)</f>
        <v>0</v>
      </c>
      <c r="F168" s="65" t="s">
        <v>572</v>
      </c>
      <c r="L168" s="233"/>
    </row>
    <row r="169" spans="1:12">
      <c r="A169" s="172"/>
      <c r="B169" s="65" t="s">
        <v>573</v>
      </c>
      <c r="D169" s="114"/>
      <c r="L169" s="233"/>
    </row>
    <row r="170" spans="1:12">
      <c r="A170" s="172"/>
      <c r="D170" s="114"/>
      <c r="L170" s="233"/>
    </row>
    <row r="171" spans="1:12">
      <c r="D171"/>
      <c r="L171" s="233"/>
    </row>
    <row r="172" spans="1:12">
      <c r="C172" s="65" t="s">
        <v>341</v>
      </c>
      <c r="D172"/>
      <c r="E172" s="65" t="s">
        <v>342</v>
      </c>
    </row>
    <row r="173" spans="1:12">
      <c r="A173" s="112" t="s">
        <v>343</v>
      </c>
      <c r="B173" s="116" t="str">
        <f>M5S1a</f>
        <v>Payment</v>
      </c>
      <c r="C173" s="112">
        <f ca="1">SUMIF(D174:D189, 1, C174:C189)</f>
        <v>0</v>
      </c>
      <c r="D173" s="112">
        <f>SUM(D174:D189)</f>
        <v>13</v>
      </c>
      <c r="E173" s="113">
        <f ca="1">IFERROR(C173/D173, 1)</f>
        <v>0</v>
      </c>
      <c r="F173" s="65" t="s">
        <v>574</v>
      </c>
      <c r="G173" s="65" t="s">
        <v>345</v>
      </c>
      <c r="H173" s="65" t="s">
        <v>346</v>
      </c>
      <c r="I173" s="65" t="s">
        <v>347</v>
      </c>
      <c r="J173" s="65" t="s">
        <v>348</v>
      </c>
      <c r="K173" s="65" t="s">
        <v>349</v>
      </c>
      <c r="L173" s="65" t="s">
        <v>350</v>
      </c>
    </row>
    <row r="174" spans="1:12">
      <c r="A174" s="65" t="s">
        <v>575</v>
      </c>
      <c r="B174" s="65" t="str">
        <f ca="1">OFFSET(INDIRECT(A174),-1,0)</f>
        <v>Payee Type</v>
      </c>
      <c r="C174" s="65">
        <f t="shared" ref="C174:C189" ca="1" si="33">IFERROR(IF(I174=FALSE, 1,0), 0)</f>
        <v>0</v>
      </c>
      <c r="D174" s="114">
        <f t="shared" si="21"/>
        <v>1</v>
      </c>
      <c r="G174" s="65" t="b">
        <v>1</v>
      </c>
      <c r="H174" s="65">
        <f ca="1">INDIRECT(A174)</f>
        <v>0</v>
      </c>
      <c r="I174" s="65" t="b">
        <f t="shared" ref="I174:I189" ca="1" si="34">OR(H174=0,H174="")</f>
        <v>1</v>
      </c>
      <c r="J174" s="65" t="s">
        <v>576</v>
      </c>
      <c r="K174" s="65" t="str">
        <f t="shared" ref="K174:K189" ca="1" si="35">IF(AND(G174=TRUE,I174=TRUE),"Required","")</f>
        <v>Required</v>
      </c>
      <c r="L174" s="233" t="s">
        <v>577</v>
      </c>
    </row>
    <row r="175" spans="1:12">
      <c r="A175" s="65" t="s">
        <v>578</v>
      </c>
      <c r="B175" s="65" t="str">
        <f t="shared" ref="B175:B185" ca="1" si="36">OFFSET(INDIRECT(A175),-1,0)</f>
        <v>Payee Company Name</v>
      </c>
      <c r="C175" s="65">
        <f t="shared" ca="1" si="33"/>
        <v>0</v>
      </c>
      <c r="D175" s="114">
        <f>IFERROR(IF(G175=TRUE, 1,0), 0)</f>
        <v>1</v>
      </c>
      <c r="G175" s="65" t="b">
        <v>1</v>
      </c>
      <c r="H175" s="65" t="str">
        <f t="shared" ref="H175:H189" ca="1" si="37">INDIRECT(A175)</f>
        <v/>
      </c>
      <c r="I175" s="65" t="b">
        <f t="shared" ca="1" si="34"/>
        <v>1</v>
      </c>
      <c r="J175" s="65" t="s">
        <v>579</v>
      </c>
      <c r="K175" s="65" t="str">
        <f t="shared" ca="1" si="35"/>
        <v>Required</v>
      </c>
      <c r="L175" s="233" t="s">
        <v>580</v>
      </c>
    </row>
    <row r="176" spans="1:12">
      <c r="A176" s="65" t="s">
        <v>581</v>
      </c>
      <c r="B176" s="65" t="str">
        <f t="shared" ca="1" si="36"/>
        <v>Tax Entity</v>
      </c>
      <c r="C176" s="65">
        <f t="shared" ca="1" si="33"/>
        <v>0</v>
      </c>
      <c r="D176" s="114">
        <f>IFERROR(IF(G176=TRUE, 1,0), 0)</f>
        <v>1</v>
      </c>
      <c r="G176" s="65" t="b">
        <v>1</v>
      </c>
      <c r="H176" s="65">
        <f t="shared" ca="1" si="37"/>
        <v>0</v>
      </c>
      <c r="I176" s="65" t="b">
        <f t="shared" ca="1" si="34"/>
        <v>1</v>
      </c>
      <c r="J176" s="65" t="s">
        <v>582</v>
      </c>
      <c r="K176" s="65" t="str">
        <f t="shared" ca="1" si="35"/>
        <v>Required</v>
      </c>
      <c r="L176" s="233" t="s">
        <v>583</v>
      </c>
    </row>
    <row r="177" spans="1:12">
      <c r="A177" s="65" t="s">
        <v>584</v>
      </c>
      <c r="B177" s="65" t="str">
        <f t="shared" ca="1" si="36"/>
        <v>Federal Tax ID Number</v>
      </c>
      <c r="C177" s="65">
        <f t="shared" ca="1" si="33"/>
        <v>0</v>
      </c>
      <c r="D177" s="114">
        <f t="shared" si="21"/>
        <v>1</v>
      </c>
      <c r="G177" s="65" t="b">
        <v>1</v>
      </c>
      <c r="H177" s="65">
        <f t="shared" ca="1" si="37"/>
        <v>0</v>
      </c>
      <c r="I177" s="65" t="b">
        <f t="shared" ca="1" si="34"/>
        <v>1</v>
      </c>
      <c r="J177" s="65" t="s">
        <v>585</v>
      </c>
      <c r="K177" s="65" t="str">
        <f t="shared" ca="1" si="35"/>
        <v>Required</v>
      </c>
      <c r="L177" s="233" t="s">
        <v>586</v>
      </c>
    </row>
    <row r="178" spans="1:12">
      <c r="A178" s="65" t="s">
        <v>587</v>
      </c>
      <c r="B178" s="65" t="str">
        <f ca="1">OFFSET(INDIRECT(A178),-1,-2)</f>
        <v>Federal Tax ID Number</v>
      </c>
      <c r="C178" s="65">
        <f t="shared" ca="1" si="33"/>
        <v>0</v>
      </c>
      <c r="D178" s="114">
        <f t="shared" si="21"/>
        <v>1</v>
      </c>
      <c r="G178" s="65" t="b">
        <v>1</v>
      </c>
      <c r="H178" s="65">
        <f t="shared" ca="1" si="37"/>
        <v>0</v>
      </c>
      <c r="I178" s="65" t="b">
        <f t="shared" ca="1" si="34"/>
        <v>1</v>
      </c>
      <c r="J178" s="65" t="s">
        <v>588</v>
      </c>
      <c r="K178" s="65" t="str">
        <f t="shared" ca="1" si="35"/>
        <v>Required</v>
      </c>
      <c r="L178" s="233" t="s">
        <v>589</v>
      </c>
    </row>
    <row r="179" spans="1:12">
      <c r="A179" s="65" t="s">
        <v>590</v>
      </c>
      <c r="B179" s="65" t="str">
        <f t="shared" ca="1" si="36"/>
        <v>Payee First Name</v>
      </c>
      <c r="C179" s="65">
        <f t="shared" ca="1" si="33"/>
        <v>0</v>
      </c>
      <c r="D179" s="114">
        <f t="shared" si="21"/>
        <v>1</v>
      </c>
      <c r="G179" s="65" t="b">
        <v>1</v>
      </c>
      <c r="H179" s="65" t="str">
        <f t="shared" ca="1" si="37"/>
        <v/>
      </c>
      <c r="I179" s="65" t="b">
        <f t="shared" ca="1" si="34"/>
        <v>1</v>
      </c>
      <c r="J179" s="65" t="s">
        <v>591</v>
      </c>
      <c r="K179" s="65" t="str">
        <f t="shared" ca="1" si="35"/>
        <v>Required</v>
      </c>
      <c r="L179" s="233" t="s">
        <v>592</v>
      </c>
    </row>
    <row r="180" spans="1:12">
      <c r="A180" s="65" t="s">
        <v>593</v>
      </c>
      <c r="B180" s="65" t="str">
        <f t="shared" ca="1" si="36"/>
        <v>Payee Last Name</v>
      </c>
      <c r="C180" s="65">
        <f t="shared" ca="1" si="33"/>
        <v>0</v>
      </c>
      <c r="D180" s="114">
        <f t="shared" si="21"/>
        <v>1</v>
      </c>
      <c r="G180" s="65" t="b">
        <v>1</v>
      </c>
      <c r="H180" s="65" t="str">
        <f t="shared" ca="1" si="37"/>
        <v/>
      </c>
      <c r="I180" s="65" t="b">
        <f t="shared" ca="1" si="34"/>
        <v>1</v>
      </c>
      <c r="J180" s="65" t="s">
        <v>594</v>
      </c>
      <c r="K180" s="65" t="str">
        <f t="shared" ca="1" si="35"/>
        <v>Required</v>
      </c>
      <c r="L180" s="233" t="s">
        <v>595</v>
      </c>
    </row>
    <row r="181" spans="1:12">
      <c r="A181" s="65" t="s">
        <v>596</v>
      </c>
      <c r="B181" s="65" t="str">
        <f t="shared" ca="1" si="36"/>
        <v>Check Mailing Address</v>
      </c>
      <c r="C181" s="65">
        <f t="shared" ca="1" si="33"/>
        <v>0</v>
      </c>
      <c r="D181" s="114">
        <f t="shared" si="21"/>
        <v>1</v>
      </c>
      <c r="G181" s="65" t="b">
        <v>1</v>
      </c>
      <c r="H181" s="65" t="str">
        <f t="shared" ca="1" si="37"/>
        <v/>
      </c>
      <c r="I181" s="65" t="b">
        <f t="shared" ca="1" si="34"/>
        <v>1</v>
      </c>
      <c r="J181" s="65" t="s">
        <v>597</v>
      </c>
      <c r="K181" s="65" t="str">
        <f t="shared" ca="1" si="35"/>
        <v>Required</v>
      </c>
      <c r="L181" s="233" t="s">
        <v>598</v>
      </c>
    </row>
    <row r="182" spans="1:12">
      <c r="A182" s="65" t="s">
        <v>599</v>
      </c>
      <c r="B182" s="65" t="str">
        <f t="shared" ca="1" si="36"/>
        <v>Phone Number</v>
      </c>
      <c r="C182" s="65">
        <f t="shared" ca="1" si="33"/>
        <v>0</v>
      </c>
      <c r="D182" s="114">
        <f t="shared" si="21"/>
        <v>1</v>
      </c>
      <c r="G182" s="65" t="b">
        <v>1</v>
      </c>
      <c r="H182" s="65" t="str">
        <f t="shared" ca="1" si="37"/>
        <v/>
      </c>
      <c r="I182" s="65" t="b">
        <f t="shared" ca="1" si="34"/>
        <v>1</v>
      </c>
      <c r="J182" s="65" t="s">
        <v>600</v>
      </c>
      <c r="K182" s="65" t="str">
        <f t="shared" ca="1" si="35"/>
        <v>Required</v>
      </c>
      <c r="L182" s="233" t="s">
        <v>601</v>
      </c>
    </row>
    <row r="183" spans="1:12">
      <c r="A183" s="65" t="s">
        <v>602</v>
      </c>
      <c r="B183" s="65" t="str">
        <f t="shared" ca="1" si="36"/>
        <v>Email</v>
      </c>
      <c r="C183" s="65">
        <f t="shared" ca="1" si="33"/>
        <v>0</v>
      </c>
      <c r="D183" s="114">
        <f t="shared" si="21"/>
        <v>1</v>
      </c>
      <c r="G183" s="65" t="b">
        <v>1</v>
      </c>
      <c r="H183" s="65" t="str">
        <f t="shared" ca="1" si="37"/>
        <v/>
      </c>
      <c r="I183" s="65" t="b">
        <f t="shared" ca="1" si="34"/>
        <v>1</v>
      </c>
      <c r="J183" s="65" t="s">
        <v>603</v>
      </c>
      <c r="K183" s="65" t="str">
        <f t="shared" ca="1" si="35"/>
        <v>Required</v>
      </c>
      <c r="L183" s="233" t="s">
        <v>604</v>
      </c>
    </row>
    <row r="184" spans="1:12">
      <c r="A184" s="65" t="s">
        <v>605</v>
      </c>
      <c r="B184" s="65" t="str">
        <f t="shared" ca="1" si="36"/>
        <v>City</v>
      </c>
      <c r="C184" s="65">
        <f t="shared" ca="1" si="33"/>
        <v>0</v>
      </c>
      <c r="D184" s="114">
        <f t="shared" si="21"/>
        <v>1</v>
      </c>
      <c r="G184" s="65" t="b">
        <v>1</v>
      </c>
      <c r="H184" s="65" t="str">
        <f t="shared" ca="1" si="37"/>
        <v/>
      </c>
      <c r="I184" s="65" t="b">
        <f t="shared" ca="1" si="34"/>
        <v>1</v>
      </c>
      <c r="J184" s="65" t="s">
        <v>606</v>
      </c>
      <c r="K184" s="65" t="str">
        <f t="shared" ca="1" si="35"/>
        <v>Required</v>
      </c>
      <c r="L184" s="233" t="s">
        <v>607</v>
      </c>
    </row>
    <row r="185" spans="1:12">
      <c r="A185" s="65" t="s">
        <v>608</v>
      </c>
      <c r="B185" s="65" t="str">
        <f t="shared" ca="1" si="36"/>
        <v>State</v>
      </c>
      <c r="C185" s="65">
        <f t="shared" ca="1" si="33"/>
        <v>0</v>
      </c>
      <c r="D185" s="114">
        <f t="shared" si="21"/>
        <v>1</v>
      </c>
      <c r="G185" s="65" t="b">
        <v>1</v>
      </c>
      <c r="H185" s="65" t="str">
        <f t="shared" ca="1" si="37"/>
        <v/>
      </c>
      <c r="I185" s="65" t="b">
        <f t="shared" ca="1" si="34"/>
        <v>1</v>
      </c>
      <c r="J185" s="65" t="s">
        <v>609</v>
      </c>
      <c r="K185" s="65" t="str">
        <f t="shared" ca="1" si="35"/>
        <v>Required</v>
      </c>
      <c r="L185" s="233" t="s">
        <v>610</v>
      </c>
    </row>
    <row r="186" spans="1:12">
      <c r="A186" s="65" t="s">
        <v>611</v>
      </c>
      <c r="B186" s="65" t="str">
        <f ca="1">OFFSET(INDIRECT(A186),-1,0)</f>
        <v>ZIP Code</v>
      </c>
      <c r="C186" s="65">
        <f t="shared" ca="1" si="33"/>
        <v>0</v>
      </c>
      <c r="D186" s="114">
        <f t="shared" si="21"/>
        <v>1</v>
      </c>
      <c r="G186" s="65" t="b">
        <v>1</v>
      </c>
      <c r="H186" s="65" t="str">
        <f t="shared" ca="1" si="37"/>
        <v/>
      </c>
      <c r="I186" s="65" t="b">
        <f t="shared" ca="1" si="34"/>
        <v>1</v>
      </c>
      <c r="J186" s="65" t="s">
        <v>612</v>
      </c>
      <c r="K186" s="65" t="str">
        <f t="shared" ca="1" si="35"/>
        <v>Required</v>
      </c>
      <c r="L186" s="233" t="s">
        <v>613</v>
      </c>
    </row>
    <row r="187" spans="1:12">
      <c r="A187" s="65" t="s">
        <v>614</v>
      </c>
      <c r="B187" s="65" t="str">
        <f ca="1">OFFSET(INDIRECT(A187),-1,0)</f>
        <v>Signature (Account Owner or Authorized Representative)</v>
      </c>
      <c r="C187" s="65">
        <f t="shared" ca="1" si="33"/>
        <v>0</v>
      </c>
      <c r="D187" s="114">
        <f t="shared" si="21"/>
        <v>0</v>
      </c>
      <c r="G187" s="65" t="b">
        <f>IF(M05S01AF01="Trade Ally",TRUE,FALSE)</f>
        <v>0</v>
      </c>
      <c r="H187" s="65">
        <f t="shared" ca="1" si="37"/>
        <v>0</v>
      </c>
      <c r="I187" s="65" t="b">
        <f t="shared" ca="1" si="34"/>
        <v>1</v>
      </c>
      <c r="J187" s="65" t="s">
        <v>615</v>
      </c>
      <c r="K187" s="65" t="str">
        <f t="shared" ca="1" si="35"/>
        <v/>
      </c>
      <c r="L187" s="233" t="s">
        <v>616</v>
      </c>
    </row>
    <row r="188" spans="1:12">
      <c r="A188" s="65" t="s">
        <v>617</v>
      </c>
      <c r="B188" s="65" t="str">
        <f t="shared" ref="B188:B189" ca="1" si="38">OFFSET(INDIRECT(A188),-1,0)</f>
        <v>Print Name &amp; Signatory Title</v>
      </c>
      <c r="C188" s="65">
        <f t="shared" ca="1" si="33"/>
        <v>0</v>
      </c>
      <c r="D188" s="114">
        <f t="shared" si="21"/>
        <v>0</v>
      </c>
      <c r="G188" s="65" t="b">
        <f>IF(M05S01AF01="Trade Ally",TRUE,FALSE)</f>
        <v>0</v>
      </c>
      <c r="H188" s="65">
        <f t="shared" ca="1" si="37"/>
        <v>0</v>
      </c>
      <c r="I188" s="65" t="b">
        <f t="shared" ca="1" si="34"/>
        <v>1</v>
      </c>
      <c r="J188" s="65" t="s">
        <v>618</v>
      </c>
      <c r="K188" s="65" t="str">
        <f t="shared" ca="1" si="35"/>
        <v/>
      </c>
      <c r="L188" s="233" t="s">
        <v>619</v>
      </c>
    </row>
    <row r="189" spans="1:12">
      <c r="A189" s="65" t="s">
        <v>620</v>
      </c>
      <c r="B189" s="65" t="str">
        <f t="shared" ca="1" si="38"/>
        <v>Date Signed</v>
      </c>
      <c r="C189" s="65">
        <f t="shared" ca="1" si="33"/>
        <v>0</v>
      </c>
      <c r="D189" s="114">
        <f t="shared" si="21"/>
        <v>0</v>
      </c>
      <c r="G189" s="65" t="b">
        <f>IF(M05S01AF01="Trade Ally",TRUE,FALSE)</f>
        <v>0</v>
      </c>
      <c r="H189" s="591">
        <f t="shared" ca="1" si="37"/>
        <v>0</v>
      </c>
      <c r="I189" s="65" t="b">
        <f t="shared" ca="1" si="34"/>
        <v>1</v>
      </c>
      <c r="J189" s="65" t="s">
        <v>621</v>
      </c>
      <c r="K189" s="65" t="str">
        <f t="shared" ca="1" si="35"/>
        <v/>
      </c>
      <c r="L189" s="233" t="s">
        <v>622</v>
      </c>
    </row>
    <row r="190" spans="1:12">
      <c r="L190" s="233"/>
    </row>
    <row r="191" spans="1:12">
      <c r="L191" s="233"/>
    </row>
    <row r="192" spans="1:12">
      <c r="C192" s="65" t="s">
        <v>341</v>
      </c>
      <c r="D192" s="65" t="s">
        <v>142</v>
      </c>
      <c r="E192" s="65" t="s">
        <v>342</v>
      </c>
      <c r="L192" s="233"/>
    </row>
    <row r="193" spans="1:12">
      <c r="A193" s="112" t="s">
        <v>343</v>
      </c>
      <c r="B193" s="173" t="str">
        <f>M5S1b</f>
        <v>On-Bill Repayment</v>
      </c>
      <c r="C193" s="112">
        <f ca="1">SUMIF(D194:D221, 1, C194:C221)</f>
        <v>0</v>
      </c>
      <c r="D193" s="112">
        <f>SUM(D194:D221)</f>
        <v>1</v>
      </c>
      <c r="E193" s="113">
        <f ca="1">IFERROR(C193/D193, 1)</f>
        <v>0</v>
      </c>
      <c r="F193" s="65" t="s">
        <v>623</v>
      </c>
      <c r="G193" s="65" t="s">
        <v>345</v>
      </c>
      <c r="H193" s="65" t="s">
        <v>346</v>
      </c>
      <c r="I193" s="65" t="s">
        <v>347</v>
      </c>
      <c r="J193" s="65" t="s">
        <v>348</v>
      </c>
      <c r="K193" s="65" t="s">
        <v>349</v>
      </c>
      <c r="L193" s="65" t="s">
        <v>350</v>
      </c>
    </row>
    <row r="194" spans="1:12">
      <c r="A194" s="65" t="s">
        <v>624</v>
      </c>
      <c r="B194" s="65" t="str">
        <f ca="1">OFFSET(INDIRECT(A194),-1,-6)</f>
        <v>Customer is applying for 
On-Bill Repayment (OBR)?</v>
      </c>
      <c r="C194" s="65">
        <f t="shared" ref="C194:C220" ca="1" si="39">IFERROR(IF(I194=FALSE, 1,0), 0)</f>
        <v>0</v>
      </c>
      <c r="D194" s="114">
        <f t="shared" ref="D194:D220" si="40">IFERROR(IF(G194=TRUE, 1,0), 0)</f>
        <v>1</v>
      </c>
      <c r="G194" s="65" t="b">
        <f>TRUE</f>
        <v>1</v>
      </c>
      <c r="H194" s="65" t="str">
        <f ca="1">INDIRECT(A194)</f>
        <v/>
      </c>
      <c r="I194" s="65" t="b">
        <f t="shared" ref="I194:I198" ca="1" si="41">OR(H194=0,H194="")</f>
        <v>1</v>
      </c>
      <c r="J194" s="65" t="str">
        <f>A194&amp;"disp"</f>
        <v>M05S01BF01disp</v>
      </c>
      <c r="K194" s="65" t="str">
        <f t="shared" ref="K194:K220" ca="1" si="42">IF(AND(G194=TRUE,I194=TRUE),"Required","")</f>
        <v>Required</v>
      </c>
      <c r="L194" s="233" t="s">
        <v>625</v>
      </c>
    </row>
    <row r="195" spans="1:12">
      <c r="A195" s="65" t="s">
        <v>626</v>
      </c>
      <c r="B195" s="65" t="str">
        <f ca="1">OFFSET(INDIRECT(A195),-1,-7)</f>
        <v>Customer is assigning OBR funds to Trade Ally?</v>
      </c>
      <c r="C195" s="65">
        <f t="shared" ca="1" si="39"/>
        <v>0</v>
      </c>
      <c r="D195" s="114">
        <f t="shared" si="40"/>
        <v>0</v>
      </c>
      <c r="G195" s="65" t="b">
        <f t="shared" ref="G195:G220" si="43">IF(M05S01BF01="Yes",TRUE,FALSE)</f>
        <v>0</v>
      </c>
      <c r="H195" s="65">
        <f t="shared" ref="H195:H204" ca="1" si="44">INDIRECT(A195)</f>
        <v>0</v>
      </c>
      <c r="I195" s="65" t="b">
        <f t="shared" ca="1" si="41"/>
        <v>1</v>
      </c>
      <c r="J195" s="65" t="str">
        <f t="shared" ref="J195:J204" si="45">A195&amp;"disp"</f>
        <v>M05S01BF02disp</v>
      </c>
      <c r="K195" s="65" t="str">
        <f t="shared" ca="1" si="42"/>
        <v/>
      </c>
      <c r="L195" s="233" t="s">
        <v>627</v>
      </c>
    </row>
    <row r="196" spans="1:12">
      <c r="A196" s="65" t="s">
        <v>628</v>
      </c>
      <c r="B196" s="65" t="str">
        <f t="shared" ref="B196:B202" ca="1" si="46">OFFSET(INDIRECT(A196),-1,0)</f>
        <v>Company Name</v>
      </c>
      <c r="C196" s="65">
        <f t="shared" ca="1" si="39"/>
        <v>0</v>
      </c>
      <c r="D196" s="114">
        <f t="shared" si="40"/>
        <v>0</v>
      </c>
      <c r="G196" s="65" t="b">
        <f t="shared" si="43"/>
        <v>0</v>
      </c>
      <c r="H196" s="65" t="str">
        <f t="shared" ca="1" si="44"/>
        <v/>
      </c>
      <c r="I196" s="65" t="b">
        <f t="shared" ca="1" si="41"/>
        <v>1</v>
      </c>
      <c r="J196" s="65" t="str">
        <f t="shared" si="45"/>
        <v>M05S01BF03disp</v>
      </c>
      <c r="K196" s="65" t="str">
        <f t="shared" ca="1" si="42"/>
        <v/>
      </c>
      <c r="L196" s="233" t="s">
        <v>629</v>
      </c>
    </row>
    <row r="197" spans="1:12">
      <c r="A197" s="65" t="s">
        <v>630</v>
      </c>
      <c r="B197" s="65" t="str">
        <f t="shared" ca="1" si="46"/>
        <v>Company Name</v>
      </c>
      <c r="C197" s="65">
        <f t="shared" ca="1" si="39"/>
        <v>0</v>
      </c>
      <c r="D197" s="114">
        <f t="shared" si="40"/>
        <v>0</v>
      </c>
      <c r="G197" s="65" t="b">
        <f t="shared" si="43"/>
        <v>0</v>
      </c>
      <c r="H197" s="65" t="str">
        <f t="shared" ca="1" si="44"/>
        <v/>
      </c>
      <c r="I197" s="65" t="b">
        <f t="shared" ca="1" si="41"/>
        <v>1</v>
      </c>
      <c r="J197" s="65" t="str">
        <f t="shared" si="45"/>
        <v>M05S01BF07disp</v>
      </c>
      <c r="K197" s="65" t="str">
        <f t="shared" ca="1" si="42"/>
        <v/>
      </c>
      <c r="L197" s="233" t="s">
        <v>631</v>
      </c>
    </row>
    <row r="198" spans="1:12">
      <c r="A198" s="65" t="s">
        <v>632</v>
      </c>
      <c r="B198" s="65" t="str">
        <f t="shared" ca="1" si="46"/>
        <v>Contact First Name</v>
      </c>
      <c r="C198" s="65">
        <f t="shared" ca="1" si="39"/>
        <v>0</v>
      </c>
      <c r="D198" s="114">
        <f t="shared" si="40"/>
        <v>0</v>
      </c>
      <c r="G198" s="65" t="b">
        <f t="shared" si="43"/>
        <v>0</v>
      </c>
      <c r="H198" s="65" t="str">
        <f t="shared" ca="1" si="44"/>
        <v/>
      </c>
      <c r="I198" s="65" t="b">
        <f t="shared" ca="1" si="41"/>
        <v>1</v>
      </c>
      <c r="J198" s="65" t="str">
        <f t="shared" si="45"/>
        <v>M05S01BF08disp</v>
      </c>
      <c r="K198" s="65" t="str">
        <f t="shared" ca="1" si="42"/>
        <v/>
      </c>
      <c r="L198" s="233" t="s">
        <v>633</v>
      </c>
    </row>
    <row r="199" spans="1:12">
      <c r="A199" s="65" t="s">
        <v>634</v>
      </c>
      <c r="B199" s="65" t="str">
        <f t="shared" ca="1" si="46"/>
        <v>Last Name</v>
      </c>
      <c r="C199" s="65">
        <f t="shared" ca="1" si="39"/>
        <v>0</v>
      </c>
      <c r="D199" s="114">
        <f t="shared" si="40"/>
        <v>0</v>
      </c>
      <c r="G199" s="65" t="b">
        <f t="shared" si="43"/>
        <v>0</v>
      </c>
      <c r="H199" s="65" t="str">
        <f t="shared" ca="1" si="44"/>
        <v/>
      </c>
      <c r="I199" s="65" t="b">
        <f t="shared" ref="I199:I220" ca="1" si="47">OR(H199=0,H199="")</f>
        <v>1</v>
      </c>
      <c r="J199" s="65" t="str">
        <f t="shared" si="45"/>
        <v>M05S01BF09disp</v>
      </c>
      <c r="K199" s="65" t="str">
        <f t="shared" ca="1" si="42"/>
        <v/>
      </c>
      <c r="L199" s="233" t="s">
        <v>635</v>
      </c>
    </row>
    <row r="200" spans="1:12">
      <c r="A200" s="65" t="s">
        <v>636</v>
      </c>
      <c r="B200" s="65" t="str">
        <f t="shared" ca="1" si="46"/>
        <v>BIN</v>
      </c>
      <c r="C200" s="65">
        <f t="shared" ca="1" si="39"/>
        <v>0</v>
      </c>
      <c r="D200" s="114">
        <f t="shared" si="40"/>
        <v>0</v>
      </c>
      <c r="G200" s="65" t="b">
        <f t="shared" si="43"/>
        <v>0</v>
      </c>
      <c r="H200" s="65">
        <f t="shared" ca="1" si="44"/>
        <v>0</v>
      </c>
      <c r="I200" s="65" t="b">
        <f t="shared" ca="1" si="47"/>
        <v>1</v>
      </c>
      <c r="J200" s="65" t="str">
        <f t="shared" si="45"/>
        <v>M05S01BF10disp</v>
      </c>
      <c r="K200" s="65" t="str">
        <f t="shared" ca="1" si="42"/>
        <v/>
      </c>
      <c r="L200" s="233" t="s">
        <v>637</v>
      </c>
    </row>
    <row r="201" spans="1:12">
      <c r="A201" s="65" t="s">
        <v>638</v>
      </c>
      <c r="B201" s="65" t="str">
        <f t="shared" ca="1" si="46"/>
        <v>Contact First Name</v>
      </c>
      <c r="C201" s="65">
        <f t="shared" ca="1" si="39"/>
        <v>0</v>
      </c>
      <c r="D201" s="114">
        <f t="shared" si="40"/>
        <v>0</v>
      </c>
      <c r="G201" s="65" t="b">
        <f t="shared" si="43"/>
        <v>0</v>
      </c>
      <c r="H201" s="65" t="str">
        <f t="shared" ca="1" si="44"/>
        <v/>
      </c>
      <c r="I201" s="65" t="b">
        <f t="shared" ca="1" si="47"/>
        <v>1</v>
      </c>
      <c r="J201" s="65" t="str">
        <f t="shared" si="45"/>
        <v>M05S01BF11disp</v>
      </c>
      <c r="K201" s="65" t="str">
        <f t="shared" ca="1" si="42"/>
        <v/>
      </c>
      <c r="L201" s="233" t="s">
        <v>639</v>
      </c>
    </row>
    <row r="202" spans="1:12">
      <c r="A202" s="65" t="s">
        <v>640</v>
      </c>
      <c r="B202" s="65" t="str">
        <f t="shared" ca="1" si="46"/>
        <v>Last Name</v>
      </c>
      <c r="C202" s="65">
        <f t="shared" ca="1" si="39"/>
        <v>0</v>
      </c>
      <c r="D202" s="114">
        <f t="shared" si="40"/>
        <v>0</v>
      </c>
      <c r="G202" s="65" t="b">
        <f t="shared" si="43"/>
        <v>0</v>
      </c>
      <c r="H202" s="65" t="str">
        <f t="shared" ca="1" si="44"/>
        <v/>
      </c>
      <c r="I202" s="65" t="b">
        <f t="shared" ca="1" si="47"/>
        <v>1</v>
      </c>
      <c r="J202" s="65" t="str">
        <f t="shared" si="45"/>
        <v>M05S01BF12disp</v>
      </c>
      <c r="K202" s="65" t="str">
        <f t="shared" ca="1" si="42"/>
        <v/>
      </c>
      <c r="L202" s="233" t="s">
        <v>641</v>
      </c>
    </row>
    <row r="203" spans="1:12">
      <c r="A203" s="65" t="s">
        <v>642</v>
      </c>
      <c r="B203" s="65" t="str">
        <f ca="1">OFFSET(INDIRECT(A203),-1,0)</f>
        <v>Primary Phone</v>
      </c>
      <c r="C203" s="65">
        <f t="shared" ca="1" si="39"/>
        <v>0</v>
      </c>
      <c r="D203" s="114">
        <f t="shared" si="40"/>
        <v>0</v>
      </c>
      <c r="G203" s="65" t="b">
        <f t="shared" si="43"/>
        <v>0</v>
      </c>
      <c r="H203" s="65" t="str">
        <f t="shared" ca="1" si="44"/>
        <v/>
      </c>
      <c r="I203" s="65" t="b">
        <f t="shared" ca="1" si="47"/>
        <v>1</v>
      </c>
      <c r="J203" s="65" t="str">
        <f t="shared" si="45"/>
        <v>M05S01BF14disp</v>
      </c>
      <c r="K203" s="65" t="str">
        <f t="shared" ca="1" si="42"/>
        <v/>
      </c>
      <c r="L203" s="233" t="s">
        <v>643</v>
      </c>
    </row>
    <row r="204" spans="1:12" ht="15" customHeight="1">
      <c r="A204" s="65" t="s">
        <v>644</v>
      </c>
      <c r="B204" s="65" t="str">
        <f t="shared" ref="B204" ca="1" si="48">OFFSET(INDIRECT(A204),-1,0)</f>
        <v>Email</v>
      </c>
      <c r="C204" s="65">
        <f t="shared" ca="1" si="39"/>
        <v>0</v>
      </c>
      <c r="D204" s="114">
        <f t="shared" si="40"/>
        <v>0</v>
      </c>
      <c r="G204" s="65" t="b">
        <f t="shared" si="43"/>
        <v>0</v>
      </c>
      <c r="H204" s="65" t="str">
        <f t="shared" ca="1" si="44"/>
        <v/>
      </c>
      <c r="I204" s="65" t="b">
        <f t="shared" ca="1" si="47"/>
        <v>1</v>
      </c>
      <c r="J204" s="65" t="str">
        <f t="shared" si="45"/>
        <v>M05S01BF15disp</v>
      </c>
      <c r="K204" s="65" t="str">
        <f t="shared" ca="1" si="42"/>
        <v/>
      </c>
      <c r="L204" s="233" t="s">
        <v>645</v>
      </c>
    </row>
    <row r="205" spans="1:12" ht="15" customHeight="1">
      <c r="A205" s="65" t="s">
        <v>646</v>
      </c>
      <c r="B205" s="65" t="str">
        <f t="shared" ref="B205:B219" ca="1" si="49">OFFSET(INDIRECT(A205),-1,0)</f>
        <v>Reference Information</v>
      </c>
      <c r="C205" s="65">
        <f t="shared" ca="1" si="39"/>
        <v>0</v>
      </c>
      <c r="D205" s="114">
        <f t="shared" si="40"/>
        <v>0</v>
      </c>
      <c r="G205" s="65" t="b">
        <v>0</v>
      </c>
      <c r="H205" s="65">
        <f t="shared" ref="H205:H219" ca="1" si="50">INDIRECT(A205)</f>
        <v>0</v>
      </c>
      <c r="I205" s="65" t="b">
        <f t="shared" ca="1" si="47"/>
        <v>1</v>
      </c>
      <c r="J205" s="65" t="str">
        <f t="shared" ref="J205:J221" si="51">A205&amp;"disp"</f>
        <v>M05S01BF17disp</v>
      </c>
      <c r="K205" s="65" t="str">
        <f t="shared" ca="1" si="42"/>
        <v/>
      </c>
      <c r="L205" s="233" t="s">
        <v>647</v>
      </c>
    </row>
    <row r="206" spans="1:12" ht="15" customHeight="1">
      <c r="A206" s="65" t="s">
        <v>648</v>
      </c>
      <c r="B206" s="65" t="str">
        <f t="shared" ca="1" si="49"/>
        <v>Primary Phone</v>
      </c>
      <c r="C206" s="65">
        <f t="shared" ca="1" si="39"/>
        <v>0</v>
      </c>
      <c r="D206" s="114">
        <f t="shared" si="40"/>
        <v>0</v>
      </c>
      <c r="G206" s="65" t="b">
        <f t="shared" si="43"/>
        <v>0</v>
      </c>
      <c r="H206" s="65" t="str">
        <f t="shared" ca="1" si="50"/>
        <v/>
      </c>
      <c r="I206" s="65" t="b">
        <f t="shared" ca="1" si="47"/>
        <v>1</v>
      </c>
      <c r="J206" s="65" t="str">
        <f t="shared" si="51"/>
        <v>M05S01BF19disp</v>
      </c>
      <c r="K206" s="65" t="str">
        <f t="shared" ca="1" si="42"/>
        <v/>
      </c>
      <c r="L206" s="233" t="s">
        <v>649</v>
      </c>
    </row>
    <row r="207" spans="1:12" ht="15" customHeight="1">
      <c r="A207" s="65" t="s">
        <v>650</v>
      </c>
      <c r="B207" s="65" t="str">
        <f t="shared" ca="1" si="49"/>
        <v>Email</v>
      </c>
      <c r="C207" s="65">
        <f t="shared" ca="1" si="39"/>
        <v>0</v>
      </c>
      <c r="D207" s="114">
        <f t="shared" si="40"/>
        <v>0</v>
      </c>
      <c r="G207" s="65" t="b">
        <f t="shared" si="43"/>
        <v>0</v>
      </c>
      <c r="H207" s="65" t="str">
        <f t="shared" ca="1" si="50"/>
        <v/>
      </c>
      <c r="I207" s="65" t="b">
        <f t="shared" ca="1" si="47"/>
        <v>1</v>
      </c>
      <c r="J207" s="65" t="str">
        <f t="shared" si="51"/>
        <v>M05S01BF20disp</v>
      </c>
      <c r="K207" s="65" t="str">
        <f t="shared" ca="1" si="42"/>
        <v/>
      </c>
      <c r="L207" s="233" t="s">
        <v>651</v>
      </c>
    </row>
    <row r="208" spans="1:12" ht="15" customHeight="1">
      <c r="A208" s="65" t="s">
        <v>652</v>
      </c>
      <c r="B208" s="65" t="str">
        <f t="shared" ca="1" si="49"/>
        <v>Address</v>
      </c>
      <c r="C208" s="65">
        <f t="shared" ca="1" si="39"/>
        <v>0</v>
      </c>
      <c r="D208" s="114">
        <f t="shared" si="40"/>
        <v>0</v>
      </c>
      <c r="G208" s="65" t="b">
        <f t="shared" si="43"/>
        <v>0</v>
      </c>
      <c r="H208" s="65" t="str">
        <f t="shared" ca="1" si="50"/>
        <v/>
      </c>
      <c r="I208" s="65" t="b">
        <f t="shared" ca="1" si="47"/>
        <v>1</v>
      </c>
      <c r="J208" s="65" t="str">
        <f t="shared" si="51"/>
        <v>M05S01BF21disp</v>
      </c>
      <c r="K208" s="65" t="str">
        <f t="shared" ca="1" si="42"/>
        <v/>
      </c>
      <c r="L208" s="233" t="s">
        <v>653</v>
      </c>
    </row>
    <row r="209" spans="1:12" ht="15" customHeight="1">
      <c r="A209" s="65" t="s">
        <v>654</v>
      </c>
      <c r="B209" s="65" t="str">
        <f t="shared" ca="1" si="49"/>
        <v>Mailing Address</v>
      </c>
      <c r="C209" s="65">
        <f t="shared" ca="1" si="39"/>
        <v>0</v>
      </c>
      <c r="D209" s="114">
        <f t="shared" si="40"/>
        <v>0</v>
      </c>
      <c r="G209" s="65" t="b">
        <f t="shared" si="43"/>
        <v>0</v>
      </c>
      <c r="H209" s="65" t="str">
        <f t="shared" ca="1" si="50"/>
        <v/>
      </c>
      <c r="I209" s="65" t="b">
        <f t="shared" ca="1" si="47"/>
        <v>1</v>
      </c>
      <c r="J209" s="65" t="str">
        <f t="shared" si="51"/>
        <v>M05S01BF22disp</v>
      </c>
      <c r="K209" s="65" t="str">
        <f t="shared" ca="1" si="42"/>
        <v/>
      </c>
      <c r="L209" s="233" t="s">
        <v>655</v>
      </c>
    </row>
    <row r="210" spans="1:12" ht="15" customHeight="1">
      <c r="A210" s="65" t="s">
        <v>656</v>
      </c>
      <c r="B210" s="65" t="str">
        <f t="shared" ca="1" si="49"/>
        <v>City</v>
      </c>
      <c r="C210" s="65">
        <f t="shared" ca="1" si="39"/>
        <v>0</v>
      </c>
      <c r="D210" s="114">
        <f t="shared" si="40"/>
        <v>0</v>
      </c>
      <c r="G210" s="65" t="b">
        <f t="shared" si="43"/>
        <v>0</v>
      </c>
      <c r="H210" s="65" t="str">
        <f t="shared" ca="1" si="50"/>
        <v/>
      </c>
      <c r="I210" s="65" t="b">
        <f t="shared" ca="1" si="47"/>
        <v>1</v>
      </c>
      <c r="J210" s="65" t="str">
        <f t="shared" si="51"/>
        <v>M05S01BF23disp</v>
      </c>
      <c r="K210" s="65" t="str">
        <f t="shared" ca="1" si="42"/>
        <v/>
      </c>
      <c r="L210" s="233" t="s">
        <v>657</v>
      </c>
    </row>
    <row r="211" spans="1:12" ht="15" customHeight="1">
      <c r="A211" s="65" t="s">
        <v>658</v>
      </c>
      <c r="B211" s="65" t="str">
        <f t="shared" ca="1" si="49"/>
        <v>State</v>
      </c>
      <c r="C211" s="65">
        <f t="shared" ca="1" si="39"/>
        <v>0</v>
      </c>
      <c r="D211" s="114">
        <f t="shared" si="40"/>
        <v>0</v>
      </c>
      <c r="G211" s="65" t="b">
        <f t="shared" si="43"/>
        <v>0</v>
      </c>
      <c r="H211" s="65" t="str">
        <f t="shared" ca="1" si="50"/>
        <v/>
      </c>
      <c r="I211" s="65" t="b">
        <f t="shared" ca="1" si="47"/>
        <v>1</v>
      </c>
      <c r="J211" s="65" t="str">
        <f t="shared" si="51"/>
        <v>M05S01BF24disp</v>
      </c>
      <c r="K211" s="65" t="str">
        <f t="shared" ca="1" si="42"/>
        <v/>
      </c>
      <c r="L211" s="233" t="s">
        <v>659</v>
      </c>
    </row>
    <row r="212" spans="1:12" ht="15" customHeight="1">
      <c r="A212" s="65" t="s">
        <v>660</v>
      </c>
      <c r="B212" s="65" t="str">
        <f t="shared" ca="1" si="49"/>
        <v>ZIP Code</v>
      </c>
      <c r="C212" s="65">
        <f t="shared" ca="1" si="39"/>
        <v>0</v>
      </c>
      <c r="D212" s="114">
        <f t="shared" si="40"/>
        <v>0</v>
      </c>
      <c r="G212" s="65" t="b">
        <f t="shared" si="43"/>
        <v>0</v>
      </c>
      <c r="H212" s="65" t="str">
        <f t="shared" ca="1" si="50"/>
        <v/>
      </c>
      <c r="I212" s="65" t="b">
        <f t="shared" ca="1" si="47"/>
        <v>1</v>
      </c>
      <c r="J212" s="65" t="str">
        <f t="shared" si="51"/>
        <v>M05S01BF25disp</v>
      </c>
      <c r="K212" s="65" t="str">
        <f t="shared" ca="1" si="42"/>
        <v/>
      </c>
      <c r="L212" s="233" t="s">
        <v>661</v>
      </c>
    </row>
    <row r="213" spans="1:12" ht="15" customHeight="1">
      <c r="A213" s="65" t="s">
        <v>662</v>
      </c>
      <c r="B213" s="65" t="str">
        <f t="shared" ca="1" si="49"/>
        <v>City</v>
      </c>
      <c r="C213" s="65">
        <f t="shared" ca="1" si="39"/>
        <v>0</v>
      </c>
      <c r="D213" s="114">
        <f t="shared" si="40"/>
        <v>0</v>
      </c>
      <c r="G213" s="65" t="b">
        <f t="shared" si="43"/>
        <v>0</v>
      </c>
      <c r="H213" s="65" t="str">
        <f t="shared" ca="1" si="50"/>
        <v/>
      </c>
      <c r="I213" s="65" t="b">
        <f t="shared" ca="1" si="47"/>
        <v>1</v>
      </c>
      <c r="J213" s="65" t="str">
        <f t="shared" si="51"/>
        <v>M05S01BF27disp</v>
      </c>
      <c r="K213" s="65" t="str">
        <f t="shared" ca="1" si="42"/>
        <v/>
      </c>
      <c r="L213" s="233" t="s">
        <v>663</v>
      </c>
    </row>
    <row r="214" spans="1:12" ht="15" customHeight="1">
      <c r="A214" s="65" t="s">
        <v>664</v>
      </c>
      <c r="B214" s="65" t="str">
        <f t="shared" ca="1" si="49"/>
        <v>State</v>
      </c>
      <c r="C214" s="65">
        <f t="shared" ca="1" si="39"/>
        <v>0</v>
      </c>
      <c r="D214" s="114">
        <f t="shared" si="40"/>
        <v>0</v>
      </c>
      <c r="G214" s="65" t="b">
        <f t="shared" si="43"/>
        <v>0</v>
      </c>
      <c r="H214" s="65" t="str">
        <f t="shared" ca="1" si="50"/>
        <v/>
      </c>
      <c r="I214" s="65" t="b">
        <f t="shared" ca="1" si="47"/>
        <v>1</v>
      </c>
      <c r="J214" s="65" t="str">
        <f t="shared" si="51"/>
        <v>M05S01BF28disp</v>
      </c>
      <c r="K214" s="65" t="str">
        <f t="shared" ca="1" si="42"/>
        <v/>
      </c>
      <c r="L214" s="233" t="s">
        <v>665</v>
      </c>
    </row>
    <row r="215" spans="1:12" ht="15" customHeight="1">
      <c r="A215" s="65" t="s">
        <v>666</v>
      </c>
      <c r="B215" s="65" t="str">
        <f t="shared" ca="1" si="49"/>
        <v>Zip Code</v>
      </c>
      <c r="C215" s="65">
        <f t="shared" ca="1" si="39"/>
        <v>0</v>
      </c>
      <c r="D215" s="114">
        <f t="shared" si="40"/>
        <v>0</v>
      </c>
      <c r="G215" s="65" t="b">
        <f t="shared" si="43"/>
        <v>0</v>
      </c>
      <c r="H215" s="65" t="str">
        <f t="shared" ca="1" si="50"/>
        <v/>
      </c>
      <c r="I215" s="65" t="b">
        <f t="shared" ca="1" si="47"/>
        <v>1</v>
      </c>
      <c r="J215" s="65" t="str">
        <f t="shared" si="51"/>
        <v>M05S01BF29disp</v>
      </c>
      <c r="K215" s="65" t="str">
        <f t="shared" ca="1" si="42"/>
        <v/>
      </c>
      <c r="L215" s="233" t="s">
        <v>667</v>
      </c>
    </row>
    <row r="216" spans="1:12" ht="15" customHeight="1">
      <c r="A216" s="65" t="s">
        <v>668</v>
      </c>
      <c r="B216" s="65" t="str">
        <f t="shared" ca="1" si="49"/>
        <v>Signature (Account Owner or Authorized Representative)</v>
      </c>
      <c r="C216" s="65">
        <f t="shared" ca="1" si="39"/>
        <v>0</v>
      </c>
      <c r="D216" s="114">
        <f t="shared" si="40"/>
        <v>0</v>
      </c>
      <c r="G216" s="598" t="b">
        <v>0</v>
      </c>
      <c r="H216" s="65">
        <f t="shared" ca="1" si="50"/>
        <v>0</v>
      </c>
      <c r="I216" s="65" t="b">
        <f t="shared" ca="1" si="47"/>
        <v>1</v>
      </c>
      <c r="J216" s="65" t="str">
        <f t="shared" si="51"/>
        <v>M05S01BF30disp</v>
      </c>
      <c r="K216" s="65" t="str">
        <f t="shared" ca="1" si="42"/>
        <v/>
      </c>
      <c r="L216" s="233" t="s">
        <v>669</v>
      </c>
    </row>
    <row r="217" spans="1:12" ht="15" customHeight="1">
      <c r="A217" s="65" t="s">
        <v>670</v>
      </c>
      <c r="B217" s="65" t="str">
        <f t="shared" ca="1" si="49"/>
        <v>Print Name &amp; Signatory Title</v>
      </c>
      <c r="C217" s="65">
        <f t="shared" ca="1" si="39"/>
        <v>0</v>
      </c>
      <c r="D217" s="114">
        <f t="shared" si="40"/>
        <v>0</v>
      </c>
      <c r="G217" s="598" t="b">
        <v>0</v>
      </c>
      <c r="H217" s="65">
        <f t="shared" ca="1" si="50"/>
        <v>0</v>
      </c>
      <c r="I217" s="65" t="b">
        <f t="shared" ca="1" si="47"/>
        <v>1</v>
      </c>
      <c r="J217" s="65" t="str">
        <f t="shared" si="51"/>
        <v>M05S01BF31disp</v>
      </c>
      <c r="K217" s="65" t="str">
        <f t="shared" ca="1" si="42"/>
        <v/>
      </c>
      <c r="L217" s="233" t="s">
        <v>671</v>
      </c>
    </row>
    <row r="218" spans="1:12" ht="15" customHeight="1">
      <c r="A218" s="65" t="s">
        <v>672</v>
      </c>
      <c r="B218" s="65" t="str">
        <f t="shared" ca="1" si="49"/>
        <v>Date Signed</v>
      </c>
      <c r="C218" s="65">
        <f t="shared" ca="1" si="39"/>
        <v>0</v>
      </c>
      <c r="D218" s="114">
        <f t="shared" si="40"/>
        <v>0</v>
      </c>
      <c r="G218" s="598" t="b">
        <v>0</v>
      </c>
      <c r="H218" s="591">
        <f t="shared" ca="1" si="50"/>
        <v>0</v>
      </c>
      <c r="I218" s="65" t="b">
        <f t="shared" ca="1" si="47"/>
        <v>1</v>
      </c>
      <c r="J218" s="65" t="str">
        <f t="shared" si="51"/>
        <v>M05S01BF32disp</v>
      </c>
      <c r="K218" s="65" t="str">
        <f t="shared" ca="1" si="42"/>
        <v/>
      </c>
      <c r="L218" s="233" t="s">
        <v>673</v>
      </c>
    </row>
    <row r="219" spans="1:12" ht="15" customHeight="1">
      <c r="A219" s="65" t="s">
        <v>674</v>
      </c>
      <c r="B219" s="65" t="str">
        <f t="shared" ca="1" si="49"/>
        <v>Tax Entity</v>
      </c>
      <c r="C219" s="65">
        <f ca="1">IFERROR(IF(I219=FALSE, 1,0), 0)</f>
        <v>0</v>
      </c>
      <c r="D219" s="114">
        <f t="shared" si="40"/>
        <v>0</v>
      </c>
      <c r="G219" s="65" t="b">
        <f t="shared" si="43"/>
        <v>0</v>
      </c>
      <c r="H219" s="65">
        <f t="shared" ca="1" si="50"/>
        <v>0</v>
      </c>
      <c r="I219" s="65" t="b">
        <f t="shared" ca="1" si="47"/>
        <v>1</v>
      </c>
      <c r="J219" s="65" t="str">
        <f t="shared" si="51"/>
        <v>M05S01BF33disp</v>
      </c>
      <c r="K219" s="65" t="str">
        <f t="shared" ca="1" si="42"/>
        <v/>
      </c>
      <c r="L219" s="233"/>
    </row>
    <row r="220" spans="1:12" ht="15" customHeight="1">
      <c r="A220" s="65" t="s">
        <v>675</v>
      </c>
      <c r="B220" s="65" t="str">
        <f ca="1">OFFSET(INDIRECT(A220),-1,0)</f>
        <v>Federal Tax ID Number</v>
      </c>
      <c r="C220" s="65">
        <f t="shared" ca="1" si="39"/>
        <v>0</v>
      </c>
      <c r="D220" s="114">
        <f t="shared" si="40"/>
        <v>0</v>
      </c>
      <c r="G220" s="65" t="b">
        <f t="shared" si="43"/>
        <v>0</v>
      </c>
      <c r="H220" s="65">
        <f ca="1">INDIRECT(A220)</f>
        <v>0</v>
      </c>
      <c r="I220" s="65" t="b">
        <f t="shared" ca="1" si="47"/>
        <v>1</v>
      </c>
      <c r="J220" s="65" t="str">
        <f t="shared" si="51"/>
        <v>M05S01BF34disp</v>
      </c>
      <c r="K220" s="65" t="str">
        <f t="shared" ca="1" si="42"/>
        <v/>
      </c>
      <c r="L220" s="233"/>
    </row>
    <row r="221" spans="1:12" ht="15" customHeight="1">
      <c r="A221" s="65" t="s">
        <v>676</v>
      </c>
      <c r="B221" s="65" t="str">
        <f ca="1">OFFSET(INDIRECT(A221),-1,-2)</f>
        <v>Federal Tax ID Number</v>
      </c>
      <c r="C221" s="65">
        <f ca="1">IFERROR(IF(I221=FALSE, 1,0), 0)</f>
        <v>0</v>
      </c>
      <c r="D221" s="114">
        <f>IFERROR(IF(G221=TRUE, 1,0), 0)</f>
        <v>0</v>
      </c>
      <c r="G221" s="65" t="b">
        <f>IF(M05S01BF01="Yes",TRUE,FALSE)</f>
        <v>0</v>
      </c>
      <c r="H221" s="65">
        <f ca="1">INDIRECT(A221)</f>
        <v>0</v>
      </c>
      <c r="I221" s="65" t="b">
        <f ca="1">OR(H221=0,H221="")</f>
        <v>1</v>
      </c>
      <c r="J221" s="65" t="str">
        <f t="shared" si="51"/>
        <v>M05S01BF35disp</v>
      </c>
      <c r="K221" s="65" t="str">
        <f ca="1">IF(AND(G221=TRUE,I221=TRUE),"Required","")</f>
        <v/>
      </c>
      <c r="L221" s="233"/>
    </row>
    <row r="222" spans="1:12" ht="15" customHeight="1">
      <c r="L222" s="233"/>
    </row>
    <row r="223" spans="1:12" ht="15" customHeight="1"/>
    <row r="224" spans="1:12" ht="15" customHeight="1">
      <c r="A224" s="88"/>
      <c r="C224" s="65" t="s">
        <v>341</v>
      </c>
      <c r="D224" s="65" t="s">
        <v>142</v>
      </c>
      <c r="E224" s="65" t="s">
        <v>342</v>
      </c>
    </row>
    <row r="225" spans="1:12" ht="15" customHeight="1">
      <c r="A225" s="112" t="s">
        <v>343</v>
      </c>
      <c r="B225" s="116" t="str">
        <f>M5S2</f>
        <v>Project Review</v>
      </c>
      <c r="C225" s="112"/>
      <c r="D225" s="112"/>
      <c r="E225" s="113"/>
      <c r="F225" s="65" t="s">
        <v>677</v>
      </c>
      <c r="G225" s="65" t="s">
        <v>345</v>
      </c>
      <c r="H225" s="65" t="s">
        <v>346</v>
      </c>
      <c r="I225" s="65" t="s">
        <v>347</v>
      </c>
      <c r="J225" s="65" t="s">
        <v>348</v>
      </c>
      <c r="K225" s="65" t="s">
        <v>349</v>
      </c>
      <c r="L225" s="65" t="s">
        <v>350</v>
      </c>
    </row>
    <row r="226" spans="1:12">
      <c r="A226" s="172" t="s">
        <v>678</v>
      </c>
      <c r="D226" s="114"/>
    </row>
    <row r="227" spans="1:12">
      <c r="A227" s="172" t="s">
        <v>679</v>
      </c>
      <c r="D227" s="114"/>
    </row>
    <row r="229" spans="1:12">
      <c r="C229" s="65" t="s">
        <v>341</v>
      </c>
      <c r="D229" s="65" t="s">
        <v>142</v>
      </c>
      <c r="E229" s="65" t="s">
        <v>342</v>
      </c>
    </row>
    <row r="230" spans="1:12">
      <c r="A230" s="112" t="s">
        <v>343</v>
      </c>
      <c r="B230" s="116" t="str">
        <f>M5S6</f>
        <v>OBR: Repayment Agreement</v>
      </c>
      <c r="C230" s="112">
        <f>SUMIF(D231:D233, 1, C231:C233)</f>
        <v>0</v>
      </c>
      <c r="D230" s="112">
        <f>SUM(D231:D233)</f>
        <v>0</v>
      </c>
      <c r="E230" s="113">
        <f ca="1">IFERROR(IF(COMPOBR=100%, 100%,0), 0)</f>
        <v>0</v>
      </c>
      <c r="F230" s="65" t="s">
        <v>680</v>
      </c>
      <c r="G230" s="65" t="s">
        <v>345</v>
      </c>
      <c r="H230" s="65" t="s">
        <v>346</v>
      </c>
      <c r="I230" s="65" t="s">
        <v>347</v>
      </c>
      <c r="J230" s="65" t="s">
        <v>348</v>
      </c>
      <c r="K230" s="65" t="s">
        <v>349</v>
      </c>
      <c r="L230" s="65" t="s">
        <v>350</v>
      </c>
    </row>
    <row r="231" spans="1:12">
      <c r="A231" s="65" t="s">
        <v>681</v>
      </c>
      <c r="B231" s="65" t="str">
        <f ca="1">OFFSET(INDIRECT(A231),-2,0)</f>
        <v>Print Name (Customer)</v>
      </c>
      <c r="C231" s="65">
        <f ca="1">IFERROR(IF(I231=FALSE, 1,0), 0)</f>
        <v>0</v>
      </c>
      <c r="D231" s="114">
        <f t="shared" ref="D231:D233" si="52">IFERROR(IF(G231=TRUE, 1,0), 0)</f>
        <v>0</v>
      </c>
      <c r="G231" s="65" t="b">
        <v>0</v>
      </c>
      <c r="H231" s="65">
        <f ca="1">INDIRECT(A231)</f>
        <v>0</v>
      </c>
      <c r="I231" s="65" t="b">
        <f ca="1">OR(H231=0,H231="")</f>
        <v>1</v>
      </c>
      <c r="J231" s="65" t="str">
        <f>A231&amp;"disp"</f>
        <v>M05S06F01disp</v>
      </c>
      <c r="K231" s="65" t="str">
        <f ca="1">IF(AND(G231=TRUE,I231=TRUE),"Required","")</f>
        <v/>
      </c>
    </row>
    <row r="232" spans="1:12">
      <c r="A232" s="65" t="s">
        <v>682</v>
      </c>
      <c r="B232" s="65" t="str">
        <f ca="1">OFFSET(INDIRECT(A232),-1,0)</f>
        <v>Signatory Title</v>
      </c>
      <c r="C232" s="65">
        <f ca="1">IFERROR(IF(I232=FALSE, 1,0), 0)</f>
        <v>0</v>
      </c>
      <c r="D232" s="114">
        <f t="shared" si="52"/>
        <v>0</v>
      </c>
      <c r="G232" s="65" t="b">
        <v>0</v>
      </c>
      <c r="H232" s="65">
        <f ca="1">INDIRECT(A232)</f>
        <v>0</v>
      </c>
      <c r="I232" s="65" t="b">
        <f t="shared" ref="I232:I233" ca="1" si="53">OR(H232=0,H232="")</f>
        <v>1</v>
      </c>
      <c r="J232" s="65" t="str">
        <f>A232&amp;"disp"</f>
        <v>M05S06F02disp</v>
      </c>
      <c r="K232" s="65" t="str">
        <f ca="1">IF(AND(G232=TRUE,I232=TRUE),"Required","")</f>
        <v/>
      </c>
    </row>
    <row r="233" spans="1:12">
      <c r="A233" s="65" t="s">
        <v>683</v>
      </c>
      <c r="B233" s="65" t="str">
        <f ca="1">OFFSET(INDIRECT(A233),-1,0)</f>
        <v>Date Signed</v>
      </c>
      <c r="C233" s="65">
        <f ca="1">IFERROR(IF(I233=FALSE, 1,0), 0)</f>
        <v>0</v>
      </c>
      <c r="D233" s="114">
        <f t="shared" si="52"/>
        <v>0</v>
      </c>
      <c r="G233" s="65" t="b">
        <v>0</v>
      </c>
      <c r="H233" s="591">
        <f ca="1">INDIRECT(A233)</f>
        <v>0</v>
      </c>
      <c r="I233" s="65" t="b">
        <f t="shared" ca="1" si="53"/>
        <v>1</v>
      </c>
      <c r="J233" s="65" t="str">
        <f>A233&amp;"disp"</f>
        <v>M05S06F03disp</v>
      </c>
      <c r="K233" s="65" t="str">
        <f ca="1">IF(AND(G233=TRUE,I233=TRUE),"Required","")</f>
        <v/>
      </c>
    </row>
    <row r="234" spans="1:12">
      <c r="D234"/>
      <c r="H234" s="591"/>
    </row>
    <row r="236" spans="1:12">
      <c r="A236" s="112" t="s">
        <v>343</v>
      </c>
      <c r="B236" s="116" t="str">
        <f>M5S8</f>
        <v xml:space="preserve">Union Information </v>
      </c>
      <c r="C236" s="116" t="s">
        <v>341</v>
      </c>
      <c r="D236" s="116" t="s">
        <v>142</v>
      </c>
      <c r="E236" s="65" t="s">
        <v>342</v>
      </c>
      <c r="F236" s="65" t="s">
        <v>684</v>
      </c>
      <c r="I236" s="65" t="s">
        <v>347</v>
      </c>
      <c r="J236" s="65" t="s">
        <v>348</v>
      </c>
      <c r="K236" s="65" t="s">
        <v>349</v>
      </c>
      <c r="L236" s="65" t="s">
        <v>350</v>
      </c>
    </row>
    <row r="237" spans="1:12" customFormat="1">
      <c r="C237">
        <f ca="1">SUMIF(D238:D250, 1, C238:C250)</f>
        <v>0</v>
      </c>
      <c r="D237">
        <f ca="1">SUM(D238:D250)</f>
        <v>1</v>
      </c>
      <c r="E237" s="612">
        <f ca="1">IFERROR(C237/D237, 1)</f>
        <v>0</v>
      </c>
    </row>
    <row r="238" spans="1:12">
      <c r="A238" s="65" t="s">
        <v>685</v>
      </c>
      <c r="B238" s="65">
        <f ca="1">OFFSET(INDIRECT(A238),1,0)</f>
        <v>0</v>
      </c>
      <c r="C238" s="65">
        <f ca="1">IFERROR(IF(I238=FALSE, 1,0), 0)</f>
        <v>0</v>
      </c>
      <c r="D238" s="65">
        <f>IFERROR(IF(G238=TRUE, 1,0), 0)</f>
        <v>1</v>
      </c>
      <c r="G238" s="65" t="b">
        <f>TRUE</f>
        <v>1</v>
      </c>
      <c r="H238" s="65">
        <f ca="1">INDIRECT(A238)</f>
        <v>0</v>
      </c>
      <c r="I238" s="65" t="b">
        <f ca="1">OR(H238=0,H238="")</f>
        <v>1</v>
      </c>
      <c r="J238" s="65" t="str">
        <f>A238&amp;"disp"</f>
        <v>M05S08F01disp</v>
      </c>
      <c r="K238" s="65" t="str">
        <f ca="1">IF(AND(G238=TRUE,I238=TRUE),"Required","")</f>
        <v>Required</v>
      </c>
    </row>
    <row r="239" spans="1:12">
      <c r="A239" s="65" t="s">
        <v>686</v>
      </c>
      <c r="B239" s="65" t="str">
        <f ca="1">OFFSET(INDIRECT(A239),-1,0)</f>
        <v>Name of Union</v>
      </c>
      <c r="C239" s="65">
        <f t="shared" ref="C239:C250" ca="1" si="54">IFERROR(IF(I239=FALSE, 1,0), 0)</f>
        <v>0</v>
      </c>
      <c r="D239" s="65">
        <f t="shared" ref="D239:D250" ca="1" si="55">IFERROR(IF(G239=TRUE, 1,0), 0)</f>
        <v>0</v>
      </c>
      <c r="G239" s="65" t="b">
        <f ca="1">IF($H$238="YES",TRUE,IF($H$248="Yes",TRUE,FALSE))</f>
        <v>0</v>
      </c>
      <c r="H239" s="65">
        <f t="shared" ref="H239:H250" ca="1" si="56">INDIRECT(A239)</f>
        <v>0</v>
      </c>
      <c r="I239" s="65" t="b">
        <f t="shared" ref="I239:I250" ca="1" si="57">OR(H239=0,H239="")</f>
        <v>1</v>
      </c>
      <c r="J239" s="65" t="str">
        <f t="shared" ref="J239:J250" si="58">A239&amp;"disp"</f>
        <v>M05S08F03disp</v>
      </c>
    </row>
    <row r="240" spans="1:12">
      <c r="A240" s="65" t="s">
        <v>687</v>
      </c>
      <c r="B240" s="65" t="str">
        <f t="shared" ref="B240:B250" ca="1" si="59">OFFSET(INDIRECT(A240),-1,0)</f>
        <v>Union Number</v>
      </c>
      <c r="C240" s="65">
        <f t="shared" ca="1" si="54"/>
        <v>0</v>
      </c>
      <c r="D240" s="65">
        <f t="shared" ca="1" si="55"/>
        <v>0</v>
      </c>
      <c r="G240" s="65" t="b">
        <f t="shared" ref="G240:G241" ca="1" si="60">IF($H$238="YES",TRUE,IF($H$248="Yes",TRUE,FALSE))</f>
        <v>0</v>
      </c>
      <c r="H240" s="65">
        <f t="shared" ca="1" si="56"/>
        <v>0</v>
      </c>
      <c r="I240" s="65" t="b">
        <f t="shared" ca="1" si="57"/>
        <v>1</v>
      </c>
      <c r="J240" s="65" t="str">
        <f t="shared" si="58"/>
        <v>M05S08F04disp</v>
      </c>
    </row>
    <row r="241" spans="1:11">
      <c r="A241" s="65" t="s">
        <v>688</v>
      </c>
      <c r="B241" s="65" t="str">
        <f t="shared" ca="1" si="59"/>
        <v>Accepted Contract Date</v>
      </c>
      <c r="C241" s="65">
        <f t="shared" ca="1" si="54"/>
        <v>0</v>
      </c>
      <c r="D241" s="65">
        <f t="shared" ca="1" si="55"/>
        <v>0</v>
      </c>
      <c r="G241" s="65" t="b">
        <f t="shared" ca="1" si="60"/>
        <v>0</v>
      </c>
      <c r="H241" s="65">
        <f t="shared" ca="1" si="56"/>
        <v>0</v>
      </c>
      <c r="I241" s="65" t="b">
        <f t="shared" ca="1" si="57"/>
        <v>1</v>
      </c>
      <c r="J241" s="65" t="str">
        <f t="shared" si="58"/>
        <v>M05S08F05disp</v>
      </c>
    </row>
    <row r="242" spans="1:11">
      <c r="A242" s="65" t="s">
        <v>689</v>
      </c>
      <c r="B242" s="65" t="str">
        <f t="shared" ca="1" si="59"/>
        <v>Contact First Name</v>
      </c>
      <c r="C242" s="65">
        <f t="shared" ca="1" si="54"/>
        <v>0</v>
      </c>
      <c r="D242" s="65">
        <f t="shared" ca="1" si="55"/>
        <v>0</v>
      </c>
      <c r="G242" s="65" t="b">
        <f t="shared" ref="G242:G245" ca="1" si="61">IF($H$238="YES",TRUE,FALSE)</f>
        <v>0</v>
      </c>
      <c r="H242" s="65">
        <f t="shared" ca="1" si="56"/>
        <v>0</v>
      </c>
      <c r="I242" s="65" t="b">
        <f t="shared" ca="1" si="57"/>
        <v>1</v>
      </c>
      <c r="J242" s="65" t="str">
        <f t="shared" si="58"/>
        <v>M05S08F06disp</v>
      </c>
    </row>
    <row r="243" spans="1:11">
      <c r="A243" s="65" t="s">
        <v>690</v>
      </c>
      <c r="B243" s="65" t="str">
        <f t="shared" ca="1" si="59"/>
        <v>Contact Last Name</v>
      </c>
      <c r="C243" s="65">
        <f t="shared" ca="1" si="54"/>
        <v>0</v>
      </c>
      <c r="D243" s="65">
        <f t="shared" ca="1" si="55"/>
        <v>0</v>
      </c>
      <c r="G243" s="65" t="b">
        <f t="shared" ca="1" si="61"/>
        <v>0</v>
      </c>
      <c r="H243" s="65">
        <f t="shared" ca="1" si="56"/>
        <v>0</v>
      </c>
      <c r="I243" s="65" t="b">
        <f t="shared" ca="1" si="57"/>
        <v>1</v>
      </c>
      <c r="J243" s="65" t="str">
        <f t="shared" si="58"/>
        <v>M05S08F07disp</v>
      </c>
    </row>
    <row r="244" spans="1:11">
      <c r="A244" s="65" t="s">
        <v>691</v>
      </c>
      <c r="B244" s="65" t="str">
        <f t="shared" ca="1" si="59"/>
        <v>Contact Title</v>
      </c>
      <c r="C244" s="65">
        <f t="shared" ca="1" si="54"/>
        <v>0</v>
      </c>
      <c r="D244" s="65">
        <f t="shared" ca="1" si="55"/>
        <v>0</v>
      </c>
      <c r="G244" s="65" t="b">
        <f t="shared" ca="1" si="61"/>
        <v>0</v>
      </c>
      <c r="H244" s="65">
        <f t="shared" ca="1" si="56"/>
        <v>0</v>
      </c>
      <c r="I244" s="65" t="b">
        <f t="shared" ca="1" si="57"/>
        <v>1</v>
      </c>
      <c r="J244" s="65" t="str">
        <f t="shared" si="58"/>
        <v>M05S08F08disp</v>
      </c>
    </row>
    <row r="245" spans="1:11">
      <c r="A245" s="65" t="s">
        <v>692</v>
      </c>
      <c r="B245" s="65" t="str">
        <f t="shared" ca="1" si="59"/>
        <v>Contact Phone Number</v>
      </c>
      <c r="C245" s="65">
        <f t="shared" ca="1" si="54"/>
        <v>0</v>
      </c>
      <c r="D245" s="65">
        <f t="shared" ca="1" si="55"/>
        <v>0</v>
      </c>
      <c r="G245" s="65" t="b">
        <f t="shared" ca="1" si="61"/>
        <v>0</v>
      </c>
      <c r="H245" s="65">
        <f t="shared" ca="1" si="56"/>
        <v>0</v>
      </c>
      <c r="I245" s="65" t="b">
        <f t="shared" ca="1" si="57"/>
        <v>1</v>
      </c>
      <c r="J245" s="65" t="str">
        <f t="shared" si="58"/>
        <v>M05S08F09disp</v>
      </c>
    </row>
    <row r="246" spans="1:11">
      <c r="A246" s="65" t="s">
        <v>693</v>
      </c>
      <c r="B246" s="65">
        <f t="shared" ca="1" si="59"/>
        <v>0</v>
      </c>
      <c r="C246" s="65">
        <f t="shared" ca="1" si="54"/>
        <v>0</v>
      </c>
      <c r="D246" s="65">
        <f t="shared" ca="1" si="55"/>
        <v>0</v>
      </c>
      <c r="G246" s="65" t="b">
        <f ca="1">IF(H238="No",TRUE,FALSE)</f>
        <v>0</v>
      </c>
      <c r="H246" s="65">
        <f t="shared" ca="1" si="56"/>
        <v>0</v>
      </c>
      <c r="I246" s="65" t="b">
        <f t="shared" ca="1" si="57"/>
        <v>1</v>
      </c>
      <c r="J246" s="65" t="str">
        <f t="shared" si="58"/>
        <v>M05S08F11disp</v>
      </c>
      <c r="K246" s="65" t="str">
        <f ca="1">IF(AND(G246=TRUE,I246=TRUE),"Required","")</f>
        <v/>
      </c>
    </row>
    <row r="247" spans="1:11">
      <c r="A247" s="65" t="s">
        <v>694</v>
      </c>
      <c r="B247" s="65">
        <f t="shared" ca="1" si="59"/>
        <v>0</v>
      </c>
      <c r="C247" s="65">
        <f t="shared" ca="1" si="54"/>
        <v>0</v>
      </c>
      <c r="D247" s="65">
        <f t="shared" ca="1" si="55"/>
        <v>0</v>
      </c>
      <c r="G247" s="65" t="b">
        <f ca="1">IF(H246="Yes",TRUE,FALSE)</f>
        <v>0</v>
      </c>
      <c r="H247" s="65">
        <f t="shared" ca="1" si="56"/>
        <v>0</v>
      </c>
      <c r="I247" s="65" t="b">
        <f t="shared" ca="1" si="57"/>
        <v>1</v>
      </c>
      <c r="J247" s="65" t="str">
        <f t="shared" si="58"/>
        <v>M05S08F12disp</v>
      </c>
      <c r="K247" s="65" t="str">
        <f t="shared" ref="K247:K249" ca="1" si="62">IF(AND(G247=TRUE,I247=TRUE),"Required","")</f>
        <v/>
      </c>
    </row>
    <row r="248" spans="1:11">
      <c r="A248" s="65" t="s">
        <v>695</v>
      </c>
      <c r="B248" s="65">
        <f t="shared" ca="1" si="59"/>
        <v>0</v>
      </c>
      <c r="C248" s="65">
        <f t="shared" ca="1" si="54"/>
        <v>0</v>
      </c>
      <c r="D248" s="65">
        <f t="shared" ca="1" si="55"/>
        <v>0</v>
      </c>
      <c r="G248" s="65" t="b">
        <f ca="1">IF(H238="No",TRUE,FALSE)</f>
        <v>0</v>
      </c>
      <c r="H248" s="65">
        <f t="shared" ca="1" si="56"/>
        <v>0</v>
      </c>
      <c r="I248" s="65" t="b">
        <f t="shared" ca="1" si="57"/>
        <v>1</v>
      </c>
      <c r="J248" s="65" t="str">
        <f t="shared" si="58"/>
        <v>M05S08F13disp</v>
      </c>
      <c r="K248" s="65" t="str">
        <f t="shared" ca="1" si="62"/>
        <v/>
      </c>
    </row>
    <row r="249" spans="1:11">
      <c r="A249" s="65" t="s">
        <v>696</v>
      </c>
      <c r="B249" s="65">
        <f t="shared" ca="1" si="59"/>
        <v>0</v>
      </c>
      <c r="C249" s="65">
        <f t="shared" ca="1" si="54"/>
        <v>0</v>
      </c>
      <c r="D249" s="65">
        <f t="shared" ca="1" si="55"/>
        <v>0</v>
      </c>
      <c r="G249" s="65" t="b">
        <f ca="1">IF(H248="Yes",TRUE,FALSE)</f>
        <v>0</v>
      </c>
      <c r="H249" s="65">
        <f t="shared" ca="1" si="56"/>
        <v>0</v>
      </c>
      <c r="I249" s="65" t="b">
        <f t="shared" ca="1" si="57"/>
        <v>1</v>
      </c>
      <c r="J249" s="65" t="str">
        <f t="shared" si="58"/>
        <v>M05S08F14disp</v>
      </c>
      <c r="K249" s="65" t="str">
        <f t="shared" ca="1" si="62"/>
        <v/>
      </c>
    </row>
    <row r="250" spans="1:11">
      <c r="A250" s="65" t="s">
        <v>697</v>
      </c>
      <c r="B250" s="65" t="str">
        <f t="shared" ca="1" si="59"/>
        <v>Contact Email</v>
      </c>
      <c r="C250" s="65">
        <f t="shared" ca="1" si="54"/>
        <v>0</v>
      </c>
      <c r="D250" s="65">
        <f t="shared" ca="1" si="55"/>
        <v>0</v>
      </c>
      <c r="G250" s="65" t="b">
        <f ca="1">IF($H$238="YES",TRUE,FALSE)</f>
        <v>0</v>
      </c>
      <c r="H250" s="65">
        <f t="shared" ca="1" si="56"/>
        <v>0</v>
      </c>
      <c r="I250" s="65" t="b">
        <f t="shared" ca="1" si="57"/>
        <v>1</v>
      </c>
      <c r="J250" s="65" t="str">
        <f t="shared" si="58"/>
        <v>M05S08F15disp</v>
      </c>
    </row>
    <row r="255" spans="1:11">
      <c r="A255" s="700" t="s">
        <v>698</v>
      </c>
    </row>
    <row r="256" spans="1:11">
      <c r="A256" s="68" t="s">
        <v>699</v>
      </c>
      <c r="B256" s="68"/>
    </row>
    <row r="257" spans="1:2">
      <c r="A257" s="68">
        <v>1</v>
      </c>
      <c r="B257" s="68" t="str">
        <f>IF(ISERROR('M04-S02'!CB18),"",IF('M04-S02'!CB18&lt;&gt;"OK","",IF(AND('M04-S02'!CB18="OK",'M04-S02'!BX18=""),"False",IF(AND('M04-S02'!CB18="OK",'M04-S02'!BX18&lt;&gt;""),"True",""))))</f>
        <v/>
      </c>
    </row>
    <row r="258" spans="1:2">
      <c r="A258" s="68">
        <v>2</v>
      </c>
      <c r="B258" s="68" t="str">
        <f>IF(ISERROR('M04-S02'!CB20),"",IF('M04-S02'!CB20&lt;&gt;"OK","",IF(AND('M04-S02'!CB20="OK",'M04-S02'!BX20=""),"False",IF(AND('M04-S02'!CB20="OK",'M04-S02'!BX20&lt;&gt;""),"True",""))))</f>
        <v/>
      </c>
    </row>
    <row r="259" spans="1:2">
      <c r="A259" s="68">
        <v>3</v>
      </c>
      <c r="B259" s="68" t="str">
        <f>IF(ISERROR('M04-S02'!CB22),"",IF('M04-S02'!CB22&lt;&gt;"OK","",IF(AND('M04-S02'!CB22="OK",'M04-S02'!BX22=""),"False",IF(AND('M04-S02'!CB22="OK",'M04-S02'!BX22&lt;&gt;""),"True",""))))</f>
        <v/>
      </c>
    </row>
    <row r="260" spans="1:2">
      <c r="A260" s="68">
        <v>4</v>
      </c>
      <c r="B260" s="68" t="str">
        <f>IF(ISERROR('M04-S02'!CB24),"",IF('M04-S02'!CB24&lt;&gt;"OK","",IF(AND('M04-S02'!CB24="OK",'M04-S02'!BX24=""),"False",IF(AND('M04-S02'!CB24="OK",'M04-S02'!BX24&lt;&gt;""),"True",""))))</f>
        <v/>
      </c>
    </row>
    <row r="261" spans="1:2">
      <c r="A261" s="68">
        <v>5</v>
      </c>
      <c r="B261" s="68" t="str">
        <f>IF(ISERROR('M04-S02'!CB26),"",IF('M04-S02'!CB26&lt;&gt;"OK","",IF(AND('M04-S02'!CB26="OK",'M04-S02'!BX26=""),"False",IF(AND('M04-S02'!CB26="OK",'M04-S02'!BX26&lt;&gt;""),"True",""))))</f>
        <v/>
      </c>
    </row>
    <row r="262" spans="1:2">
      <c r="A262" s="68">
        <v>6</v>
      </c>
      <c r="B262" s="68" t="str">
        <f>IF(ISERROR('M04-S02'!CB28),"",IF('M04-S02'!CB28&lt;&gt;"OK","",IF(AND('M04-S02'!CB28="OK",'M04-S02'!BX28=""),"False",IF(AND('M04-S02'!CB28="OK",'M04-S02'!BX28&lt;&gt;""),"True",""))))</f>
        <v/>
      </c>
    </row>
    <row r="263" spans="1:2">
      <c r="A263" s="68">
        <v>7</v>
      </c>
      <c r="B263" s="68" t="str">
        <f>IF(ISERROR('M04-S02'!CB30),"",IF('M04-S02'!CB30&lt;&gt;"OK","",IF(AND('M04-S02'!CB30="OK",'M04-S02'!BX30=""),"False",IF(AND('M04-S02'!CB30="OK",'M04-S02'!BX30&lt;&gt;""),"True",""))))</f>
        <v/>
      </c>
    </row>
    <row r="264" spans="1:2">
      <c r="A264" s="68">
        <v>8</v>
      </c>
      <c r="B264" s="68" t="str">
        <f>IF(ISERROR('M04-S02'!CB32),"",IF('M04-S02'!CB32&lt;&gt;"OK","",IF(AND('M04-S02'!CB32="OK",'M04-S02'!BX32=""),"False",IF(AND('M04-S02'!CB32="OK",'M04-S02'!BX32&lt;&gt;""),"True",""))))</f>
        <v/>
      </c>
    </row>
    <row r="265" spans="1:2">
      <c r="A265" s="68">
        <v>9</v>
      </c>
      <c r="B265" s="68" t="str">
        <f>IF(ISERROR('M04-S02'!CB34),"",IF('M04-S02'!CB34&lt;&gt;"OK","",IF(AND('M04-S02'!CB34="OK",'M04-S02'!BX34=""),"False",IF(AND('M04-S02'!CB34="OK",'M04-S02'!BX34&lt;&gt;""),"True",""))))</f>
        <v/>
      </c>
    </row>
    <row r="266" spans="1:2">
      <c r="A266" s="68">
        <v>10</v>
      </c>
      <c r="B266" s="68" t="str">
        <f>IF(ISERROR('M04-S02'!CB36),"",IF('M04-S02'!CB36&lt;&gt;"OK","",IF(AND('M04-S02'!CB36="OK",'M04-S02'!BX36=""),"False",IF(AND('M04-S02'!CB36="OK",'M04-S02'!BX36&lt;&gt;""),"True",""))))</f>
        <v/>
      </c>
    </row>
    <row r="267" spans="1:2">
      <c r="A267" s="68" t="s">
        <v>267</v>
      </c>
      <c r="B267" s="68"/>
    </row>
    <row r="268" spans="1:2">
      <c r="A268" s="68">
        <v>1</v>
      </c>
      <c r="B268" s="5" t="str">
        <f>IF(ISERROR('M04-S03'!CB18),"",IF('M04-S03'!CB18&lt;&gt;"OK","",IF(AND('M04-S03'!CB18="OK",'M04-S03'!BX18=""),"False",IF(AND('M04-S03'!CB18="OK",'M04-S03'!BX18&lt;&gt;""),"True",""))))</f>
        <v/>
      </c>
    </row>
    <row r="269" spans="1:2">
      <c r="A269" s="68">
        <v>2</v>
      </c>
      <c r="B269" s="5" t="str">
        <f>IF(ISERROR('M04-S03'!CB20),"",IF('M04-S03'!CB20&lt;&gt;"OK","",IF(AND('M04-S03'!CB20="OK",'M04-S03'!BX20=""),"False",IF(AND('M04-S03'!CB20="OK",'M04-S03'!BX20&lt;&gt;""),"True",""))))</f>
        <v/>
      </c>
    </row>
    <row r="270" spans="1:2">
      <c r="A270" s="68">
        <v>3</v>
      </c>
      <c r="B270" s="5" t="str">
        <f>IF(ISERROR('M04-S03'!CB22),"",IF('M04-S03'!CB22&lt;&gt;"OK","",IF(AND('M04-S03'!CB22="OK",'M04-S03'!BX22=""),"False",IF(AND('M04-S03'!CB22="OK",'M04-S03'!BX22&lt;&gt;""),"True",""))))</f>
        <v/>
      </c>
    </row>
    <row r="271" spans="1:2">
      <c r="A271" s="68">
        <v>4</v>
      </c>
      <c r="B271" s="5" t="str">
        <f>IF(ISERROR('M04-S03'!CB24),"",IF('M04-S03'!CB24&lt;&gt;"OK","",IF(AND('M04-S03'!CB24="OK",'M04-S03'!BX24=""),"False",IF(AND('M04-S03'!CB24="OK",'M04-S03'!BX24&lt;&gt;""),"True",""))))</f>
        <v/>
      </c>
    </row>
    <row r="272" spans="1:2">
      <c r="A272" s="68">
        <v>5</v>
      </c>
      <c r="B272" s="5" t="str">
        <f>IF(ISERROR('M04-S03'!CB26),"",IF('M04-S03'!CB26&lt;&gt;"OK","",IF(AND('M04-S03'!CB26="OK",'M04-S03'!BX26=""),"False",IF(AND('M04-S03'!CB26="OK",'M04-S03'!BX26&lt;&gt;""),"True",""))))</f>
        <v/>
      </c>
    </row>
    <row r="273" spans="1:2">
      <c r="A273" s="68">
        <v>6</v>
      </c>
      <c r="B273" s="5" t="str">
        <f>IF(ISERROR('M04-S03'!CB28),"",IF('M04-S03'!CB28&lt;&gt;"OK","",IF(AND('M04-S03'!CB28="OK",'M04-S03'!BX28=""),"False",IF(AND('M04-S03'!CB28="OK",'M04-S03'!BX28&lt;&gt;""),"True",""))))</f>
        <v/>
      </c>
    </row>
    <row r="274" spans="1:2">
      <c r="A274" s="68">
        <v>7</v>
      </c>
      <c r="B274" s="5" t="str">
        <f>IF(ISERROR('M04-S03'!CB30),"",IF('M04-S03'!CB30&lt;&gt;"OK","",IF(AND('M04-S03'!CB30="OK",'M04-S03'!BX30=""),"False",IF(AND('M04-S03'!CB30="OK",'M04-S03'!BX30&lt;&gt;""),"True",""))))</f>
        <v/>
      </c>
    </row>
    <row r="275" spans="1:2">
      <c r="A275" s="68">
        <v>8</v>
      </c>
      <c r="B275" s="5" t="str">
        <f>IF(ISERROR('M04-S03'!CB32),"",IF('M04-S03'!CB32&lt;&gt;"OK","",IF(AND('M04-S03'!CB32="OK",'M04-S03'!BX32=""),"False",IF(AND('M04-S03'!CB32="OK",'M04-S03'!BX32&lt;&gt;""),"True",""))))</f>
        <v/>
      </c>
    </row>
    <row r="276" spans="1:2">
      <c r="A276" s="68">
        <v>9</v>
      </c>
      <c r="B276" s="5" t="str">
        <f>IF(ISERROR('M04-S03'!CB34),"",IF('M04-S03'!CB34&lt;&gt;"OK","",IF(AND('M04-S03'!CB34="OK",'M04-S03'!BX34=""),"False",IF(AND('M04-S03'!CB34="OK",'M04-S03'!BX34&lt;&gt;""),"True",""))))</f>
        <v/>
      </c>
    </row>
    <row r="277" spans="1:2">
      <c r="A277" s="68">
        <v>10</v>
      </c>
      <c r="B277" s="5" t="str">
        <f>IF(ISERROR('M04-S03'!CB36),"",IF('M04-S03'!CB36&lt;&gt;"OK","",IF(AND('M04-S03'!CB36="OK",'M04-S03'!BX36=""),"False",IF(AND('M04-S03'!CB36="OK",'M04-S03'!BX36&lt;&gt;""),"True",""))))</f>
        <v/>
      </c>
    </row>
    <row r="278" spans="1:2">
      <c r="A278" s="68" t="s">
        <v>269</v>
      </c>
      <c r="B278" s="68"/>
    </row>
    <row r="279" spans="1:2">
      <c r="A279" s="68">
        <v>1</v>
      </c>
      <c r="B279" s="5" t="str">
        <f>IF(ISERROR('M04-S04'!CB18),"",IF('M04-S04'!CB18&lt;&gt;"OK","",IF(AND('M04-S04'!CB18="OK",'M04-S04'!BX18=""),"False",IF(AND('M04-S04'!CB18="OK",'M04-S04'!BX18&lt;&gt;""),"True",""))))</f>
        <v/>
      </c>
    </row>
    <row r="280" spans="1:2">
      <c r="A280" s="68">
        <v>2</v>
      </c>
      <c r="B280" s="5" t="str">
        <f>IF(ISERROR('M04-S04'!CB20),"",IF('M04-S04'!CB20&lt;&gt;"OK","",IF(AND('M04-S04'!CB20="OK",'M04-S04'!BX20=""),"False",IF(AND('M04-S04'!CB20="OK",'M04-S04'!BX20&lt;&gt;""),"True",""))))</f>
        <v/>
      </c>
    </row>
    <row r="281" spans="1:2">
      <c r="A281" s="68">
        <v>3</v>
      </c>
      <c r="B281" s="5" t="str">
        <f>IF(ISERROR('M04-S04'!CB22),"",IF('M04-S04'!CB22&lt;&gt;"OK","",IF(AND('M04-S04'!CB22="OK",'M04-S04'!BX22=""),"False",IF(AND('M04-S04'!CB22="OK",'M04-S04'!BX22&lt;&gt;""),"True",""))))</f>
        <v/>
      </c>
    </row>
    <row r="282" spans="1:2">
      <c r="A282" s="68">
        <v>4</v>
      </c>
      <c r="B282" s="5" t="str">
        <f>IF(ISERROR('M04-S04'!CB24),"",IF('M04-S04'!CB24&lt;&gt;"OK","",IF(AND('M04-S04'!CB24="OK",'M04-S04'!BX24=""),"False",IF(AND('M04-S04'!CB24="OK",'M04-S04'!BX24&lt;&gt;""),"True",""))))</f>
        <v/>
      </c>
    </row>
    <row r="283" spans="1:2">
      <c r="A283" s="68">
        <v>5</v>
      </c>
      <c r="B283" s="5" t="str">
        <f>IF(ISERROR('M04-S04'!CB26),"",IF('M04-S04'!CB26&lt;&gt;"OK","",IF(AND('M04-S04'!CB26="OK",'M04-S04'!BX26=""),"False",IF(AND('M04-S04'!CB26="OK",'M04-S04'!BX26&lt;&gt;""),"True",""))))</f>
        <v/>
      </c>
    </row>
    <row r="284" spans="1:2">
      <c r="A284" s="68">
        <v>6</v>
      </c>
      <c r="B284" s="5" t="str">
        <f>IF(ISERROR('M04-S04'!CB28),"",IF('M04-S04'!CB28&lt;&gt;"OK","",IF(AND('M04-S04'!CB28="OK",'M04-S04'!BX28=""),"False",IF(AND('M04-S04'!CB28="OK",'M04-S04'!BX28&lt;&gt;""),"True",""))))</f>
        <v/>
      </c>
    </row>
    <row r="285" spans="1:2">
      <c r="A285" s="68">
        <v>7</v>
      </c>
      <c r="B285" s="5" t="str">
        <f>IF(ISERROR('M04-S04'!CB30),"",IF('M04-S04'!CB30&lt;&gt;"OK","",IF(AND('M04-S04'!CB30="OK",'M04-S04'!BX30=""),"False",IF(AND('M04-S04'!CB30="OK",'M04-S04'!BX30&lt;&gt;""),"True",""))))</f>
        <v/>
      </c>
    </row>
    <row r="286" spans="1:2">
      <c r="A286" s="68">
        <v>8</v>
      </c>
      <c r="B286" s="5" t="str">
        <f>IF(ISERROR('M04-S04'!CB32),"",IF('M04-S04'!CB32&lt;&gt;"OK","",IF(AND('M04-S04'!CB32="OK",'M04-S04'!BX32=""),"False",IF(AND('M04-S04'!CB32="OK",'M04-S04'!BX32&lt;&gt;""),"True",""))))</f>
        <v/>
      </c>
    </row>
    <row r="287" spans="1:2">
      <c r="A287" s="68">
        <v>9</v>
      </c>
      <c r="B287" s="5" t="str">
        <f>IF(ISERROR('M04-S04'!CB34),"",IF('M04-S04'!CB34&lt;&gt;"OK","",IF(AND('M04-S04'!CB34="OK",'M04-S04'!BX34=""),"False",IF(AND('M04-S04'!CB34="OK",'M04-S04'!BX34&lt;&gt;""),"True",""))))</f>
        <v/>
      </c>
    </row>
    <row r="288" spans="1:2">
      <c r="A288" s="68">
        <v>10</v>
      </c>
      <c r="B288" s="5" t="str">
        <f>IF(ISERROR('M04-S04'!CB36),"",IF('M04-S04'!CB36&lt;&gt;"OK","",IF(AND('M04-S04'!CB36="OK",'M04-S04'!BX36=""),"False",IF(AND('M04-S04'!CB36="OK",'M04-S04'!BX36&lt;&gt;""),"True",""))))</f>
        <v/>
      </c>
    </row>
    <row r="289" spans="1:2">
      <c r="A289" s="68" t="s">
        <v>700</v>
      </c>
      <c r="B289" s="68"/>
    </row>
    <row r="290" spans="1:2">
      <c r="A290" s="68">
        <v>1</v>
      </c>
      <c r="B290" s="5" t="str">
        <f>IF(ISERROR('M04-S05'!CB18),"",IF('M04-S05'!CB18&lt;&gt;"OK","",IF(AND('M04-S05'!CB18="OK",'M04-S05'!BX18=""),"False",IF(AND('M04-S05'!CB18="OK",'M04-S05'!BX18&lt;&gt;""),"True",""))))</f>
        <v/>
      </c>
    </row>
    <row r="291" spans="1:2">
      <c r="A291" s="68">
        <v>2</v>
      </c>
      <c r="B291" s="5" t="str">
        <f>IF(ISERROR('M04-S05'!CB20),"",IF('M04-S05'!CB20&lt;&gt;"OK","",IF(AND('M04-S05'!CB20="OK",'M04-S05'!BX20=""),"False",IF(AND('M04-S05'!CB20="OK",'M04-S05'!BX20&lt;&gt;""),"True",""))))</f>
        <v/>
      </c>
    </row>
    <row r="292" spans="1:2">
      <c r="A292" s="68">
        <v>3</v>
      </c>
      <c r="B292" s="5" t="str">
        <f>IF(ISERROR('M04-S05'!CB22),"",IF('M04-S05'!CB22&lt;&gt;"OK","",IF(AND('M04-S05'!CB22="OK",'M04-S05'!BX22=""),"False",IF(AND('M04-S05'!CB22="OK",'M04-S05'!BX22&lt;&gt;""),"True",""))))</f>
        <v/>
      </c>
    </row>
    <row r="293" spans="1:2">
      <c r="A293" s="68">
        <v>4</v>
      </c>
      <c r="B293" s="5" t="str">
        <f>IF(ISERROR('M04-S05'!CB24),"",IF('M04-S05'!CB24&lt;&gt;"OK","",IF(AND('M04-S05'!CB24="OK",'M04-S05'!BX24=""),"False",IF(AND('M04-S05'!CB24="OK",'M04-S05'!BX24&lt;&gt;""),"True",""))))</f>
        <v/>
      </c>
    </row>
    <row r="294" spans="1:2">
      <c r="A294" s="68">
        <v>5</v>
      </c>
      <c r="B294" s="5" t="str">
        <f>IF(ISERROR('M04-S05'!CB26),"",IF('M04-S05'!CB26&lt;&gt;"OK","",IF(AND('M04-S05'!CB26="OK",'M04-S05'!BX26=""),"False",IF(AND('M04-S05'!CB26="OK",'M04-S05'!BX26&lt;&gt;""),"True",""))))</f>
        <v/>
      </c>
    </row>
    <row r="295" spans="1:2">
      <c r="A295" s="68">
        <v>6</v>
      </c>
      <c r="B295" s="5" t="str">
        <f>IF(ISERROR('M04-S05'!CB28),"",IF('M04-S05'!CB28&lt;&gt;"OK","",IF(AND('M04-S05'!CB28="OK",'M04-S05'!BX28=""),"False",IF(AND('M04-S05'!CB28="OK",'M04-S05'!BX28&lt;&gt;""),"True",""))))</f>
        <v/>
      </c>
    </row>
    <row r="296" spans="1:2">
      <c r="A296" s="68">
        <v>7</v>
      </c>
      <c r="B296" s="5" t="str">
        <f>IF(ISERROR('M04-S05'!CB30),"",IF('M04-S05'!CB30&lt;&gt;"OK","",IF(AND('M04-S05'!CB30="OK",'M04-S05'!BX30=""),"False",IF(AND('M04-S05'!CB30="OK",'M04-S05'!BX30&lt;&gt;""),"True",""))))</f>
        <v/>
      </c>
    </row>
    <row r="297" spans="1:2">
      <c r="A297" s="68">
        <v>8</v>
      </c>
      <c r="B297" s="5" t="str">
        <f>IF(ISERROR('M04-S05'!CB32),"",IF('M04-S05'!CB32&lt;&gt;"OK","",IF(AND('M04-S05'!CB32="OK",'M04-S05'!BX32=""),"False",IF(AND('M04-S05'!CB32="OK",'M04-S05'!BX32&lt;&gt;""),"True",""))))</f>
        <v/>
      </c>
    </row>
    <row r="298" spans="1:2">
      <c r="A298" s="68">
        <v>9</v>
      </c>
      <c r="B298" s="5" t="str">
        <f>IF(ISERROR('M04-S05'!CB34),"",IF('M04-S05'!CB34&lt;&gt;"OK","",IF(AND('M04-S05'!CB34="OK",'M04-S05'!BX34=""),"False",IF(AND('M04-S05'!CB34="OK",'M04-S05'!BX34&lt;&gt;""),"True",""))))</f>
        <v/>
      </c>
    </row>
    <row r="299" spans="1:2">
      <c r="A299" s="68">
        <v>10</v>
      </c>
      <c r="B299" s="5" t="str">
        <f>IF(ISERROR('M04-S05'!CB36),"",IF('M04-S05'!CB36&lt;&gt;"OK","",IF(AND('M04-S05'!CB36="OK",'M04-S05'!BX36=""),"False",IF(AND('M04-S05'!CB36="OK",'M04-S05'!BX36&lt;&gt;""),"True",""))))</f>
        <v/>
      </c>
    </row>
    <row r="300" spans="1:2">
      <c r="A300" s="68" t="s">
        <v>701</v>
      </c>
      <c r="B300" s="68"/>
    </row>
    <row r="301" spans="1:2">
      <c r="A301" s="68">
        <v>1</v>
      </c>
      <c r="B301" s="5" t="str">
        <f>IF(ISERROR('M04-S06'!CB18),"",IF('M04-S06'!CB18&lt;&gt;"OK","",IF(AND('M04-S06'!CB18="OK",'M04-S06'!BX18=""),"False",IF(AND('M04-S06'!CB18="OK",'M04-S06'!BX18&lt;&gt;""),"True",""))))</f>
        <v/>
      </c>
    </row>
    <row r="302" spans="1:2">
      <c r="A302" s="68">
        <v>2</v>
      </c>
      <c r="B302" s="5" t="str">
        <f>IF(ISERROR('M04-S06'!CB20),"",IF('M04-S06'!CB20&lt;&gt;"OK","",IF(AND('M04-S06'!CB20="OK",'M04-S06'!BX20=""),"False",IF(AND('M04-S06'!CB20="OK",'M04-S06'!BX20&lt;&gt;""),"True",""))))</f>
        <v/>
      </c>
    </row>
    <row r="303" spans="1:2">
      <c r="A303" s="68">
        <v>3</v>
      </c>
      <c r="B303" s="5" t="str">
        <f>IF(ISERROR('M04-S06'!CB22),"",IF('M04-S06'!CB22&lt;&gt;"OK","",IF(AND('M04-S06'!CB22="OK",'M04-S06'!BX22=""),"False",IF(AND('M04-S06'!CB22="OK",'M04-S06'!BX22&lt;&gt;""),"True",""))))</f>
        <v/>
      </c>
    </row>
    <row r="304" spans="1:2">
      <c r="A304" s="68">
        <v>4</v>
      </c>
      <c r="B304" s="5" t="str">
        <f>IF(ISERROR('M04-S06'!CB24),"",IF('M04-S06'!CB24&lt;&gt;"OK","",IF(AND('M04-S06'!CB24="OK",'M04-S06'!BX24=""),"False",IF(AND('M04-S06'!CB24="OK",'M04-S06'!BX24&lt;&gt;""),"True",""))))</f>
        <v/>
      </c>
    </row>
    <row r="305" spans="1:2">
      <c r="A305" s="68">
        <v>5</v>
      </c>
      <c r="B305" s="5" t="str">
        <f>IF(ISERROR('M04-S06'!CB26),"",IF('M04-S06'!CB26&lt;&gt;"OK","",IF(AND('M04-S06'!CB26="OK",'M04-S06'!BX26=""),"False",IF(AND('M04-S06'!CB26="OK",'M04-S06'!BX26&lt;&gt;""),"True",""))))</f>
        <v/>
      </c>
    </row>
    <row r="306" spans="1:2">
      <c r="A306" s="68">
        <v>6</v>
      </c>
      <c r="B306" s="5" t="str">
        <f>IF(ISERROR('M04-S06'!CB28),"",IF('M04-S06'!CB28&lt;&gt;"OK","",IF(AND('M04-S06'!CB28="OK",'M04-S06'!BX28=""),"False",IF(AND('M04-S06'!CB28="OK",'M04-S06'!BX28&lt;&gt;""),"True",""))))</f>
        <v/>
      </c>
    </row>
    <row r="307" spans="1:2">
      <c r="A307" s="68">
        <v>7</v>
      </c>
      <c r="B307" s="5" t="str">
        <f>IF(ISERROR('M04-S06'!CB30),"",IF('M04-S06'!CB30&lt;&gt;"OK","",IF(AND('M04-S06'!CB30="OK",'M04-S06'!BX30=""),"False",IF(AND('M04-S06'!CB30="OK",'M04-S06'!BX30&lt;&gt;""),"True",""))))</f>
        <v/>
      </c>
    </row>
    <row r="308" spans="1:2">
      <c r="A308" s="68">
        <v>8</v>
      </c>
      <c r="B308" s="5" t="str">
        <f>IF(ISERROR('M04-S06'!CB32),"",IF('M04-S06'!CB32&lt;&gt;"OK","",IF(AND('M04-S06'!CB32="OK",'M04-S06'!BX32=""),"False",IF(AND('M04-S06'!CB32="OK",'M04-S06'!BX32&lt;&gt;""),"True",""))))</f>
        <v/>
      </c>
    </row>
    <row r="309" spans="1:2">
      <c r="A309" s="68">
        <v>9</v>
      </c>
      <c r="B309" s="5" t="str">
        <f>IF(ISERROR('M04-S06'!CB34),"",IF('M04-S06'!CB34&lt;&gt;"OK","",IF(AND('M04-S06'!CB34="OK",'M04-S06'!BX34=""),"False",IF(AND('M04-S06'!CB34="OK",'M04-S06'!BX34&lt;&gt;""),"True",""))))</f>
        <v/>
      </c>
    </row>
    <row r="310" spans="1:2">
      <c r="A310" s="68">
        <v>10</v>
      </c>
      <c r="B310" s="5" t="str">
        <f>IF(ISERROR('M04-S06'!CB36),"",IF('M04-S06'!CB36&lt;&gt;"OK","",IF(AND('M04-S06'!CB36="OK",'M04-S06'!BX36=""),"False",IF(AND('M04-S06'!CB36="OK",'M04-S06'!BX36&lt;&gt;""),"True",""))))</f>
        <v/>
      </c>
    </row>
    <row r="311" spans="1:2">
      <c r="A311" s="68" t="s">
        <v>702</v>
      </c>
      <c r="B311" s="68"/>
    </row>
    <row r="312" spans="1:2">
      <c r="A312" s="68">
        <v>1</v>
      </c>
      <c r="B312" s="5" t="str">
        <f>IF(ISERROR('M04-S07'!CB18),"",IF('M04-S07'!CB18&lt;&gt;"OK","",IF(AND('M04-S07'!CB18="OK",'M04-S07'!BX18=""),"False",IF(AND('M04-S07'!CB18="OK",'M04-S07'!BX18&lt;&gt;""),"True",""))))</f>
        <v/>
      </c>
    </row>
    <row r="313" spans="1:2">
      <c r="A313" s="68">
        <v>2</v>
      </c>
      <c r="B313" s="5" t="str">
        <f>IF(ISERROR('M04-S07'!CB20),"",IF('M04-S07'!CB20&lt;&gt;"OK","",IF(AND('M04-S07'!CB20="OK",'M04-S07'!BX20=""),"False",IF(AND('M04-S07'!CB20="OK",'M04-S07'!BX20&lt;&gt;""),"True",""))))</f>
        <v/>
      </c>
    </row>
    <row r="314" spans="1:2">
      <c r="A314" s="68">
        <v>3</v>
      </c>
      <c r="B314" s="5" t="str">
        <f>IF(ISERROR('M04-S07'!CB22),"",IF('M04-S07'!CB22&lt;&gt;"OK","",IF(AND('M04-S07'!CB22="OK",'M04-S07'!BX22=""),"False",IF(AND('M04-S07'!CB22="OK",'M04-S07'!BX22&lt;&gt;""),"True",""))))</f>
        <v/>
      </c>
    </row>
    <row r="315" spans="1:2">
      <c r="A315" s="68">
        <v>4</v>
      </c>
      <c r="B315" s="5" t="str">
        <f>IF(ISERROR('M04-S07'!CB24),"",IF('M04-S07'!CB24&lt;&gt;"OK","",IF(AND('M04-S07'!CB24="OK",'M04-S07'!BX24=""),"False",IF(AND('M04-S07'!CB24="OK",'M04-S07'!BX24&lt;&gt;""),"True",""))))</f>
        <v/>
      </c>
    </row>
    <row r="316" spans="1:2">
      <c r="A316" s="68">
        <v>5</v>
      </c>
      <c r="B316" s="5" t="str">
        <f>IF(ISERROR('M04-S07'!CB26),"",IF('M04-S07'!CB26&lt;&gt;"OK","",IF(AND('M04-S07'!CB26="OK",'M04-S07'!BX26=""),"False",IF(AND('M04-S07'!CB26="OK",'M04-S07'!BX26&lt;&gt;""),"True",""))))</f>
        <v/>
      </c>
    </row>
    <row r="317" spans="1:2">
      <c r="A317" s="68">
        <v>6</v>
      </c>
      <c r="B317" s="5" t="str">
        <f>IF(ISERROR('M04-S07'!CB28),"",IF('M04-S07'!CB28&lt;&gt;"OK","",IF(AND('M04-S07'!CB28="OK",'M04-S07'!BX28=""),"False",IF(AND('M04-S07'!CB28="OK",'M04-S07'!BX28&lt;&gt;""),"True",""))))</f>
        <v/>
      </c>
    </row>
    <row r="318" spans="1:2">
      <c r="A318" s="68">
        <v>7</v>
      </c>
      <c r="B318" s="5" t="str">
        <f>IF(ISERROR('M04-S07'!CB30),"",IF('M04-S07'!CB30&lt;&gt;"OK","",IF(AND('M04-S07'!CB30="OK",'M04-S07'!BX30=""),"False",IF(AND('M04-S07'!CB30="OK",'M04-S07'!BX30&lt;&gt;""),"True",""))))</f>
        <v/>
      </c>
    </row>
    <row r="319" spans="1:2">
      <c r="A319" s="68">
        <v>8</v>
      </c>
      <c r="B319" s="5" t="str">
        <f>IF(ISERROR('M04-S07'!CB32),"",IF('M04-S07'!CB32&lt;&gt;"OK","",IF(AND('M04-S07'!CB32="OK",'M04-S07'!BX32=""),"False",IF(AND('M04-S07'!CB32="OK",'M04-S07'!BX32&lt;&gt;""),"True",""))))</f>
        <v/>
      </c>
    </row>
    <row r="320" spans="1:2">
      <c r="A320" s="68">
        <v>9</v>
      </c>
      <c r="B320" s="5" t="str">
        <f>IF(ISERROR('M04-S07'!CB34),"",IF('M04-S07'!CB34&lt;&gt;"OK","",IF(AND('M04-S07'!CB34="OK",'M04-S07'!BX34=""),"False",IF(AND('M04-S07'!CB34="OK",'M04-S07'!BX34&lt;&gt;""),"True",""))))</f>
        <v/>
      </c>
    </row>
    <row r="321" spans="1:2">
      <c r="A321" s="68">
        <v>10</v>
      </c>
      <c r="B321" s="5" t="str">
        <f>IF(ISERROR('M04-S07'!CB36),"",IF('M04-S07'!CB36&lt;&gt;"OK","",IF(AND('M04-S07'!CB36="OK",'M04-S07'!BX36=""),"False",IF(AND('M04-S07'!CB36="OK",'M04-S07'!BX36&lt;&gt;""),"True",""))))</f>
        <v/>
      </c>
    </row>
    <row r="322" spans="1:2">
      <c r="A322" s="68" t="s">
        <v>703</v>
      </c>
      <c r="B322" s="68"/>
    </row>
    <row r="323" spans="1:2">
      <c r="A323" s="68">
        <v>1</v>
      </c>
      <c r="B323" s="5" t="str">
        <f>IF(ISERROR('M04-S08'!CB18),"",IF('M04-S08'!CB18&lt;&gt;"OK","",IF(AND('M04-S08'!CB18="OK",'M04-S08'!BX18=""),"False",IF(AND('M04-S08'!CB18="OK",'M04-S08'!BX18&lt;&gt;""),"True",""))))</f>
        <v/>
      </c>
    </row>
    <row r="324" spans="1:2">
      <c r="A324" s="68">
        <v>2</v>
      </c>
      <c r="B324" s="5" t="str">
        <f>IF(ISERROR('M04-S08'!CB20),"",IF('M04-S08'!CB20&lt;&gt;"OK","",IF(AND('M04-S08'!CB20="OK",'M04-S08'!BX20=""),"False",IF(AND('M04-S08'!CB20="OK",'M04-S08'!BX20&lt;&gt;""),"True",""))))</f>
        <v/>
      </c>
    </row>
    <row r="325" spans="1:2">
      <c r="A325" s="68">
        <v>3</v>
      </c>
      <c r="B325" s="5" t="str">
        <f>IF(ISERROR('M04-S08'!CB22),"",IF('M04-S08'!CB22&lt;&gt;"OK","",IF(AND('M04-S08'!CB22="OK",'M04-S08'!BX22=""),"False",IF(AND('M04-S08'!CB22="OK",'M04-S08'!BX22&lt;&gt;""),"True",""))))</f>
        <v/>
      </c>
    </row>
    <row r="326" spans="1:2">
      <c r="A326" s="68">
        <v>4</v>
      </c>
      <c r="B326" s="5" t="str">
        <f>IF(ISERROR('M04-S08'!CB24),"",IF('M04-S08'!CB24&lt;&gt;"OK","",IF(AND('M04-S08'!CB24="OK",'M04-S08'!BX24=""),"False",IF(AND('M04-S08'!CB24="OK",'M04-S08'!BX24&lt;&gt;""),"True",""))))</f>
        <v/>
      </c>
    </row>
    <row r="327" spans="1:2">
      <c r="A327" s="68">
        <v>5</v>
      </c>
      <c r="B327" s="5" t="str">
        <f>IF(ISERROR('M04-S08'!CB26),"",IF('M04-S08'!CB26&lt;&gt;"OK","",IF(AND('M04-S08'!CB26="OK",'M04-S08'!BX26=""),"False",IF(AND('M04-S08'!CB26="OK",'M04-S08'!BX26&lt;&gt;""),"True",""))))</f>
        <v/>
      </c>
    </row>
    <row r="328" spans="1:2">
      <c r="A328" s="68">
        <v>6</v>
      </c>
      <c r="B328" s="5" t="str">
        <f>IF(ISERROR('M04-S08'!CB28),"",IF('M04-S08'!CB28&lt;&gt;"OK","",IF(AND('M04-S08'!CB28="OK",'M04-S08'!BX28=""),"False",IF(AND('M04-S08'!CB28="OK",'M04-S08'!BX28&lt;&gt;""),"True",""))))</f>
        <v/>
      </c>
    </row>
    <row r="329" spans="1:2">
      <c r="A329" s="68">
        <v>7</v>
      </c>
      <c r="B329" s="5" t="str">
        <f>IF(ISERROR('M04-S08'!CB30),"",IF('M04-S08'!CB30&lt;&gt;"OK","",IF(AND('M04-S08'!CB30="OK",'M04-S08'!BX30=""),"False",IF(AND('M04-S08'!CB30="OK",'M04-S08'!BX30&lt;&gt;""),"True",""))))</f>
        <v/>
      </c>
    </row>
    <row r="330" spans="1:2">
      <c r="A330" s="68">
        <v>8</v>
      </c>
      <c r="B330" s="5" t="str">
        <f>IF(ISERROR('M04-S08'!CB32),"",IF('M04-S08'!CB32&lt;&gt;"OK","",IF(AND('M04-S08'!CB32="OK",'M04-S08'!BX32=""),"False",IF(AND('M04-S08'!CB32="OK",'M04-S08'!BX32&lt;&gt;""),"True",""))))</f>
        <v/>
      </c>
    </row>
    <row r="331" spans="1:2">
      <c r="A331" s="68">
        <v>9</v>
      </c>
      <c r="B331" s="5" t="str">
        <f>IF(ISERROR('M04-S08'!CB34),"",IF('M04-S08'!CB34&lt;&gt;"OK","",IF(AND('M04-S08'!CB34="OK",'M04-S08'!BX34=""),"False",IF(AND('M04-S08'!CB34="OK",'M04-S08'!BX34&lt;&gt;""),"True",""))))</f>
        <v/>
      </c>
    </row>
    <row r="332" spans="1:2">
      <c r="A332" s="68">
        <v>10</v>
      </c>
      <c r="B332" s="5" t="str">
        <f>IF(ISERROR('M04-S08'!CB36),"",IF('M04-S08'!CB36&lt;&gt;"OK","",IF(AND('M04-S08'!CB36="OK",'M04-S08'!BX36=""),"False",IF(AND('M04-S08'!CB36="OK",'M04-S08'!BX36&lt;&gt;""),"True",""))))</f>
        <v/>
      </c>
    </row>
    <row r="333" spans="1:2">
      <c r="A333" s="68" t="s">
        <v>704</v>
      </c>
      <c r="B333" s="68"/>
    </row>
    <row r="334" spans="1:2">
      <c r="A334" s="68">
        <v>1</v>
      </c>
      <c r="B334" s="5" t="str">
        <f>IF(ISERROR('M04-S09'!CB18),"",IF('M04-S09'!CB18&lt;&gt;"OK","",IF(AND('M04-S09'!CB18="OK",'M04-S09'!BX18=""),"False",IF(AND('M04-S09'!CB18="OK",'M04-S09'!BX18&lt;&gt;""),"True",""))))</f>
        <v/>
      </c>
    </row>
    <row r="335" spans="1:2">
      <c r="A335" s="68">
        <v>2</v>
      </c>
      <c r="B335" s="5" t="str">
        <f>IF(ISERROR('M04-S09'!CB20),"",IF('M04-S09'!CB20&lt;&gt;"OK","",IF(AND('M04-S09'!CB20="OK",'M04-S09'!BX20=""),"False",IF(AND('M04-S09'!CB20="OK",'M04-S09'!BX20&lt;&gt;""),"True",""))))</f>
        <v/>
      </c>
    </row>
    <row r="336" spans="1:2">
      <c r="A336" s="68">
        <v>3</v>
      </c>
      <c r="B336" s="5" t="str">
        <f>IF(ISERROR('M04-S09'!CB22),"",IF('M04-S09'!CB22&lt;&gt;"OK","",IF(AND('M04-S09'!CB22="OK",'M04-S09'!BX22=""),"False",IF(AND('M04-S09'!CB22="OK",'M04-S09'!BX22&lt;&gt;""),"True",""))))</f>
        <v/>
      </c>
    </row>
    <row r="337" spans="1:2">
      <c r="A337" s="68">
        <v>4</v>
      </c>
      <c r="B337" s="5" t="str">
        <f>IF(ISERROR('M04-S09'!CB24),"",IF('M04-S09'!CB24&lt;&gt;"OK","",IF(AND('M04-S09'!CB24="OK",'M04-S09'!BX24=""),"False",IF(AND('M04-S09'!CB24="OK",'M04-S09'!BX24&lt;&gt;""),"True",""))))</f>
        <v/>
      </c>
    </row>
    <row r="338" spans="1:2">
      <c r="A338" s="68">
        <v>5</v>
      </c>
      <c r="B338" s="5" t="str">
        <f>IF(ISERROR('M04-S09'!CB26),"",IF('M04-S09'!CB26&lt;&gt;"OK","",IF(AND('M04-S09'!CB26="OK",'M04-S09'!BX26=""),"False",IF(AND('M04-S09'!CB26="OK",'M04-S09'!BX26&lt;&gt;""),"True",""))))</f>
        <v/>
      </c>
    </row>
    <row r="339" spans="1:2">
      <c r="A339" s="68">
        <v>6</v>
      </c>
      <c r="B339" s="5" t="str">
        <f>IF(ISERROR('M04-S09'!CB28),"",IF('M04-S09'!CB28&lt;&gt;"OK","",IF(AND('M04-S09'!CB28="OK",'M04-S09'!BX28=""),"False",IF(AND('M04-S09'!CB28="OK",'M04-S09'!BX28&lt;&gt;""),"True",""))))</f>
        <v/>
      </c>
    </row>
    <row r="340" spans="1:2">
      <c r="A340" s="68">
        <v>7</v>
      </c>
      <c r="B340" s="5" t="str">
        <f>IF(ISERROR('M04-S09'!CB30),"",IF('M04-S09'!CB30&lt;&gt;"OK","",IF(AND('M04-S09'!CB30="OK",'M04-S09'!BX30=""),"False",IF(AND('M04-S09'!CB30="OK",'M04-S09'!BX30&lt;&gt;""),"True",""))))</f>
        <v/>
      </c>
    </row>
    <row r="341" spans="1:2">
      <c r="A341" s="68">
        <v>8</v>
      </c>
      <c r="B341" s="5" t="str">
        <f>IF(ISERROR('M04-S09'!CB32),"",IF('M04-S09'!CB32&lt;&gt;"OK","",IF(AND('M04-S09'!CB32="OK",'M04-S09'!BX32=""),"False",IF(AND('M04-S09'!CB32="OK",'M04-S09'!BX32&lt;&gt;""),"True",""))))</f>
        <v/>
      </c>
    </row>
    <row r="342" spans="1:2">
      <c r="A342" s="68">
        <v>9</v>
      </c>
      <c r="B342" s="5" t="str">
        <f>IF(ISERROR('M04-S09'!CB34),"",IF('M04-S09'!CB34&lt;&gt;"OK","",IF(AND('M04-S09'!CB34="OK",'M04-S09'!BX34=""),"False",IF(AND('M04-S09'!CB34="OK",'M04-S09'!BX34&lt;&gt;""),"True",""))))</f>
        <v/>
      </c>
    </row>
    <row r="343" spans="1:2">
      <c r="A343" s="68">
        <v>10</v>
      </c>
      <c r="B343" s="5" t="str">
        <f>IF(ISERROR('M04-S09'!CB36),"",IF('M04-S09'!CB36&lt;&gt;"OK","",IF(AND('M04-S09'!CB36="OK",'M04-S09'!BX36=""),"False",IF(AND('M04-S09'!CB36="OK",'M04-S09'!BX36&lt;&gt;""),"True",""))))</f>
        <v/>
      </c>
    </row>
    <row r="344" spans="1:2">
      <c r="A344" s="68" t="s">
        <v>705</v>
      </c>
      <c r="B344" s="68"/>
    </row>
    <row r="345" spans="1:2">
      <c r="A345" s="68">
        <v>1</v>
      </c>
      <c r="B345" s="5" t="str">
        <f>IF(ISERROR('M04-S10'!CB18),"",IF('M04-S10'!CB18&lt;&gt;"OK","",IF(AND('M04-S10'!CB18="OK",'M04-S10'!BX18=""),"False",IF(AND('M04-S10'!CB18="OK",'M04-S10'!BX18&lt;&gt;""),"True",""))))</f>
        <v/>
      </c>
    </row>
    <row r="346" spans="1:2">
      <c r="A346" s="68">
        <v>2</v>
      </c>
      <c r="B346" s="5" t="str">
        <f>IF(ISERROR('M04-S10'!CB20),"",IF('M04-S10'!CB20&lt;&gt;"OK","",IF(AND('M04-S10'!CB20="OK",'M04-S10'!BX20=""),"False",IF(AND('M04-S10'!CB20="OK",'M04-S10'!BX20&lt;&gt;""),"True",""))))</f>
        <v/>
      </c>
    </row>
    <row r="347" spans="1:2">
      <c r="A347" s="68">
        <v>3</v>
      </c>
      <c r="B347" s="5" t="str">
        <f>IF(ISERROR('M04-S10'!CB22),"",IF('M04-S10'!CB22&lt;&gt;"OK","",IF(AND('M04-S10'!CB22="OK",'M04-S10'!BX22=""),"False",IF(AND('M04-S10'!CB22="OK",'M04-S10'!BX22&lt;&gt;""),"True",""))))</f>
        <v/>
      </c>
    </row>
    <row r="348" spans="1:2">
      <c r="A348" s="68">
        <v>4</v>
      </c>
      <c r="B348" s="5" t="str">
        <f>IF(ISERROR('M04-S10'!CB24),"",IF('M04-S10'!CB24&lt;&gt;"OK","",IF(AND('M04-S10'!CB24="OK",'M04-S10'!BX24=""),"False",IF(AND('M04-S10'!CB24="OK",'M04-S10'!BX24&lt;&gt;""),"True",""))))</f>
        <v/>
      </c>
    </row>
    <row r="349" spans="1:2">
      <c r="A349" s="68">
        <v>5</v>
      </c>
      <c r="B349" s="5" t="str">
        <f>IF(ISERROR('M04-S10'!CB26),"",IF('M04-S10'!CB26&lt;&gt;"OK","",IF(AND('M04-S10'!CB26="OK",'M04-S10'!BX26=""),"False",IF(AND('M04-S10'!CB26="OK",'M04-S10'!BX26&lt;&gt;""),"True",""))))</f>
        <v/>
      </c>
    </row>
    <row r="350" spans="1:2">
      <c r="A350" s="68">
        <v>6</v>
      </c>
      <c r="B350" s="5" t="str">
        <f>IF(ISERROR('M04-S10'!CB28),"",IF('M04-S10'!CB28&lt;&gt;"OK","",IF(AND('M04-S10'!CB28="OK",'M04-S10'!BX28=""),"False",IF(AND('M04-S10'!CB28="OK",'M04-S10'!BX28&lt;&gt;""),"True",""))))</f>
        <v/>
      </c>
    </row>
    <row r="351" spans="1:2">
      <c r="A351" s="68">
        <v>7</v>
      </c>
      <c r="B351" s="5" t="str">
        <f>IF(ISERROR('M04-S10'!CB30),"",IF('M04-S10'!CB30&lt;&gt;"OK","",IF(AND('M04-S10'!CB30="OK",'M04-S10'!BX30=""),"False",IF(AND('M04-S10'!CB30="OK",'M04-S10'!BX30&lt;&gt;""),"True",""))))</f>
        <v/>
      </c>
    </row>
    <row r="352" spans="1:2">
      <c r="A352" s="68">
        <v>8</v>
      </c>
      <c r="B352" s="5" t="str">
        <f>IF(ISERROR('M04-S10'!CB32),"",IF('M04-S10'!CB32&lt;&gt;"OK","",IF(AND('M04-S10'!CB32="OK",'M04-S10'!BX32=""),"False",IF(AND('M04-S10'!CB32="OK",'M04-S10'!BX32&lt;&gt;""),"True",""))))</f>
        <v/>
      </c>
    </row>
    <row r="353" spans="1:2">
      <c r="A353" s="68">
        <v>9</v>
      </c>
      <c r="B353" s="5" t="str">
        <f>IF(ISERROR('M04-S10'!CB34),"",IF('M04-S10'!CB34&lt;&gt;"OK","",IF(AND('M04-S10'!CB34="OK",'M04-S10'!BX34=""),"False",IF(AND('M04-S10'!CB34="OK",'M04-S10'!BX34&lt;&gt;""),"True",""))))</f>
        <v/>
      </c>
    </row>
    <row r="354" spans="1:2">
      <c r="A354" s="68">
        <v>10</v>
      </c>
      <c r="B354" s="5" t="str">
        <f>IF(ISERROR('M04-S10'!CB36),"",IF('M04-S10'!CB36&lt;&gt;"OK","",IF(AND('M04-S10'!CB36="OK",'M04-S10'!BX36=""),"False",IF(AND('M04-S10'!CB36="OK",'M04-S10'!BX36&lt;&gt;""),"True",""))))</f>
        <v/>
      </c>
    </row>
    <row r="355" spans="1:2">
      <c r="A355" s="68" t="s">
        <v>706</v>
      </c>
      <c r="B355" s="68"/>
    </row>
    <row r="356" spans="1:2">
      <c r="A356" s="68">
        <v>1</v>
      </c>
      <c r="B356" s="5" t="str">
        <f>IF(ISERROR('M04-S11'!CB18),"",IF('M04-S11'!CB18&lt;&gt;"OK","",IF(AND('M04-S11'!CB18="OK",'M04-S11'!BX18=""),"False",IF(AND('M04-S11'!CB18="OK",'M04-S11'!BX18&lt;&gt;""),"True",""))))</f>
        <v/>
      </c>
    </row>
    <row r="357" spans="1:2">
      <c r="A357" s="68">
        <v>2</v>
      </c>
      <c r="B357" s="5" t="str">
        <f>IF(ISERROR('M04-S11'!CB20),"",IF('M04-S11'!CB20&lt;&gt;"OK","",IF(AND('M04-S11'!CB20="OK",'M04-S11'!BX20=""),"False",IF(AND('M04-S11'!CB20="OK",'M04-S11'!BX20&lt;&gt;""),"True",""))))</f>
        <v/>
      </c>
    </row>
    <row r="358" spans="1:2">
      <c r="A358" s="68">
        <v>3</v>
      </c>
      <c r="B358" s="5" t="str">
        <f>IF(ISERROR('M04-S11'!CB22),"",IF('M04-S11'!CB22&lt;&gt;"OK","",IF(AND('M04-S11'!CB22="OK",'M04-S11'!BX22=""),"False",IF(AND('M04-S11'!CB22="OK",'M04-S11'!BX22&lt;&gt;""),"True",""))))</f>
        <v/>
      </c>
    </row>
    <row r="359" spans="1:2">
      <c r="A359" s="68">
        <v>4</v>
      </c>
      <c r="B359" s="5" t="str">
        <f>IF(ISERROR('M04-S11'!CB24),"",IF('M04-S11'!CB24&lt;&gt;"OK","",IF(AND('M04-S11'!CB24="OK",'M04-S11'!BX24=""),"False",IF(AND('M04-S11'!CB24="OK",'M04-S11'!BX24&lt;&gt;""),"True",""))))</f>
        <v/>
      </c>
    </row>
    <row r="360" spans="1:2">
      <c r="A360" s="68">
        <v>5</v>
      </c>
      <c r="B360" s="5" t="str">
        <f>IF(ISERROR('M04-S11'!CB26),"",IF('M04-S11'!CB26&lt;&gt;"OK","",IF(AND('M04-S11'!CB26="OK",'M04-S11'!BX26=""),"False",IF(AND('M04-S11'!CB26="OK",'M04-S11'!BX26&lt;&gt;""),"True",""))))</f>
        <v/>
      </c>
    </row>
    <row r="361" spans="1:2">
      <c r="A361" s="68">
        <v>6</v>
      </c>
      <c r="B361" s="5" t="str">
        <f>IF(ISERROR('M04-S11'!CB28),"",IF('M04-S11'!CB28&lt;&gt;"OK","",IF(AND('M04-S11'!CB28="OK",'M04-S11'!BX28=""),"False",IF(AND('M04-S11'!CB28="OK",'M04-S11'!BX28&lt;&gt;""),"True",""))))</f>
        <v/>
      </c>
    </row>
    <row r="362" spans="1:2">
      <c r="A362" s="68">
        <v>7</v>
      </c>
      <c r="B362" s="5" t="str">
        <f>IF(ISERROR('M04-S11'!CB30),"",IF('M04-S11'!CB30&lt;&gt;"OK","",IF(AND('M04-S11'!CB30="OK",'M04-S11'!BX30=""),"False",IF(AND('M04-S11'!CB30="OK",'M04-S11'!BX30&lt;&gt;""),"True",""))))</f>
        <v/>
      </c>
    </row>
    <row r="363" spans="1:2">
      <c r="A363" s="68">
        <v>8</v>
      </c>
      <c r="B363" s="5" t="str">
        <f>IF(ISERROR('M04-S11'!CB32),"",IF('M04-S11'!CB32&lt;&gt;"OK","",IF(AND('M04-S11'!CB32="OK",'M04-S11'!BX32=""),"False",IF(AND('M04-S11'!CB32="OK",'M04-S11'!BX32&lt;&gt;""),"True",""))))</f>
        <v/>
      </c>
    </row>
    <row r="364" spans="1:2">
      <c r="A364" s="68">
        <v>9</v>
      </c>
      <c r="B364" s="5" t="str">
        <f>IF(ISERROR('M04-S11'!CB34),"",IF('M04-S11'!CB34&lt;&gt;"OK","",IF(AND('M04-S11'!CB34="OK",'M04-S11'!BX34=""),"False",IF(AND('M04-S11'!CB34="OK",'M04-S11'!BX34&lt;&gt;""),"True",""))))</f>
        <v/>
      </c>
    </row>
    <row r="365" spans="1:2">
      <c r="A365" s="68">
        <v>10</v>
      </c>
      <c r="B365" s="5" t="str">
        <f>IF(ISERROR('M04-S11'!CB36),"",IF('M04-S11'!CB36&lt;&gt;"OK","",IF(AND('M04-S11'!CB36="OK",'M04-S11'!BX36=""),"False",IF(AND('M04-S11'!CB36="OK",'M04-S11'!BX36&lt;&gt;""),"True",""))))</f>
        <v/>
      </c>
    </row>
  </sheetData>
  <sheetProtection algorithmName="SHA-512" hashValue="19K8MI7Q/dTolmg9lYM36zDsQ4Ey3hRQMDbx4BdBOQaJKIIHLNRNr4LKJN74N0yrVstZq+sJyeXwuuTQFaWX3w==" saltValue="a6NZqL9Qg709dxPr4jH1eg==" spinCount="100000" sheet="1" objects="1" scenarios="1"/>
  <phoneticPr fontId="78" type="noConversion"/>
  <conditionalFormatting sqref="H9:V19">
    <cfRule type="containsBlanks" dxfId="442" priority="1">
      <formula>LEN(TRIM(H9))=0</formula>
    </cfRule>
  </conditionalFormatting>
  <conditionalFormatting sqref="S9">
    <cfRule type="containsBlanks" dxfId="441" priority="29">
      <formula>LEN(TRIM(S9))=0</formula>
    </cfRule>
  </conditionalFormatting>
  <hyperlinks>
    <hyperlink ref="G10" location="'M04-S02'!A1" display="'M04-S02'!A1" xr:uid="{00000000-0004-0000-0100-00000B000000}"/>
    <hyperlink ref="B193" location="'M05-S01b'!A1" display="'M05-S01b'!A1" xr:uid="{BFD977B2-72B4-4DED-B9C6-EBF838B3E319}"/>
    <hyperlink ref="G9" location="'M03-S01'!A1" display="'M03-S01'!A1" xr:uid="{6A2872EE-6A4A-4AD0-8316-C64936CCCAF2}"/>
    <hyperlink ref="G11:G17" location="'M04-S04'!A1" display="'M04-S04'!A1" xr:uid="{95902A81-2168-4646-9A5E-77C63107F317}"/>
    <hyperlink ref="G18" location="'M04-S10'!A1" display="'M04-S10'!A1" xr:uid="{FE09AA88-6BEA-4CC7-B675-5CAE528D2CD3}"/>
    <hyperlink ref="G19" location="'M04-S11'!A1" display="'M04-S11'!A1" xr:uid="{2BB9E0B3-B173-4650-8605-03E855260364}"/>
    <hyperlink ref="G11" location="'M04-S03'!A1" display="'M04-S03'!A1" xr:uid="{F575D966-A31E-4FC3-827A-298EA80BA09B}"/>
    <hyperlink ref="G12" location="'M04-S04'!A1" display="'M04-S04'!A1" xr:uid="{E26D8200-A30D-45AD-BFFE-093910CAB07D}"/>
    <hyperlink ref="G13" location="'M04-S05'!A1" display="'M04-S05'!A1" xr:uid="{BA2CE26A-0CC0-4A57-9385-5F54D5FBC1D9}"/>
    <hyperlink ref="G14" location="'M04-S06'!A1" display="'M04-S06'!A1" xr:uid="{861F1413-4FDE-4D4C-85A9-4D03F9A1D503}"/>
    <hyperlink ref="G15" location="'M04-S07'!A1" display="'M04-S07'!A1" xr:uid="{6E237B2B-218F-49D6-A2AA-9EE5A881361C}"/>
    <hyperlink ref="G16" location="'M04-S08'!A1" display="'M04-S08'!A1" xr:uid="{B1DB8FEC-A9D8-4664-98E5-E169547F45B5}"/>
    <hyperlink ref="G17" location="'M04-S09'!A1" display="'M04-S09'!A1" xr:uid="{B9DCCABE-382C-435F-A144-FBEFA9F3031D}"/>
  </hyperlinks>
  <pageMargins left="0.7" right="0.7" top="0.75" bottom="0.75" header="0.3" footer="0.3"/>
  <pageSetup orientation="portrait" r:id="rId1"/>
  <ignoredErrors>
    <ignoredError sqref="V19" unlocked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1D70-9EC0-47DD-B2AC-3D213943EAD5}">
  <sheetPr codeName="Sheet15">
    <pageSetUpPr fitToPage="1"/>
  </sheetPr>
  <dimension ref="A1:CB202"/>
  <sheetViews>
    <sheetView showGridLines="0" showRowColHeaders="0" topLeftCell="C1" zoomScale="90" zoomScaleNormal="90" workbookViewId="0">
      <selection activeCell="AW14" sqref="AW14:AX14"/>
    </sheetView>
  </sheetViews>
  <sheetFormatPr defaultColWidth="0" defaultRowHeight="16.350000000000001" customHeight="1" zeroHeight="1"/>
  <cols>
    <col min="1" max="59" width="4.5703125" style="521" customWidth="1"/>
    <col min="60" max="61" width="4.5703125" style="177" customWidth="1"/>
    <col min="62" max="78" width="4.5703125" style="177" hidden="1" customWidth="1"/>
    <col min="79" max="79" width="7" style="177" hidden="1" customWidth="1"/>
    <col min="80" max="16384" width="4.5703125" style="177" hidden="1"/>
  </cols>
  <sheetData>
    <row r="1" spans="1:80" ht="16.350000000000001" customHeight="1">
      <c r="A1" s="60"/>
      <c r="B1" s="239"/>
      <c r="C1" s="239"/>
      <c r="D1" s="239"/>
      <c r="E1" s="239"/>
      <c r="F1" s="750" t="str">
        <f>M1S1</f>
        <v>WELCOME</v>
      </c>
      <c r="G1" s="750"/>
      <c r="H1" s="750"/>
      <c r="I1" s="750"/>
      <c r="J1" s="727" t="str">
        <f>M1S2</f>
        <v>INSTRUCTIONS</v>
      </c>
      <c r="K1" s="727"/>
      <c r="L1" s="727"/>
      <c r="M1" s="727"/>
      <c r="N1" s="240"/>
      <c r="O1" s="240"/>
      <c r="P1" s="240"/>
      <c r="Q1" s="240"/>
      <c r="R1" s="240"/>
      <c r="S1" s="240"/>
      <c r="T1" s="241"/>
      <c r="U1" s="242" t="s">
        <v>118</v>
      </c>
      <c r="V1" s="242"/>
      <c r="W1" s="242"/>
      <c r="X1" s="242"/>
      <c r="Y1" s="240"/>
      <c r="Z1" s="240"/>
      <c r="AA1" s="240"/>
      <c r="AB1" s="240"/>
      <c r="AC1" s="240"/>
      <c r="AD1" s="240"/>
      <c r="AE1" s="240"/>
      <c r="AF1" s="240"/>
      <c r="AG1"/>
      <c r="AH1" s="177"/>
      <c r="AI1" s="177"/>
      <c r="AJ1" s="177"/>
      <c r="AK1" s="177"/>
      <c r="AL1" s="177"/>
      <c r="AM1" s="177"/>
      <c r="AN1" s="734" t="str">
        <f>IF(ACTIVEINSPECT="Yes","Complete "&amp;M5S4,"")</f>
        <v/>
      </c>
      <c r="AO1" s="734"/>
      <c r="AP1" s="734"/>
      <c r="AQ1" s="734"/>
      <c r="AR1" s="730" t="str">
        <f>IF(ACTIVEOFFER="Yes","Sign "&amp;M5S6,"")</f>
        <v>Sign OBR: Repayment Agreement</v>
      </c>
      <c r="AS1" s="730"/>
      <c r="AT1" s="730"/>
      <c r="AU1" s="730"/>
      <c r="AV1" s="730" t="str">
        <f>IF(ACTIVECOMPL="Yes","Sign "&amp;M5S5,"")</f>
        <v xml:space="preserve">Sign Project Completion Certification </v>
      </c>
      <c r="AW1" s="730"/>
      <c r="AX1" s="730"/>
      <c r="AY1" s="730"/>
      <c r="AZ1" s="754" t="str">
        <f>M1S4</f>
        <v>INCENTIVE RATES &amp; REQUIREMENTS</v>
      </c>
      <c r="BA1" s="754"/>
      <c r="BB1" s="754"/>
      <c r="BC1" s="754"/>
      <c r="BD1" s="754"/>
      <c r="BE1" s="754"/>
      <c r="BF1" s="722" t="s">
        <v>119</v>
      </c>
      <c r="BG1" s="723"/>
      <c r="BH1" s="723"/>
      <c r="BI1" s="723"/>
    </row>
    <row r="2" spans="1:80" ht="16.350000000000001" customHeight="1">
      <c r="A2" s="177"/>
      <c r="B2" s="239"/>
      <c r="C2" s="239"/>
      <c r="D2" s="239"/>
      <c r="E2" s="239"/>
      <c r="F2" s="750"/>
      <c r="G2" s="750"/>
      <c r="H2" s="750"/>
      <c r="I2" s="750"/>
      <c r="J2" s="728"/>
      <c r="K2" s="728"/>
      <c r="L2" s="728"/>
      <c r="M2" s="728"/>
      <c r="N2" s="240"/>
      <c r="O2" s="240"/>
      <c r="P2" s="240"/>
      <c r="Q2" s="240"/>
      <c r="R2" s="240"/>
      <c r="S2" s="240"/>
      <c r="T2" s="241"/>
      <c r="U2" s="242"/>
      <c r="V2" s="242"/>
      <c r="W2" s="242"/>
      <c r="X2" s="242"/>
      <c r="Y2" s="240"/>
      <c r="Z2" s="240"/>
      <c r="AA2" s="240"/>
      <c r="AB2" s="240"/>
      <c r="AC2" s="240"/>
      <c r="AD2" s="240"/>
      <c r="AE2" s="240"/>
      <c r="AF2" s="240"/>
      <c r="AG2"/>
      <c r="AH2" s="177"/>
      <c r="AI2" s="177"/>
      <c r="AJ2" s="177"/>
      <c r="AK2" s="177"/>
      <c r="AL2" s="177"/>
      <c r="AM2" s="177"/>
      <c r="AN2" s="734"/>
      <c r="AO2" s="734"/>
      <c r="AP2" s="734"/>
      <c r="AQ2" s="734"/>
      <c r="AR2" s="730"/>
      <c r="AS2" s="730"/>
      <c r="AT2" s="730"/>
      <c r="AU2" s="730"/>
      <c r="AV2" s="730"/>
      <c r="AW2" s="730"/>
      <c r="AX2" s="730"/>
      <c r="AY2" s="730"/>
      <c r="AZ2" s="754"/>
      <c r="BA2" s="754"/>
      <c r="BB2" s="754"/>
      <c r="BC2" s="754"/>
      <c r="BD2" s="754"/>
      <c r="BE2" s="754"/>
      <c r="BF2" s="723"/>
      <c r="BG2" s="723"/>
      <c r="BH2" s="723"/>
      <c r="BI2" s="723"/>
    </row>
    <row r="3" spans="1:80" ht="16.350000000000001" customHeight="1" thickBot="1">
      <c r="A3" s="626"/>
      <c r="B3" s="648"/>
      <c r="C3" s="648"/>
      <c r="D3" s="648"/>
      <c r="E3" s="648"/>
      <c r="F3" s="875"/>
      <c r="G3" s="875"/>
      <c r="H3" s="875"/>
      <c r="I3" s="875"/>
      <c r="J3" s="876"/>
      <c r="K3" s="876"/>
      <c r="L3" s="876"/>
      <c r="M3" s="876"/>
      <c r="N3" s="642"/>
      <c r="O3" s="642"/>
      <c r="P3" s="642"/>
      <c r="Q3" s="642"/>
      <c r="R3" s="642"/>
      <c r="S3" s="642"/>
      <c r="T3" s="642"/>
      <c r="U3" s="643"/>
      <c r="V3" s="643"/>
      <c r="W3" s="643"/>
      <c r="X3" s="643"/>
      <c r="Y3" s="626"/>
      <c r="Z3" s="626"/>
      <c r="AA3" s="626"/>
      <c r="AB3" s="626"/>
      <c r="AC3" s="626"/>
      <c r="AD3" s="626"/>
      <c r="AE3" s="626"/>
      <c r="AF3" s="626"/>
      <c r="AG3" s="614"/>
      <c r="AH3" s="626"/>
      <c r="AI3" s="626"/>
      <c r="AJ3" s="626"/>
      <c r="AK3" s="626"/>
      <c r="AL3" s="626"/>
      <c r="AM3" s="626"/>
      <c r="AN3" s="868"/>
      <c r="AO3" s="868"/>
      <c r="AP3" s="868"/>
      <c r="AQ3" s="868"/>
      <c r="AR3" s="869"/>
      <c r="AS3" s="869"/>
      <c r="AT3" s="869"/>
      <c r="AU3" s="869"/>
      <c r="AV3" s="869"/>
      <c r="AW3" s="869"/>
      <c r="AX3" s="869"/>
      <c r="AY3" s="869"/>
      <c r="AZ3" s="870"/>
      <c r="BA3" s="870"/>
      <c r="BB3" s="870"/>
      <c r="BC3" s="870"/>
      <c r="BD3" s="870"/>
      <c r="BE3" s="870"/>
      <c r="BF3" s="871"/>
      <c r="BG3" s="871"/>
      <c r="BH3" s="871"/>
      <c r="BI3" s="871"/>
    </row>
    <row r="4" spans="1:80" ht="16.350000000000001" customHeight="1">
      <c r="A4" s="632"/>
      <c r="B4" s="632"/>
      <c r="C4" s="632"/>
      <c r="D4" s="632"/>
      <c r="E4" s="632"/>
      <c r="F4" s="632"/>
      <c r="G4" s="632"/>
      <c r="H4" s="632"/>
      <c r="I4" s="632"/>
      <c r="J4" s="632"/>
      <c r="K4" s="632"/>
      <c r="L4" s="633"/>
      <c r="M4" s="498"/>
      <c r="N4" s="632"/>
      <c r="O4" s="632"/>
      <c r="P4" s="632"/>
      <c r="Q4" s="632"/>
      <c r="R4" s="632"/>
      <c r="S4" s="634" t="s">
        <v>707</v>
      </c>
      <c r="T4" s="635" t="str">
        <f>M05S07F07</f>
        <v>Custom</v>
      </c>
      <c r="U4" s="636"/>
      <c r="V4" s="636"/>
      <c r="W4" s="636"/>
      <c r="X4" s="632"/>
      <c r="Y4" s="632"/>
      <c r="Z4" s="632"/>
      <c r="AA4" s="634" t="s">
        <v>708</v>
      </c>
      <c r="AB4" s="874" t="str">
        <f>IF(M02S02F02="","[Project Name]",LEFT(M02S02F02,25))</f>
        <v>[Project Name]</v>
      </c>
      <c r="AC4" s="874"/>
      <c r="AD4" s="874"/>
      <c r="AE4" s="874"/>
      <c r="AF4" s="874"/>
      <c r="AG4" s="874"/>
      <c r="AH4" s="632"/>
      <c r="AI4" s="634" t="s">
        <v>709</v>
      </c>
      <c r="AJ4" s="637" t="str">
        <f>IF(M02S02F27="Yes",Status_Final,Status_Pre)</f>
        <v>Draft Pre-Application</v>
      </c>
      <c r="AK4" s="498"/>
      <c r="AL4" s="632"/>
      <c r="AM4" s="632"/>
      <c r="AN4" s="498"/>
      <c r="AO4" s="498"/>
      <c r="AP4" s="632"/>
      <c r="AQ4" s="632"/>
      <c r="AR4" s="632"/>
      <c r="AS4" s="634" t="s">
        <v>710</v>
      </c>
      <c r="AT4" s="872">
        <f>Incent_Total_Cap_All</f>
        <v>0</v>
      </c>
      <c r="AU4" s="872"/>
      <c r="AV4" s="872"/>
      <c r="AW4" s="872"/>
      <c r="AX4" s="873" t="s">
        <v>711</v>
      </c>
      <c r="AY4" s="873"/>
      <c r="AZ4" s="873"/>
      <c r="BA4" s="873"/>
      <c r="BB4" s="873"/>
      <c r="BC4" s="872" t="str">
        <f>OBR_Amount_Requested</f>
        <v/>
      </c>
      <c r="BD4" s="872"/>
      <c r="BE4" s="872"/>
      <c r="BF4" s="872"/>
      <c r="BG4" s="498"/>
      <c r="BH4" s="644"/>
      <c r="BI4" s="644"/>
    </row>
    <row r="5" spans="1:80" customFormat="1" ht="16.350000000000001" customHeight="1">
      <c r="A5" s="177"/>
      <c r="B5" s="622"/>
      <c r="C5" s="622"/>
      <c r="D5" s="622"/>
      <c r="E5" s="622"/>
      <c r="F5" s="622"/>
      <c r="G5" s="622"/>
      <c r="H5" s="622"/>
      <c r="I5" s="622"/>
      <c r="J5" s="622"/>
      <c r="K5" s="622"/>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623"/>
      <c r="BF5" s="177"/>
      <c r="BG5" s="866">
        <f ca="1">PROGRESSSTATUS</f>
        <v>0</v>
      </c>
      <c r="BH5" s="866"/>
      <c r="BI5" s="866"/>
    </row>
    <row r="6" spans="1:80" customFormat="1"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80" customFormat="1"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80"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row>
    <row r="9" spans="1:80" s="178" customFormat="1" ht="16.350000000000001" customHeight="1">
      <c r="A9" s="877" t="str">
        <f>M2S2</f>
        <v>Project Information</v>
      </c>
      <c r="B9" s="877"/>
      <c r="C9" s="877"/>
      <c r="D9" s="877"/>
      <c r="E9" s="877"/>
      <c r="F9" s="877"/>
      <c r="G9" s="877"/>
      <c r="H9" s="877"/>
      <c r="I9" s="877"/>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177"/>
      <c r="BH9" s="177"/>
      <c r="BI9" s="177"/>
    </row>
    <row r="10" spans="1:80" s="178" customFormat="1" ht="16.350000000000001" customHeight="1">
      <c r="A10" s="878"/>
      <c r="B10" s="878"/>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878"/>
      <c r="AS10" s="878"/>
      <c r="AT10" s="878"/>
      <c r="AU10" s="878"/>
      <c r="AV10" s="878"/>
      <c r="AW10" s="878"/>
      <c r="AX10" s="878"/>
      <c r="AY10" s="878"/>
      <c r="AZ10" s="878"/>
      <c r="BA10" s="878"/>
      <c r="BB10" s="878"/>
      <c r="BC10" s="878"/>
      <c r="BD10" s="878"/>
      <c r="BE10" s="878"/>
      <c r="BF10" s="878"/>
      <c r="BG10" s="177"/>
      <c r="BH10" s="177"/>
      <c r="BI10" s="177"/>
    </row>
    <row r="11" spans="1:80" ht="16.350000000000001" customHeight="1">
      <c r="A11" s="177"/>
      <c r="B11" s="177"/>
      <c r="C11" s="177"/>
      <c r="D11" s="177"/>
      <c r="E11" s="239"/>
      <c r="F11" s="239"/>
      <c r="G11" s="239"/>
      <c r="H11" s="864" t="str">
        <f>IF(M02S02F33="","",IF(AND(M02S02F33&lt;&gt;"Monmouth",M02S02F33&lt;&gt;"Ocean",M02S02F33&lt;&gt;"Burlington",M02S02F33&lt;&gt;"Camden",M02S02F33&lt;&gt;"Gloucester"),"Please note: You may not be eligible to participate through this application.",""))</f>
        <v/>
      </c>
      <c r="I11" s="864"/>
      <c r="J11" s="864"/>
      <c r="K11" s="864"/>
      <c r="L11" s="864"/>
      <c r="M11" s="864"/>
      <c r="N11" s="864"/>
      <c r="O11" s="864"/>
      <c r="P11" s="864"/>
      <c r="Q11" s="864"/>
      <c r="R11" s="864"/>
      <c r="S11" s="864"/>
      <c r="T11" s="864"/>
      <c r="U11" s="864"/>
      <c r="V11" s="864"/>
      <c r="W11" s="864"/>
      <c r="X11" s="864"/>
      <c r="Y11" s="864"/>
      <c r="Z11" s="864"/>
      <c r="AA11" s="864"/>
      <c r="AB11" s="864"/>
      <c r="AC11" s="864"/>
      <c r="AD11" s="864"/>
      <c r="AE11" s="864"/>
      <c r="AF11" s="864"/>
      <c r="AG11" s="864"/>
      <c r="AH11" s="864"/>
      <c r="AI11" s="864"/>
      <c r="AJ11" s="864"/>
      <c r="AK11" s="864"/>
      <c r="AL11" s="864"/>
      <c r="AM11" s="864"/>
      <c r="AN11" s="864"/>
      <c r="AO11" s="864"/>
      <c r="AP11" s="864"/>
      <c r="AQ11" s="864"/>
      <c r="AR11" s="864"/>
      <c r="AS11" s="864"/>
      <c r="AT11" s="864"/>
      <c r="AU11" s="864"/>
      <c r="AV11" s="864"/>
      <c r="AW11" s="864"/>
      <c r="AX11" s="864"/>
      <c r="AY11" s="864"/>
      <c r="AZ11" s="177"/>
      <c r="BA11" s="177"/>
      <c r="BB11" s="177"/>
      <c r="BC11" s="177"/>
      <c r="BD11" s="177"/>
      <c r="BE11" s="60"/>
      <c r="BF11" s="177"/>
      <c r="BG11" s="177"/>
    </row>
    <row r="12" spans="1:80" ht="16.350000000000001" customHeight="1">
      <c r="A12" s="177"/>
      <c r="B12" s="177"/>
      <c r="C12" s="60"/>
      <c r="D12" s="60"/>
      <c r="E12" s="239"/>
      <c r="F12" s="239"/>
      <c r="G12" s="239"/>
      <c r="H12" s="865"/>
      <c r="I12" s="865"/>
      <c r="J12" s="865"/>
      <c r="K12" s="865"/>
      <c r="L12" s="865"/>
      <c r="M12" s="865"/>
      <c r="N12" s="865"/>
      <c r="O12" s="865"/>
      <c r="P12" s="865"/>
      <c r="Q12" s="865"/>
      <c r="R12" s="865"/>
      <c r="S12" s="865"/>
      <c r="T12" s="865"/>
      <c r="U12" s="865"/>
      <c r="V12" s="865"/>
      <c r="W12" s="865"/>
      <c r="X12" s="865"/>
      <c r="Y12" s="865"/>
      <c r="Z12" s="865"/>
      <c r="AA12" s="865"/>
      <c r="AB12" s="865"/>
      <c r="AC12" s="865"/>
      <c r="AD12" s="865"/>
      <c r="AE12" s="865"/>
      <c r="AF12" s="865"/>
      <c r="AG12" s="865"/>
      <c r="AH12" s="865"/>
      <c r="AI12" s="865"/>
      <c r="AJ12" s="865"/>
      <c r="AK12" s="865"/>
      <c r="AL12" s="865"/>
      <c r="AM12" s="865"/>
      <c r="AN12" s="865"/>
      <c r="AO12" s="865"/>
      <c r="AP12" s="865"/>
      <c r="AQ12" s="865"/>
      <c r="AR12" s="865"/>
      <c r="AS12" s="865"/>
      <c r="AT12" s="865"/>
      <c r="AU12" s="865"/>
      <c r="AV12" s="865"/>
      <c r="AW12" s="865"/>
      <c r="AX12" s="865"/>
      <c r="AY12" s="865"/>
      <c r="AZ12" s="177"/>
      <c r="BA12" s="177"/>
      <c r="BB12" s="177"/>
      <c r="BC12" s="177"/>
      <c r="BD12" s="177"/>
      <c r="BE12" s="60"/>
      <c r="BF12" s="60"/>
      <c r="BG12" s="177"/>
    </row>
    <row r="13" spans="1:80" ht="18">
      <c r="A13" s="177"/>
      <c r="B13" s="177"/>
      <c r="C13" s="177"/>
      <c r="D13" s="177"/>
      <c r="E13" s="285"/>
      <c r="F13" s="286"/>
      <c r="G13" s="286"/>
      <c r="H13" s="287" t="s">
        <v>713</v>
      </c>
      <c r="I13" s="287"/>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6"/>
      <c r="AU13" s="285"/>
      <c r="AV13" s="285"/>
      <c r="AW13" s="285"/>
      <c r="AX13" s="285"/>
      <c r="AY13" s="239"/>
      <c r="AZ13" s="239"/>
      <c r="BA13" s="239"/>
      <c r="BB13" s="239"/>
      <c r="BC13" s="239"/>
      <c r="BD13" s="177"/>
      <c r="BE13" s="60"/>
      <c r="BF13" s="60"/>
      <c r="BG13" s="177"/>
    </row>
    <row r="14" spans="1:80" ht="15.75" customHeight="1" thickBot="1">
      <c r="A14" s="177"/>
      <c r="B14" s="177"/>
      <c r="C14" s="177"/>
      <c r="D14" s="177"/>
      <c r="E14" s="285"/>
      <c r="F14" s="239"/>
      <c r="G14" s="239"/>
      <c r="H14" s="177"/>
      <c r="I14" s="177"/>
      <c r="J14" s="177"/>
      <c r="K14" s="177"/>
      <c r="L14" s="177"/>
      <c r="M14" s="177"/>
      <c r="N14" s="285"/>
      <c r="O14" s="285"/>
      <c r="P14" s="285"/>
      <c r="Q14" s="285"/>
      <c r="R14" s="285"/>
      <c r="S14" s="285"/>
      <c r="T14" s="285"/>
      <c r="U14" s="285"/>
      <c r="V14" s="285"/>
      <c r="W14" s="285"/>
      <c r="X14" s="285"/>
      <c r="Y14" s="289" t="s">
        <v>714</v>
      </c>
      <c r="Z14" s="290"/>
      <c r="AA14" s="264"/>
      <c r="AB14" s="264"/>
      <c r="AC14" s="264"/>
      <c r="AD14" s="264"/>
      <c r="AE14" s="264"/>
      <c r="AF14" s="264"/>
      <c r="AG14" s="264"/>
      <c r="AH14" s="264"/>
      <c r="AI14" s="264"/>
      <c r="AJ14" s="264"/>
      <c r="AK14" s="265"/>
      <c r="AL14" s="264"/>
      <c r="AM14" s="289" t="s">
        <v>715</v>
      </c>
      <c r="AN14" s="289"/>
      <c r="AO14" s="264"/>
      <c r="AP14" s="264"/>
      <c r="AQ14" s="264"/>
      <c r="AR14" s="264"/>
      <c r="AS14" s="264"/>
      <c r="AT14" s="264"/>
      <c r="AU14" s="264"/>
      <c r="AV14" s="291" t="s">
        <v>716</v>
      </c>
      <c r="AW14" s="811"/>
      <c r="AX14" s="813"/>
      <c r="AY14" s="285"/>
      <c r="AZ14" s="285"/>
      <c r="BA14" s="285"/>
      <c r="BB14" s="239"/>
      <c r="BC14" s="285"/>
      <c r="BD14" s="285"/>
      <c r="BE14" s="239"/>
      <c r="BF14" s="239"/>
      <c r="BG14" s="239"/>
      <c r="BH14" s="239"/>
      <c r="BI14" s="239"/>
    </row>
    <row r="15" spans="1:80" ht="15.75" customHeight="1">
      <c r="A15" s="285"/>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64"/>
      <c r="Z15" s="290"/>
      <c r="AA15" s="264"/>
      <c r="AB15" s="264"/>
      <c r="AC15" s="264"/>
      <c r="AD15" s="264"/>
      <c r="AE15" s="264"/>
      <c r="AF15" s="264"/>
      <c r="AG15" s="264"/>
      <c r="AH15" s="264"/>
      <c r="AI15" s="264"/>
      <c r="AJ15" s="264"/>
      <c r="AK15" s="265"/>
      <c r="AL15" s="264"/>
      <c r="AM15" s="264"/>
      <c r="AN15" s="264"/>
      <c r="AO15" s="264"/>
      <c r="AP15" s="264"/>
      <c r="AQ15" s="264"/>
      <c r="AR15" s="264"/>
      <c r="AS15" s="264"/>
      <c r="AT15" s="264"/>
      <c r="AU15" s="264"/>
      <c r="AV15" s="264"/>
      <c r="AW15" s="292"/>
      <c r="AX15" s="261" t="str">
        <f ca="1">M02S02F01disp</f>
        <v>Required</v>
      </c>
      <c r="AY15" s="285"/>
      <c r="AZ15" s="285"/>
      <c r="BA15" s="285"/>
      <c r="BB15" s="239"/>
      <c r="BC15" s="285"/>
      <c r="BD15" s="285"/>
      <c r="BE15" s="239"/>
      <c r="BF15" s="239"/>
      <c r="BG15" s="239"/>
      <c r="BH15" s="239"/>
      <c r="BI15" s="239"/>
      <c r="BM15" s="177" t="s">
        <v>717</v>
      </c>
    </row>
    <row r="16" spans="1:80" ht="15.75" customHeight="1">
      <c r="A16" s="285"/>
      <c r="B16" s="285"/>
      <c r="C16" s="285"/>
      <c r="D16" s="285"/>
      <c r="E16" s="285"/>
      <c r="F16" s="285"/>
      <c r="G16" s="285"/>
      <c r="H16" s="285"/>
      <c r="I16" s="285"/>
      <c r="J16" s="285"/>
      <c r="K16" s="285"/>
      <c r="L16" s="285"/>
      <c r="M16" s="285"/>
      <c r="N16" s="285"/>
      <c r="O16" s="285"/>
      <c r="P16" s="293" t="s">
        <v>718</v>
      </c>
      <c r="Q16" s="265"/>
      <c r="R16" s="265"/>
      <c r="S16" s="265"/>
      <c r="T16" s="265"/>
      <c r="U16" s="264"/>
      <c r="V16" s="264"/>
      <c r="W16" s="285"/>
      <c r="X16" s="285"/>
      <c r="Y16" s="293" t="s">
        <v>714</v>
      </c>
      <c r="Z16" s="293"/>
      <c r="AA16" s="293"/>
      <c r="AB16" s="293"/>
      <c r="AC16" s="293"/>
      <c r="AD16" s="293"/>
      <c r="AE16" s="263"/>
      <c r="AF16" s="264"/>
      <c r="AG16" s="264"/>
      <c r="AH16" s="264"/>
      <c r="AI16" s="264"/>
      <c r="AJ16" s="264"/>
      <c r="AK16" s="265"/>
      <c r="AL16" s="264"/>
      <c r="AM16" s="293" t="s">
        <v>715</v>
      </c>
      <c r="AN16" s="293"/>
      <c r="AO16" s="293"/>
      <c r="AP16" s="293"/>
      <c r="AQ16" s="293"/>
      <c r="AR16" s="293"/>
      <c r="AS16" s="263"/>
      <c r="AT16" s="264"/>
      <c r="AU16" s="264"/>
      <c r="AV16" s="264"/>
      <c r="AW16" s="264"/>
      <c r="AX16" s="264"/>
      <c r="AY16" s="285"/>
      <c r="AZ16" s="285"/>
      <c r="BA16" s="285"/>
      <c r="BB16" s="239"/>
      <c r="BC16" s="285"/>
      <c r="BD16" s="285"/>
      <c r="BE16" s="239"/>
      <c r="BF16" s="239"/>
      <c r="BG16" s="239"/>
      <c r="BH16" s="239"/>
      <c r="BI16" s="239"/>
      <c r="BM16" s="293" t="s">
        <v>715</v>
      </c>
      <c r="BR16" s="293"/>
      <c r="BS16" s="293"/>
      <c r="BT16" s="293"/>
      <c r="BU16" s="293"/>
      <c r="BV16" s="293"/>
      <c r="BW16" s="263"/>
      <c r="BX16" s="264"/>
      <c r="BY16" s="264"/>
      <c r="BZ16" s="264"/>
      <c r="CA16" s="264"/>
      <c r="CB16" s="264"/>
    </row>
    <row r="17" spans="1:80" ht="15.75" customHeight="1" thickBot="1">
      <c r="A17" s="285"/>
      <c r="B17" s="285"/>
      <c r="C17" s="285"/>
      <c r="D17" s="285"/>
      <c r="E17" s="285"/>
      <c r="F17" s="285"/>
      <c r="G17" s="285"/>
      <c r="H17" s="285"/>
      <c r="I17" s="285"/>
      <c r="J17" s="285"/>
      <c r="K17" s="285"/>
      <c r="L17" s="285"/>
      <c r="M17" s="285"/>
      <c r="N17" s="239"/>
      <c r="O17" s="239"/>
      <c r="P17" s="814"/>
      <c r="Q17" s="815"/>
      <c r="R17" s="815"/>
      <c r="S17" s="815"/>
      <c r="T17" s="815"/>
      <c r="U17" s="815"/>
      <c r="V17" s="815"/>
      <c r="W17" s="816"/>
      <c r="X17" s="264"/>
      <c r="Y17" s="814"/>
      <c r="Z17" s="815"/>
      <c r="AA17" s="815"/>
      <c r="AB17" s="815"/>
      <c r="AC17" s="815"/>
      <c r="AD17" s="815"/>
      <c r="AE17" s="815"/>
      <c r="AF17" s="815"/>
      <c r="AG17" s="815"/>
      <c r="AH17" s="815"/>
      <c r="AI17" s="815"/>
      <c r="AJ17" s="816"/>
      <c r="AK17" s="263"/>
      <c r="AL17" s="294"/>
      <c r="AM17" s="804" t="str">
        <f>IFERROR(IF(M02S02F01="Yes",M02S02F03,""),"")</f>
        <v/>
      </c>
      <c r="AN17" s="805"/>
      <c r="AO17" s="805"/>
      <c r="AP17" s="805"/>
      <c r="AQ17" s="805"/>
      <c r="AR17" s="805"/>
      <c r="AS17" s="805"/>
      <c r="AT17" s="805"/>
      <c r="AU17" s="805"/>
      <c r="AV17" s="805"/>
      <c r="AW17" s="805"/>
      <c r="AX17" s="806"/>
      <c r="AY17" s="265"/>
      <c r="AZ17" s="265"/>
      <c r="BA17" s="265"/>
      <c r="BB17" s="239"/>
      <c r="BC17" s="285"/>
      <c r="BD17" s="285"/>
      <c r="BE17" s="239"/>
      <c r="BF17" s="239"/>
      <c r="BG17" s="239"/>
      <c r="BH17" s="239"/>
      <c r="BI17" s="239"/>
      <c r="BM17" s="295" t="str">
        <f>IFERROR(IF(M02S02F01="Yes",M02S02F03,""),"")</f>
        <v/>
      </c>
      <c r="BR17" s="293"/>
      <c r="BS17" s="293"/>
      <c r="BT17" s="293"/>
      <c r="BU17" s="293"/>
      <c r="BV17" s="293"/>
      <c r="BW17" s="293"/>
      <c r="BX17" s="293"/>
      <c r="BY17" s="293"/>
      <c r="BZ17" s="293"/>
      <c r="CA17" s="293"/>
      <c r="CB17" s="293"/>
    </row>
    <row r="18" spans="1:80" ht="15.75" customHeight="1">
      <c r="A18" s="285"/>
      <c r="B18" s="285"/>
      <c r="C18" s="285"/>
      <c r="D18" s="285"/>
      <c r="E18" s="285"/>
      <c r="F18" s="285"/>
      <c r="G18" s="285"/>
      <c r="H18" s="285"/>
      <c r="I18" s="285"/>
      <c r="J18" s="285"/>
      <c r="K18" s="285"/>
      <c r="L18" s="285"/>
      <c r="M18" s="285"/>
      <c r="N18" s="239"/>
      <c r="O18" s="239"/>
      <c r="P18" s="292"/>
      <c r="Q18" s="292"/>
      <c r="R18" s="292"/>
      <c r="S18" s="292"/>
      <c r="T18" s="292"/>
      <c r="U18" s="292"/>
      <c r="V18" s="292"/>
      <c r="W18" s="261" t="str">
        <f ca="1">M02S02F02disp</f>
        <v>Required</v>
      </c>
      <c r="X18" s="264"/>
      <c r="Y18" s="292"/>
      <c r="Z18" s="292"/>
      <c r="AA18" s="292"/>
      <c r="AB18" s="292"/>
      <c r="AC18" s="292"/>
      <c r="AD18" s="292"/>
      <c r="AE18" s="292"/>
      <c r="AF18" s="292"/>
      <c r="AG18" s="292"/>
      <c r="AH18" s="292"/>
      <c r="AI18" s="292"/>
      <c r="AJ18" s="261" t="str">
        <f ca="1">M02S02F03disp</f>
        <v>Required</v>
      </c>
      <c r="AK18" s="296"/>
      <c r="AL18" s="269"/>
      <c r="AM18" s="292"/>
      <c r="AN18" s="292"/>
      <c r="AO18" s="292"/>
      <c r="AP18" s="292"/>
      <c r="AQ18" s="292"/>
      <c r="AR18" s="292"/>
      <c r="AS18" s="292"/>
      <c r="AT18" s="292"/>
      <c r="AU18" s="292"/>
      <c r="AV18" s="292"/>
      <c r="AW18" s="292"/>
      <c r="AX18" s="261" t="str">
        <f ca="1">M02S02F04disp</f>
        <v>Required</v>
      </c>
      <c r="AY18" s="265"/>
      <c r="AZ18" s="265"/>
      <c r="BA18" s="265"/>
      <c r="BB18" s="239"/>
      <c r="BC18" s="285"/>
      <c r="BD18" s="285"/>
      <c r="BE18" s="239"/>
      <c r="BF18" s="239"/>
      <c r="BG18" s="239"/>
      <c r="BH18" s="239"/>
      <c r="BI18" s="239"/>
      <c r="BM18" s="293"/>
      <c r="BR18" s="293"/>
      <c r="BS18" s="293"/>
      <c r="BT18" s="293"/>
      <c r="BU18" s="293"/>
      <c r="BV18" s="293"/>
      <c r="BW18" s="293"/>
      <c r="BX18" s="293"/>
      <c r="BY18" s="293"/>
      <c r="BZ18" s="293"/>
      <c r="CA18" s="293"/>
      <c r="CB18" s="293" t="str">
        <f ca="1">M02S02F04disp</f>
        <v>Required</v>
      </c>
    </row>
    <row r="19" spans="1:80" ht="15.75" customHeight="1">
      <c r="A19" s="285"/>
      <c r="B19" s="285"/>
      <c r="C19" s="285"/>
      <c r="D19" s="285"/>
      <c r="E19" s="285"/>
      <c r="F19" s="285"/>
      <c r="G19" s="285"/>
      <c r="H19" s="285"/>
      <c r="I19" s="285"/>
      <c r="J19" s="285"/>
      <c r="K19" s="285"/>
      <c r="L19" s="285"/>
      <c r="M19" s="285"/>
      <c r="N19" s="285"/>
      <c r="O19" s="285"/>
      <c r="P19" s="285"/>
      <c r="Q19" s="285"/>
      <c r="R19" s="285"/>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c r="AS19" s="264"/>
      <c r="AT19" s="264"/>
      <c r="AU19" s="264"/>
      <c r="AV19" s="264"/>
      <c r="AW19" s="264"/>
      <c r="AX19" s="264"/>
      <c r="AY19" s="264"/>
      <c r="AZ19" s="264"/>
      <c r="BA19" s="264"/>
      <c r="BB19" s="239"/>
      <c r="BC19" s="285"/>
      <c r="BD19" s="285"/>
      <c r="BE19" s="285"/>
      <c r="BF19" s="285"/>
      <c r="BG19" s="239"/>
      <c r="BH19" s="239"/>
      <c r="BI19" s="239"/>
      <c r="BM19" s="293"/>
      <c r="BR19" s="293"/>
      <c r="BS19" s="293"/>
      <c r="BT19" s="293"/>
      <c r="BU19" s="293"/>
      <c r="BV19" s="293"/>
      <c r="BW19" s="293"/>
      <c r="BX19" s="293"/>
      <c r="BY19" s="293"/>
      <c r="BZ19" s="293"/>
      <c r="CA19" s="293"/>
      <c r="CB19" s="293"/>
    </row>
    <row r="20" spans="1:80" ht="15.75" customHeight="1">
      <c r="A20" s="285"/>
      <c r="B20" s="285"/>
      <c r="C20" s="285"/>
      <c r="D20" s="285"/>
      <c r="E20" s="285"/>
      <c r="F20" s="285"/>
      <c r="G20" s="285"/>
      <c r="H20" s="297" t="s">
        <v>719</v>
      </c>
      <c r="I20" s="297"/>
      <c r="J20" s="297"/>
      <c r="K20" s="297"/>
      <c r="L20" s="297"/>
      <c r="M20" s="297"/>
      <c r="N20" s="264"/>
      <c r="O20" s="264"/>
      <c r="P20" s="264"/>
      <c r="Q20" s="293" t="s">
        <v>720</v>
      </c>
      <c r="R20" s="293"/>
      <c r="S20" s="293"/>
      <c r="T20" s="293"/>
      <c r="U20" s="293"/>
      <c r="V20" s="293"/>
      <c r="W20" s="177"/>
      <c r="X20" s="293" t="s">
        <v>466</v>
      </c>
      <c r="Y20" s="293"/>
      <c r="Z20" s="293"/>
      <c r="AA20" s="293"/>
      <c r="AB20" s="293"/>
      <c r="AC20" s="293"/>
      <c r="AD20" s="177"/>
      <c r="AE20" s="265"/>
      <c r="AF20" s="293" t="s">
        <v>721</v>
      </c>
      <c r="AG20" s="293"/>
      <c r="AH20" s="293"/>
      <c r="AI20" s="293" t="s">
        <v>722</v>
      </c>
      <c r="AJ20" s="239"/>
      <c r="AK20" s="265"/>
      <c r="AL20" s="264"/>
      <c r="AM20" s="293" t="s">
        <v>720</v>
      </c>
      <c r="AN20" s="293"/>
      <c r="AO20" s="293"/>
      <c r="AP20" s="293"/>
      <c r="AQ20" s="293"/>
      <c r="AR20" s="293"/>
      <c r="AS20" s="265"/>
      <c r="AT20" s="293" t="s">
        <v>721</v>
      </c>
      <c r="AU20" s="293"/>
      <c r="AV20" s="293"/>
      <c r="AW20" s="293" t="s">
        <v>722</v>
      </c>
      <c r="AX20" s="239"/>
      <c r="AY20" s="264"/>
      <c r="AZ20" s="264"/>
      <c r="BA20" s="264"/>
      <c r="BB20" s="239"/>
      <c r="BC20" s="285"/>
      <c r="BD20" s="285"/>
      <c r="BE20" s="285"/>
      <c r="BF20" s="285"/>
      <c r="BG20" s="239"/>
      <c r="BH20" s="239"/>
      <c r="BI20" s="239"/>
      <c r="BM20" s="293" t="s">
        <v>720</v>
      </c>
      <c r="BP20" s="293" t="s">
        <v>721</v>
      </c>
      <c r="BQ20" s="293"/>
      <c r="BR20" s="293"/>
      <c r="BS20" s="293" t="s">
        <v>722</v>
      </c>
      <c r="BT20" s="293"/>
      <c r="BU20" s="293"/>
      <c r="BV20" s="293"/>
      <c r="BW20" s="293"/>
      <c r="CB20" s="293"/>
    </row>
    <row r="21" spans="1:80" ht="15.75" customHeight="1" thickBot="1">
      <c r="A21" s="285"/>
      <c r="B21" s="285"/>
      <c r="C21" s="285"/>
      <c r="D21" s="285"/>
      <c r="E21" s="285"/>
      <c r="F21" s="285"/>
      <c r="G21" s="285"/>
      <c r="H21" s="800"/>
      <c r="I21" s="801"/>
      <c r="J21" s="801"/>
      <c r="K21" s="801"/>
      <c r="L21" s="801"/>
      <c r="M21" s="801"/>
      <c r="N21" s="801"/>
      <c r="O21" s="802"/>
      <c r="P21" s="264"/>
      <c r="Q21" s="814"/>
      <c r="R21" s="815"/>
      <c r="S21" s="815"/>
      <c r="T21" s="815"/>
      <c r="U21" s="815"/>
      <c r="V21" s="816"/>
      <c r="W21" s="177"/>
      <c r="X21" s="814"/>
      <c r="Y21" s="815"/>
      <c r="Z21" s="815"/>
      <c r="AA21" s="815"/>
      <c r="AB21" s="815"/>
      <c r="AC21" s="816"/>
      <c r="AD21" s="177"/>
      <c r="AE21" s="263"/>
      <c r="AF21" s="858" t="s">
        <v>723</v>
      </c>
      <c r="AG21" s="859"/>
      <c r="AH21" s="298"/>
      <c r="AI21" s="860"/>
      <c r="AJ21" s="861"/>
      <c r="AK21" s="263"/>
      <c r="AL21" s="299"/>
      <c r="AM21" s="804" t="str">
        <f>IFERROR(IF(M02S02F01="Yes",M02S02F06,""),"")</f>
        <v/>
      </c>
      <c r="AN21" s="805"/>
      <c r="AO21" s="805"/>
      <c r="AP21" s="805"/>
      <c r="AQ21" s="805"/>
      <c r="AR21" s="806"/>
      <c r="AS21" s="263"/>
      <c r="AT21" s="804" t="str">
        <f>IFERROR(IF(M02S02F01="Yes",M02S02F07,""),"")</f>
        <v/>
      </c>
      <c r="AU21" s="806"/>
      <c r="AV21" s="298"/>
      <c r="AW21" s="862" t="str">
        <f>IFERROR(IF(M02S02F01="Yes",M02S02F08,""),"")</f>
        <v/>
      </c>
      <c r="AX21" s="863"/>
      <c r="AY21" s="264"/>
      <c r="AZ21" s="264"/>
      <c r="BA21" s="264"/>
      <c r="BB21" s="239"/>
      <c r="BC21" s="285"/>
      <c r="BD21" s="285"/>
      <c r="BE21" s="285"/>
      <c r="BF21" s="285"/>
      <c r="BG21" s="239"/>
      <c r="BH21" s="239"/>
      <c r="BI21" s="239"/>
      <c r="BM21" s="295" t="str">
        <f>IFERROR(IF(M02S02F01="Yes",M02S02F06,""),"")</f>
        <v/>
      </c>
      <c r="BP21" s="295" t="str">
        <f>IFERROR(IF(M02S02F01="Yes",M02S02F07,""),"")</f>
        <v/>
      </c>
      <c r="BQ21" s="293"/>
      <c r="BR21" s="293"/>
      <c r="BS21" s="300" t="str">
        <f>IFERROR(IF(M02S02F01="Yes",M02S02F08,""),"")</f>
        <v/>
      </c>
      <c r="BT21" s="293"/>
      <c r="BU21" s="293"/>
      <c r="BV21" s="293"/>
      <c r="BW21" s="293"/>
      <c r="CB21" s="293"/>
    </row>
    <row r="22" spans="1:80" ht="15.75" customHeight="1">
      <c r="A22" s="177"/>
      <c r="B22" s="177"/>
      <c r="C22" s="177"/>
      <c r="D22" s="239"/>
      <c r="E22" s="285"/>
      <c r="F22" s="239"/>
      <c r="G22" s="239"/>
      <c r="H22" s="301"/>
      <c r="I22" s="301"/>
      <c r="J22" s="301"/>
      <c r="K22" s="301"/>
      <c r="L22" s="301"/>
      <c r="M22" s="301"/>
      <c r="N22" s="301"/>
      <c r="O22" s="261" t="str">
        <f ca="1">M02S02F05disp</f>
        <v>Required</v>
      </c>
      <c r="P22" s="264"/>
      <c r="Q22" s="292"/>
      <c r="R22" s="292"/>
      <c r="S22" s="292"/>
      <c r="T22" s="292"/>
      <c r="U22" s="292"/>
      <c r="V22" s="261" t="str">
        <f ca="1">M02S02F06disp</f>
        <v>Required</v>
      </c>
      <c r="W22" s="177"/>
      <c r="X22" s="292"/>
      <c r="Y22" s="292"/>
      <c r="Z22" s="292"/>
      <c r="AA22" s="292"/>
      <c r="AB22" s="292"/>
      <c r="AC22" s="261" t="str">
        <f ca="1">M02S02F33disp</f>
        <v>Required</v>
      </c>
      <c r="AD22" s="177"/>
      <c r="AE22" s="269"/>
      <c r="AF22" s="292"/>
      <c r="AG22" s="261" t="str">
        <f ca="1">M02S02F07disp</f>
        <v/>
      </c>
      <c r="AH22" s="269"/>
      <c r="AI22" s="292"/>
      <c r="AJ22" s="261" t="str">
        <f ca="1">M02S02F08disp</f>
        <v>Required</v>
      </c>
      <c r="AK22" s="269"/>
      <c r="AL22" s="269"/>
      <c r="AM22" s="292"/>
      <c r="AN22" s="292"/>
      <c r="AO22" s="292"/>
      <c r="AP22" s="292"/>
      <c r="AQ22" s="292"/>
      <c r="AR22" s="261" t="str">
        <f ca="1">M02S02F09disp</f>
        <v>Required</v>
      </c>
      <c r="AS22" s="269"/>
      <c r="AT22" s="292"/>
      <c r="AU22" s="261" t="str">
        <f ca="1">M02S02F10disp</f>
        <v>Required</v>
      </c>
      <c r="AV22" s="269"/>
      <c r="AW22" s="292"/>
      <c r="AX22" s="261" t="str">
        <f ca="1">M02S02F11disp</f>
        <v>Required</v>
      </c>
      <c r="AY22" s="264"/>
      <c r="AZ22" s="264"/>
      <c r="BA22" s="264"/>
      <c r="BB22" s="239"/>
      <c r="BC22" s="285"/>
      <c r="BD22" s="285"/>
      <c r="BE22" s="239"/>
      <c r="BF22" s="239"/>
      <c r="BG22" s="239"/>
      <c r="BH22" s="239"/>
      <c r="BI22" s="239"/>
    </row>
    <row r="23" spans="1:80" ht="12" customHeight="1">
      <c r="A23" s="177"/>
      <c r="B23" s="177"/>
      <c r="C23" s="177"/>
      <c r="D23" s="177"/>
      <c r="E23" s="285"/>
      <c r="F23" s="239"/>
      <c r="G23" s="239"/>
      <c r="H23" s="177"/>
      <c r="I23" s="264"/>
      <c r="J23" s="264"/>
      <c r="K23" s="285"/>
      <c r="L23" s="285"/>
      <c r="M23" s="285"/>
      <c r="N23" s="285"/>
      <c r="O23" s="285"/>
      <c r="P23" s="285"/>
      <c r="Q23" s="285"/>
      <c r="R23" s="285"/>
      <c r="S23" s="264"/>
      <c r="T23" s="264"/>
      <c r="U23" s="264"/>
      <c r="V23" s="264"/>
      <c r="W23" s="264"/>
      <c r="X23" s="264"/>
      <c r="Y23" s="285"/>
      <c r="Z23" s="285"/>
      <c r="AA23" s="285"/>
      <c r="AB23" s="285"/>
      <c r="AC23" s="285"/>
      <c r="AD23" s="285"/>
      <c r="AE23" s="285"/>
      <c r="AF23" s="285"/>
      <c r="AG23" s="285"/>
      <c r="AH23" s="285"/>
      <c r="AI23" s="285"/>
      <c r="AJ23" s="285"/>
      <c r="AK23" s="285"/>
      <c r="AL23" s="285"/>
      <c r="AM23" s="285"/>
      <c r="AN23" s="285"/>
      <c r="AO23" s="285"/>
      <c r="AP23" s="285"/>
      <c r="AQ23" s="285"/>
      <c r="AR23" s="285"/>
      <c r="AS23" s="285"/>
      <c r="AT23" s="285"/>
      <c r="AU23" s="285"/>
      <c r="AV23" s="285"/>
      <c r="AW23" s="285"/>
      <c r="AX23" s="285"/>
      <c r="AY23" s="264"/>
      <c r="AZ23" s="264"/>
      <c r="BA23" s="264"/>
      <c r="BB23" s="239"/>
      <c r="BC23" s="285"/>
      <c r="BD23" s="285"/>
      <c r="BE23" s="239"/>
      <c r="BF23" s="239"/>
      <c r="BG23" s="239"/>
      <c r="BH23" s="239"/>
      <c r="BI23" s="239"/>
    </row>
    <row r="24" spans="1:80" ht="18">
      <c r="A24" s="177"/>
      <c r="B24" s="177"/>
      <c r="C24" s="177"/>
      <c r="D24" s="177"/>
      <c r="E24" s="285"/>
      <c r="F24" s="286"/>
      <c r="G24" s="286"/>
      <c r="H24" s="287" t="s">
        <v>724</v>
      </c>
      <c r="I24" s="287"/>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302"/>
      <c r="AV24" s="302"/>
      <c r="AW24" s="302"/>
      <c r="AX24" s="302"/>
      <c r="AY24" s="303"/>
      <c r="AZ24" s="239"/>
      <c r="BA24" s="239"/>
      <c r="BB24" s="239"/>
      <c r="BC24" s="285"/>
      <c r="BD24" s="285"/>
      <c r="BE24" s="239"/>
      <c r="BF24" s="239"/>
      <c r="BG24" s="239"/>
      <c r="BH24" s="239"/>
      <c r="BI24" s="239"/>
    </row>
    <row r="25" spans="1:80" ht="16.350000000000001" customHeight="1">
      <c r="A25" s="177"/>
      <c r="B25" s="177"/>
      <c r="C25" s="177"/>
      <c r="D25" s="177"/>
      <c r="E25" s="285"/>
      <c r="F25" s="239"/>
      <c r="G25" s="239"/>
      <c r="H25" s="177"/>
      <c r="I25" s="264"/>
      <c r="J25" s="264"/>
      <c r="K25" s="285"/>
      <c r="L25" s="285"/>
      <c r="M25" s="285"/>
      <c r="N25" s="285"/>
      <c r="O25" s="285"/>
      <c r="P25" s="285"/>
      <c r="Q25" s="285"/>
      <c r="R25" s="285"/>
      <c r="S25" s="264"/>
      <c r="T25" s="264"/>
      <c r="U25" s="264"/>
      <c r="V25" s="264"/>
      <c r="W25" s="264"/>
      <c r="X25" s="264"/>
      <c r="Y25" s="285"/>
      <c r="Z25" s="285"/>
      <c r="AA25" s="285"/>
      <c r="AB25" s="285"/>
      <c r="AC25" s="285"/>
      <c r="AD25" s="285"/>
      <c r="AE25" s="285"/>
      <c r="AF25" s="285"/>
      <c r="AG25" s="285"/>
      <c r="AH25" s="285"/>
      <c r="AI25" s="285"/>
      <c r="AJ25" s="285"/>
      <c r="AK25" s="285"/>
      <c r="AL25" s="285"/>
      <c r="AM25" s="285"/>
      <c r="AN25" s="177"/>
      <c r="AO25" s="177"/>
      <c r="AP25" s="177"/>
      <c r="AQ25" s="177"/>
      <c r="AR25" s="177"/>
      <c r="AS25" s="177"/>
      <c r="AT25" s="177"/>
      <c r="AU25" s="177"/>
      <c r="AV25" s="177"/>
      <c r="AW25" s="177"/>
      <c r="AX25" s="177"/>
      <c r="AY25" s="177"/>
      <c r="AZ25" s="177"/>
      <c r="BA25" s="177"/>
      <c r="BB25" s="177"/>
      <c r="BC25" s="177"/>
      <c r="BD25" s="285"/>
      <c r="BE25" s="239"/>
      <c r="BF25" s="239"/>
      <c r="BG25" s="239"/>
      <c r="BH25" s="239"/>
      <c r="BI25" s="239"/>
    </row>
    <row r="26" spans="1:80" ht="12" customHeight="1">
      <c r="A26" s="177"/>
      <c r="B26" s="285"/>
      <c r="C26" s="285"/>
      <c r="D26" s="285"/>
      <c r="E26" s="285"/>
      <c r="F26" s="285"/>
      <c r="G26" s="285"/>
      <c r="H26" s="285"/>
      <c r="I26" s="285"/>
      <c r="J26" s="285"/>
      <c r="K26" s="285"/>
      <c r="L26" s="285"/>
      <c r="M26" s="285"/>
      <c r="N26" s="285"/>
      <c r="O26" s="285"/>
      <c r="P26" s="293" t="s">
        <v>725</v>
      </c>
      <c r="Q26" s="264"/>
      <c r="R26" s="264"/>
      <c r="S26" s="285"/>
      <c r="T26" s="285"/>
      <c r="U26" s="285"/>
      <c r="V26" s="265"/>
      <c r="W26" s="240"/>
      <c r="X26" s="240"/>
      <c r="Y26" s="293" t="s">
        <v>726</v>
      </c>
      <c r="Z26" s="264"/>
      <c r="AA26" s="265"/>
      <c r="AB26" s="264"/>
      <c r="AC26" s="264"/>
      <c r="AD26" s="264"/>
      <c r="AE26" s="264"/>
      <c r="AF26" s="293" t="s">
        <v>727</v>
      </c>
      <c r="AG26" s="264"/>
      <c r="AH26" s="265"/>
      <c r="AI26" s="264"/>
      <c r="AJ26" s="264"/>
      <c r="AK26" s="264"/>
      <c r="AL26" s="285"/>
      <c r="AM26" s="285"/>
      <c r="AN26" s="177"/>
      <c r="AO26" s="177"/>
      <c r="AP26" s="177"/>
      <c r="AQ26" s="177"/>
      <c r="AR26" s="177"/>
      <c r="AS26" s="177"/>
      <c r="AT26" s="177"/>
      <c r="AU26" s="177"/>
      <c r="AV26" s="177"/>
      <c r="AW26" s="177"/>
      <c r="AX26" s="177"/>
      <c r="AY26" s="177"/>
      <c r="AZ26" s="177"/>
      <c r="BA26" s="177"/>
      <c r="BB26" s="177"/>
      <c r="BC26" s="177"/>
      <c r="BD26" s="285"/>
      <c r="BE26" s="239"/>
      <c r="BF26" s="239"/>
      <c r="BG26" s="239"/>
      <c r="BH26" s="239"/>
      <c r="BI26" s="239"/>
      <c r="BL26" s="177" t="s">
        <v>728</v>
      </c>
      <c r="BM26" s="293" t="s">
        <v>726</v>
      </c>
    </row>
    <row r="27" spans="1:80" ht="15.75" thickBot="1">
      <c r="A27" s="177"/>
      <c r="B27" s="285"/>
      <c r="C27" s="285"/>
      <c r="D27" s="285"/>
      <c r="E27" s="285"/>
      <c r="F27" s="285"/>
      <c r="G27" s="285"/>
      <c r="H27" s="285"/>
      <c r="I27" s="285"/>
      <c r="J27" s="285"/>
      <c r="K27" s="285"/>
      <c r="L27" s="285"/>
      <c r="M27" s="285"/>
      <c r="N27" s="285"/>
      <c r="O27" s="285"/>
      <c r="P27" s="820"/>
      <c r="Q27" s="820"/>
      <c r="R27" s="820"/>
      <c r="S27" s="820"/>
      <c r="T27" s="820"/>
      <c r="U27" s="820"/>
      <c r="V27" s="263"/>
      <c r="W27" s="240"/>
      <c r="X27" s="240"/>
      <c r="Y27" s="804" t="str">
        <f>IF(OR(P27="Electric",P27="Both"),"PSE&amp;G","")</f>
        <v/>
      </c>
      <c r="Z27" s="805"/>
      <c r="AA27" s="805"/>
      <c r="AB27" s="805"/>
      <c r="AC27" s="805"/>
      <c r="AD27" s="806"/>
      <c r="AE27" s="294"/>
      <c r="AF27" s="807"/>
      <c r="AG27" s="808"/>
      <c r="AH27" s="808"/>
      <c r="AI27" s="808"/>
      <c r="AJ27" s="808"/>
      <c r="AK27" s="809"/>
      <c r="AL27" s="285"/>
      <c r="AM27" s="285"/>
      <c r="AN27" s="177"/>
      <c r="AO27" s="177"/>
      <c r="AP27" s="177"/>
      <c r="AQ27" s="177"/>
      <c r="AR27" s="177"/>
      <c r="AS27" s="177"/>
      <c r="AT27" s="177"/>
      <c r="AU27" s="177"/>
      <c r="AV27" s="177"/>
      <c r="AW27" s="177"/>
      <c r="AX27" s="177"/>
      <c r="AY27" s="177"/>
      <c r="AZ27" s="177"/>
      <c r="BA27" s="177"/>
      <c r="BB27" s="177"/>
      <c r="BC27" s="177"/>
      <c r="BD27" s="285"/>
      <c r="BE27" s="239"/>
      <c r="BF27" s="239"/>
      <c r="BG27" s="239"/>
      <c r="BH27" s="239"/>
      <c r="BL27" s="177">
        <f>IFERROR(INDEX(Table_ElecUtility_AccountNum[],MATCH(M02S02F13,Table_ElecUtility_AccountNum[Electric Utility Name],0),MATCH(Table_ElecUtility_AccountNum[[#Headers],[Used]],Table_ElecUtility_AccountNum[#Headers],0)),10)</f>
        <v>10</v>
      </c>
      <c r="BM27" s="324" t="str">
        <f>IF(OR(P27="Electric",P27="Both"),"PSE&amp;G","")</f>
        <v/>
      </c>
    </row>
    <row r="28" spans="1:80" ht="12" customHeight="1">
      <c r="A28" s="177"/>
      <c r="B28" s="285"/>
      <c r="C28" s="285"/>
      <c r="D28" s="285"/>
      <c r="E28" s="285"/>
      <c r="F28" s="285"/>
      <c r="G28" s="285"/>
      <c r="H28" s="285"/>
      <c r="I28" s="285"/>
      <c r="J28" s="285"/>
      <c r="K28" s="285"/>
      <c r="L28" s="285"/>
      <c r="M28" s="285"/>
      <c r="N28" s="285"/>
      <c r="O28" s="285"/>
      <c r="P28" s="292"/>
      <c r="Q28" s="292"/>
      <c r="R28" s="292"/>
      <c r="S28" s="292"/>
      <c r="T28" s="292"/>
      <c r="U28" s="261" t="str">
        <f ca="1">M02S02F12disp</f>
        <v>Required</v>
      </c>
      <c r="V28" s="269"/>
      <c r="W28" s="240"/>
      <c r="X28" s="240"/>
      <c r="Y28" s="292"/>
      <c r="Z28" s="292"/>
      <c r="AA28" s="292"/>
      <c r="AB28" s="292"/>
      <c r="AC28" s="292"/>
      <c r="AD28" s="261" t="str">
        <f ca="1">M02S02F13disp</f>
        <v>Required</v>
      </c>
      <c r="AE28" s="269"/>
      <c r="AF28" s="292"/>
      <c r="AG28" s="292"/>
      <c r="AH28" s="292"/>
      <c r="AI28" s="292"/>
      <c r="AJ28" s="292"/>
      <c r="AK28" s="261" t="str">
        <f ca="1">M02S02F14disp</f>
        <v>Required</v>
      </c>
      <c r="AL28" s="285"/>
      <c r="AM28" s="285"/>
      <c r="AN28" s="177"/>
      <c r="AO28" s="177"/>
      <c r="AP28" s="177"/>
      <c r="AQ28" s="177"/>
      <c r="AR28" s="177"/>
      <c r="AS28" s="177"/>
      <c r="AT28" s="177"/>
      <c r="AU28" s="177"/>
      <c r="AV28" s="177"/>
      <c r="AW28" s="177"/>
      <c r="AX28" s="177"/>
      <c r="AY28" s="177"/>
      <c r="AZ28" s="177"/>
      <c r="BA28" s="177"/>
      <c r="BB28" s="177"/>
      <c r="BC28" s="177"/>
      <c r="BD28" s="285"/>
      <c r="BE28" s="239"/>
      <c r="BF28" s="239"/>
      <c r="BG28" s="239"/>
      <c r="BH28" s="239"/>
    </row>
    <row r="29" spans="1:80" ht="12" customHeight="1">
      <c r="A29" s="177"/>
      <c r="B29" s="285"/>
      <c r="C29" s="285"/>
      <c r="D29" s="285"/>
      <c r="E29" s="285"/>
      <c r="F29" s="285"/>
      <c r="G29" s="285"/>
      <c r="H29" s="285"/>
      <c r="I29" s="285"/>
      <c r="J29" s="285"/>
      <c r="K29" s="285"/>
      <c r="L29" s="285"/>
      <c r="M29" s="285"/>
      <c r="N29" s="285"/>
      <c r="O29" s="285"/>
      <c r="P29" s="285"/>
      <c r="Q29" s="285"/>
      <c r="R29" s="285"/>
      <c r="S29" s="265"/>
      <c r="T29" s="264"/>
      <c r="U29" s="264"/>
      <c r="V29" s="264"/>
      <c r="W29" s="264"/>
      <c r="X29" s="264"/>
      <c r="Y29" s="285"/>
      <c r="Z29" s="285"/>
      <c r="AA29" s="285"/>
      <c r="AB29" s="285"/>
      <c r="AC29" s="285"/>
      <c r="AD29" s="285"/>
      <c r="AE29" s="285"/>
      <c r="AF29" s="285"/>
      <c r="AG29" s="285"/>
      <c r="AH29" s="285"/>
      <c r="AI29" s="285"/>
      <c r="AJ29" s="285"/>
      <c r="AK29" s="285"/>
      <c r="AL29" s="285"/>
      <c r="AM29" s="285"/>
      <c r="AN29" s="177"/>
      <c r="AO29" s="177"/>
      <c r="AP29" s="177"/>
      <c r="AQ29" s="177"/>
      <c r="AR29" s="177"/>
      <c r="AS29" s="177"/>
      <c r="AT29" s="177"/>
      <c r="AU29" s="177"/>
      <c r="AV29" s="177"/>
      <c r="AW29" s="177"/>
      <c r="AX29" s="177"/>
      <c r="AY29" s="177"/>
      <c r="AZ29" s="177"/>
      <c r="BA29" s="177"/>
      <c r="BB29" s="177"/>
      <c r="BC29" s="177"/>
      <c r="BD29" s="285"/>
      <c r="BE29" s="239"/>
      <c r="BF29" s="239"/>
      <c r="BG29" s="177"/>
    </row>
    <row r="30" spans="1:80" ht="12" customHeight="1">
      <c r="A30" s="177"/>
      <c r="B30" s="177"/>
      <c r="C30" s="285"/>
      <c r="D30" s="285"/>
      <c r="E30" s="285"/>
      <c r="F30" s="285"/>
      <c r="G30" s="285"/>
      <c r="H30" s="285"/>
      <c r="I30" s="285"/>
      <c r="J30" s="285"/>
      <c r="K30" s="285"/>
      <c r="L30" s="285"/>
      <c r="M30" s="285"/>
      <c r="N30" s="285"/>
      <c r="O30" s="285"/>
      <c r="P30" s="285"/>
      <c r="Q30" s="285"/>
      <c r="R30" s="285"/>
      <c r="S30" s="265"/>
      <c r="T30" s="264"/>
      <c r="U30" s="264"/>
      <c r="V30" s="264"/>
      <c r="W30" s="264"/>
      <c r="X30" s="264"/>
      <c r="Y30" s="293" t="s">
        <v>729</v>
      </c>
      <c r="Z30" s="264"/>
      <c r="AA30" s="265"/>
      <c r="AB30" s="264"/>
      <c r="AC30" s="264"/>
      <c r="AD30" s="264"/>
      <c r="AE30" s="285"/>
      <c r="AF30" s="293" t="s">
        <v>730</v>
      </c>
      <c r="AG30" s="293"/>
      <c r="AH30" s="293"/>
      <c r="AI30" s="293"/>
      <c r="AJ30" s="293"/>
      <c r="AK30" s="293"/>
      <c r="AL30" s="285"/>
      <c r="AM30" s="285"/>
      <c r="AN30" s="177"/>
      <c r="AO30" s="177"/>
      <c r="AP30" s="177"/>
      <c r="AQ30" s="177"/>
      <c r="AR30" s="177"/>
      <c r="AS30" s="177"/>
      <c r="AT30" s="177"/>
      <c r="AU30" s="177"/>
      <c r="AV30" s="177"/>
      <c r="AW30" s="177"/>
      <c r="AX30" s="177"/>
      <c r="AY30" s="177"/>
      <c r="AZ30" s="177"/>
      <c r="BA30" s="177"/>
      <c r="BB30" s="177"/>
      <c r="BC30" s="177"/>
      <c r="BD30" s="285"/>
      <c r="BE30" s="239"/>
      <c r="BF30" s="239"/>
      <c r="BG30" s="177"/>
      <c r="BL30" s="177" t="s">
        <v>728</v>
      </c>
      <c r="BM30" s="293" t="s">
        <v>729</v>
      </c>
    </row>
    <row r="31" spans="1:80" ht="15.75" customHeight="1" thickBot="1">
      <c r="A31" s="177"/>
      <c r="B31" s="177"/>
      <c r="C31" s="285"/>
      <c r="D31" s="285"/>
      <c r="E31" s="285"/>
      <c r="F31" s="285"/>
      <c r="G31" s="285"/>
      <c r="H31" s="285"/>
      <c r="I31" s="285"/>
      <c r="J31" s="285"/>
      <c r="K31" s="285"/>
      <c r="L31" s="285"/>
      <c r="M31" s="285"/>
      <c r="N31" s="285"/>
      <c r="O31" s="285"/>
      <c r="P31" s="285"/>
      <c r="Q31" s="285"/>
      <c r="R31" s="285"/>
      <c r="S31" s="265"/>
      <c r="T31" s="264"/>
      <c r="U31" s="264"/>
      <c r="V31" s="264"/>
      <c r="W31" s="264"/>
      <c r="X31" s="264"/>
      <c r="Y31" s="804" t="str">
        <f>IF(OR(P27="Gas",P27="Both"),"PSE&amp;G","")</f>
        <v/>
      </c>
      <c r="Z31" s="805"/>
      <c r="AA31" s="805"/>
      <c r="AB31" s="805"/>
      <c r="AC31" s="805"/>
      <c r="AD31" s="806"/>
      <c r="AE31" s="285"/>
      <c r="AF31" s="807"/>
      <c r="AG31" s="808"/>
      <c r="AH31" s="808"/>
      <c r="AI31" s="808"/>
      <c r="AJ31" s="808"/>
      <c r="AK31" s="809"/>
      <c r="AL31" s="285"/>
      <c r="AM31" s="285"/>
      <c r="AN31" s="177"/>
      <c r="AO31" s="177"/>
      <c r="AP31" s="177"/>
      <c r="AQ31" s="177"/>
      <c r="AR31" s="177"/>
      <c r="AS31" s="177"/>
      <c r="AT31" s="177"/>
      <c r="AU31" s="177"/>
      <c r="AV31" s="177"/>
      <c r="AW31" s="177"/>
      <c r="AX31" s="177"/>
      <c r="AY31" s="177"/>
      <c r="AZ31" s="177"/>
      <c r="BA31" s="177"/>
      <c r="BB31" s="177"/>
      <c r="BC31" s="177"/>
      <c r="BD31" s="285"/>
      <c r="BE31" s="239"/>
      <c r="BF31" s="239"/>
      <c r="BG31" s="177"/>
      <c r="BL31" s="177">
        <f>IFERROR(INDEX(Table_GasUtility_AccountNum[],MATCH(M02S02F15,Table_GasUtility_AccountNum[Gas Utility Name],0),MATCH(Table_GasUtility_AccountNum[[#Headers],[Used]],Table_GasUtility_AccountNum[#Headers],0)),10)</f>
        <v>10</v>
      </c>
      <c r="BM31" s="324" t="str">
        <f>IF(OR(P27="Gas",P27="Both"),"PSE&amp;G","")</f>
        <v/>
      </c>
    </row>
    <row r="32" spans="1:80" ht="12" customHeight="1">
      <c r="A32" s="177"/>
      <c r="B32" s="177"/>
      <c r="C32" s="177"/>
      <c r="D32" s="177"/>
      <c r="E32" s="285"/>
      <c r="F32" s="239"/>
      <c r="G32" s="239"/>
      <c r="H32" s="177"/>
      <c r="I32" s="304"/>
      <c r="J32" s="264"/>
      <c r="K32" s="285"/>
      <c r="L32" s="285"/>
      <c r="M32" s="285"/>
      <c r="N32" s="285"/>
      <c r="O32" s="285"/>
      <c r="P32" s="285"/>
      <c r="Q32" s="285"/>
      <c r="R32" s="285"/>
      <c r="S32" s="265"/>
      <c r="T32" s="264"/>
      <c r="U32" s="264"/>
      <c r="V32" s="264"/>
      <c r="W32" s="264"/>
      <c r="X32" s="264"/>
      <c r="Y32" s="292"/>
      <c r="Z32" s="292"/>
      <c r="AA32" s="292"/>
      <c r="AB32" s="292"/>
      <c r="AC32" s="292"/>
      <c r="AD32" s="261" t="str">
        <f ca="1">M02S02F15disp</f>
        <v>Required</v>
      </c>
      <c r="AE32" s="285"/>
      <c r="AF32" s="292"/>
      <c r="AG32" s="292"/>
      <c r="AH32" s="292"/>
      <c r="AI32" s="292"/>
      <c r="AJ32" s="292"/>
      <c r="AK32" s="261" t="str">
        <f ca="1">M02S02F16disp</f>
        <v>Required</v>
      </c>
      <c r="AL32" s="285"/>
      <c r="AM32" s="285"/>
      <c r="AN32" s="177"/>
      <c r="AO32" s="177"/>
      <c r="AP32" s="177"/>
      <c r="AQ32" s="177"/>
      <c r="AR32" s="177"/>
      <c r="AS32" s="177"/>
      <c r="AT32" s="177"/>
      <c r="AU32" s="177"/>
      <c r="AV32" s="177"/>
      <c r="AW32" s="177"/>
      <c r="AX32" s="177"/>
      <c r="AY32" s="177"/>
      <c r="AZ32" s="177"/>
      <c r="BA32" s="177"/>
      <c r="BB32" s="177"/>
      <c r="BC32" s="177"/>
      <c r="BD32" s="285"/>
      <c r="BE32" s="239"/>
      <c r="BF32" s="239"/>
      <c r="BG32" s="177"/>
    </row>
    <row r="33" spans="5:58" s="177" customFormat="1" ht="16.350000000000001" customHeight="1">
      <c r="E33" s="285"/>
      <c r="F33" s="239"/>
      <c r="G33" s="239"/>
      <c r="I33" s="304"/>
      <c r="J33" s="264"/>
      <c r="K33" s="265"/>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39"/>
      <c r="BE33" s="239"/>
      <c r="BF33" s="239"/>
    </row>
    <row r="34" spans="5:58" s="177" customFormat="1" ht="18">
      <c r="E34" s="285"/>
      <c r="F34" s="286"/>
      <c r="G34" s="286"/>
      <c r="H34" s="287" t="s">
        <v>731</v>
      </c>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305"/>
      <c r="BA34" s="305"/>
      <c r="BB34" s="305"/>
      <c r="BC34" s="239"/>
      <c r="BD34" s="239"/>
      <c r="BE34" s="239"/>
      <c r="BF34" s="239"/>
    </row>
    <row r="35" spans="5:58" s="177" customFormat="1" ht="16.350000000000001" hidden="1" customHeight="1">
      <c r="E35" s="285"/>
      <c r="F35" s="239"/>
      <c r="G35" s="239"/>
      <c r="I35" s="60"/>
      <c r="J35" s="264"/>
      <c r="K35" s="264"/>
      <c r="L35" s="60"/>
      <c r="M35" s="264"/>
      <c r="N35" s="264"/>
      <c r="O35" s="264"/>
      <c r="P35" s="264"/>
      <c r="Q35" s="264"/>
      <c r="R35" s="60"/>
      <c r="S35" s="60"/>
      <c r="AB35" s="60"/>
      <c r="AC35" s="60"/>
      <c r="AD35" s="60"/>
      <c r="AE35" s="60"/>
      <c r="AF35" s="60"/>
      <c r="AG35" s="60"/>
      <c r="AH35" s="60"/>
      <c r="AI35" s="60"/>
      <c r="AJ35" s="60"/>
      <c r="AK35" s="60"/>
      <c r="AL35" s="60"/>
      <c r="AM35" s="60"/>
      <c r="AN35" s="60"/>
      <c r="AO35" s="60"/>
      <c r="AP35" s="60"/>
      <c r="AQ35" s="60"/>
      <c r="AR35" s="60"/>
      <c r="AS35" s="60"/>
      <c r="AT35" s="60"/>
      <c r="AU35" s="60"/>
      <c r="AV35" s="60"/>
      <c r="AW35" s="60"/>
    </row>
    <row r="36" spans="5:58" s="177" customFormat="1" ht="16.350000000000001" customHeight="1">
      <c r="E36" s="285"/>
      <c r="F36" s="239"/>
      <c r="G36" s="239"/>
      <c r="I36" s="60"/>
      <c r="J36" s="264"/>
      <c r="K36" s="264"/>
      <c r="L36" s="60"/>
      <c r="P36" s="810" t="s">
        <v>732</v>
      </c>
      <c r="Q36" s="810"/>
      <c r="R36" s="810"/>
      <c r="S36" s="810"/>
      <c r="T36" s="810"/>
      <c r="U36" s="810"/>
      <c r="V36" s="306"/>
      <c r="W36" s="306"/>
      <c r="X36" s="307"/>
      <c r="Y36" s="307"/>
      <c r="Z36" s="307"/>
      <c r="AA36" s="285"/>
      <c r="AB36" s="306" t="s">
        <v>733</v>
      </c>
      <c r="AC36" s="306"/>
      <c r="AD36" s="306"/>
      <c r="AE36" s="306"/>
      <c r="AF36" s="285"/>
      <c r="AG36" s="297" t="s">
        <v>734</v>
      </c>
      <c r="AH36" s="297"/>
      <c r="AI36" s="297"/>
      <c r="AJ36" s="297"/>
      <c r="AK36" s="285"/>
      <c r="AL36" s="285"/>
      <c r="AM36" s="297" t="s">
        <v>735</v>
      </c>
      <c r="AN36" s="267"/>
      <c r="AO36" s="267"/>
      <c r="AP36" s="267"/>
      <c r="AQ36" s="60"/>
      <c r="AR36" s="60"/>
      <c r="AS36" s="60"/>
      <c r="AT36" s="60"/>
    </row>
    <row r="37" spans="5:58" s="177" customFormat="1" ht="16.350000000000001" customHeight="1" thickBot="1">
      <c r="P37" s="817"/>
      <c r="Q37" s="818"/>
      <c r="R37" s="818"/>
      <c r="S37" s="818"/>
      <c r="T37" s="818"/>
      <c r="U37" s="818"/>
      <c r="V37" s="818"/>
      <c r="W37" s="818"/>
      <c r="X37" s="818"/>
      <c r="Y37" s="818"/>
      <c r="Z37" s="819"/>
      <c r="AA37" s="285"/>
      <c r="AB37" s="830"/>
      <c r="AC37" s="831"/>
      <c r="AD37" s="831"/>
      <c r="AE37" s="832"/>
      <c r="AF37" s="285"/>
      <c r="AG37" s="824"/>
      <c r="AH37" s="825"/>
      <c r="AI37" s="825"/>
      <c r="AJ37" s="826"/>
      <c r="AK37" s="285"/>
      <c r="AL37" s="285"/>
      <c r="AM37" s="811"/>
      <c r="AN37" s="812"/>
      <c r="AO37" s="812"/>
      <c r="AP37" s="812"/>
      <c r="AQ37" s="812"/>
      <c r="AR37" s="812"/>
      <c r="AS37" s="812"/>
      <c r="AT37" s="812"/>
      <c r="AU37" s="812"/>
      <c r="AV37" s="812"/>
      <c r="AW37" s="813"/>
    </row>
    <row r="38" spans="5:58" s="177" customFormat="1" ht="12" customHeight="1">
      <c r="E38" s="285"/>
      <c r="F38" s="285"/>
      <c r="G38" s="285"/>
      <c r="I38" s="285"/>
      <c r="J38" s="264"/>
      <c r="K38" s="264"/>
      <c r="L38" s="60"/>
      <c r="P38" s="301"/>
      <c r="Q38" s="292"/>
      <c r="R38" s="292"/>
      <c r="S38" s="292"/>
      <c r="T38" s="292"/>
      <c r="U38" s="292"/>
      <c r="V38" s="292"/>
      <c r="W38" s="292"/>
      <c r="X38" s="292"/>
      <c r="Y38" s="292"/>
      <c r="Z38" s="261" t="str">
        <f ca="1">M02S02F17disp</f>
        <v>Required</v>
      </c>
      <c r="AA38" s="285"/>
      <c r="AB38" s="301"/>
      <c r="AC38" s="292"/>
      <c r="AD38" s="292"/>
      <c r="AE38" s="261" t="str">
        <f ca="1">M02S02F18disp</f>
        <v>Required</v>
      </c>
      <c r="AF38" s="285"/>
      <c r="AG38" s="301"/>
      <c r="AH38" s="301"/>
      <c r="AI38" s="301"/>
      <c r="AJ38" s="261" t="str" cm="1">
        <f t="array" aca="1" ref="AJ38" ca="1">M02S02F32disp</f>
        <v/>
      </c>
      <c r="AK38" s="285"/>
      <c r="AL38" s="285"/>
      <c r="AM38" s="301"/>
      <c r="AN38" s="301"/>
      <c r="AO38" s="301"/>
      <c r="AP38" s="301"/>
      <c r="AQ38" s="301"/>
      <c r="AR38" s="301"/>
      <c r="AS38" s="301"/>
      <c r="AT38" s="301"/>
      <c r="AU38" s="301"/>
      <c r="AV38" s="301"/>
      <c r="AW38" s="261" t="str">
        <f ca="1">M02S02F19disp</f>
        <v>Required</v>
      </c>
    </row>
    <row r="39" spans="5:58" s="177" customFormat="1" ht="12" customHeight="1">
      <c r="E39" s="285"/>
      <c r="F39" s="285"/>
      <c r="G39" s="285"/>
      <c r="I39" s="285"/>
      <c r="J39" s="264"/>
      <c r="K39" s="264"/>
      <c r="L39" s="60"/>
      <c r="P39" s="264"/>
      <c r="Q39" s="264"/>
      <c r="R39" s="264"/>
      <c r="S39" s="264"/>
      <c r="T39" s="264"/>
      <c r="U39" s="60"/>
      <c r="V39" s="60"/>
      <c r="W39" s="60"/>
      <c r="X39" s="60"/>
      <c r="Y39" s="60"/>
      <c r="Z39" s="60"/>
      <c r="AA39" s="60"/>
      <c r="AB39" s="60"/>
      <c r="AC39" s="60"/>
      <c r="AD39" s="60"/>
      <c r="AE39" s="60"/>
      <c r="AF39" s="264"/>
      <c r="AG39" s="264"/>
      <c r="AH39" s="239"/>
      <c r="AI39" s="239"/>
      <c r="AJ39" s="239"/>
      <c r="AK39" s="239"/>
      <c r="AL39" s="239"/>
      <c r="AM39" s="60"/>
      <c r="AN39" s="60"/>
      <c r="AO39" s="60"/>
      <c r="AP39" s="60"/>
      <c r="AQ39" s="60"/>
      <c r="AR39" s="60"/>
      <c r="AS39" s="60"/>
      <c r="AT39" s="60"/>
      <c r="AU39" s="60"/>
    </row>
    <row r="40" spans="5:58" s="177" customFormat="1" ht="16.350000000000001" customHeight="1">
      <c r="E40" s="285"/>
      <c r="F40" s="239"/>
      <c r="G40" s="239"/>
      <c r="I40" s="60"/>
      <c r="J40" s="264"/>
      <c r="K40" s="264"/>
      <c r="L40" s="60"/>
      <c r="P40" s="803" t="s">
        <v>736</v>
      </c>
      <c r="Q40" s="803"/>
      <c r="R40" s="803"/>
      <c r="S40" s="803"/>
      <c r="T40" s="803"/>
      <c r="U40" s="803"/>
      <c r="V40" s="297"/>
      <c r="W40" s="297" t="s">
        <v>737</v>
      </c>
      <c r="X40" s="297"/>
      <c r="Y40" s="297"/>
      <c r="Z40" s="297"/>
      <c r="AA40" s="308"/>
      <c r="AB40" s="297" t="s">
        <v>738</v>
      </c>
      <c r="AC40" s="297"/>
      <c r="AD40" s="297"/>
      <c r="AE40" s="308"/>
      <c r="AG40" s="297" t="s">
        <v>739</v>
      </c>
      <c r="AH40" s="297"/>
      <c r="AI40" s="308"/>
      <c r="AJ40" s="308"/>
      <c r="AK40" s="308"/>
      <c r="AL40" s="308"/>
      <c r="AM40" s="297" t="s">
        <v>740</v>
      </c>
      <c r="AN40" s="297"/>
      <c r="AO40" s="297"/>
      <c r="AP40" s="297"/>
      <c r="AQ40" s="297"/>
      <c r="AR40" s="297"/>
      <c r="AS40" s="60"/>
    </row>
    <row r="41" spans="5:58" s="177" customFormat="1" ht="16.350000000000001" customHeight="1" thickBot="1">
      <c r="E41" s="285"/>
      <c r="F41" s="239"/>
      <c r="G41" s="239"/>
      <c r="I41" s="60"/>
      <c r="J41" s="264"/>
      <c r="K41" s="264"/>
      <c r="L41" s="60"/>
      <c r="P41" s="824"/>
      <c r="Q41" s="825"/>
      <c r="R41" s="825"/>
      <c r="S41" s="825"/>
      <c r="T41" s="825"/>
      <c r="U41" s="826"/>
      <c r="V41" s="309"/>
      <c r="W41" s="837"/>
      <c r="X41" s="838"/>
      <c r="Y41" s="838"/>
      <c r="Z41" s="839"/>
      <c r="AA41" s="310"/>
      <c r="AB41" s="855"/>
      <c r="AC41" s="856"/>
      <c r="AD41" s="857"/>
      <c r="AE41" s="310"/>
      <c r="AG41" s="824"/>
      <c r="AH41" s="825"/>
      <c r="AI41" s="825"/>
      <c r="AJ41" s="826"/>
      <c r="AM41" s="852"/>
      <c r="AN41" s="853"/>
      <c r="AO41" s="853"/>
      <c r="AP41" s="853"/>
      <c r="AQ41" s="853"/>
      <c r="AR41" s="854"/>
      <c r="AS41" s="60"/>
    </row>
    <row r="42" spans="5:58" s="177" customFormat="1" ht="12" customHeight="1">
      <c r="E42" s="285"/>
      <c r="F42" s="239"/>
      <c r="G42" s="239"/>
      <c r="I42" s="60"/>
      <c r="J42" s="264"/>
      <c r="K42" s="264"/>
      <c r="L42" s="60"/>
      <c r="P42" s="301"/>
      <c r="Q42" s="301"/>
      <c r="R42" s="301"/>
      <c r="S42" s="301"/>
      <c r="T42" s="301"/>
      <c r="U42" s="261" t="str">
        <f ca="1">M02S02F20disp</f>
        <v>Required</v>
      </c>
      <c r="V42" s="60"/>
      <c r="W42" s="301"/>
      <c r="X42" s="301"/>
      <c r="Y42" s="301"/>
      <c r="Z42" s="261" t="str">
        <f ca="1">M02S02F21disp</f>
        <v>Required</v>
      </c>
      <c r="AB42" s="301"/>
      <c r="AC42" s="301"/>
      <c r="AD42" s="261" t="str">
        <f ca="1">M02S02F22disp</f>
        <v>Required</v>
      </c>
      <c r="AG42" s="301"/>
      <c r="AH42" s="301"/>
      <c r="AI42" s="301"/>
      <c r="AJ42" s="261" t="str">
        <f ca="1">M02S02F23disp</f>
        <v>Required</v>
      </c>
      <c r="AM42" s="301"/>
      <c r="AN42" s="301"/>
      <c r="AO42" s="301"/>
      <c r="AP42" s="301"/>
      <c r="AQ42" s="301"/>
      <c r="AR42" s="261" t="str">
        <f ca="1">M02S02F24disp</f>
        <v>Required</v>
      </c>
      <c r="AS42" s="60"/>
    </row>
    <row r="43" spans="5:58" s="177" customFormat="1" ht="12" customHeight="1">
      <c r="E43" s="285"/>
      <c r="F43" s="239"/>
      <c r="G43" s="239"/>
      <c r="I43" s="264"/>
      <c r="J43" s="264"/>
      <c r="K43" s="264"/>
      <c r="L43" s="264"/>
      <c r="M43" s="264"/>
      <c r="N43" s="264"/>
      <c r="O43" s="264"/>
      <c r="P43" s="264"/>
      <c r="Q43" s="264"/>
      <c r="R43" s="264"/>
      <c r="S43" s="264"/>
      <c r="T43" s="264"/>
      <c r="U43" s="264"/>
      <c r="V43" s="264"/>
      <c r="W43" s="264"/>
      <c r="X43" s="264"/>
      <c r="Y43" s="264"/>
      <c r="Z43" s="264"/>
      <c r="AA43" s="264"/>
      <c r="AB43" s="264"/>
      <c r="AC43" s="264"/>
      <c r="AD43" s="264"/>
      <c r="AE43" s="264"/>
      <c r="AF43" s="264"/>
      <c r="AG43" s="264"/>
      <c r="AH43" s="264"/>
      <c r="AI43" s="264"/>
      <c r="AJ43" s="264"/>
      <c r="AK43" s="264"/>
      <c r="AL43" s="264"/>
      <c r="AM43" s="264"/>
      <c r="AP43" s="264"/>
      <c r="AQ43" s="264"/>
      <c r="AR43" s="264"/>
      <c r="AS43" s="264"/>
      <c r="AT43" s="264"/>
      <c r="AU43" s="264"/>
      <c r="AV43" s="264"/>
      <c r="AW43" s="264"/>
      <c r="AX43" s="265"/>
    </row>
    <row r="44" spans="5:58" s="177" customFormat="1" ht="18">
      <c r="E44" s="285"/>
      <c r="F44" s="286"/>
      <c r="G44" s="286"/>
      <c r="H44" s="287" t="s">
        <v>741</v>
      </c>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287"/>
      <c r="AV44" s="287"/>
      <c r="AW44" s="287"/>
      <c r="AX44" s="287"/>
      <c r="AY44" s="287"/>
      <c r="AZ44" s="305"/>
      <c r="BA44" s="305"/>
      <c r="BB44" s="305"/>
    </row>
    <row r="45" spans="5:58" s="177" customFormat="1" ht="16.350000000000001" customHeight="1">
      <c r="E45" s="285"/>
      <c r="F45" s="239"/>
      <c r="G45" s="239"/>
      <c r="I45" s="60"/>
      <c r="J45" s="60"/>
      <c r="K45" s="60"/>
      <c r="L45" s="60"/>
      <c r="M45" s="60"/>
      <c r="N45" s="60"/>
      <c r="O45" s="60"/>
      <c r="P45" s="60"/>
      <c r="Q45" s="60"/>
      <c r="R45" s="60"/>
      <c r="S45" s="60"/>
      <c r="T45" s="60"/>
      <c r="U45" s="60"/>
      <c r="V45" s="60"/>
      <c r="W45" s="60"/>
      <c r="X45" s="60"/>
      <c r="Y45" s="60"/>
      <c r="Z45" s="60"/>
      <c r="AA45" s="60"/>
      <c r="AB45" s="60"/>
      <c r="AC45" s="60"/>
      <c r="AD45" s="60"/>
      <c r="AE45" s="60"/>
      <c r="AF45" s="297" t="s">
        <v>742</v>
      </c>
      <c r="AG45" s="60"/>
      <c r="AI45" s="60"/>
      <c r="AJ45" s="60"/>
      <c r="AK45" s="60"/>
      <c r="AL45" s="60"/>
      <c r="AM45" s="60"/>
      <c r="AN45" s="60"/>
      <c r="AO45" s="60"/>
      <c r="AP45" s="60"/>
      <c r="AQ45" s="60"/>
      <c r="AR45" s="60"/>
      <c r="AS45" s="60"/>
      <c r="AT45" s="60"/>
      <c r="AU45" s="60"/>
      <c r="AV45" s="60"/>
      <c r="AW45" s="60"/>
      <c r="AX45" s="60"/>
    </row>
    <row r="46" spans="5:58" s="177" customFormat="1" ht="16.350000000000001" customHeight="1">
      <c r="E46" s="239"/>
      <c r="F46" s="239"/>
      <c r="G46" s="239"/>
      <c r="I46" s="60"/>
      <c r="J46" s="836" t="s">
        <v>743</v>
      </c>
      <c r="K46" s="836"/>
      <c r="L46" s="836"/>
      <c r="M46" s="836"/>
      <c r="N46" s="836"/>
      <c r="O46" s="836"/>
      <c r="P46" s="297"/>
      <c r="Q46" s="297"/>
      <c r="R46" s="297" t="s">
        <v>744</v>
      </c>
      <c r="S46" s="297"/>
      <c r="T46" s="297"/>
      <c r="U46" s="297"/>
      <c r="V46" s="297"/>
      <c r="W46" s="297"/>
      <c r="X46" s="297"/>
      <c r="Y46" s="297"/>
      <c r="Z46" s="297"/>
      <c r="AA46" s="297"/>
      <c r="AB46" s="297"/>
      <c r="AC46" s="297"/>
      <c r="AD46" s="297"/>
      <c r="AE46" s="60"/>
      <c r="AF46" s="843"/>
      <c r="AG46" s="844"/>
      <c r="AH46" s="844"/>
      <c r="AI46" s="844"/>
      <c r="AJ46" s="844"/>
      <c r="AK46" s="844"/>
      <c r="AL46" s="844"/>
      <c r="AM46" s="844"/>
      <c r="AN46" s="844"/>
      <c r="AO46" s="844"/>
      <c r="AP46" s="844"/>
      <c r="AQ46" s="844"/>
      <c r="AR46" s="844"/>
      <c r="AS46" s="844"/>
      <c r="AT46" s="844"/>
      <c r="AU46" s="844"/>
      <c r="AV46" s="844"/>
      <c r="AW46" s="844"/>
      <c r="AX46" s="845"/>
    </row>
    <row r="47" spans="5:58" s="177" customFormat="1" ht="16.350000000000001" customHeight="1" thickBot="1">
      <c r="E47" s="239"/>
      <c r="F47" s="239"/>
      <c r="G47" s="239"/>
      <c r="I47" s="60"/>
      <c r="J47" s="840"/>
      <c r="K47" s="841"/>
      <c r="L47" s="841"/>
      <c r="M47" s="841"/>
      <c r="N47" s="841"/>
      <c r="O47" s="841"/>
      <c r="P47" s="842"/>
      <c r="Q47" s="60"/>
      <c r="R47" s="827"/>
      <c r="S47" s="828"/>
      <c r="T47" s="828"/>
      <c r="U47" s="828"/>
      <c r="V47" s="828"/>
      <c r="W47" s="828"/>
      <c r="X47" s="828"/>
      <c r="Y47" s="828"/>
      <c r="Z47" s="828"/>
      <c r="AA47" s="828"/>
      <c r="AB47" s="828"/>
      <c r="AC47" s="828"/>
      <c r="AD47" s="829"/>
      <c r="AE47" s="60"/>
      <c r="AF47" s="846"/>
      <c r="AG47" s="847"/>
      <c r="AH47" s="847"/>
      <c r="AI47" s="847"/>
      <c r="AJ47" s="847"/>
      <c r="AK47" s="847"/>
      <c r="AL47" s="847"/>
      <c r="AM47" s="847"/>
      <c r="AN47" s="847"/>
      <c r="AO47" s="847"/>
      <c r="AP47" s="847"/>
      <c r="AQ47" s="847"/>
      <c r="AR47" s="847"/>
      <c r="AS47" s="847"/>
      <c r="AT47" s="847"/>
      <c r="AU47" s="847"/>
      <c r="AV47" s="847"/>
      <c r="AW47" s="847"/>
      <c r="AX47" s="848"/>
    </row>
    <row r="48" spans="5:58" s="177" customFormat="1" ht="12" customHeight="1">
      <c r="E48" s="239"/>
      <c r="F48" s="239"/>
      <c r="G48" s="239"/>
      <c r="I48" s="60"/>
      <c r="J48" s="301"/>
      <c r="K48" s="301"/>
      <c r="L48" s="301"/>
      <c r="M48" s="301"/>
      <c r="N48" s="301"/>
      <c r="O48" s="301"/>
      <c r="P48" s="261" t="str">
        <f ca="1">M02S02F25disp</f>
        <v>Required</v>
      </c>
      <c r="Q48" s="60"/>
      <c r="R48" s="301"/>
      <c r="S48" s="301"/>
      <c r="T48" s="301"/>
      <c r="U48" s="301"/>
      <c r="V48" s="301"/>
      <c r="W48" s="301"/>
      <c r="X48" s="301"/>
      <c r="Y48" s="301"/>
      <c r="Z48" s="301"/>
      <c r="AA48" s="301"/>
      <c r="AB48" s="301"/>
      <c r="AC48" s="301"/>
      <c r="AD48" s="261" t="str">
        <f ca="1">M02S02F26disp</f>
        <v>Required</v>
      </c>
      <c r="AE48" s="60"/>
      <c r="AF48" s="846"/>
      <c r="AG48" s="847"/>
      <c r="AH48" s="847"/>
      <c r="AI48" s="847"/>
      <c r="AJ48" s="847"/>
      <c r="AK48" s="847"/>
      <c r="AL48" s="847"/>
      <c r="AM48" s="847"/>
      <c r="AN48" s="847"/>
      <c r="AO48" s="847"/>
      <c r="AP48" s="847"/>
      <c r="AQ48" s="847"/>
      <c r="AR48" s="847"/>
      <c r="AS48" s="847"/>
      <c r="AT48" s="847"/>
      <c r="AU48" s="847"/>
      <c r="AV48" s="847"/>
      <c r="AW48" s="847"/>
      <c r="AX48" s="848"/>
    </row>
    <row r="49" spans="5:58" s="177" customFormat="1" ht="12" customHeight="1">
      <c r="E49" s="239"/>
      <c r="F49" s="239"/>
      <c r="G49" s="239"/>
      <c r="I49" s="60"/>
      <c r="AF49" s="846"/>
      <c r="AG49" s="847"/>
      <c r="AH49" s="847"/>
      <c r="AI49" s="847"/>
      <c r="AJ49" s="847"/>
      <c r="AK49" s="847"/>
      <c r="AL49" s="847"/>
      <c r="AM49" s="847"/>
      <c r="AN49" s="847"/>
      <c r="AO49" s="847"/>
      <c r="AP49" s="847"/>
      <c r="AQ49" s="847"/>
      <c r="AR49" s="847"/>
      <c r="AS49" s="847"/>
      <c r="AT49" s="847"/>
      <c r="AU49" s="847"/>
      <c r="AV49" s="847"/>
      <c r="AW49" s="847"/>
      <c r="AX49" s="848"/>
    </row>
    <row r="50" spans="5:58" s="177" customFormat="1" ht="16.350000000000001" customHeight="1">
      <c r="E50" s="239"/>
      <c r="F50" s="239"/>
      <c r="G50" s="239"/>
      <c r="I50" s="60"/>
      <c r="J50" s="297" t="s">
        <v>745</v>
      </c>
      <c r="K50" s="297"/>
      <c r="L50" s="297"/>
      <c r="M50" s="297"/>
      <c r="N50" s="297"/>
      <c r="O50" s="297"/>
      <c r="P50" s="297"/>
      <c r="Q50" s="297"/>
      <c r="R50" s="297" t="s">
        <v>746</v>
      </c>
      <c r="S50" s="297"/>
      <c r="T50" s="297"/>
      <c r="U50" s="297"/>
      <c r="V50" s="297"/>
      <c r="W50" s="297"/>
      <c r="X50" s="297"/>
      <c r="Y50" s="297" t="s">
        <v>747</v>
      </c>
      <c r="Z50" s="297"/>
      <c r="AA50" s="297"/>
      <c r="AB50" s="297"/>
      <c r="AC50" s="60"/>
      <c r="AD50" s="60"/>
      <c r="AF50" s="846"/>
      <c r="AG50" s="847"/>
      <c r="AH50" s="847"/>
      <c r="AI50" s="847"/>
      <c r="AJ50" s="847"/>
      <c r="AK50" s="847"/>
      <c r="AL50" s="847"/>
      <c r="AM50" s="847"/>
      <c r="AN50" s="847"/>
      <c r="AO50" s="847"/>
      <c r="AP50" s="847"/>
      <c r="AQ50" s="847"/>
      <c r="AR50" s="847"/>
      <c r="AS50" s="847"/>
      <c r="AT50" s="847"/>
      <c r="AU50" s="847"/>
      <c r="AV50" s="847"/>
      <c r="AW50" s="847"/>
      <c r="AX50" s="848"/>
    </row>
    <row r="51" spans="5:58" s="177" customFormat="1" ht="16.350000000000001" customHeight="1" thickBot="1">
      <c r="I51" s="60"/>
      <c r="J51" s="833"/>
      <c r="K51" s="834"/>
      <c r="L51" s="834"/>
      <c r="M51" s="834"/>
      <c r="N51" s="834"/>
      <c r="O51" s="834"/>
      <c r="P51" s="835"/>
      <c r="Q51" s="60"/>
      <c r="R51" s="821"/>
      <c r="S51" s="822"/>
      <c r="T51" s="822"/>
      <c r="U51" s="822"/>
      <c r="V51" s="822"/>
      <c r="W51" s="823"/>
      <c r="X51" s="60"/>
      <c r="Y51" s="821"/>
      <c r="Z51" s="822"/>
      <c r="AA51" s="822"/>
      <c r="AB51" s="822"/>
      <c r="AC51" s="822"/>
      <c r="AD51" s="823"/>
      <c r="AF51" s="846"/>
      <c r="AG51" s="847"/>
      <c r="AH51" s="847"/>
      <c r="AI51" s="847"/>
      <c r="AJ51" s="847"/>
      <c r="AK51" s="847"/>
      <c r="AL51" s="847"/>
      <c r="AM51" s="847"/>
      <c r="AN51" s="847"/>
      <c r="AO51" s="847"/>
      <c r="AP51" s="847"/>
      <c r="AQ51" s="847"/>
      <c r="AR51" s="847"/>
      <c r="AS51" s="847"/>
      <c r="AT51" s="847"/>
      <c r="AU51" s="847"/>
      <c r="AV51" s="847"/>
      <c r="AW51" s="847"/>
      <c r="AX51" s="848"/>
      <c r="AY51" s="311"/>
      <c r="AZ51" s="311"/>
      <c r="BA51" s="311"/>
      <c r="BB51" s="311"/>
      <c r="BC51" s="311"/>
      <c r="BD51" s="311"/>
      <c r="BE51" s="60"/>
      <c r="BF51" s="60"/>
    </row>
    <row r="52" spans="5:58" s="177" customFormat="1" ht="12" customHeight="1">
      <c r="I52" s="60"/>
      <c r="J52" s="301"/>
      <c r="K52" s="301"/>
      <c r="L52" s="301"/>
      <c r="M52" s="301"/>
      <c r="N52" s="301"/>
      <c r="O52" s="301"/>
      <c r="P52" s="261" t="str">
        <f ca="1">M02S02F27disp</f>
        <v>Required</v>
      </c>
      <c r="R52" s="301"/>
      <c r="S52" s="301"/>
      <c r="T52" s="301"/>
      <c r="U52" s="301"/>
      <c r="V52" s="301"/>
      <c r="W52" s="261" t="str">
        <f ca="1">M02S02F28disp</f>
        <v>Required</v>
      </c>
      <c r="X52" s="60"/>
      <c r="Y52" s="301"/>
      <c r="Z52" s="301"/>
      <c r="AA52" s="301"/>
      <c r="AB52" s="301"/>
      <c r="AC52" s="301"/>
      <c r="AD52" s="261" t="str">
        <f ca="1">M02S02F29disp</f>
        <v>Required</v>
      </c>
      <c r="AF52" s="846"/>
      <c r="AG52" s="847"/>
      <c r="AH52" s="847"/>
      <c r="AI52" s="847"/>
      <c r="AJ52" s="847"/>
      <c r="AK52" s="847"/>
      <c r="AL52" s="847"/>
      <c r="AM52" s="847"/>
      <c r="AN52" s="847"/>
      <c r="AO52" s="847"/>
      <c r="AP52" s="847"/>
      <c r="AQ52" s="847"/>
      <c r="AR52" s="847"/>
      <c r="AS52" s="847"/>
      <c r="AT52" s="847"/>
      <c r="AU52" s="847"/>
      <c r="AV52" s="847"/>
      <c r="AW52" s="847"/>
      <c r="AX52" s="848"/>
      <c r="AY52" s="60"/>
      <c r="AZ52" s="60"/>
      <c r="BA52" s="60"/>
      <c r="BB52" s="60"/>
      <c r="BC52" s="60"/>
      <c r="BD52" s="60"/>
      <c r="BE52" s="60"/>
      <c r="BF52" s="60"/>
    </row>
    <row r="53" spans="5:58" s="177" customFormat="1" ht="12" customHeight="1">
      <c r="I53" s="60"/>
      <c r="J53" s="60"/>
      <c r="K53" s="60"/>
      <c r="R53" s="60"/>
      <c r="S53" s="60"/>
      <c r="T53" s="60"/>
      <c r="U53" s="60"/>
      <c r="V53" s="60"/>
      <c r="W53" s="60"/>
      <c r="X53" s="60"/>
      <c r="Y53" s="60"/>
      <c r="Z53" s="60"/>
      <c r="AA53" s="60"/>
      <c r="AB53" s="60"/>
      <c r="AC53" s="60"/>
      <c r="AD53" s="60"/>
      <c r="AF53" s="846"/>
      <c r="AG53" s="847"/>
      <c r="AH53" s="847"/>
      <c r="AI53" s="847"/>
      <c r="AJ53" s="847"/>
      <c r="AK53" s="847"/>
      <c r="AL53" s="847"/>
      <c r="AM53" s="847"/>
      <c r="AN53" s="847"/>
      <c r="AO53" s="847"/>
      <c r="AP53" s="847"/>
      <c r="AQ53" s="847"/>
      <c r="AR53" s="847"/>
      <c r="AS53" s="847"/>
      <c r="AT53" s="847"/>
      <c r="AU53" s="847"/>
      <c r="AV53" s="847"/>
      <c r="AW53" s="847"/>
      <c r="AX53" s="848"/>
      <c r="AY53" s="60"/>
      <c r="AZ53" s="60"/>
      <c r="BA53" s="60"/>
      <c r="BB53" s="60"/>
      <c r="BC53" s="60"/>
      <c r="BD53" s="60"/>
      <c r="BE53" s="60"/>
      <c r="BF53" s="60"/>
    </row>
    <row r="54" spans="5:58" s="177" customFormat="1" ht="16.350000000000001" customHeight="1">
      <c r="I54" s="60"/>
      <c r="J54" s="60"/>
      <c r="K54" s="60"/>
      <c r="R54" s="60"/>
      <c r="S54" s="60"/>
      <c r="T54" s="60"/>
      <c r="U54" s="60"/>
      <c r="V54" s="60"/>
      <c r="W54" s="60"/>
      <c r="X54" s="60"/>
      <c r="Y54" s="297" t="s">
        <v>748</v>
      </c>
      <c r="Z54" s="60"/>
      <c r="AA54" s="297"/>
      <c r="AB54" s="60"/>
      <c r="AC54" s="60"/>
      <c r="AD54" s="60"/>
      <c r="AE54" s="60"/>
      <c r="AF54" s="846"/>
      <c r="AG54" s="847"/>
      <c r="AH54" s="847"/>
      <c r="AI54" s="847"/>
      <c r="AJ54" s="847"/>
      <c r="AK54" s="847"/>
      <c r="AL54" s="847"/>
      <c r="AM54" s="847"/>
      <c r="AN54" s="847"/>
      <c r="AO54" s="847"/>
      <c r="AP54" s="847"/>
      <c r="AQ54" s="847"/>
      <c r="AR54" s="847"/>
      <c r="AS54" s="847"/>
      <c r="AT54" s="847"/>
      <c r="AU54" s="847"/>
      <c r="AV54" s="847"/>
      <c r="AW54" s="847"/>
      <c r="AX54" s="848"/>
    </row>
    <row r="55" spans="5:58" s="177" customFormat="1" ht="16.350000000000001" customHeight="1" thickBot="1">
      <c r="I55" s="60"/>
      <c r="J55" s="60"/>
      <c r="K55" s="60"/>
      <c r="R55" s="60"/>
      <c r="S55" s="60"/>
      <c r="T55" s="60"/>
      <c r="U55" s="60"/>
      <c r="V55" s="60"/>
      <c r="W55" s="60"/>
      <c r="X55" s="60"/>
      <c r="Y55" s="821"/>
      <c r="Z55" s="822"/>
      <c r="AA55" s="822"/>
      <c r="AB55" s="822"/>
      <c r="AC55" s="822"/>
      <c r="AD55" s="823"/>
      <c r="AE55" s="60"/>
      <c r="AF55" s="849"/>
      <c r="AG55" s="850"/>
      <c r="AH55" s="850"/>
      <c r="AI55" s="850"/>
      <c r="AJ55" s="850"/>
      <c r="AK55" s="850"/>
      <c r="AL55" s="850"/>
      <c r="AM55" s="850"/>
      <c r="AN55" s="850"/>
      <c r="AO55" s="850"/>
      <c r="AP55" s="850"/>
      <c r="AQ55" s="850"/>
      <c r="AR55" s="850"/>
      <c r="AS55" s="850"/>
      <c r="AT55" s="850"/>
      <c r="AU55" s="850"/>
      <c r="AV55" s="850"/>
      <c r="AW55" s="850"/>
      <c r="AX55" s="851"/>
    </row>
    <row r="56" spans="5:58" s="177" customFormat="1" ht="12" customHeight="1">
      <c r="J56" s="267"/>
      <c r="K56" s="60"/>
      <c r="L56" s="60"/>
      <c r="S56" s="60"/>
      <c r="T56" s="60"/>
      <c r="U56" s="60"/>
      <c r="V56" s="60"/>
      <c r="W56" s="60"/>
      <c r="X56" s="60"/>
      <c r="Y56" s="301"/>
      <c r="Z56" s="301"/>
      <c r="AA56" s="301"/>
      <c r="AB56" s="301"/>
      <c r="AC56" s="301"/>
      <c r="AD56" s="261" t="str">
        <f ca="1">M02S02F30disp</f>
        <v>Required</v>
      </c>
      <c r="AE56" s="60"/>
      <c r="AF56" s="479"/>
      <c r="AG56" s="479"/>
      <c r="AH56" s="479"/>
      <c r="AI56" s="479"/>
      <c r="AJ56" s="479"/>
      <c r="AK56" s="479"/>
      <c r="AL56" s="479"/>
      <c r="AM56" s="479"/>
      <c r="AN56" s="479"/>
      <c r="AO56" s="479"/>
      <c r="AP56" s="479"/>
      <c r="AQ56" s="479"/>
      <c r="AR56" s="479"/>
      <c r="AS56" s="479"/>
      <c r="AT56" s="479"/>
      <c r="AU56" s="479"/>
      <c r="AV56" s="479"/>
      <c r="AW56" s="479"/>
      <c r="AX56" s="316" t="str">
        <f ca="1">M02S02F31disp</f>
        <v>Required</v>
      </c>
      <c r="AY56" s="60"/>
      <c r="AZ56" s="60"/>
      <c r="BA56" s="60"/>
      <c r="BB56" s="60"/>
      <c r="BC56" s="60"/>
      <c r="BD56" s="60"/>
      <c r="BE56" s="60"/>
      <c r="BF56" s="60"/>
    </row>
    <row r="57" spans="5:58" s="177" customFormat="1" ht="16.350000000000001" customHeight="1">
      <c r="AY57" s="60"/>
      <c r="AZ57" s="60"/>
      <c r="BA57" s="60"/>
      <c r="BB57" s="60"/>
      <c r="BC57" s="60"/>
      <c r="BD57" s="60"/>
      <c r="BE57" s="60"/>
      <c r="BF57" s="60"/>
    </row>
    <row r="58" spans="5:58" s="177" customFormat="1" ht="16.350000000000001" customHeight="1">
      <c r="AY58" s="60"/>
      <c r="AZ58" s="60"/>
      <c r="BA58" s="60"/>
      <c r="BB58" s="60"/>
      <c r="BC58" s="60"/>
      <c r="BD58" s="60"/>
      <c r="BE58" s="60"/>
      <c r="BF58" s="60"/>
    </row>
    <row r="59" spans="5:58" s="177" customFormat="1" ht="15" hidden="1" customHeight="1">
      <c r="AY59" s="60"/>
      <c r="AZ59" s="60"/>
      <c r="BA59" s="60"/>
      <c r="BB59" s="60"/>
      <c r="BC59" s="60"/>
      <c r="BD59" s="60"/>
      <c r="BE59" s="60"/>
      <c r="BF59" s="60"/>
    </row>
    <row r="60" spans="5:58" s="177" customFormat="1" ht="16.350000000000001" hidden="1" customHeight="1">
      <c r="AY60" s="60"/>
      <c r="AZ60" s="60"/>
      <c r="BA60" s="60"/>
      <c r="BB60" s="60"/>
      <c r="BC60" s="60"/>
      <c r="BD60" s="60"/>
      <c r="BE60" s="60"/>
      <c r="BF60" s="60"/>
    </row>
    <row r="61" spans="5:58" s="177" customFormat="1" ht="16.350000000000001" hidden="1" customHeight="1"/>
    <row r="62" spans="5:58" s="177" customFormat="1" ht="16.350000000000001" hidden="1" customHeight="1"/>
    <row r="63" spans="5:58" s="177" customFormat="1" ht="16.350000000000001" hidden="1" customHeight="1"/>
    <row r="64" spans="5:58" s="177" customFormat="1" ht="16.350000000000001" hidden="1" customHeight="1"/>
    <row r="65" s="177" customFormat="1" ht="16.350000000000001" hidden="1" customHeight="1"/>
    <row r="66" s="177" customFormat="1" ht="16.350000000000001" hidden="1" customHeight="1"/>
    <row r="67" s="177" customFormat="1" ht="16.350000000000001" hidden="1" customHeight="1"/>
    <row r="68" s="177" customFormat="1" ht="16.350000000000001" hidden="1" customHeight="1"/>
    <row r="69" s="177" customFormat="1" ht="16.350000000000001" hidden="1" customHeight="1"/>
    <row r="70" s="177" customFormat="1" ht="16.350000000000001" hidden="1" customHeight="1"/>
    <row r="71" s="177" customFormat="1" ht="16.350000000000001" hidden="1" customHeight="1"/>
    <row r="72" s="177" customFormat="1" ht="16.350000000000001" hidden="1" customHeight="1"/>
    <row r="73" s="177" customFormat="1" ht="16.350000000000001" hidden="1" customHeight="1"/>
    <row r="74" s="177" customFormat="1" ht="16.350000000000001" hidden="1" customHeight="1"/>
    <row r="75" s="177" customFormat="1" ht="16.350000000000001" hidden="1" customHeight="1"/>
    <row r="76" s="177" customFormat="1" ht="16.350000000000001" hidden="1" customHeight="1"/>
    <row r="77" s="177" customFormat="1" ht="16.350000000000001" hidden="1" customHeight="1"/>
    <row r="78" s="177" customFormat="1" ht="16.350000000000001" hidden="1" customHeight="1"/>
    <row r="79" s="177" customFormat="1" ht="16.350000000000001" hidden="1" customHeight="1"/>
    <row r="80" s="177" customFormat="1" ht="16.350000000000001" hidden="1" customHeight="1"/>
    <row r="81" s="177" customFormat="1" ht="16.350000000000001" hidden="1" customHeight="1"/>
    <row r="82" s="177" customFormat="1" ht="16.350000000000001" hidden="1" customHeight="1"/>
    <row r="83" s="177" customFormat="1" ht="16.350000000000001" hidden="1" customHeight="1"/>
    <row r="84" s="177" customFormat="1" ht="16.350000000000001" hidden="1" customHeight="1"/>
    <row r="85" s="177" customFormat="1" ht="16.350000000000001" hidden="1" customHeight="1"/>
    <row r="86" s="177" customFormat="1" ht="16.350000000000001" hidden="1" customHeight="1"/>
    <row r="87" s="177" customFormat="1" ht="16.350000000000001" hidden="1" customHeight="1"/>
    <row r="88" s="177" customFormat="1" ht="16.350000000000001" hidden="1" customHeight="1"/>
    <row r="89" s="177" customFormat="1" ht="16.350000000000001" hidden="1" customHeight="1"/>
    <row r="90" s="177" customFormat="1" ht="16.350000000000001" hidden="1" customHeight="1"/>
    <row r="91" s="177" customFormat="1" ht="16.350000000000001" hidden="1" customHeight="1"/>
    <row r="92" s="177" customFormat="1" ht="16.350000000000001" hidden="1" customHeight="1"/>
    <row r="93" s="177" customFormat="1" ht="16.350000000000001" hidden="1" customHeight="1"/>
    <row r="94" s="177" customFormat="1" ht="16.350000000000001" hidden="1" customHeight="1"/>
    <row r="95" s="177" customFormat="1" ht="16.350000000000001" hidden="1" customHeight="1"/>
    <row r="96" s="177" customFormat="1" ht="16.350000000000001" hidden="1" customHeight="1"/>
    <row r="97" s="177" customFormat="1" ht="16.350000000000001" hidden="1" customHeight="1"/>
    <row r="98" s="177" customFormat="1" ht="16.350000000000001" hidden="1" customHeight="1"/>
    <row r="99" s="177" customFormat="1" ht="16.350000000000001" hidden="1" customHeight="1"/>
    <row r="100" s="177" customFormat="1" ht="16.350000000000001" hidden="1" customHeight="1"/>
    <row r="101" s="177" customFormat="1" ht="16.350000000000001" hidden="1" customHeight="1"/>
    <row r="102" s="177" customFormat="1" ht="16.350000000000001" hidden="1" customHeight="1"/>
    <row r="103" s="177" customFormat="1" ht="16.350000000000001" hidden="1" customHeight="1"/>
    <row r="104" s="177" customFormat="1" ht="16.350000000000001" hidden="1" customHeight="1"/>
    <row r="105" s="177" customFormat="1" ht="16.350000000000001" hidden="1" customHeight="1"/>
    <row r="106" s="177" customFormat="1" ht="16.350000000000001" hidden="1" customHeight="1"/>
    <row r="107" s="177" customFormat="1" ht="16.350000000000001" hidden="1" customHeight="1"/>
    <row r="108" s="177" customFormat="1" ht="16.350000000000001" hidden="1" customHeight="1"/>
    <row r="109" s="177" customFormat="1" ht="16.350000000000001" hidden="1" customHeight="1"/>
    <row r="110" s="177" customFormat="1" ht="16.350000000000001" hidden="1" customHeight="1"/>
    <row r="111" s="177" customFormat="1" ht="16.350000000000001" hidden="1" customHeight="1"/>
    <row r="112" s="177" customFormat="1" ht="16.350000000000001" hidden="1" customHeight="1"/>
    <row r="113" s="177" customFormat="1" ht="16.350000000000001" hidden="1" customHeight="1"/>
    <row r="114" s="177" customFormat="1" ht="16.350000000000001" hidden="1" customHeight="1"/>
    <row r="115" s="177" customFormat="1" ht="16.350000000000001" hidden="1" customHeight="1"/>
    <row r="116" s="177" customFormat="1" ht="16.350000000000001" hidden="1" customHeight="1"/>
    <row r="117" s="177" customFormat="1" ht="16.350000000000001" hidden="1" customHeight="1"/>
    <row r="118" s="177" customFormat="1" ht="16.350000000000001" hidden="1" customHeight="1"/>
    <row r="119" s="177" customFormat="1" ht="16.350000000000001" hidden="1" customHeight="1"/>
    <row r="120" s="177" customFormat="1" ht="16.350000000000001" hidden="1" customHeight="1"/>
    <row r="121" s="177" customFormat="1" ht="16.350000000000001" hidden="1" customHeight="1"/>
    <row r="122" s="177" customFormat="1" ht="16.350000000000001" hidden="1" customHeight="1"/>
    <row r="123" s="177" customFormat="1" ht="16.350000000000001" hidden="1" customHeight="1"/>
    <row r="124" s="177" customFormat="1" ht="16.350000000000001" hidden="1" customHeight="1"/>
    <row r="125" s="177" customFormat="1" ht="16.350000000000001" hidden="1" customHeight="1"/>
    <row r="126" s="177" customFormat="1" ht="16.350000000000001" hidden="1" customHeight="1"/>
    <row r="127" s="177" customFormat="1" ht="16.350000000000001" hidden="1" customHeight="1"/>
    <row r="128" s="177" customFormat="1" ht="16.350000000000001" hidden="1" customHeight="1"/>
    <row r="129" s="177" customFormat="1" ht="16.350000000000001" hidden="1" customHeight="1"/>
    <row r="130" s="177" customFormat="1" ht="16.350000000000001" hidden="1" customHeight="1"/>
    <row r="131" s="177" customFormat="1" ht="16.350000000000001" hidden="1" customHeight="1"/>
    <row r="132" s="177" customFormat="1" ht="16.350000000000001" hidden="1" customHeight="1"/>
    <row r="133" s="177" customFormat="1" ht="16.350000000000001" hidden="1" customHeight="1"/>
    <row r="134" s="177" customFormat="1" ht="16.350000000000001" hidden="1" customHeight="1"/>
    <row r="135" s="177" customFormat="1" ht="16.350000000000001" hidden="1" customHeight="1"/>
    <row r="136" s="177" customFormat="1" ht="16.350000000000001" hidden="1" customHeight="1"/>
    <row r="137" s="177" customFormat="1" ht="16.350000000000001" hidden="1" customHeight="1"/>
    <row r="138" s="177" customFormat="1" ht="16.350000000000001" hidden="1" customHeight="1"/>
    <row r="139" s="177" customFormat="1" ht="16.350000000000001" hidden="1" customHeight="1"/>
    <row r="140" s="177" customFormat="1" ht="16.350000000000001" hidden="1" customHeight="1"/>
    <row r="141" s="177" customFormat="1" ht="16.350000000000001" hidden="1" customHeight="1"/>
    <row r="142" s="177" customFormat="1" ht="16.350000000000001" hidden="1" customHeight="1"/>
    <row r="143" s="177" customFormat="1" ht="16.350000000000001" hidden="1" customHeight="1"/>
    <row r="144" s="177" customFormat="1" ht="16.350000000000001" hidden="1" customHeight="1"/>
    <row r="145" s="177" customFormat="1" ht="16.350000000000001" hidden="1" customHeight="1"/>
    <row r="146" s="177" customFormat="1" ht="16.350000000000001" hidden="1" customHeight="1"/>
    <row r="147" s="177" customFormat="1" ht="16.350000000000001" hidden="1" customHeight="1"/>
    <row r="148" s="177" customFormat="1" ht="16.350000000000001" hidden="1" customHeight="1"/>
    <row r="149" s="177" customFormat="1" ht="16.350000000000001" hidden="1" customHeight="1"/>
    <row r="150" s="177" customFormat="1" ht="16.350000000000001" hidden="1" customHeight="1"/>
    <row r="151" s="177" customFormat="1" ht="16.350000000000001" hidden="1" customHeight="1"/>
    <row r="152" s="177" customFormat="1" ht="16.350000000000001" hidden="1" customHeight="1"/>
    <row r="153" s="177" customFormat="1" ht="16.350000000000001" hidden="1" customHeight="1"/>
    <row r="154" s="177" customFormat="1" ht="16.350000000000001" hidden="1" customHeight="1"/>
    <row r="155" s="177" customFormat="1" ht="16.350000000000001" hidden="1" customHeight="1"/>
    <row r="156" s="177" customFormat="1" ht="16.350000000000001" hidden="1" customHeight="1"/>
    <row r="157" s="177" customFormat="1" ht="16.350000000000001" hidden="1" customHeight="1"/>
    <row r="158" s="177" customFormat="1" ht="16.350000000000001" hidden="1" customHeight="1"/>
    <row r="159" s="177" customFormat="1" ht="16.350000000000001" hidden="1" customHeight="1"/>
    <row r="160" s="177" customFormat="1" ht="16.350000000000001" hidden="1" customHeight="1"/>
    <row r="161" s="177" customFormat="1" ht="16.350000000000001" hidden="1" customHeight="1"/>
    <row r="162" s="177" customFormat="1" ht="16.350000000000001" hidden="1" customHeight="1"/>
    <row r="163" s="177" customFormat="1" ht="16.350000000000001" hidden="1" customHeight="1"/>
    <row r="164" s="177" customFormat="1" ht="16.350000000000001" hidden="1" customHeight="1"/>
    <row r="165" s="177" customFormat="1" ht="16.350000000000001" hidden="1" customHeight="1"/>
    <row r="166" s="177" customFormat="1" ht="16.350000000000001" hidden="1" customHeight="1"/>
    <row r="167" s="177" customFormat="1" ht="16.350000000000001" hidden="1" customHeight="1"/>
    <row r="168" s="177" customFormat="1" ht="16.350000000000001" hidden="1" customHeight="1"/>
    <row r="169" s="177" customFormat="1" ht="16.350000000000001" hidden="1" customHeight="1"/>
    <row r="170" s="177" customFormat="1" ht="16.350000000000001" hidden="1" customHeight="1"/>
    <row r="171" s="177" customFormat="1" ht="16.350000000000001" hidden="1" customHeight="1"/>
    <row r="172" s="177" customFormat="1" ht="16.350000000000001" hidden="1" customHeight="1"/>
    <row r="173" s="177" customFormat="1" ht="16.350000000000001" hidden="1" customHeight="1"/>
    <row r="174" s="177" customFormat="1" ht="16.350000000000001" hidden="1" customHeight="1"/>
    <row r="175" s="177" customFormat="1" ht="16.350000000000001" hidden="1" customHeight="1"/>
    <row r="176" s="177" customFormat="1" ht="16.350000000000001" hidden="1" customHeight="1"/>
    <row r="177" s="177" customFormat="1" ht="16.350000000000001" hidden="1" customHeight="1"/>
    <row r="178" s="177" customFormat="1" ht="16.350000000000001" hidden="1" customHeight="1"/>
    <row r="179" s="177" customFormat="1" ht="16.350000000000001" hidden="1" customHeight="1"/>
    <row r="180" s="177" customFormat="1" ht="16.350000000000001" hidden="1" customHeight="1"/>
    <row r="181" s="177" customFormat="1" ht="16.350000000000001" hidden="1" customHeight="1"/>
    <row r="182" s="177" customFormat="1" ht="16.350000000000001" hidden="1" customHeight="1"/>
    <row r="183" s="177" customFormat="1" ht="16.350000000000001" hidden="1" customHeight="1"/>
    <row r="184" s="177" customFormat="1" ht="16.350000000000001" hidden="1" customHeight="1"/>
    <row r="185" s="177" customFormat="1" ht="16.350000000000001" hidden="1" customHeight="1"/>
    <row r="186" s="177" customFormat="1" ht="16.350000000000001" hidden="1" customHeight="1"/>
    <row r="187" s="177" customFormat="1" ht="16.350000000000001" hidden="1" customHeight="1"/>
    <row r="188" s="177" customFormat="1" ht="16.350000000000001" hidden="1" customHeight="1"/>
    <row r="189" s="177" customFormat="1" ht="16.350000000000001" hidden="1" customHeight="1"/>
    <row r="190" s="177" customFormat="1" ht="16.350000000000001" hidden="1" customHeight="1"/>
    <row r="191" s="177" customFormat="1" ht="16.350000000000001" hidden="1" customHeight="1"/>
    <row r="192" s="177" customFormat="1" ht="16.350000000000001" hidden="1" customHeight="1"/>
    <row r="193" spans="1:59" ht="16.350000000000001" hidden="1" customHeight="1">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c r="AE193" s="177"/>
      <c r="AF193" s="177"/>
      <c r="AG193" s="177"/>
      <c r="AH193" s="177"/>
      <c r="AI193" s="177"/>
      <c r="AJ193" s="177"/>
      <c r="AK193" s="177"/>
      <c r="AL193" s="177"/>
      <c r="AM193" s="177"/>
      <c r="AN193" s="177"/>
      <c r="AO193" s="177"/>
      <c r="AP193" s="177"/>
      <c r="AQ193" s="177"/>
      <c r="AR193" s="177"/>
      <c r="AS193" s="177"/>
      <c r="AT193" s="177"/>
      <c r="AU193" s="177"/>
      <c r="AV193" s="177"/>
      <c r="AW193" s="177"/>
      <c r="AX193" s="177"/>
      <c r="AY193" s="177"/>
      <c r="AZ193" s="177"/>
      <c r="BA193" s="177"/>
      <c r="BB193" s="177"/>
      <c r="BC193" s="177"/>
      <c r="BD193" s="177"/>
      <c r="BE193" s="177"/>
      <c r="BF193" s="177"/>
      <c r="BG193" s="177"/>
    </row>
    <row r="194" spans="1:59" ht="16.350000000000001" hidden="1" customHeight="1">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c r="AR194" s="177"/>
      <c r="AS194" s="177"/>
      <c r="AT194" s="177"/>
      <c r="AU194" s="177"/>
      <c r="AV194" s="177"/>
      <c r="AW194" s="177"/>
      <c r="AX194" s="177"/>
      <c r="AY194" s="177"/>
      <c r="AZ194" s="177"/>
      <c r="BA194" s="177"/>
      <c r="BB194" s="177"/>
      <c r="BC194" s="177"/>
      <c r="BD194" s="177"/>
      <c r="BE194" s="177"/>
      <c r="BF194" s="177"/>
      <c r="BG194" s="177"/>
    </row>
    <row r="195" spans="1:59" ht="16.350000000000001" hidden="1" customHeight="1">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77"/>
      <c r="AN195" s="177"/>
      <c r="AO195" s="177"/>
      <c r="AP195" s="177"/>
      <c r="AQ195" s="177"/>
      <c r="AR195" s="177"/>
      <c r="AS195" s="177"/>
      <c r="AT195" s="177"/>
      <c r="AU195" s="177"/>
      <c r="AV195" s="177"/>
      <c r="AW195" s="177"/>
      <c r="AX195" s="177"/>
      <c r="AY195" s="177"/>
      <c r="AZ195" s="177"/>
      <c r="BA195" s="177"/>
      <c r="BB195" s="177"/>
      <c r="BC195" s="177"/>
      <c r="BD195" s="177"/>
      <c r="BE195" s="177"/>
      <c r="BF195" s="177"/>
      <c r="BG195" s="177"/>
    </row>
    <row r="196" spans="1:59" ht="16.350000000000001" hidden="1" customHeight="1">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77"/>
      <c r="AN196" s="177"/>
      <c r="AO196" s="177"/>
      <c r="AP196" s="177"/>
      <c r="AQ196" s="177"/>
      <c r="AR196" s="177"/>
      <c r="AS196" s="177"/>
      <c r="AT196" s="177"/>
      <c r="AU196" s="177"/>
      <c r="AV196" s="177"/>
      <c r="AW196" s="177"/>
      <c r="AX196" s="177"/>
      <c r="AY196" s="177"/>
      <c r="AZ196" s="177"/>
      <c r="BA196" s="177"/>
      <c r="BB196" s="177"/>
      <c r="BC196" s="177"/>
      <c r="BD196" s="177"/>
      <c r="BE196" s="177"/>
      <c r="BF196" s="177"/>
      <c r="BG196" s="177"/>
    </row>
    <row r="197" spans="1:59" ht="16.350000000000001" hidden="1" customHeight="1">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77"/>
      <c r="AN197" s="177"/>
      <c r="AO197" s="177"/>
      <c r="AP197" s="177"/>
      <c r="AQ197" s="177"/>
      <c r="AR197" s="177"/>
      <c r="AS197" s="177"/>
      <c r="AT197" s="177"/>
      <c r="AU197" s="177"/>
      <c r="AV197" s="177"/>
      <c r="AW197" s="177"/>
      <c r="AX197" s="177"/>
      <c r="AY197" s="177"/>
      <c r="AZ197" s="177"/>
      <c r="BA197" s="177"/>
      <c r="BB197" s="177"/>
      <c r="BC197" s="177"/>
      <c r="BD197" s="177"/>
      <c r="BE197" s="177"/>
      <c r="BF197" s="177"/>
      <c r="BG197" s="177"/>
    </row>
    <row r="198" spans="1:59" ht="16.350000000000001" hidden="1" customHeight="1">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177"/>
      <c r="AQ198" s="177"/>
      <c r="AR198" s="177"/>
      <c r="AS198" s="177"/>
      <c r="AT198" s="177"/>
      <c r="AU198" s="177"/>
      <c r="AV198" s="177"/>
      <c r="AW198" s="177"/>
      <c r="AX198" s="177"/>
      <c r="AY198" s="177"/>
      <c r="AZ198" s="177"/>
      <c r="BA198" s="177"/>
      <c r="BB198" s="177"/>
      <c r="BC198" s="177"/>
      <c r="BD198" s="177"/>
      <c r="BE198" s="177"/>
      <c r="BF198" s="177"/>
      <c r="BG198" s="177"/>
    </row>
    <row r="199" spans="1:59" ht="16.350000000000001" hidden="1" customHeight="1">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c r="AL199" s="177"/>
      <c r="AM199" s="177"/>
      <c r="AN199" s="177"/>
      <c r="AO199" s="177"/>
      <c r="AP199" s="177"/>
      <c r="AQ199" s="177"/>
      <c r="AR199" s="177"/>
      <c r="AS199" s="177"/>
      <c r="AT199" s="177"/>
      <c r="AU199" s="177"/>
      <c r="AV199" s="177"/>
      <c r="AW199" s="177"/>
      <c r="AX199" s="177"/>
      <c r="AY199" s="177"/>
      <c r="AZ199" s="177"/>
      <c r="BA199" s="177"/>
      <c r="BB199" s="177"/>
      <c r="BC199" s="177"/>
      <c r="BD199" s="177"/>
      <c r="BE199" s="177"/>
      <c r="BF199" s="177"/>
      <c r="BG199" s="177"/>
    </row>
    <row r="200" spans="1:59"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68"/>
    </row>
    <row r="201" spans="1:59"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68"/>
    </row>
    <row r="202" spans="1:59"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68"/>
    </row>
  </sheetData>
  <sheetProtection algorithmName="SHA-512" hashValue="h1PioF/Sgl2MMIOvSUS1mQ7si3KuYaFZaMmUdRlkhy8IegSJ5kCQi5uPCB4oS0InMNHkQdXVHodzhkYtwYr6yA==" saltValue="hI1EzTBAjsqLLNWjPdkHZA==" spinCount="100000" sheet="1" objects="1" scenarios="1" selectLockedCells="1"/>
  <mergeCells count="52">
    <mergeCell ref="H11:AY12"/>
    <mergeCell ref="BG5:BI7"/>
    <mergeCell ref="BG8:BI8"/>
    <mergeCell ref="AN1:AQ3"/>
    <mergeCell ref="AR1:AU3"/>
    <mergeCell ref="AV1:AY3"/>
    <mergeCell ref="AZ1:BE3"/>
    <mergeCell ref="BF1:BI3"/>
    <mergeCell ref="AT4:AW4"/>
    <mergeCell ref="AX4:BB4"/>
    <mergeCell ref="AB4:AG4"/>
    <mergeCell ref="F1:I3"/>
    <mergeCell ref="J1:M3"/>
    <mergeCell ref="BC4:BF4"/>
    <mergeCell ref="A9:BF10"/>
    <mergeCell ref="AW14:AX14"/>
    <mergeCell ref="AF21:AG21"/>
    <mergeCell ref="AI21:AJ21"/>
    <mergeCell ref="Y17:AJ17"/>
    <mergeCell ref="AM17:AX17"/>
    <mergeCell ref="X21:AC21"/>
    <mergeCell ref="AW21:AX21"/>
    <mergeCell ref="AM21:AR21"/>
    <mergeCell ref="AT21:AU21"/>
    <mergeCell ref="P17:W17"/>
    <mergeCell ref="Y55:AD55"/>
    <mergeCell ref="AG41:AJ41"/>
    <mergeCell ref="P41:U41"/>
    <mergeCell ref="R47:AD47"/>
    <mergeCell ref="AB37:AE37"/>
    <mergeCell ref="AG37:AJ37"/>
    <mergeCell ref="J51:P51"/>
    <mergeCell ref="J46:O46"/>
    <mergeCell ref="Y51:AD51"/>
    <mergeCell ref="W41:Z41"/>
    <mergeCell ref="J47:P47"/>
    <mergeCell ref="R51:W51"/>
    <mergeCell ref="AF46:AX55"/>
    <mergeCell ref="AM41:AR41"/>
    <mergeCell ref="AB41:AD41"/>
    <mergeCell ref="R200:AR201"/>
    <mergeCell ref="H21:O21"/>
    <mergeCell ref="P40:U40"/>
    <mergeCell ref="Y27:AD27"/>
    <mergeCell ref="AF27:AK27"/>
    <mergeCell ref="AF31:AK31"/>
    <mergeCell ref="P36:U36"/>
    <mergeCell ref="AM37:AW37"/>
    <mergeCell ref="Q21:V21"/>
    <mergeCell ref="P37:Z37"/>
    <mergeCell ref="Y31:AD31"/>
    <mergeCell ref="P27:U27"/>
  </mergeCells>
  <conditionalFormatting sqref="H22:O22">
    <cfRule type="expression" dxfId="440" priority="60">
      <formula>$O$22&lt;&gt;Txt_Rqd</formula>
    </cfRule>
  </conditionalFormatting>
  <conditionalFormatting sqref="J48:P48">
    <cfRule type="expression" dxfId="439" priority="26">
      <formula>$P$48&lt;&gt;Txt_Rqd</formula>
    </cfRule>
  </conditionalFormatting>
  <conditionalFormatting sqref="J52:P52">
    <cfRule type="expression" dxfId="438" priority="24">
      <formula>$P$52&lt;&gt;Txt_Rqd</formula>
    </cfRule>
  </conditionalFormatting>
  <conditionalFormatting sqref="P18">
    <cfRule type="expression" dxfId="437" priority="73">
      <formula>$P$17&lt;&gt;""</formula>
    </cfRule>
  </conditionalFormatting>
  <conditionalFormatting sqref="P28:U28">
    <cfRule type="expression" dxfId="436" priority="74">
      <formula>$U$28&lt;&gt;Txt_Rqd</formula>
    </cfRule>
  </conditionalFormatting>
  <conditionalFormatting sqref="P42:U42">
    <cfRule type="expression" dxfId="435" priority="32">
      <formula>$U$42&lt;&gt;Txt_Rqd</formula>
    </cfRule>
  </conditionalFormatting>
  <conditionalFormatting sqref="P18:V18">
    <cfRule type="expression" dxfId="434" priority="65">
      <formula>$W$18&lt;&gt;Txt_Rqd</formula>
    </cfRule>
  </conditionalFormatting>
  <conditionalFormatting sqref="P38:Z38">
    <cfRule type="expression" dxfId="433" priority="34">
      <formula>$Z$38&lt;&gt;Txt_Rqd</formula>
    </cfRule>
  </conditionalFormatting>
  <conditionalFormatting sqref="Q22:V22">
    <cfRule type="expression" dxfId="432" priority="59">
      <formula>$V$22&lt;&gt;Txt_Rqd</formula>
    </cfRule>
  </conditionalFormatting>
  <conditionalFormatting sqref="R50:W52">
    <cfRule type="expression" dxfId="431" priority="20">
      <formula>(M02S02F27="No")=TRUE</formula>
    </cfRule>
  </conditionalFormatting>
  <conditionalFormatting sqref="R52:W52">
    <cfRule type="expression" dxfId="430" priority="23">
      <formula>$W$52&lt;&gt;Txt_Rqd</formula>
    </cfRule>
  </conditionalFormatting>
  <conditionalFormatting sqref="R48:AD48">
    <cfRule type="expression" dxfId="429" priority="25">
      <formula>$AD$48&lt;&gt;Txt_Rqd</formula>
    </cfRule>
  </conditionalFormatting>
  <conditionalFormatting sqref="W18">
    <cfRule type="expression" dxfId="428" priority="61">
      <formula>W18&lt;&gt;Txt_Rqd</formula>
    </cfRule>
  </conditionalFormatting>
  <conditionalFormatting sqref="W42:Z42">
    <cfRule type="expression" dxfId="427" priority="31">
      <formula>$Z$42&lt;&gt;Txt_Rqd</formula>
    </cfRule>
  </conditionalFormatting>
  <conditionalFormatting sqref="X22:AC22">
    <cfRule type="expression" dxfId="426" priority="1">
      <formula>$AC$22&lt;&gt;Txt_Rqd</formula>
    </cfRule>
  </conditionalFormatting>
  <conditionalFormatting sqref="Y28:AD28">
    <cfRule type="expression" dxfId="425" priority="38">
      <formula>$AD$28&lt;&gt;Txt_Rqd</formula>
    </cfRule>
  </conditionalFormatting>
  <conditionalFormatting sqref="Y32:AD32">
    <cfRule type="expression" dxfId="424" priority="37">
      <formula>$AD$32&lt;&gt;Txt_Rqd</formula>
    </cfRule>
  </conditionalFormatting>
  <conditionalFormatting sqref="Y50:AD56">
    <cfRule type="expression" dxfId="423" priority="21">
      <formula>$J$51="Yes"</formula>
    </cfRule>
  </conditionalFormatting>
  <conditionalFormatting sqref="Y52:AD52">
    <cfRule type="expression" dxfId="422" priority="70">
      <formula>$AD$52&lt;&gt;Txt_Rqd</formula>
    </cfRule>
  </conditionalFormatting>
  <conditionalFormatting sqref="Y56:AD56">
    <cfRule type="expression" dxfId="421" priority="22">
      <formula>$AD$56&lt;&gt;Txt_Rqd</formula>
    </cfRule>
  </conditionalFormatting>
  <conditionalFormatting sqref="Y18:AJ18">
    <cfRule type="expression" dxfId="420" priority="62">
      <formula>$AJ$18&lt;&gt;Txt_Rqd</formula>
    </cfRule>
  </conditionalFormatting>
  <conditionalFormatting sqref="AB42:AD42">
    <cfRule type="expression" dxfId="419" priority="30">
      <formula>$AD$42&lt;&gt;Txt_Rqd</formula>
    </cfRule>
  </conditionalFormatting>
  <conditionalFormatting sqref="AB38:AE38">
    <cfRule type="expression" dxfId="418" priority="33">
      <formula>$AE$38&lt;&gt;Txt_Rqd</formula>
    </cfRule>
  </conditionalFormatting>
  <conditionalFormatting sqref="AF32">
    <cfRule type="expression" dxfId="417" priority="71">
      <formula>$AF$31&lt;&gt;""</formula>
    </cfRule>
  </conditionalFormatting>
  <conditionalFormatting sqref="AF22:AG22">
    <cfRule type="expression" dxfId="416" priority="58">
      <formula>$AG$22&lt;&gt;Txt_Rqd</formula>
    </cfRule>
  </conditionalFormatting>
  <conditionalFormatting sqref="AF27:AK27">
    <cfRule type="expression" dxfId="415" priority="5">
      <formula>$Y$27="Atlantic City Electric"</formula>
    </cfRule>
  </conditionalFormatting>
  <conditionalFormatting sqref="AF28:AK28">
    <cfRule type="expression" dxfId="414" priority="36">
      <formula>$AK$28&lt;&gt;Txt_Rqd</formula>
    </cfRule>
  </conditionalFormatting>
  <conditionalFormatting sqref="AF32:AK32">
    <cfRule type="expression" dxfId="413" priority="35">
      <formula>$AK$32&lt;&gt;Txt_Rqd</formula>
    </cfRule>
  </conditionalFormatting>
  <conditionalFormatting sqref="AF56:AX56">
    <cfRule type="expression" dxfId="412" priority="4">
      <formula>$AX$56&lt;&gt;Txt_Rqd</formula>
    </cfRule>
  </conditionalFormatting>
  <conditionalFormatting sqref="AG36:AJ38">
    <cfRule type="expression" dxfId="411" priority="6">
      <formula>NOT(IFERROR(SEARCH("multifamily",(BuildingInfo_Building_Type)),0)&gt;0)</formula>
    </cfRule>
  </conditionalFormatting>
  <conditionalFormatting sqref="AG38:AJ38">
    <cfRule type="expression" dxfId="410" priority="8">
      <formula>$AJ$38&lt;&gt;Txt_Rqd</formula>
    </cfRule>
  </conditionalFormatting>
  <conditionalFormatting sqref="AG42:AJ42">
    <cfRule type="expression" dxfId="409" priority="29">
      <formula>$AJ$42&lt;&gt;Txt_Rqd</formula>
    </cfRule>
  </conditionalFormatting>
  <conditionalFormatting sqref="AI22:AJ22">
    <cfRule type="expression" dxfId="408" priority="57">
      <formula>$AJ$22&lt;&gt;Txt_Rqd</formula>
    </cfRule>
  </conditionalFormatting>
  <conditionalFormatting sqref="AM22:AR22">
    <cfRule type="expression" dxfId="407" priority="56">
      <formula>$AR$22&lt;&gt;Txt_Rqd</formula>
    </cfRule>
  </conditionalFormatting>
  <conditionalFormatting sqref="AM42:AR42">
    <cfRule type="expression" dxfId="406" priority="27">
      <formula>$AR$42&lt;&gt;Txt_Rqd</formula>
    </cfRule>
  </conditionalFormatting>
  <conditionalFormatting sqref="AM38:AW38">
    <cfRule type="expression" dxfId="405" priority="28">
      <formula>$AW$38&lt;&gt;Txt_Rqd</formula>
    </cfRule>
  </conditionalFormatting>
  <conditionalFormatting sqref="AM18:AX18">
    <cfRule type="expression" dxfId="404" priority="63">
      <formula>$AX$18&lt;&gt;Txt_Rqd</formula>
    </cfRule>
  </conditionalFormatting>
  <conditionalFormatting sqref="AT22:AU22">
    <cfRule type="expression" dxfId="403" priority="55">
      <formula>$AU$22&lt;&gt;Txt_Rqd</formula>
    </cfRule>
  </conditionalFormatting>
  <conditionalFormatting sqref="AW15:AX15">
    <cfRule type="expression" dxfId="402" priority="64">
      <formula>$AX$15&lt;&gt;Txt_Rqd</formula>
    </cfRule>
  </conditionalFormatting>
  <conditionalFormatting sqref="AW22:AX22">
    <cfRule type="expression" dxfId="401" priority="54">
      <formula>$AX$22&lt;&gt;Txt_Rqd</formula>
    </cfRule>
  </conditionalFormatting>
  <conditionalFormatting sqref="BA8:BF8">
    <cfRule type="expression" dxfId="400" priority="3">
      <formula>IF($AO$8=PROJSTATMEASURE,FALSE,TRUE)</formula>
    </cfRule>
  </conditionalFormatting>
  <dataValidations count="21">
    <dataValidation type="list" allowBlank="1" showInputMessage="1" showErrorMessage="1" sqref="BP21:BQ21 AT21:AU21" xr:uid="{276C931B-24B4-44A9-BC74-8022F39C2DB1}">
      <formula1>STATESABBREV</formula1>
    </dataValidation>
    <dataValidation type="whole" allowBlank="1" showInputMessage="1" showErrorMessage="1" prompt="Enter annual operating hours for the site._x000a_(Ex: open 8 hours/day * 5 days/week * 52 weeks/year = 2080 hours/year)" sqref="P41:U41 AY51:BD51" xr:uid="{59618DE2-A7A2-44C4-958F-D905D7501E0F}">
      <formula1>0</formula1>
      <formula2>8760</formula2>
    </dataValidation>
    <dataValidation type="list" allowBlank="1" showInputMessage="1" showErrorMessage="1" sqref="AF21:AG21" xr:uid="{0C548C43-E523-4AB6-9D4B-20EB8F0455C2}">
      <formula1>"NJ"</formula1>
    </dataValidation>
    <dataValidation type="list" allowBlank="1" showInputMessage="1" showErrorMessage="1" sqref="AM41" xr:uid="{B5210E7F-2E5F-40F0-AB27-A0F81CD405C8}">
      <formula1>WATERHEATINGTYPE</formula1>
    </dataValidation>
    <dataValidation type="list" allowBlank="1" showInputMessage="1" showErrorMessage="1" sqref="AB37:AE37" xr:uid="{719B8D12-9615-4E7B-8127-40FE6FCB61E6}">
      <formula1>"Owner,Tenant"</formula1>
    </dataValidation>
    <dataValidation type="list" allowBlank="1" showInputMessage="1" showErrorMessage="1" sqref="AW14 J51" xr:uid="{A5DE57E3-9E6B-4422-B925-CCA1048FF058}">
      <formula1>"Yes,No"</formula1>
    </dataValidation>
    <dataValidation type="list" allowBlank="1" showInputMessage="1" showErrorMessage="1" sqref="P27" xr:uid="{CAAC8F97-1FA9-48D9-9E6D-14B2E43B91B8}">
      <formula1>"Electric,Gas,Both"</formula1>
    </dataValidation>
    <dataValidation allowBlank="1" showErrorMessage="1" sqref="AM21:AR21 Q21:V21 AI20:AJ20 AT20:AU20 AF20:AG20 AH20:AH21 AV20:AV21 AW20:AX20 BP20:BQ20 BR20:BR21 BT21:BV21 BS20 CB20" xr:uid="{A98310CC-6EAA-4C4B-9006-B8F763625A7F}"/>
    <dataValidation type="textLength" allowBlank="1" showInputMessage="1" showErrorMessage="1" sqref="AF31:AK31 AF27:AK27" xr:uid="{8FF54D75-BAFE-4230-A478-BB4BAB786271}">
      <formula1>0</formula1>
      <formula2>10</formula2>
    </dataValidation>
    <dataValidation allowBlank="1" showInputMessage="1" showErrorMessage="1" prompt="Use this field for your personal project ID. _x000a_Example: Interior Lighting Phase 1" sqref="J47" xr:uid="{E5D56153-BC85-4018-8345-8EAB50DE5142}"/>
    <dataValidation type="list" allowBlank="1" showInputMessage="1" showErrorMessage="1" sqref="R47" xr:uid="{5973E5A2-8667-4FFC-8701-0A433308E0C9}">
      <formula1>CUSTINFOLIST</formula1>
    </dataValidation>
    <dataValidation type="whole" allowBlank="1" showInputMessage="1" showErrorMessage="1" sqref="AB41 AG41" xr:uid="{8DE1D820-3C77-4B7C-AD47-2F29B60FE4CC}">
      <formula1>0</formula1>
      <formula2>9999999</formula2>
    </dataValidation>
    <dataValidation type="list" allowBlank="1" showInputMessage="1" showErrorMessage="1" sqref="AM37" xr:uid="{62F10BBD-A31F-41FF-ACE6-0EE4E4C12C35}">
      <formula1>LIST_Space_Conditioning</formula1>
    </dataValidation>
    <dataValidation type="list" allowBlank="1" showInputMessage="1" sqref="Y31:AD31" xr:uid="{035E90F3-40F4-4094-9567-2E249065B220}">
      <formula1>List_GASUTIL</formula1>
    </dataValidation>
    <dataValidation type="list" allowBlank="1" showInputMessage="1" sqref="Y27:AD27" xr:uid="{17408F64-CDC2-445D-A312-872ED946D819}">
      <formula1>List_ELECTRICUTIL</formula1>
    </dataValidation>
    <dataValidation operator="lessThanOrEqual" allowBlank="1" showErrorMessage="1" error="Please enter your 10 digit account number without the leading zeros." sqref="P17:W17" xr:uid="{E97A401B-4FFE-42D0-B303-53CC711FF005}"/>
    <dataValidation allowBlank="1" showInputMessage="1" showErrorMessage="1" prompt="The project description should summarize in detail the description of the measures/equipment that are being proposed within this application. Please include any assumptions or notes that may help the PSE&amp;G program team better understand your project." sqref="AF46:AX55" xr:uid="{874E4A16-1B31-4F2B-B5EB-98AA09BB83F1}"/>
    <dataValidation type="date" operator="greaterThanOrEqual" allowBlank="1" showInputMessage="1" showErrorMessage="1" error="Estimated Completion Date must be after Estimate Start Date." sqref="Y55:AD55" xr:uid="{965F0A88-910D-4EC2-8F25-BA0E0360C61F}">
      <formula1>M02S02F29</formula1>
    </dataValidation>
    <dataValidation type="date" operator="greaterThanOrEqual" allowBlank="1" showInputMessage="1" showErrorMessage="1" sqref="Y51:AD51 R51:W51" xr:uid="{1EB6F825-3FD9-4170-82B2-8C730D7FDFE3}">
      <formula1>44197</formula1>
    </dataValidation>
    <dataValidation type="whole" operator="greaterThan" allowBlank="1" showInputMessage="1" showErrorMessage="1" prompt="Please input the Total Square Footage for the entire project" sqref="W41:Z41" xr:uid="{4141386C-DC31-4C78-AD5B-959446E4D2BF}">
      <formula1>0</formula1>
    </dataValidation>
    <dataValidation type="list" operator="lessThanOrEqual" allowBlank="1" showErrorMessage="1" error="Please select an option from the dropdown list." prompt="Please enter your 10 digit Account Number as shown on your utility bill. Enter account numbers without spaces, dashes, or leading zeros. " sqref="H21" xr:uid="{6548E36B-3A89-4E4B-9F89-9429920A88F8}">
      <formula1>List_CustomerType</formula1>
    </dataValidation>
  </dataValidations>
  <hyperlinks>
    <hyperlink ref="J1:M3" location="'M01-S02'!J1" tooltip="Instructions" display="'M01-S02'!J1" xr:uid="{6671E77F-2789-490E-B6F5-2A9E79EC6251}"/>
    <hyperlink ref="AV1:AY3" location="'M05-S05'!AL1" tooltip=" " display="'M05-S05'!AL1" xr:uid="{60F766F9-FD4C-47BB-ABBF-E1C6CB3E1C1B}"/>
    <hyperlink ref="BF1:BI3" location="'M01-S03'!AP1" tooltip="Contact" display="'M01-S03'!AP1" xr:uid="{52750381-E0BC-4B57-ACCD-11DB34BC32AE}"/>
    <hyperlink ref="AR1:AU3" location="'M05-S04'!AH1" tooltip=" " display="'M05-S04'!AH1" xr:uid="{BBDE46CD-90C6-446E-B2EE-21A47A2D391E}"/>
    <hyperlink ref="AN1:AQ3" location="'M05-S05'!AL1" tooltip=" " display="'M05-S05'!AL1" xr:uid="{49FC66DB-B6E4-4DBF-9E6E-0ACD41921AA6}"/>
  </hyperlinks>
  <printOptions horizontalCentered="1"/>
  <pageMargins left="0" right="0" top="0.25" bottom="0.25" header="0.25" footer="0.25"/>
  <pageSetup scale="52"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25F4C1E-2E84-4CC4-BCD2-421285F8EF09}">
          <x14:formula1>
            <xm:f>'DATA TABLES_Project'!$A$148:$A$191</xm:f>
          </x14:formula1>
          <xm:sqref>P37:Z37</xm:sqref>
        </x14:dataValidation>
        <x14:dataValidation type="list" allowBlank="1" showErrorMessage="1" xr:uid="{C16D7F1C-053D-4A81-A10C-83F178D4C48C}">
          <x14:formula1>
            <xm:f>'DATA TABLES_Project'!$A$225:$A$245</xm:f>
          </x14:formula1>
          <xm:sqref>X21:AC21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437A-27F0-4459-8F17-61E3D099E9C5}">
  <sheetPr codeName="Sheet10">
    <pageSetUpPr fitToPage="1"/>
  </sheetPr>
  <dimension ref="A1:CH206"/>
  <sheetViews>
    <sheetView showGridLines="0" showRowColHeaders="0" zoomScale="90" zoomScaleNormal="90" workbookViewId="0">
      <selection activeCell="U17" sqref="U17:AD17"/>
    </sheetView>
  </sheetViews>
  <sheetFormatPr defaultColWidth="0" defaultRowHeight="16.350000000000001" customHeight="1" zeroHeight="1"/>
  <cols>
    <col min="1" max="58" width="4.5703125" style="522" customWidth="1"/>
    <col min="59" max="61" width="4.5703125" style="521" customWidth="1"/>
    <col min="62" max="86" width="9.42578125" style="521" hidden="1" customWidth="1"/>
    <col min="87" max="16384" width="4.5703125" style="521" hidden="1"/>
  </cols>
  <sheetData>
    <row r="1" spans="1:61" s="177" customFormat="1" ht="15.75" customHeight="1">
      <c r="A1" s="60"/>
      <c r="B1" s="239"/>
      <c r="C1" s="239"/>
      <c r="D1" s="239"/>
      <c r="E1" s="239"/>
      <c r="F1" s="750" t="str">
        <f>M1S1</f>
        <v>WELCOME</v>
      </c>
      <c r="G1" s="750"/>
      <c r="H1" s="750"/>
      <c r="I1" s="750"/>
      <c r="J1" s="727" t="str">
        <f>M1S2</f>
        <v>INSTRUCTIONS</v>
      </c>
      <c r="K1" s="727"/>
      <c r="L1" s="727"/>
      <c r="M1" s="727"/>
      <c r="N1" s="240"/>
      <c r="O1" s="240"/>
      <c r="P1" s="240"/>
      <c r="Q1" s="240"/>
      <c r="R1" s="240"/>
      <c r="S1" s="240"/>
      <c r="T1" s="241"/>
      <c r="U1" s="242" t="s">
        <v>118</v>
      </c>
      <c r="V1" s="242"/>
      <c r="W1" s="242"/>
      <c r="X1" s="242"/>
      <c r="Y1" s="240"/>
      <c r="Z1" s="240"/>
      <c r="AA1" s="240"/>
      <c r="AB1" s="240"/>
      <c r="AC1" s="240"/>
      <c r="AD1" s="240"/>
      <c r="AE1" s="240"/>
      <c r="AF1"/>
      <c r="AG1"/>
      <c r="AN1" s="734" t="str">
        <f>IF(ACTIVEINSPECT="Yes","Complete "&amp;M5S4,"")</f>
        <v/>
      </c>
      <c r="AO1" s="734"/>
      <c r="AP1" s="734"/>
      <c r="AQ1" s="734"/>
      <c r="AR1" s="730" t="str">
        <f>IF(ACTIVEOFFER="Yes","Sign "&amp;M5S6,"")</f>
        <v>Sign OBR: Repayment Agreement</v>
      </c>
      <c r="AS1" s="730"/>
      <c r="AT1" s="730"/>
      <c r="AU1" s="730"/>
      <c r="AV1" s="730" t="str">
        <f>IF(ACTIVECOMPL="Yes","Sign "&amp;M5S5,"")</f>
        <v xml:space="preserve">Sign Project Completion Certification </v>
      </c>
      <c r="AW1" s="730"/>
      <c r="AX1" s="730"/>
      <c r="AY1" s="730"/>
      <c r="AZ1" s="754" t="str">
        <f>M1S4</f>
        <v>INCENTIVE RATES &amp; REQUIREMENTS</v>
      </c>
      <c r="BA1" s="754"/>
      <c r="BB1" s="754"/>
      <c r="BC1" s="754"/>
      <c r="BD1" s="754"/>
      <c r="BE1" s="754"/>
      <c r="BF1" s="722" t="s">
        <v>119</v>
      </c>
      <c r="BG1" s="723"/>
      <c r="BH1" s="723"/>
      <c r="BI1" s="723"/>
    </row>
    <row r="2" spans="1:61" s="177" customFormat="1" ht="16.350000000000001" customHeight="1">
      <c r="B2" s="239"/>
      <c r="C2" s="239"/>
      <c r="D2" s="239"/>
      <c r="E2" s="239"/>
      <c r="F2" s="750"/>
      <c r="G2" s="750"/>
      <c r="H2" s="750"/>
      <c r="I2" s="750"/>
      <c r="J2" s="728"/>
      <c r="K2" s="728"/>
      <c r="L2" s="728"/>
      <c r="M2" s="728"/>
      <c r="N2" s="240"/>
      <c r="O2" s="240"/>
      <c r="P2" s="240"/>
      <c r="Q2" s="240"/>
      <c r="R2" s="240"/>
      <c r="S2" s="240"/>
      <c r="T2" s="241"/>
      <c r="U2" s="242"/>
      <c r="V2" s="242"/>
      <c r="W2" s="242"/>
      <c r="X2" s="242"/>
      <c r="Y2" s="240"/>
      <c r="Z2" s="240"/>
      <c r="AA2" s="240"/>
      <c r="AB2" s="240"/>
      <c r="AC2" s="240"/>
      <c r="AD2" s="240"/>
      <c r="AE2" s="240"/>
      <c r="AF2"/>
      <c r="AG2"/>
      <c r="AN2" s="734"/>
      <c r="AO2" s="734"/>
      <c r="AP2" s="734"/>
      <c r="AQ2" s="734"/>
      <c r="AR2" s="730"/>
      <c r="AS2" s="730"/>
      <c r="AT2" s="730"/>
      <c r="AU2" s="730"/>
      <c r="AV2" s="730"/>
      <c r="AW2" s="730"/>
      <c r="AX2" s="730"/>
      <c r="AY2" s="730"/>
      <c r="AZ2" s="754"/>
      <c r="BA2" s="754"/>
      <c r="BB2" s="754"/>
      <c r="BC2" s="754"/>
      <c r="BD2" s="754"/>
      <c r="BE2" s="754"/>
      <c r="BF2" s="723"/>
      <c r="BG2" s="723"/>
      <c r="BH2" s="723"/>
      <c r="BI2" s="723"/>
    </row>
    <row r="3" spans="1:61" s="177" customFormat="1" ht="16.350000000000001" customHeight="1" thickBot="1">
      <c r="A3" s="626"/>
      <c r="B3" s="648"/>
      <c r="C3" s="648"/>
      <c r="D3" s="648"/>
      <c r="E3" s="648"/>
      <c r="F3" s="875"/>
      <c r="G3" s="875"/>
      <c r="H3" s="875"/>
      <c r="I3" s="875"/>
      <c r="J3" s="876"/>
      <c r="K3" s="876"/>
      <c r="L3" s="876"/>
      <c r="M3" s="876"/>
      <c r="N3" s="642"/>
      <c r="O3" s="642"/>
      <c r="P3" s="642"/>
      <c r="Q3" s="642"/>
      <c r="R3" s="642"/>
      <c r="S3" s="642"/>
      <c r="T3" s="642"/>
      <c r="U3" s="643"/>
      <c r="V3" s="643"/>
      <c r="W3" s="643"/>
      <c r="X3" s="643"/>
      <c r="Y3" s="626"/>
      <c r="Z3" s="626"/>
      <c r="AA3" s="626"/>
      <c r="AB3" s="626"/>
      <c r="AC3" s="626"/>
      <c r="AD3" s="626"/>
      <c r="AE3" s="626"/>
      <c r="AF3" s="614"/>
      <c r="AG3" s="614"/>
      <c r="AH3" s="626"/>
      <c r="AI3" s="626"/>
      <c r="AJ3" s="626"/>
      <c r="AK3" s="626"/>
      <c r="AL3" s="626"/>
      <c r="AM3" s="626"/>
      <c r="AN3" s="868"/>
      <c r="AO3" s="868"/>
      <c r="AP3" s="868"/>
      <c r="AQ3" s="868"/>
      <c r="AR3" s="869"/>
      <c r="AS3" s="869"/>
      <c r="AT3" s="869"/>
      <c r="AU3" s="869"/>
      <c r="AV3" s="869"/>
      <c r="AW3" s="869"/>
      <c r="AX3" s="869"/>
      <c r="AY3" s="869"/>
      <c r="AZ3" s="870"/>
      <c r="BA3" s="870"/>
      <c r="BB3" s="870"/>
      <c r="BC3" s="870"/>
      <c r="BD3" s="870"/>
      <c r="BE3" s="870"/>
      <c r="BF3" s="871"/>
      <c r="BG3" s="871"/>
      <c r="BH3" s="871"/>
      <c r="BI3" s="871"/>
    </row>
    <row r="4" spans="1:61" s="177" customFormat="1" ht="16.350000000000001" customHeight="1">
      <c r="A4" s="632"/>
      <c r="B4" s="632"/>
      <c r="C4" s="632"/>
      <c r="D4" s="632"/>
      <c r="E4" s="632"/>
      <c r="F4" s="632"/>
      <c r="G4" s="632"/>
      <c r="H4" s="632"/>
      <c r="I4" s="632"/>
      <c r="J4" s="632"/>
      <c r="K4" s="632"/>
      <c r="L4" s="633"/>
      <c r="M4" s="498"/>
      <c r="N4" s="632"/>
      <c r="O4" s="632"/>
      <c r="P4" s="632"/>
      <c r="Q4" s="632"/>
      <c r="R4" s="632"/>
      <c r="S4" s="634" t="s">
        <v>707</v>
      </c>
      <c r="T4" s="635" t="str">
        <f>M05S07F07</f>
        <v>Custom</v>
      </c>
      <c r="U4" s="636"/>
      <c r="V4" s="636"/>
      <c r="W4" s="636"/>
      <c r="X4" s="632"/>
      <c r="Y4" s="632"/>
      <c r="Z4" s="632"/>
      <c r="AA4" s="634" t="s">
        <v>708</v>
      </c>
      <c r="AB4" s="874" t="str">
        <f>IF(M02S02F02="","[Project Name]",LEFT(M02S02F02,25))</f>
        <v>[Project Name]</v>
      </c>
      <c r="AC4" s="874"/>
      <c r="AD4" s="874"/>
      <c r="AE4" s="874"/>
      <c r="AF4" s="874"/>
      <c r="AG4" s="874"/>
      <c r="AH4" s="632"/>
      <c r="AI4" s="634" t="s">
        <v>709</v>
      </c>
      <c r="AJ4" s="637" t="str">
        <f>IF(M02S02F27="Yes",Status_Final,Status_Pre)</f>
        <v>Draft Pre-Application</v>
      </c>
      <c r="AK4" s="498"/>
      <c r="AL4" s="632"/>
      <c r="AM4" s="632"/>
      <c r="AN4" s="498"/>
      <c r="AO4" s="498"/>
      <c r="AP4" s="632"/>
      <c r="AQ4" s="632"/>
      <c r="AR4" s="632"/>
      <c r="AS4" s="634" t="s">
        <v>710</v>
      </c>
      <c r="AT4" s="872">
        <f>Incent_Total_Cap_All</f>
        <v>0</v>
      </c>
      <c r="AU4" s="872"/>
      <c r="AV4" s="872"/>
      <c r="AW4" s="872"/>
      <c r="AX4" s="873" t="s">
        <v>711</v>
      </c>
      <c r="AY4" s="873"/>
      <c r="AZ4" s="873"/>
      <c r="BA4" s="873"/>
      <c r="BB4" s="873"/>
      <c r="BC4" s="872" t="str">
        <f>OBR_Amount_Requested</f>
        <v/>
      </c>
      <c r="BD4" s="872"/>
      <c r="BE4" s="872"/>
      <c r="BF4" s="872"/>
      <c r="BG4" s="498"/>
      <c r="BH4" s="644"/>
      <c r="BI4" s="644"/>
    </row>
    <row r="5" spans="1:61" customFormat="1" ht="16.350000000000001" customHeight="1">
      <c r="A5" s="177"/>
      <c r="B5" s="622"/>
      <c r="C5" s="622"/>
      <c r="D5" s="622"/>
      <c r="E5" s="622"/>
      <c r="F5" s="622"/>
      <c r="G5" s="622"/>
      <c r="H5" s="622"/>
      <c r="I5" s="622"/>
      <c r="J5" s="622"/>
      <c r="K5" s="622"/>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623"/>
      <c r="BF5" s="177"/>
      <c r="BG5" s="866">
        <f ca="1">PROGRESSSTATUS</f>
        <v>0</v>
      </c>
      <c r="BH5" s="866"/>
      <c r="BI5" s="866"/>
    </row>
    <row r="6" spans="1:61" customFormat="1"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61" customFormat="1"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61" s="614"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row>
    <row r="9" spans="1:61" s="178" customFormat="1" ht="16.350000000000001" customHeight="1">
      <c r="A9" s="878" t="str">
        <f>M2S3</f>
        <v>Customer Information</v>
      </c>
      <c r="B9" s="878"/>
      <c r="C9" s="878"/>
      <c r="D9" s="878"/>
      <c r="E9" s="878"/>
      <c r="F9" s="878"/>
      <c r="G9" s="878"/>
      <c r="H9" s="878"/>
      <c r="I9" s="878"/>
      <c r="J9" s="878"/>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row>
    <row r="10" spans="1:61" s="178" customFormat="1" ht="16.350000000000001" customHeight="1">
      <c r="A10" s="878"/>
      <c r="B10" s="878"/>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878"/>
      <c r="AS10" s="878"/>
      <c r="AT10" s="878"/>
      <c r="AU10" s="878"/>
      <c r="AV10" s="878"/>
      <c r="AW10" s="878"/>
      <c r="AX10" s="878"/>
      <c r="AY10" s="878"/>
      <c r="AZ10" s="878"/>
      <c r="BA10" s="878"/>
      <c r="BB10" s="878"/>
      <c r="BC10" s="878"/>
      <c r="BD10" s="878"/>
      <c r="BE10" s="878"/>
      <c r="BF10" s="878"/>
    </row>
    <row r="11" spans="1:61" s="177" customFormat="1" ht="16.350000000000001" customHeight="1">
      <c r="F11" s="312"/>
      <c r="G11" s="312"/>
      <c r="H11" s="312"/>
      <c r="I11" s="312"/>
      <c r="K11" s="313"/>
      <c r="L11" s="313"/>
      <c r="M11" s="313"/>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2"/>
      <c r="AL11" s="312"/>
      <c r="AM11" s="312"/>
    </row>
    <row r="12" spans="1:61" s="177" customFormat="1" ht="16.350000000000001" customHeight="1"/>
    <row r="13" spans="1:61" s="177" customFormat="1" ht="16.350000000000001" customHeight="1">
      <c r="I13" s="902" t="s">
        <v>749</v>
      </c>
      <c r="J13" s="902"/>
      <c r="K13" s="902"/>
      <c r="L13" s="902"/>
      <c r="M13" s="902"/>
      <c r="N13" s="902"/>
      <c r="O13" s="902"/>
      <c r="P13" s="902"/>
      <c r="Q13" s="902"/>
      <c r="R13" s="902"/>
      <c r="S13" s="902"/>
      <c r="T13" s="902"/>
      <c r="U13" s="902"/>
      <c r="V13" s="902"/>
      <c r="W13" s="902"/>
      <c r="X13" s="902"/>
      <c r="Y13" s="902"/>
      <c r="Z13" s="902"/>
      <c r="AA13" s="902"/>
      <c r="AB13" s="902"/>
      <c r="AC13" s="902"/>
      <c r="AD13" s="902"/>
      <c r="AE13" s="902"/>
      <c r="AF13" s="902"/>
      <c r="AG13" s="902"/>
      <c r="AH13" s="902"/>
      <c r="AI13" s="902"/>
      <c r="AJ13" s="902"/>
      <c r="AK13" s="902"/>
      <c r="AL13" s="902"/>
      <c r="AM13" s="902"/>
      <c r="AN13" s="902"/>
      <c r="AO13" s="902"/>
      <c r="AP13" s="902"/>
      <c r="AQ13" s="902"/>
      <c r="AR13" s="902"/>
      <c r="AS13" s="902"/>
      <c r="AT13" s="902"/>
      <c r="AU13" s="902"/>
      <c r="AV13" s="902"/>
      <c r="AW13" s="902"/>
      <c r="AX13" s="902"/>
    </row>
    <row r="14" spans="1:61" s="177" customFormat="1" ht="16.350000000000001" customHeight="1">
      <c r="I14" s="903" t="s">
        <v>750</v>
      </c>
      <c r="J14" s="903"/>
      <c r="K14" s="903"/>
      <c r="L14" s="903"/>
      <c r="M14" s="903"/>
      <c r="N14" s="903"/>
      <c r="O14" s="903"/>
      <c r="P14" s="903"/>
      <c r="Q14" s="903"/>
      <c r="R14" s="903"/>
      <c r="S14" s="903"/>
      <c r="T14" s="903"/>
      <c r="U14" s="903"/>
      <c r="V14" s="903"/>
      <c r="W14" s="903"/>
      <c r="X14" s="903"/>
      <c r="Y14" s="903"/>
      <c r="Z14" s="903"/>
      <c r="AA14" s="903"/>
      <c r="AB14" s="903"/>
      <c r="AC14" s="903"/>
      <c r="AD14" s="903"/>
      <c r="AE14" s="903"/>
      <c r="AF14" s="903"/>
      <c r="AG14" s="903"/>
      <c r="AH14" s="903"/>
      <c r="AI14" s="903"/>
      <c r="AJ14" s="903"/>
      <c r="AK14" s="903"/>
      <c r="AL14" s="903"/>
      <c r="AM14" s="903"/>
      <c r="AN14" s="903"/>
      <c r="AO14" s="903"/>
      <c r="AP14" s="903"/>
      <c r="AQ14" s="903"/>
      <c r="AR14" s="903"/>
      <c r="AS14" s="903"/>
      <c r="AT14" s="903"/>
      <c r="AU14" s="903"/>
      <c r="AV14" s="903"/>
      <c r="AW14" s="903"/>
      <c r="AX14" s="903"/>
    </row>
    <row r="15" spans="1:61" s="177" customFormat="1" ht="16.350000000000001" customHeight="1"/>
    <row r="16" spans="1:61" s="177" customFormat="1" ht="16.350000000000001" customHeight="1">
      <c r="T16" s="60"/>
      <c r="U16" s="892" t="s">
        <v>751</v>
      </c>
      <c r="V16" s="892"/>
      <c r="W16" s="892"/>
      <c r="X16" s="892"/>
      <c r="Y16" s="892"/>
      <c r="Z16" s="892"/>
    </row>
    <row r="17" spans="9:73" s="177" customFormat="1" ht="16.350000000000001" customHeight="1" thickBot="1">
      <c r="N17" s="314" t="s">
        <v>752</v>
      </c>
      <c r="T17" s="60"/>
      <c r="U17" s="814"/>
      <c r="V17" s="815"/>
      <c r="W17" s="815"/>
      <c r="X17" s="815"/>
      <c r="Y17" s="815"/>
      <c r="Z17" s="815"/>
      <c r="AA17" s="815"/>
      <c r="AB17" s="815"/>
      <c r="AC17" s="815"/>
      <c r="AD17" s="816"/>
      <c r="AJ17" s="314" t="s">
        <v>753</v>
      </c>
      <c r="AK17" s="60"/>
      <c r="AL17" s="60"/>
      <c r="AM17" s="60"/>
      <c r="AN17" s="60"/>
      <c r="AP17" s="315" t="s">
        <v>754</v>
      </c>
      <c r="AQ17" s="899"/>
      <c r="AR17" s="900"/>
      <c r="AS17" s="900"/>
      <c r="AT17" s="900"/>
      <c r="AU17" s="901"/>
    </row>
    <row r="18" spans="9:73" s="177" customFormat="1" ht="12" customHeight="1">
      <c r="AD18" s="261" t="str">
        <f ca="1">M02S03F01disp</f>
        <v>Required</v>
      </c>
      <c r="AJ18" s="60"/>
      <c r="AU18" s="261" t="str">
        <f ca="1">M02S03F02disp</f>
        <v>Required</v>
      </c>
    </row>
    <row r="19" spans="9:73" s="177" customFormat="1" ht="12" customHeight="1">
      <c r="AD19" s="316"/>
      <c r="AJ19" s="60"/>
      <c r="BJ19" s="177" t="s">
        <v>755</v>
      </c>
    </row>
    <row r="20" spans="9:73" s="177" customFormat="1" ht="16.350000000000001" customHeight="1">
      <c r="O20" s="60"/>
      <c r="P20" s="60"/>
      <c r="Q20" s="60"/>
      <c r="R20" s="60"/>
      <c r="S20" s="60"/>
      <c r="T20" s="60"/>
      <c r="U20" s="892" t="s">
        <v>756</v>
      </c>
      <c r="V20" s="892"/>
      <c r="W20" s="892"/>
      <c r="X20" s="892"/>
      <c r="Y20" s="892"/>
      <c r="Z20" s="892"/>
      <c r="AA20" s="283"/>
      <c r="AB20" s="892" t="s">
        <v>757</v>
      </c>
      <c r="AC20" s="892"/>
      <c r="AD20" s="892"/>
      <c r="AE20" s="892"/>
      <c r="AF20" s="892"/>
      <c r="AG20" s="892"/>
      <c r="AJ20" s="317" t="s">
        <v>758</v>
      </c>
      <c r="AK20" s="317"/>
      <c r="AL20" s="317"/>
      <c r="AM20" s="317"/>
      <c r="AN20" s="317"/>
      <c r="AO20" s="317"/>
      <c r="AP20" s="263"/>
      <c r="AQ20" s="264"/>
      <c r="AR20" s="264"/>
      <c r="AS20" s="264"/>
      <c r="AT20" s="264"/>
      <c r="AU20" s="264"/>
      <c r="BJ20" s="317" t="s">
        <v>758</v>
      </c>
      <c r="BK20" s="317"/>
      <c r="BL20" s="317"/>
      <c r="BM20" s="317"/>
      <c r="BN20" s="317"/>
      <c r="BO20" s="317"/>
      <c r="BP20" s="263"/>
      <c r="BQ20" s="264"/>
      <c r="BR20" s="264"/>
      <c r="BS20" s="264"/>
      <c r="BT20" s="264"/>
      <c r="BU20" s="264"/>
    </row>
    <row r="21" spans="9:73" s="177" customFormat="1" ht="16.350000000000001" customHeight="1" thickBot="1">
      <c r="N21" s="314" t="s">
        <v>759</v>
      </c>
      <c r="O21" s="60"/>
      <c r="P21" s="60"/>
      <c r="Q21" s="60"/>
      <c r="R21" s="60"/>
      <c r="S21" s="60"/>
      <c r="T21" s="60"/>
      <c r="U21" s="840"/>
      <c r="V21" s="841"/>
      <c r="W21" s="841"/>
      <c r="X21" s="841"/>
      <c r="Y21" s="841"/>
      <c r="Z21" s="842"/>
      <c r="AA21" s="283"/>
      <c r="AB21" s="840"/>
      <c r="AC21" s="841"/>
      <c r="AD21" s="841"/>
      <c r="AE21" s="841"/>
      <c r="AF21" s="841"/>
      <c r="AG21" s="842"/>
      <c r="AJ21" s="804" t="str">
        <f>IF(M02S03F02="Facility Address",M02S02F03,IF(M02S03F02="Facility Mailing Address",M02S02F04,""))</f>
        <v/>
      </c>
      <c r="AK21" s="805"/>
      <c r="AL21" s="805"/>
      <c r="AM21" s="805"/>
      <c r="AN21" s="805"/>
      <c r="AO21" s="805"/>
      <c r="AP21" s="805"/>
      <c r="AQ21" s="805"/>
      <c r="AR21" s="805"/>
      <c r="AS21" s="805"/>
      <c r="AT21" s="805"/>
      <c r="AU21" s="806"/>
      <c r="BJ21" s="467" t="str">
        <f>IF(M02S03F02="Facility Address",M02S02F03,IF(M02S03F02="Facility Mailing Address",M02S02F04,""))</f>
        <v/>
      </c>
      <c r="BK21"/>
      <c r="BL21"/>
      <c r="BM21"/>
      <c r="BN21"/>
      <c r="BO21"/>
      <c r="BP21"/>
      <c r="BQ21"/>
      <c r="BR21"/>
      <c r="BS21"/>
      <c r="BT21"/>
      <c r="BU21"/>
    </row>
    <row r="22" spans="9:73" s="177" customFormat="1" ht="12" customHeight="1">
      <c r="Z22" s="261" t="str">
        <f ca="1">M02S03F03disp</f>
        <v>Required</v>
      </c>
      <c r="AG22" s="261" t="str">
        <f ca="1">M02S03F04disp</f>
        <v>Required</v>
      </c>
      <c r="AJ22" s="263"/>
      <c r="AK22" s="263"/>
      <c r="AL22" s="263"/>
      <c r="AM22" s="263"/>
      <c r="AN22" s="263"/>
      <c r="AO22" s="263"/>
      <c r="AP22" s="265"/>
      <c r="AQ22" s="263"/>
      <c r="AR22" s="263"/>
      <c r="AS22" s="263"/>
      <c r="AT22" s="263"/>
      <c r="AU22" s="261" t="str">
        <f ca="1">M02S03F05disp</f>
        <v>Required</v>
      </c>
      <c r="BJ22" s="263"/>
      <c r="BK22" s="263"/>
      <c r="BL22" s="263"/>
      <c r="BM22" s="263"/>
      <c r="BN22" s="263"/>
      <c r="BO22" s="263"/>
      <c r="BP22" s="265"/>
      <c r="BQ22" s="263"/>
      <c r="BR22" s="263"/>
      <c r="BS22" s="263"/>
      <c r="BT22" s="263"/>
      <c r="BU22" s="318" t="str">
        <f ca="1">M02S03F05disp</f>
        <v>Required</v>
      </c>
    </row>
    <row r="23" spans="9:73" s="177" customFormat="1" ht="12" customHeight="1">
      <c r="N23" s="60"/>
      <c r="O23" s="60"/>
      <c r="P23" s="60"/>
      <c r="Q23" s="60"/>
      <c r="R23" s="60"/>
      <c r="S23" s="60"/>
      <c r="T23" s="60"/>
      <c r="U23" s="60"/>
      <c r="V23" s="60"/>
      <c r="W23" s="60"/>
      <c r="X23" s="60"/>
      <c r="Y23" s="60"/>
      <c r="Z23" s="60"/>
      <c r="AA23" s="60"/>
      <c r="AJ23" s="264"/>
      <c r="AK23" s="264"/>
      <c r="AL23" s="264"/>
      <c r="AM23" s="264"/>
      <c r="AN23" s="264"/>
      <c r="AO23" s="264"/>
      <c r="AP23" s="264"/>
      <c r="AQ23" s="264"/>
      <c r="AR23" s="264"/>
      <c r="AS23" s="264"/>
      <c r="AT23" s="264"/>
      <c r="AU23" s="264"/>
      <c r="BJ23" s="264"/>
      <c r="BK23" s="264"/>
      <c r="BL23" s="264"/>
      <c r="BM23" s="264"/>
      <c r="BN23" s="264"/>
      <c r="BO23" s="264"/>
      <c r="BP23" s="264"/>
      <c r="BQ23" s="264"/>
      <c r="BR23" s="264"/>
      <c r="BS23" s="264"/>
      <c r="BT23" s="264"/>
      <c r="BU23" s="264"/>
    </row>
    <row r="24" spans="9:73" s="177" customFormat="1" ht="16.350000000000001" customHeight="1">
      <c r="N24" s="892" t="s">
        <v>760</v>
      </c>
      <c r="O24" s="892"/>
      <c r="P24" s="892"/>
      <c r="Q24" s="892"/>
      <c r="R24" s="892"/>
      <c r="S24" s="892"/>
      <c r="T24" s="283"/>
      <c r="U24" s="892" t="s">
        <v>761</v>
      </c>
      <c r="V24" s="892"/>
      <c r="W24" s="892"/>
      <c r="X24" s="892"/>
      <c r="Y24" s="892"/>
      <c r="Z24" s="892"/>
      <c r="AA24" s="267"/>
      <c r="AB24" s="892" t="s">
        <v>762</v>
      </c>
      <c r="AC24" s="892"/>
      <c r="AD24" s="892"/>
      <c r="AE24" s="892"/>
      <c r="AF24" s="892"/>
      <c r="AG24" s="892"/>
      <c r="AJ24" s="317" t="s">
        <v>720</v>
      </c>
      <c r="AK24" s="317"/>
      <c r="AL24" s="317"/>
      <c r="AM24" s="317"/>
      <c r="AN24" s="317"/>
      <c r="AO24" s="317"/>
      <c r="AP24" s="265"/>
      <c r="AQ24" s="317" t="s">
        <v>721</v>
      </c>
      <c r="AR24" s="317"/>
      <c r="AS24" s="317"/>
      <c r="AT24" s="317" t="s">
        <v>722</v>
      </c>
      <c r="BJ24" s="317" t="s">
        <v>720</v>
      </c>
      <c r="BK24" s="317"/>
      <c r="BL24" s="317" t="s">
        <v>721</v>
      </c>
      <c r="BM24" s="317"/>
      <c r="BN24" s="317" t="s">
        <v>722</v>
      </c>
      <c r="BP24" s="265"/>
    </row>
    <row r="25" spans="9:73" s="177" customFormat="1" ht="16.350000000000001" customHeight="1" thickBot="1">
      <c r="N25" s="840"/>
      <c r="O25" s="841"/>
      <c r="P25" s="841"/>
      <c r="Q25" s="841"/>
      <c r="R25" s="841"/>
      <c r="S25" s="842"/>
      <c r="T25" s="283"/>
      <c r="U25" s="882"/>
      <c r="V25" s="883"/>
      <c r="W25" s="883"/>
      <c r="X25" s="883"/>
      <c r="Y25" s="883"/>
      <c r="Z25" s="884"/>
      <c r="AA25" s="283"/>
      <c r="AB25" s="898"/>
      <c r="AC25" s="841"/>
      <c r="AD25" s="841"/>
      <c r="AE25" s="841"/>
      <c r="AF25" s="841"/>
      <c r="AG25" s="842"/>
      <c r="AJ25" s="804" t="str">
        <f>IF(M02S03F02="Facility Address",M02S02F06,IF(M02S03F02="Facility Mailing Address",M02S02F09,""))</f>
        <v/>
      </c>
      <c r="AK25" s="805"/>
      <c r="AL25" s="805"/>
      <c r="AM25" s="805"/>
      <c r="AN25" s="805"/>
      <c r="AO25" s="806"/>
      <c r="AP25" s="263"/>
      <c r="AQ25" s="804" t="str">
        <f>IF(M02S03F02="Facility Address",M02S02F07,IF(M02S03F02="Facility Mailing Address",M02S02F10,""))</f>
        <v/>
      </c>
      <c r="AR25" s="806"/>
      <c r="AS25" s="319"/>
      <c r="AT25" s="862" t="str">
        <f>IF(M02S03F02="Facility Address",M02S02F08,IF(M02S03F02="Facility Mailing Address",M02S02F11,""))</f>
        <v/>
      </c>
      <c r="AU25" s="863"/>
      <c r="BJ25" s="467" t="str">
        <f>IF(M02S03F02="Facility Address",M02S02F06,IF(M02S03F02="Facility Mailing Address",M02S02F09,""))</f>
        <v/>
      </c>
      <c r="BK25"/>
      <c r="BL25" s="467" t="str">
        <f>IF(M02S03F02="Facility Address",M02S02F07,IF(M02S03F02="Facility Mailing Address",M02S02F10,""))</f>
        <v/>
      </c>
      <c r="BM25"/>
      <c r="BN25" s="468" t="str">
        <f>IF(M02S03F02="Facility Address",M02S02F08,IF(M02S03F02="Facility Mailing Address",M02S02F11,""))</f>
        <v/>
      </c>
      <c r="BP25" s="263"/>
      <c r="BU25"/>
    </row>
    <row r="26" spans="9:73" s="177" customFormat="1" ht="12" customHeight="1">
      <c r="S26" s="261" t="str">
        <f ca="1">M02S03F06disp</f>
        <v>Required</v>
      </c>
      <c r="Z26" s="261" t="str">
        <f ca="1">M02S03F07disp</f>
        <v>Required</v>
      </c>
      <c r="AG26" s="261" t="str">
        <f ca="1">M02S03F08disp</f>
        <v>Required</v>
      </c>
      <c r="AJ26" s="264"/>
      <c r="AK26" s="264"/>
      <c r="AL26" s="264"/>
      <c r="AM26" s="264"/>
      <c r="AN26" s="264"/>
      <c r="AO26" s="261" t="str">
        <f ca="1">M02S03F09disp</f>
        <v>Required</v>
      </c>
      <c r="AP26" s="269"/>
      <c r="AQ26" s="269"/>
      <c r="AR26" s="261" t="str">
        <f ca="1">M02S03F10disp</f>
        <v>Required</v>
      </c>
      <c r="AS26" s="269"/>
      <c r="AT26" s="269"/>
      <c r="AU26" s="261" t="str">
        <f ca="1">M02S03F11disp</f>
        <v>Required</v>
      </c>
    </row>
    <row r="27" spans="9:73" s="177" customFormat="1" ht="16.350000000000001" customHeight="1"/>
    <row r="28" spans="9:73" s="177" customFormat="1" ht="16.350000000000001" customHeight="1">
      <c r="I28" s="880" t="s">
        <v>763</v>
      </c>
      <c r="J28" s="880"/>
      <c r="K28" s="880"/>
      <c r="L28" s="880"/>
      <c r="M28" s="880"/>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c r="AL28" s="880"/>
      <c r="AM28" s="880"/>
      <c r="AN28" s="880"/>
      <c r="AO28" s="880"/>
      <c r="AP28" s="880"/>
      <c r="AQ28" s="880"/>
      <c r="AR28" s="880"/>
      <c r="AS28" s="880"/>
      <c r="AT28" s="880"/>
      <c r="AU28" s="880"/>
      <c r="AV28" s="880"/>
      <c r="AW28" s="880"/>
      <c r="AX28" s="880"/>
    </row>
    <row r="29" spans="9:73" s="177" customFormat="1" ht="16.350000000000001" customHeight="1">
      <c r="I29" s="881" t="s">
        <v>764</v>
      </c>
      <c r="J29" s="881"/>
      <c r="K29" s="881"/>
      <c r="L29" s="881"/>
      <c r="M29" s="881"/>
      <c r="N29" s="881"/>
      <c r="O29" s="881"/>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s="881"/>
      <c r="AM29" s="881"/>
      <c r="AN29" s="881"/>
      <c r="AO29" s="881"/>
      <c r="AP29" s="881"/>
      <c r="AQ29" s="881"/>
      <c r="AR29" s="881"/>
      <c r="AS29" s="881"/>
      <c r="AT29" s="881"/>
      <c r="AU29" s="881"/>
      <c r="AV29" s="881"/>
      <c r="AW29" s="881"/>
      <c r="AX29" s="881"/>
    </row>
    <row r="30" spans="9:73" s="177" customFormat="1" ht="16.350000000000001" customHeight="1"/>
    <row r="31" spans="9:73" s="177" customFormat="1" ht="16.350000000000001" customHeight="1" thickBot="1">
      <c r="J31" s="320"/>
      <c r="K31" s="320"/>
      <c r="L31" s="320"/>
      <c r="M31" s="320"/>
      <c r="N31" s="320"/>
      <c r="O31" s="320"/>
      <c r="S31" s="285"/>
      <c r="T31" s="285"/>
      <c r="U31" s="285"/>
      <c r="V31" s="285"/>
      <c r="W31" s="285"/>
      <c r="X31" s="285"/>
      <c r="Y31" s="321"/>
      <c r="AC31" s="322" t="s">
        <v>765</v>
      </c>
      <c r="AD31" s="896"/>
      <c r="AE31" s="897"/>
      <c r="AF31" s="323"/>
      <c r="AG31" s="323"/>
      <c r="AH31" s="323"/>
      <c r="AI31" s="323"/>
      <c r="AJ31" s="323"/>
      <c r="AK31" s="323"/>
      <c r="AL31" s="323"/>
      <c r="AM31" s="323"/>
      <c r="AN31" s="323"/>
      <c r="AP31" s="60"/>
      <c r="AQ31" s="60"/>
      <c r="AR31" s="60"/>
      <c r="AS31" s="60"/>
      <c r="AT31" s="60"/>
      <c r="AU31" s="60"/>
      <c r="AV31" s="60"/>
      <c r="AW31" s="60"/>
    </row>
    <row r="32" spans="9:73" s="177" customFormat="1" ht="12" customHeight="1">
      <c r="I32" s="320"/>
      <c r="J32" s="320"/>
      <c r="K32" s="320"/>
      <c r="L32" s="320"/>
      <c r="M32" s="320"/>
      <c r="N32" s="320"/>
      <c r="O32" s="320"/>
      <c r="P32" s="60"/>
      <c r="Q32" s="60"/>
      <c r="R32" s="60"/>
      <c r="S32" s="285"/>
      <c r="T32" s="285"/>
      <c r="U32" s="285"/>
      <c r="V32" s="285"/>
      <c r="W32" s="285"/>
      <c r="X32" s="285"/>
      <c r="Y32" s="264"/>
      <c r="Z32" s="60"/>
      <c r="AA32" s="60"/>
      <c r="AB32" s="60"/>
      <c r="AC32" s="60"/>
      <c r="AD32" s="60"/>
      <c r="AE32" s="261" t="str">
        <f ca="1">M02S03F12disp</f>
        <v>Required</v>
      </c>
      <c r="AF32" s="60"/>
      <c r="AG32" s="60"/>
      <c r="AH32" s="60"/>
      <c r="AI32" s="60"/>
      <c r="AJ32" s="60"/>
      <c r="AK32" s="60"/>
      <c r="AL32" s="60"/>
      <c r="AM32" s="60"/>
      <c r="AN32" s="60"/>
      <c r="AO32" s="60"/>
      <c r="AP32" s="60"/>
      <c r="AQ32" s="60"/>
      <c r="AR32" s="60"/>
      <c r="AS32" s="60"/>
      <c r="AT32" s="60"/>
      <c r="AU32" s="60"/>
      <c r="AV32" s="60"/>
      <c r="AW32" s="60"/>
    </row>
    <row r="33" spans="9:86" s="177" customFormat="1" ht="16.350000000000001" customHeight="1">
      <c r="I33" s="320"/>
      <c r="J33" s="320"/>
      <c r="K33" s="320"/>
      <c r="L33" s="320"/>
      <c r="M33" s="320"/>
      <c r="N33" s="320"/>
      <c r="O33" s="320"/>
      <c r="P33" s="60"/>
      <c r="Q33" s="60"/>
      <c r="R33" s="60"/>
      <c r="S33" s="60"/>
      <c r="T33" s="60"/>
      <c r="U33" s="60"/>
      <c r="V33" s="60"/>
      <c r="W33" s="60"/>
      <c r="X33" s="316"/>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row>
    <row r="34" spans="9:86" s="177" customFormat="1" ht="16.350000000000001" customHeight="1">
      <c r="N34" s="60"/>
      <c r="O34" s="60"/>
      <c r="P34" s="60"/>
      <c r="Q34" s="60"/>
      <c r="R34" s="60"/>
      <c r="S34" s="60"/>
      <c r="T34" s="60"/>
      <c r="U34" s="892" t="s">
        <v>756</v>
      </c>
      <c r="V34" s="892"/>
      <c r="W34" s="892"/>
      <c r="X34" s="892"/>
      <c r="Y34" s="892"/>
      <c r="Z34" s="892"/>
      <c r="AA34" s="283"/>
      <c r="AB34" s="892" t="s">
        <v>757</v>
      </c>
      <c r="AC34" s="892"/>
      <c r="AD34" s="892"/>
      <c r="AE34" s="892"/>
      <c r="AF34" s="892"/>
      <c r="AG34" s="892"/>
      <c r="AJ34"/>
      <c r="AK34"/>
      <c r="AL34"/>
      <c r="AM34"/>
      <c r="AN34"/>
      <c r="AO34"/>
      <c r="AP34"/>
      <c r="AQ34"/>
      <c r="AR34"/>
      <c r="AS34"/>
      <c r="AT34"/>
      <c r="AU34"/>
      <c r="AV34"/>
      <c r="AW34"/>
      <c r="AX34"/>
      <c r="AY34"/>
      <c r="AZ34"/>
      <c r="BA34"/>
      <c r="BB34"/>
      <c r="BC34"/>
      <c r="BD34"/>
      <c r="BE34"/>
      <c r="BL34" s="177" t="s">
        <v>756</v>
      </c>
      <c r="BN34" s="177" t="s">
        <v>757</v>
      </c>
    </row>
    <row r="35" spans="9:86" s="177" customFormat="1" ht="16.350000000000001" customHeight="1" thickBot="1">
      <c r="N35" s="314" t="s">
        <v>766</v>
      </c>
      <c r="O35" s="60"/>
      <c r="P35" s="60"/>
      <c r="Q35" s="60"/>
      <c r="R35" s="60"/>
      <c r="S35" s="60"/>
      <c r="T35" s="60"/>
      <c r="U35" s="885" t="str">
        <f>IF(M02S03F12="Yes",M02S03F03,"")</f>
        <v/>
      </c>
      <c r="V35" s="886"/>
      <c r="W35" s="886"/>
      <c r="X35" s="886"/>
      <c r="Y35" s="886"/>
      <c r="Z35" s="887"/>
      <c r="AA35" s="283"/>
      <c r="AB35" s="885" t="str">
        <f>IF(M02S03F12="Yes",M02S03F04,"")</f>
        <v/>
      </c>
      <c r="AC35" s="886"/>
      <c r="AD35" s="886"/>
      <c r="AE35" s="886"/>
      <c r="AF35" s="886"/>
      <c r="AG35" s="887"/>
      <c r="AJ35"/>
      <c r="AK35"/>
      <c r="AL35"/>
      <c r="AM35"/>
      <c r="AN35"/>
      <c r="AO35"/>
      <c r="AP35"/>
      <c r="AQ35"/>
      <c r="AR35"/>
      <c r="AS35"/>
      <c r="AT35"/>
      <c r="AU35"/>
      <c r="AV35"/>
      <c r="AW35"/>
      <c r="AX35"/>
      <c r="AY35"/>
      <c r="AZ35"/>
      <c r="BA35"/>
      <c r="BB35"/>
      <c r="BC35"/>
      <c r="BD35"/>
      <c r="BE35"/>
      <c r="BJ35" s="177" t="s">
        <v>766</v>
      </c>
      <c r="BL35" s="324" t="str">
        <f>IF(M02S03F12="Yes",M02S03F03,"")</f>
        <v/>
      </c>
      <c r="BN35" s="324" t="str">
        <f>IF(M02S03F12="Yes",M02S03F04,"")</f>
        <v/>
      </c>
    </row>
    <row r="36" spans="9:86" s="177" customFormat="1" ht="12" customHeight="1">
      <c r="Z36" s="261" t="str">
        <f ca="1">M02S03F13disp</f>
        <v>Required</v>
      </c>
      <c r="AG36" s="261" t="str">
        <f ca="1">M02S03F14disp</f>
        <v>Required</v>
      </c>
      <c r="AJ36"/>
      <c r="AK36"/>
      <c r="AL36"/>
      <c r="AM36"/>
      <c r="AN36"/>
      <c r="AO36"/>
      <c r="AP36"/>
      <c r="AQ36"/>
      <c r="AR36"/>
      <c r="AS36"/>
      <c r="AT36"/>
      <c r="AU36"/>
      <c r="AV36"/>
      <c r="AW36"/>
      <c r="AX36"/>
      <c r="AY36"/>
      <c r="AZ36"/>
      <c r="BA36"/>
      <c r="BB36"/>
      <c r="BC36"/>
      <c r="BD36"/>
      <c r="BE36"/>
      <c r="BV36" s="177" t="s">
        <v>767</v>
      </c>
      <c r="CH36" s="177" t="s">
        <v>767</v>
      </c>
    </row>
    <row r="37" spans="9:86" s="177" customFormat="1" ht="12" customHeight="1">
      <c r="AJ37"/>
      <c r="AK37"/>
      <c r="AL37"/>
      <c r="AM37"/>
      <c r="AN37"/>
      <c r="AO37"/>
      <c r="AP37"/>
      <c r="AQ37"/>
      <c r="AR37"/>
      <c r="AS37"/>
      <c r="AT37"/>
      <c r="AU37"/>
      <c r="AV37"/>
      <c r="AW37"/>
      <c r="AX37"/>
      <c r="AY37"/>
      <c r="AZ37"/>
      <c r="BA37"/>
      <c r="BB37"/>
      <c r="BC37"/>
      <c r="BD37"/>
      <c r="BE37"/>
    </row>
    <row r="38" spans="9:86" s="177" customFormat="1" ht="16.350000000000001" customHeight="1">
      <c r="N38" s="892" t="s">
        <v>760</v>
      </c>
      <c r="O38" s="892"/>
      <c r="P38" s="892"/>
      <c r="Q38" s="892"/>
      <c r="R38" s="892"/>
      <c r="S38" s="892"/>
      <c r="T38" s="283"/>
      <c r="U38" s="892" t="s">
        <v>761</v>
      </c>
      <c r="V38" s="892"/>
      <c r="W38" s="892"/>
      <c r="X38" s="892"/>
      <c r="Y38" s="892"/>
      <c r="Z38" s="892"/>
      <c r="AA38" s="267"/>
      <c r="AB38" s="892" t="s">
        <v>762</v>
      </c>
      <c r="AC38" s="892"/>
      <c r="AD38" s="892"/>
      <c r="AE38" s="892"/>
      <c r="AF38" s="892"/>
      <c r="AG38" s="892"/>
      <c r="AJ38"/>
      <c r="AK38"/>
      <c r="AL38"/>
      <c r="AM38"/>
      <c r="AN38"/>
      <c r="AO38"/>
      <c r="AP38"/>
      <c r="AQ38"/>
      <c r="AR38"/>
      <c r="AS38"/>
      <c r="AT38"/>
      <c r="AU38"/>
      <c r="AV38"/>
      <c r="AW38"/>
      <c r="AX38"/>
      <c r="AY38"/>
      <c r="AZ38"/>
      <c r="BA38"/>
      <c r="BB38"/>
      <c r="BC38"/>
      <c r="BD38"/>
      <c r="BE38"/>
      <c r="BJ38" s="177" t="s">
        <v>760</v>
      </c>
      <c r="BL38" s="177" t="s">
        <v>761</v>
      </c>
      <c r="BN38" s="177" t="s">
        <v>762</v>
      </c>
    </row>
    <row r="39" spans="9:86" s="177" customFormat="1" ht="16.350000000000001" customHeight="1" thickBot="1">
      <c r="N39" s="885" t="str">
        <f>IF(M02S03F12="Yes",M02S03F06,"")</f>
        <v/>
      </c>
      <c r="O39" s="886"/>
      <c r="P39" s="886"/>
      <c r="Q39" s="886"/>
      <c r="R39" s="886"/>
      <c r="S39" s="887"/>
      <c r="T39" s="283"/>
      <c r="U39" s="888" t="str">
        <f>IF(M02S03F12="Yes",M02S03F07,"")</f>
        <v/>
      </c>
      <c r="V39" s="889"/>
      <c r="W39" s="889"/>
      <c r="X39" s="889"/>
      <c r="Y39" s="889"/>
      <c r="Z39" s="890"/>
      <c r="AA39" s="283"/>
      <c r="AB39" s="891" t="str">
        <f>IF(M02S03F12="Yes",M02S03F08,"")</f>
        <v/>
      </c>
      <c r="AC39" s="886"/>
      <c r="AD39" s="886"/>
      <c r="AE39" s="886"/>
      <c r="AF39" s="886"/>
      <c r="AG39" s="887"/>
      <c r="AJ39"/>
      <c r="AK39"/>
      <c r="AL39"/>
      <c r="AM39"/>
      <c r="AN39"/>
      <c r="AO39"/>
      <c r="AP39"/>
      <c r="AQ39"/>
      <c r="AR39"/>
      <c r="AS39"/>
      <c r="AT39"/>
      <c r="AU39"/>
      <c r="AV39"/>
      <c r="AW39"/>
      <c r="AX39"/>
      <c r="AY39"/>
      <c r="AZ39"/>
      <c r="BA39"/>
      <c r="BB39"/>
      <c r="BC39"/>
      <c r="BD39"/>
      <c r="BE39"/>
      <c r="BJ39" s="324" t="str">
        <f>IF(M02S03F12="Yes",M02S03F06,"")</f>
        <v/>
      </c>
      <c r="BL39" s="324" t="str">
        <f>IF(M02S03F12="Yes",M02S03F07,"")</f>
        <v/>
      </c>
      <c r="BN39" s="324" t="str">
        <f>IF(M02S03F12="Yes",M02S03F08,"")</f>
        <v/>
      </c>
    </row>
    <row r="40" spans="9:86" s="177" customFormat="1" ht="12" customHeight="1">
      <c r="S40" s="261" t="str">
        <f ca="1">M02S03F15disp</f>
        <v>Required</v>
      </c>
      <c r="Z40" s="261" t="str">
        <f ca="1">M02S03F16disp</f>
        <v>Required</v>
      </c>
      <c r="AG40" s="261" t="str">
        <f ca="1">M02S03F17disp</f>
        <v>Required</v>
      </c>
    </row>
    <row r="41" spans="9:86" s="177" customFormat="1" ht="16.350000000000001" customHeight="1"/>
    <row r="42" spans="9:86" s="177" customFormat="1" ht="16.350000000000001" customHeight="1"/>
    <row r="43" spans="9:86" s="177" customFormat="1" ht="16.350000000000001" customHeight="1">
      <c r="N43" s="267" t="s">
        <v>768</v>
      </c>
      <c r="O43" s="267"/>
      <c r="P43" s="267"/>
      <c r="Q43" s="267"/>
      <c r="R43" s="267"/>
      <c r="S43" s="267"/>
      <c r="T43" s="267"/>
      <c r="U43" s="267"/>
      <c r="V43" s="267"/>
      <c r="W43" s="267"/>
      <c r="X43" s="267"/>
      <c r="Y43" s="267"/>
      <c r="Z43" s="267"/>
      <c r="AA43" s="267" t="s">
        <v>769</v>
      </c>
      <c r="AB43" s="267"/>
      <c r="AC43" s="267"/>
      <c r="AD43" s="267"/>
      <c r="AE43" s="267"/>
      <c r="AF43" s="267"/>
      <c r="AG43" s="267"/>
      <c r="AH43" s="267"/>
      <c r="AI43" s="267"/>
      <c r="AK43" s="892" t="s">
        <v>770</v>
      </c>
      <c r="AL43" s="892"/>
      <c r="AM43" s="892"/>
      <c r="AN43" s="892"/>
    </row>
    <row r="44" spans="9:86" s="177" customFormat="1" ht="16.350000000000001" customHeight="1" thickBot="1">
      <c r="N44" s="893"/>
      <c r="O44" s="893"/>
      <c r="P44" s="893"/>
      <c r="Q44" s="893"/>
      <c r="R44" s="893"/>
      <c r="S44" s="893"/>
      <c r="T44" s="893"/>
      <c r="U44" s="893"/>
      <c r="V44" s="893"/>
      <c r="W44" s="893"/>
      <c r="X44" s="893"/>
      <c r="Y44" s="893"/>
      <c r="AA44" s="894"/>
      <c r="AB44" s="894"/>
      <c r="AC44" s="894"/>
      <c r="AD44" s="894"/>
      <c r="AE44" s="894"/>
      <c r="AF44" s="894"/>
      <c r="AG44" s="894"/>
      <c r="AH44" s="894"/>
      <c r="AI44" s="894"/>
      <c r="AK44" s="895"/>
      <c r="AL44" s="895"/>
      <c r="AM44" s="895"/>
      <c r="AN44" s="895"/>
    </row>
    <row r="45" spans="9:86" s="177" customFormat="1" ht="16.350000000000001" customHeight="1"/>
    <row r="46" spans="9:86" s="177" customFormat="1" ht="16.350000000000001" customHeight="1"/>
    <row r="47" spans="9:86" s="177" customFormat="1" ht="16.350000000000001" hidden="1" customHeight="1"/>
    <row r="48" spans="9:86" s="177" customFormat="1" ht="16.350000000000001" hidden="1" customHeight="1"/>
    <row r="49" s="177" customFormat="1" ht="16.350000000000001" hidden="1" customHeight="1"/>
    <row r="50" s="177" customFormat="1" ht="16.350000000000001" hidden="1" customHeight="1"/>
    <row r="51" s="177" customFormat="1" ht="16.350000000000001" hidden="1" customHeight="1"/>
    <row r="52" s="177" customFormat="1" ht="16.350000000000001" hidden="1" customHeight="1"/>
    <row r="53" s="177" customFormat="1" ht="16.350000000000001" hidden="1" customHeight="1"/>
    <row r="54" s="177" customFormat="1" ht="16.350000000000001" hidden="1" customHeight="1"/>
    <row r="55" s="177" customFormat="1" ht="16.350000000000001" hidden="1" customHeight="1"/>
    <row r="56" s="177" customFormat="1" ht="16.350000000000001" hidden="1" customHeight="1"/>
    <row r="57" s="177" customFormat="1" ht="16.350000000000001" hidden="1" customHeight="1"/>
    <row r="58" s="177" customFormat="1" ht="16.350000000000001" hidden="1" customHeight="1"/>
    <row r="59" s="177" customFormat="1" ht="16.350000000000001" hidden="1" customHeight="1"/>
    <row r="60" s="177" customFormat="1" ht="16.350000000000001" hidden="1" customHeight="1"/>
    <row r="61" s="177" customFormat="1" ht="16.350000000000001" hidden="1" customHeight="1"/>
    <row r="62" s="177" customFormat="1" ht="16.350000000000001" hidden="1" customHeight="1"/>
    <row r="63" s="177" customFormat="1" ht="16.350000000000001" hidden="1" customHeight="1"/>
    <row r="64" s="177" customFormat="1" ht="16.350000000000001" hidden="1" customHeight="1"/>
    <row r="65" s="177" customFormat="1" ht="16.350000000000001" hidden="1" customHeight="1"/>
    <row r="66" s="177" customFormat="1" ht="16.350000000000001" hidden="1" customHeight="1"/>
    <row r="67" s="177" customFormat="1" ht="16.350000000000001" hidden="1" customHeight="1"/>
    <row r="68" s="177" customFormat="1" ht="16.350000000000001" hidden="1" customHeight="1"/>
    <row r="69" s="177" customFormat="1" ht="16.350000000000001" hidden="1" customHeight="1"/>
    <row r="70" s="177" customFormat="1" ht="16.350000000000001" hidden="1" customHeight="1"/>
    <row r="71" s="177" customFormat="1" ht="16.350000000000001" hidden="1" customHeight="1"/>
    <row r="72" s="177" customFormat="1" ht="16.350000000000001" hidden="1" customHeight="1"/>
    <row r="73" s="177" customFormat="1" ht="16.350000000000001" hidden="1" customHeight="1"/>
    <row r="74" s="177" customFormat="1" ht="16.350000000000001" hidden="1" customHeight="1"/>
    <row r="75" s="177" customFormat="1" ht="16.350000000000001" hidden="1" customHeight="1"/>
    <row r="76" s="177" customFormat="1" ht="16.350000000000001" hidden="1" customHeight="1"/>
    <row r="77" s="177" customFormat="1" ht="16.350000000000001" hidden="1" customHeight="1"/>
    <row r="78" s="177" customFormat="1" ht="16.350000000000001" hidden="1" customHeight="1"/>
    <row r="79" s="177" customFormat="1" ht="16.350000000000001" hidden="1" customHeight="1"/>
    <row r="80" s="177" customFormat="1" ht="16.350000000000001" hidden="1" customHeight="1"/>
    <row r="81" s="177" customFormat="1" ht="16.350000000000001" hidden="1" customHeight="1"/>
    <row r="82" s="177" customFormat="1" ht="16.350000000000001" hidden="1" customHeight="1"/>
    <row r="83" s="177" customFormat="1" ht="16.350000000000001" hidden="1" customHeight="1"/>
    <row r="84" s="177" customFormat="1" ht="16.350000000000001" hidden="1" customHeight="1"/>
    <row r="85" s="177" customFormat="1" ht="16.350000000000001" hidden="1" customHeight="1"/>
    <row r="86" s="177" customFormat="1" ht="16.350000000000001" hidden="1" customHeight="1"/>
    <row r="87" s="177" customFormat="1" ht="16.350000000000001" hidden="1" customHeight="1"/>
    <row r="88" s="177" customFormat="1" ht="16.350000000000001" hidden="1" customHeight="1"/>
    <row r="89" s="177" customFormat="1" ht="16.350000000000001" hidden="1" customHeight="1"/>
    <row r="90" s="177" customFormat="1" ht="16.350000000000001" hidden="1" customHeight="1"/>
    <row r="91" s="177" customFormat="1" ht="16.350000000000001" hidden="1" customHeight="1"/>
    <row r="92" s="177" customFormat="1" ht="16.350000000000001" hidden="1" customHeight="1"/>
    <row r="93" s="177" customFormat="1" ht="16.350000000000001" hidden="1" customHeight="1"/>
    <row r="94" s="177" customFormat="1" ht="16.350000000000001" hidden="1" customHeight="1"/>
    <row r="95" s="177" customFormat="1" ht="16.350000000000001" hidden="1" customHeight="1"/>
    <row r="96" s="177" customFormat="1" ht="16.350000000000001" hidden="1" customHeight="1"/>
    <row r="97" s="177" customFormat="1" ht="16.350000000000001" hidden="1" customHeight="1"/>
    <row r="98" s="177" customFormat="1" ht="16.350000000000001" hidden="1" customHeight="1"/>
    <row r="99" s="177" customFormat="1" ht="16.350000000000001" hidden="1" customHeight="1"/>
    <row r="100" s="177" customFormat="1" ht="16.350000000000001" hidden="1" customHeight="1"/>
    <row r="101" s="177" customFormat="1" ht="16.350000000000001" hidden="1" customHeight="1"/>
    <row r="102" s="177" customFormat="1" ht="16.350000000000001" hidden="1" customHeight="1"/>
    <row r="103" s="177" customFormat="1" ht="16.350000000000001" hidden="1" customHeight="1"/>
    <row r="104" s="177" customFormat="1" ht="16.350000000000001" hidden="1" customHeight="1"/>
    <row r="105" s="177" customFormat="1" ht="16.350000000000001" hidden="1" customHeight="1"/>
    <row r="106" s="177" customFormat="1" ht="16.350000000000001" hidden="1" customHeight="1"/>
    <row r="107" s="177" customFormat="1" ht="16.350000000000001" hidden="1" customHeight="1"/>
    <row r="108" s="177" customFormat="1" ht="16.350000000000001" hidden="1" customHeight="1"/>
    <row r="109" s="177" customFormat="1" ht="16.350000000000001" hidden="1" customHeight="1"/>
    <row r="110" s="177" customFormat="1" ht="16.350000000000001" hidden="1" customHeight="1"/>
    <row r="111" s="177" customFormat="1" ht="16.350000000000001" hidden="1" customHeight="1"/>
    <row r="112" s="177" customFormat="1" ht="16.350000000000001" hidden="1" customHeight="1"/>
    <row r="113" s="177" customFormat="1" ht="16.350000000000001" hidden="1" customHeight="1"/>
    <row r="114" s="177" customFormat="1" ht="16.350000000000001" hidden="1" customHeight="1"/>
    <row r="115" s="177" customFormat="1" ht="16.350000000000001" hidden="1" customHeight="1"/>
    <row r="116" s="177" customFormat="1" ht="16.350000000000001" hidden="1" customHeight="1"/>
    <row r="117" s="177" customFormat="1" ht="16.350000000000001" hidden="1" customHeight="1"/>
    <row r="118" s="177" customFormat="1" ht="16.350000000000001" hidden="1" customHeight="1"/>
    <row r="119" s="177" customFormat="1" ht="16.350000000000001" hidden="1" customHeight="1"/>
    <row r="120" s="177" customFormat="1" ht="16.350000000000001" hidden="1" customHeight="1"/>
    <row r="121" s="177" customFormat="1" ht="16.350000000000001" hidden="1" customHeight="1"/>
    <row r="122" s="177" customFormat="1" ht="16.350000000000001" hidden="1" customHeight="1"/>
    <row r="123" s="177" customFormat="1" ht="16.350000000000001" hidden="1" customHeight="1"/>
    <row r="124" s="177" customFormat="1" ht="16.350000000000001" hidden="1" customHeight="1"/>
    <row r="125" s="177" customFormat="1" ht="16.350000000000001" hidden="1" customHeight="1"/>
    <row r="126" s="177" customFormat="1" ht="16.350000000000001" hidden="1" customHeight="1"/>
    <row r="127" s="177" customFormat="1" ht="16.350000000000001" hidden="1" customHeight="1"/>
    <row r="128" s="177" customFormat="1" ht="16.350000000000001" hidden="1" customHeight="1"/>
    <row r="129" s="177" customFormat="1" ht="16.350000000000001" hidden="1" customHeight="1"/>
    <row r="130" s="177" customFormat="1" ht="16.350000000000001" hidden="1" customHeight="1"/>
    <row r="131" s="177" customFormat="1" ht="16.350000000000001" hidden="1" customHeight="1"/>
    <row r="132" s="177" customFormat="1" ht="16.350000000000001" hidden="1" customHeight="1"/>
    <row r="133" s="177" customFormat="1" ht="16.350000000000001" hidden="1" customHeight="1"/>
    <row r="134" s="177" customFormat="1" ht="16.350000000000001" hidden="1" customHeight="1"/>
    <row r="135" s="177" customFormat="1" ht="16.350000000000001" hidden="1" customHeight="1"/>
    <row r="136" s="177" customFormat="1" ht="16.350000000000001" hidden="1" customHeight="1"/>
    <row r="137" s="177" customFormat="1" ht="16.350000000000001" hidden="1" customHeight="1"/>
    <row r="138" s="177" customFormat="1" ht="16.350000000000001" hidden="1" customHeight="1"/>
    <row r="139" s="177" customFormat="1" ht="16.350000000000001" hidden="1" customHeight="1"/>
    <row r="140" s="177" customFormat="1" ht="16.350000000000001" hidden="1" customHeight="1"/>
    <row r="141" s="177" customFormat="1" ht="16.350000000000001" hidden="1" customHeight="1"/>
    <row r="142" s="177" customFormat="1" ht="16.350000000000001" hidden="1" customHeight="1"/>
    <row r="143" s="177" customFormat="1" ht="16.350000000000001" hidden="1" customHeight="1"/>
    <row r="144" s="177" customFormat="1" ht="16.350000000000001" hidden="1" customHeight="1"/>
    <row r="145" s="177" customFormat="1" ht="16.350000000000001" hidden="1" customHeight="1"/>
    <row r="146" s="177" customFormat="1" ht="16.350000000000001" hidden="1" customHeight="1"/>
    <row r="147" s="177" customFormat="1" ht="16.350000000000001" hidden="1" customHeight="1"/>
    <row r="148" s="177" customFormat="1" ht="16.350000000000001" hidden="1" customHeight="1"/>
    <row r="149" s="177" customFormat="1" ht="16.350000000000001" hidden="1" customHeight="1"/>
    <row r="150" s="177" customFormat="1" ht="16.350000000000001" hidden="1" customHeight="1"/>
    <row r="151" s="177" customFormat="1" ht="16.350000000000001" hidden="1" customHeight="1"/>
    <row r="152" s="177" customFormat="1" ht="16.350000000000001" hidden="1" customHeight="1"/>
    <row r="153" s="177" customFormat="1" ht="16.350000000000001" hidden="1" customHeight="1"/>
    <row r="154" s="177" customFormat="1" ht="16.350000000000001" hidden="1" customHeight="1"/>
    <row r="155" s="177" customFormat="1" ht="16.350000000000001" hidden="1" customHeight="1"/>
    <row r="156" s="177" customFormat="1" ht="16.350000000000001" hidden="1" customHeight="1"/>
    <row r="157" s="177" customFormat="1" ht="16.350000000000001" hidden="1" customHeight="1"/>
    <row r="158" s="177" customFormat="1" ht="16.350000000000001" hidden="1" customHeight="1"/>
    <row r="159" s="177" customFormat="1" ht="16.350000000000001" hidden="1" customHeight="1"/>
    <row r="160" s="177" customFormat="1" ht="16.350000000000001" hidden="1" customHeight="1"/>
    <row r="161" s="177" customFormat="1" ht="16.350000000000001" hidden="1" customHeight="1"/>
    <row r="162" s="177" customFormat="1" ht="16.350000000000001" hidden="1" customHeight="1"/>
    <row r="163" s="177" customFormat="1" ht="16.350000000000001" hidden="1" customHeight="1"/>
    <row r="164" s="177" customFormat="1" ht="16.350000000000001" hidden="1" customHeight="1"/>
    <row r="165" s="177" customFormat="1" ht="16.350000000000001" hidden="1" customHeight="1"/>
    <row r="166" s="177" customFormat="1" ht="16.350000000000001" hidden="1" customHeight="1"/>
    <row r="167" s="177" customFormat="1" ht="16.350000000000001" hidden="1" customHeight="1"/>
    <row r="168" s="177" customFormat="1" ht="16.350000000000001" hidden="1" customHeight="1"/>
    <row r="169" s="177" customFormat="1" ht="16.350000000000001" hidden="1" customHeight="1"/>
    <row r="170" s="177" customFormat="1" ht="16.350000000000001" hidden="1" customHeight="1"/>
    <row r="171" s="177" customFormat="1" ht="16.350000000000001" hidden="1" customHeight="1"/>
    <row r="172" s="177" customFormat="1" ht="16.350000000000001" hidden="1" customHeight="1"/>
    <row r="173" s="177" customFormat="1" ht="16.350000000000001" hidden="1" customHeight="1"/>
    <row r="174" s="177" customFormat="1" ht="16.350000000000001" hidden="1" customHeight="1"/>
    <row r="175" s="177" customFormat="1" ht="16.350000000000001" hidden="1" customHeight="1"/>
    <row r="176" s="177" customFormat="1" ht="16.350000000000001" hidden="1" customHeight="1"/>
    <row r="177" s="177" customFormat="1" ht="16.350000000000001" hidden="1" customHeight="1"/>
    <row r="178" s="177" customFormat="1" ht="16.350000000000001" hidden="1" customHeight="1"/>
    <row r="179" s="177" customFormat="1" ht="16.350000000000001" hidden="1" customHeight="1"/>
    <row r="180" s="177" customFormat="1" ht="16.350000000000001" hidden="1" customHeight="1"/>
    <row r="181" s="177" customFormat="1" ht="16.350000000000001" hidden="1" customHeight="1"/>
    <row r="182" s="177" customFormat="1" ht="16.350000000000001" hidden="1" customHeight="1"/>
    <row r="183" s="177" customFormat="1" ht="16.350000000000001" hidden="1" customHeight="1"/>
    <row r="184" s="177" customFormat="1" ht="16.350000000000001" hidden="1" customHeight="1"/>
    <row r="185" s="177" customFormat="1" ht="16.350000000000001" hidden="1" customHeight="1"/>
    <row r="186" s="177" customFormat="1" ht="16.350000000000001" hidden="1" customHeight="1"/>
    <row r="187" s="177" customFormat="1" ht="16.350000000000001" hidden="1" customHeight="1"/>
    <row r="188" s="177" customFormat="1" ht="16.350000000000001" hidden="1" customHeight="1"/>
    <row r="189" s="177" customFormat="1" ht="16.350000000000001" hidden="1" customHeight="1"/>
    <row r="190" s="177" customFormat="1" ht="16.350000000000001" hidden="1" customHeight="1"/>
    <row r="191" s="177" customFormat="1" ht="16.350000000000001" hidden="1" customHeight="1"/>
    <row r="192" s="177" customFormat="1" ht="16.350000000000001" hidden="1" customHeight="1"/>
    <row r="193" spans="1:59" s="177" customFormat="1" ht="16.350000000000001" hidden="1" customHeight="1"/>
    <row r="194" spans="1:59" s="177" customFormat="1" ht="16.350000000000001" hidden="1" customHeight="1"/>
    <row r="195" spans="1:59" s="177" customFormat="1" ht="16.350000000000001" hidden="1" customHeight="1"/>
    <row r="196" spans="1:59" s="177" customFormat="1" ht="16.350000000000001" hidden="1" customHeight="1"/>
    <row r="197" spans="1:59" s="177" customFormat="1" ht="16.350000000000001" hidden="1" customHeight="1"/>
    <row r="198" spans="1:59" s="177" customFormat="1" ht="16.350000000000001" hidden="1" customHeight="1"/>
    <row r="199" spans="1:59" s="177" customFormat="1" ht="16.350000000000001" hidden="1" customHeight="1"/>
    <row r="200" spans="1:59" s="177" customFormat="1" ht="16.350000000000001" hidden="1" customHeight="1">
      <c r="M200" s="879"/>
      <c r="N200" s="879"/>
      <c r="O200" s="879"/>
      <c r="P200" s="879"/>
      <c r="Q200" s="879"/>
      <c r="R200" s="879"/>
      <c r="S200" s="879"/>
      <c r="T200" s="879"/>
      <c r="U200" s="879"/>
      <c r="V200" s="879"/>
      <c r="W200" s="879"/>
      <c r="X200" s="879"/>
      <c r="Y200" s="879"/>
      <c r="Z200" s="879"/>
      <c r="AA200" s="879"/>
      <c r="AB200" s="879"/>
      <c r="AC200" s="879"/>
      <c r="AD200" s="879"/>
      <c r="AE200" s="879"/>
      <c r="AF200" s="879"/>
      <c r="AG200" s="879"/>
      <c r="AH200" s="879"/>
      <c r="AI200" s="879"/>
      <c r="AJ200" s="879"/>
      <c r="AK200" s="879"/>
      <c r="AL200" s="879"/>
      <c r="AM200" s="879"/>
      <c r="AN200" s="879"/>
      <c r="AO200" s="879"/>
      <c r="AP200" s="879"/>
      <c r="AQ200" s="879"/>
      <c r="AR200" s="879"/>
      <c r="AS200" s="879"/>
      <c r="AT200" s="879"/>
      <c r="AU200" s="879"/>
    </row>
    <row r="201" spans="1:59" s="177" customFormat="1" ht="16.350000000000001" hidden="1" customHeight="1">
      <c r="M201" s="879"/>
      <c r="N201" s="879"/>
      <c r="O201" s="879"/>
      <c r="P201" s="879"/>
      <c r="Q201" s="879"/>
      <c r="R201" s="879"/>
      <c r="S201" s="879"/>
      <c r="T201" s="879"/>
      <c r="U201" s="879"/>
      <c r="V201" s="879"/>
      <c r="W201" s="879"/>
      <c r="X201" s="879"/>
      <c r="Y201" s="879"/>
      <c r="Z201" s="879"/>
      <c r="AA201" s="879"/>
      <c r="AB201" s="879"/>
      <c r="AC201" s="879"/>
      <c r="AD201" s="879"/>
      <c r="AE201" s="879"/>
      <c r="AF201" s="879"/>
      <c r="AG201" s="879"/>
      <c r="AH201" s="879"/>
      <c r="AI201" s="879"/>
      <c r="AJ201" s="879"/>
      <c r="AK201" s="879"/>
      <c r="AL201" s="879"/>
      <c r="AM201" s="879"/>
      <c r="AN201" s="879"/>
      <c r="AO201" s="879"/>
      <c r="AP201" s="879"/>
      <c r="AQ201" s="879"/>
      <c r="AR201" s="879"/>
      <c r="AS201" s="879"/>
      <c r="AT201" s="879"/>
      <c r="AU201" s="879"/>
    </row>
    <row r="202" spans="1:59" s="177" customFormat="1" ht="16.350000000000001" hidden="1" customHeight="1">
      <c r="M202" s="879"/>
      <c r="N202" s="879"/>
      <c r="O202" s="879"/>
      <c r="P202" s="879"/>
      <c r="Q202" s="879"/>
      <c r="R202" s="879"/>
      <c r="S202" s="879"/>
      <c r="T202" s="879"/>
      <c r="U202" s="879"/>
      <c r="V202" s="879"/>
      <c r="W202" s="879"/>
      <c r="X202" s="879"/>
      <c r="Y202" s="879"/>
      <c r="Z202" s="879"/>
      <c r="AA202" s="879"/>
      <c r="AB202" s="879"/>
      <c r="AC202" s="879"/>
      <c r="AD202" s="879"/>
      <c r="AE202" s="879"/>
      <c r="AF202" s="879"/>
      <c r="AG202" s="879"/>
      <c r="AH202" s="879"/>
      <c r="AI202" s="879"/>
      <c r="AJ202" s="879"/>
      <c r="AK202" s="879"/>
      <c r="AL202" s="879"/>
      <c r="AM202" s="879"/>
      <c r="AN202" s="879"/>
      <c r="AO202" s="879"/>
      <c r="AP202" s="879"/>
      <c r="AQ202" s="879"/>
      <c r="AR202" s="879"/>
      <c r="AS202" s="879"/>
      <c r="AT202" s="879"/>
      <c r="AU202" s="879"/>
      <c r="AV202" s="879"/>
    </row>
    <row r="203" spans="1:59" s="177" customFormat="1" ht="16.350000000000001" hidden="1" customHeight="1"/>
    <row r="204" spans="1:59" ht="16.350000000000001" customHeight="1">
      <c r="A204" s="504"/>
      <c r="B204" s="504" t="str">
        <f>FOOT1</f>
        <v>PSE&amp;G C&amp;I Energy Efficiency Program</v>
      </c>
      <c r="C204" s="504"/>
      <c r="D204" s="504"/>
      <c r="E204" s="504"/>
      <c r="F204" s="504"/>
      <c r="G204" s="504"/>
      <c r="H204" s="504"/>
      <c r="I204" s="504"/>
      <c r="J204" s="504"/>
      <c r="K204" s="504"/>
      <c r="L204" s="504"/>
      <c r="M204" s="504"/>
      <c r="N204" s="504"/>
      <c r="O204" s="504"/>
      <c r="P204" s="504"/>
      <c r="Q204" s="504"/>
      <c r="R204" s="721" t="s">
        <v>137</v>
      </c>
      <c r="S204" s="721"/>
      <c r="T204" s="721"/>
      <c r="U204" s="721"/>
      <c r="V204" s="721"/>
      <c r="W204" s="721"/>
      <c r="X204" s="721"/>
      <c r="Y204" s="721"/>
      <c r="Z204" s="721"/>
      <c r="AA204" s="721"/>
      <c r="AB204" s="721"/>
      <c r="AC204" s="721"/>
      <c r="AD204" s="721"/>
      <c r="AE204" s="721"/>
      <c r="AF204" s="721"/>
      <c r="AG204" s="721"/>
      <c r="AH204" s="721"/>
      <c r="AI204" s="721"/>
      <c r="AJ204" s="721"/>
      <c r="AK204" s="721"/>
      <c r="AL204" s="721"/>
      <c r="AM204" s="721"/>
      <c r="AN204" s="721"/>
      <c r="AO204" s="721"/>
      <c r="AP204" s="721"/>
      <c r="AQ204" s="721"/>
      <c r="AR204" s="721"/>
      <c r="AS204" s="504"/>
      <c r="AT204" s="504"/>
      <c r="AU204" s="504"/>
      <c r="AV204" s="504"/>
      <c r="AW204" s="504"/>
      <c r="AX204" s="504"/>
      <c r="AY204" s="504"/>
      <c r="AZ204" s="504"/>
      <c r="BA204" s="504"/>
      <c r="BB204" s="504"/>
      <c r="BC204" s="504"/>
      <c r="BD204" s="504"/>
      <c r="BE204" s="701"/>
      <c r="BF204" s="701" t="str">
        <f>FOOT4</f>
        <v>Engineered Solutions Tier 2 Advance Custom Incentive Application</v>
      </c>
      <c r="BG204" s="568"/>
    </row>
    <row r="205" spans="1:59" ht="16.350000000000001" customHeight="1">
      <c r="A205" s="504"/>
      <c r="B205" s="504" t="str">
        <f>FOOT2</f>
        <v>1-844-300-PSEG (7734)</v>
      </c>
      <c r="C205" s="504"/>
      <c r="D205" s="504"/>
      <c r="E205" s="504"/>
      <c r="F205" s="504"/>
      <c r="G205" s="504"/>
      <c r="H205" s="504"/>
      <c r="I205" s="504"/>
      <c r="J205" s="504"/>
      <c r="K205" s="504"/>
      <c r="L205" s="504"/>
      <c r="M205" s="504"/>
      <c r="N205" s="504"/>
      <c r="O205" s="504"/>
      <c r="P205" s="504"/>
      <c r="Q205" s="504"/>
      <c r="R205" s="721"/>
      <c r="S205" s="721"/>
      <c r="T205" s="721"/>
      <c r="U205" s="721"/>
      <c r="V205" s="721"/>
      <c r="W205" s="721"/>
      <c r="X205" s="721"/>
      <c r="Y205" s="721"/>
      <c r="Z205" s="721"/>
      <c r="AA205" s="721"/>
      <c r="AB205" s="721"/>
      <c r="AC205" s="721"/>
      <c r="AD205" s="721"/>
      <c r="AE205" s="721"/>
      <c r="AF205" s="721"/>
      <c r="AG205" s="721"/>
      <c r="AH205" s="721"/>
      <c r="AI205" s="721"/>
      <c r="AJ205" s="721"/>
      <c r="AK205" s="721"/>
      <c r="AL205" s="721"/>
      <c r="AM205" s="721"/>
      <c r="AN205" s="721"/>
      <c r="AO205" s="721"/>
      <c r="AP205" s="721"/>
      <c r="AQ205" s="721"/>
      <c r="AR205" s="721"/>
      <c r="AS205" s="504"/>
      <c r="AT205" s="504"/>
      <c r="AU205" s="504"/>
      <c r="AV205" s="504"/>
      <c r="AW205" s="504"/>
      <c r="AX205" s="504"/>
      <c r="AY205" s="504"/>
      <c r="AZ205" s="504"/>
      <c r="BA205" s="504"/>
      <c r="BB205" s="504"/>
      <c r="BC205" s="504"/>
      <c r="BD205" s="504"/>
      <c r="BE205" s="701"/>
      <c r="BF205" s="701"/>
      <c r="BG205" s="568"/>
    </row>
    <row r="206" spans="1:59" ht="16.350000000000001" customHeight="1">
      <c r="A206" s="504"/>
      <c r="B206" s="504" t="str">
        <f>FOOT3</f>
        <v>PSEGenergysaver@TRCcompanies.com</v>
      </c>
      <c r="C206" s="504"/>
      <c r="D206" s="504"/>
      <c r="E206" s="504"/>
      <c r="F206" s="504"/>
      <c r="G206" s="504"/>
      <c r="H206" s="504"/>
      <c r="I206" s="504"/>
      <c r="J206" s="504"/>
      <c r="K206" s="504"/>
      <c r="L206" s="504"/>
      <c r="M206" s="504"/>
      <c r="N206" s="504"/>
      <c r="O206" s="504"/>
      <c r="P206" s="504"/>
      <c r="Q206" s="504"/>
      <c r="R206" s="504"/>
      <c r="S206" s="504"/>
      <c r="T206" s="504"/>
      <c r="U206" s="504"/>
      <c r="V206" s="504"/>
      <c r="W206" s="504"/>
      <c r="X206" s="504"/>
      <c r="Y206" s="504"/>
      <c r="Z206" s="504"/>
      <c r="AA206" s="504"/>
      <c r="AB206" s="504"/>
      <c r="AC206" s="504"/>
      <c r="AD206" s="702" t="str">
        <f>VERSION</f>
        <v>V1.0          Effective Date 1/1/25</v>
      </c>
      <c r="AE206" s="504"/>
      <c r="AF206" s="504"/>
      <c r="AG206" s="504"/>
      <c r="AH206" s="504"/>
      <c r="AI206" s="504"/>
      <c r="AJ206" s="504"/>
      <c r="AK206" s="504"/>
      <c r="AL206" s="504"/>
      <c r="AM206" s="504"/>
      <c r="AN206" s="504"/>
      <c r="AO206" s="504"/>
      <c r="AP206" s="504"/>
      <c r="AQ206" s="504"/>
      <c r="AR206" s="504"/>
      <c r="AS206" s="504"/>
      <c r="AT206" s="504"/>
      <c r="AU206" s="504"/>
      <c r="AV206" s="504"/>
      <c r="AW206" s="504"/>
      <c r="AX206" s="504"/>
      <c r="AY206" s="504"/>
      <c r="AZ206" s="504"/>
      <c r="BA206" s="504"/>
      <c r="BB206" s="504"/>
      <c r="BC206" s="504"/>
      <c r="BD206" s="504"/>
      <c r="BE206" s="701"/>
      <c r="BF206" s="701" t="str">
        <f>FOOT6</f>
        <v>This is a TRC tool</v>
      </c>
      <c r="BG206" s="568"/>
    </row>
  </sheetData>
  <sheetProtection algorithmName="SHA-512" hashValue="l4AYVgZpI27cVCg1Zepj6tGGUSGqQGvEUQn+eI3KRsMk8mzG8vpY2htKQ+rFUrJKytu7QiRc4bmPzUjOOGUkrg==" saltValue="MNdFRq8DwWvQw+CsTDz7Dg==" spinCount="100000" sheet="1" objects="1" scenarios="1" selectLockedCells="1"/>
  <mergeCells count="53">
    <mergeCell ref="BG5:BI7"/>
    <mergeCell ref="BG8:BI8"/>
    <mergeCell ref="AN1:AQ3"/>
    <mergeCell ref="AR1:AU3"/>
    <mergeCell ref="AV1:AY3"/>
    <mergeCell ref="AZ1:BE3"/>
    <mergeCell ref="BF1:BI3"/>
    <mergeCell ref="AT4:AW4"/>
    <mergeCell ref="AX4:BB4"/>
    <mergeCell ref="BC4:BF4"/>
    <mergeCell ref="F1:I3"/>
    <mergeCell ref="J1:M3"/>
    <mergeCell ref="AB4:AG4"/>
    <mergeCell ref="A9:BF10"/>
    <mergeCell ref="AB21:AG21"/>
    <mergeCell ref="I13:AX13"/>
    <mergeCell ref="I14:AX14"/>
    <mergeCell ref="U24:Z24"/>
    <mergeCell ref="N24:S24"/>
    <mergeCell ref="AJ21:AU21"/>
    <mergeCell ref="U16:Z16"/>
    <mergeCell ref="U17:AD17"/>
    <mergeCell ref="AQ17:AU17"/>
    <mergeCell ref="AB24:AG24"/>
    <mergeCell ref="U21:Z21"/>
    <mergeCell ref="U20:Z20"/>
    <mergeCell ref="AB20:AG20"/>
    <mergeCell ref="N38:S38"/>
    <mergeCell ref="U38:Z38"/>
    <mergeCell ref="AB38:AG38"/>
    <mergeCell ref="AD31:AE31"/>
    <mergeCell ref="AB25:AG25"/>
    <mergeCell ref="AT25:AU25"/>
    <mergeCell ref="AJ25:AO25"/>
    <mergeCell ref="AK44:AN44"/>
    <mergeCell ref="U34:Z34"/>
    <mergeCell ref="AB34:AG34"/>
    <mergeCell ref="R204:AR205"/>
    <mergeCell ref="M200:AU201"/>
    <mergeCell ref="AQ25:AR25"/>
    <mergeCell ref="M202:AV202"/>
    <mergeCell ref="I28:AX28"/>
    <mergeCell ref="I29:AX29"/>
    <mergeCell ref="N25:S25"/>
    <mergeCell ref="U25:Z25"/>
    <mergeCell ref="U35:Z35"/>
    <mergeCell ref="AB35:AG35"/>
    <mergeCell ref="N39:S39"/>
    <mergeCell ref="U39:Z39"/>
    <mergeCell ref="AB39:AG39"/>
    <mergeCell ref="AK43:AN43"/>
    <mergeCell ref="N44:Y44"/>
    <mergeCell ref="AA44:AI44"/>
  </mergeCells>
  <conditionalFormatting sqref="N26:S26">
    <cfRule type="expression" dxfId="399" priority="18">
      <formula>$S$26&lt;&gt;Txt_Rqd</formula>
    </cfRule>
  </conditionalFormatting>
  <conditionalFormatting sqref="N40:S40">
    <cfRule type="expression" dxfId="398" priority="9">
      <formula>$S$40&lt;&gt;Txt_Rqd</formula>
    </cfRule>
  </conditionalFormatting>
  <conditionalFormatting sqref="N44:Y44 AA44:AI44 AK44:AN44">
    <cfRule type="expression" dxfId="397" priority="2">
      <formula>IF(M05S01BF01&lt;&gt;"Yes",TRUE,FALSE)</formula>
    </cfRule>
  </conditionalFormatting>
  <conditionalFormatting sqref="U22:Z22">
    <cfRule type="expression" dxfId="396" priority="21">
      <formula>$Z$22&lt;&gt;Txt_Rqd</formula>
    </cfRule>
  </conditionalFormatting>
  <conditionalFormatting sqref="U26:Z26">
    <cfRule type="expression" dxfId="395" priority="17">
      <formula>$Z$26&lt;&gt;Txt_Rqd</formula>
    </cfRule>
  </conditionalFormatting>
  <conditionalFormatting sqref="U36:Z36">
    <cfRule type="expression" dxfId="394" priority="11">
      <formula>$Z$36&lt;&gt;Txt_Rqd</formula>
    </cfRule>
  </conditionalFormatting>
  <conditionalFormatting sqref="U40:Z40">
    <cfRule type="expression" dxfId="393" priority="8">
      <formula>$Z$40&lt;&gt;Txt_Rqd</formula>
    </cfRule>
  </conditionalFormatting>
  <conditionalFormatting sqref="U18:AD18">
    <cfRule type="expression" dxfId="392" priority="37">
      <formula>$AD$18&lt;&gt;Txt_Rqd</formula>
    </cfRule>
  </conditionalFormatting>
  <conditionalFormatting sqref="AB22:AG22">
    <cfRule type="expression" dxfId="391" priority="20">
      <formula>$AG$22&lt;&gt;Txt_Rqd</formula>
    </cfRule>
  </conditionalFormatting>
  <conditionalFormatting sqref="AB26:AG26">
    <cfRule type="expression" dxfId="390" priority="16">
      <formula>$AG$26&lt;&gt;Txt_Rqd</formula>
    </cfRule>
  </conditionalFormatting>
  <conditionalFormatting sqref="AB36:AG36">
    <cfRule type="expression" dxfId="389" priority="10">
      <formula>$AG$36&lt;&gt;Txt_Rqd</formula>
    </cfRule>
  </conditionalFormatting>
  <conditionalFormatting sqref="AB40:AG40">
    <cfRule type="expression" dxfId="388" priority="7">
      <formula>$AG$40&lt;&gt;Txt_Rqd</formula>
    </cfRule>
  </conditionalFormatting>
  <conditionalFormatting sqref="AD19 X33">
    <cfRule type="expression" dxfId="387" priority="57">
      <formula>$P$15&lt;&gt;""</formula>
    </cfRule>
  </conditionalFormatting>
  <conditionalFormatting sqref="AD32:AE32">
    <cfRule type="expression" dxfId="386" priority="12">
      <formula>$AE$32&lt;&gt;Txt_Rqd</formula>
    </cfRule>
  </conditionalFormatting>
  <conditionalFormatting sqref="AJ26:AO26">
    <cfRule type="expression" dxfId="385" priority="15">
      <formula>$AO$26&lt;&gt;Txt_Rqd</formula>
    </cfRule>
  </conditionalFormatting>
  <conditionalFormatting sqref="AJ22:AU22">
    <cfRule type="expression" dxfId="384" priority="19">
      <formula>$AU$22&lt;&gt;Txt_Rqd</formula>
    </cfRule>
  </conditionalFormatting>
  <conditionalFormatting sqref="AQ26:AR26">
    <cfRule type="expression" dxfId="383" priority="14">
      <formula>$AR$26&lt;&gt;Txt_Rqd</formula>
    </cfRule>
  </conditionalFormatting>
  <conditionalFormatting sqref="AQ18:AU18">
    <cfRule type="expression" dxfId="382" priority="22">
      <formula>$AU$18&lt;&gt;Txt_Rqd</formula>
    </cfRule>
  </conditionalFormatting>
  <conditionalFormatting sqref="AT26:AU26">
    <cfRule type="expression" dxfId="381" priority="13">
      <formula>$AU$26&lt;&gt;Txt_Rqd</formula>
    </cfRule>
  </conditionalFormatting>
  <conditionalFormatting sqref="BA8:BF8">
    <cfRule type="expression" dxfId="380" priority="1">
      <formula>IF($AO$8=PROJSTATMEASURE,FALSE,TRUE)</formula>
    </cfRule>
  </conditionalFormatting>
  <dataValidations count="12">
    <dataValidation type="textLength" allowBlank="1" showInputMessage="1" showErrorMessage="1" error="Please enter a valid phone number. Example: (111) 111-1111" sqref="U25:Z25 U39:Z39" xr:uid="{B8D7F6FC-4540-4E58-9E5D-AE18AF703790}">
      <formula1>7</formula1>
      <formula2>15</formula2>
    </dataValidation>
    <dataValidation type="custom" allowBlank="1" showInputMessage="1" showErrorMessage="1" error="Please enter a valid email address." sqref="AB25:AG25" xr:uid="{E75F176D-8AEE-4B5B-A85D-9182AA039E5B}">
      <formula1>AND(FIND(".",AB25),FIND("@",AB25))</formula1>
    </dataValidation>
    <dataValidation type="whole" allowBlank="1" showInputMessage="1" showErrorMessage="1" sqref="AX25" xr:uid="{65A03361-A537-4D77-A9D0-AF4F3357CC33}">
      <formula1>0</formula1>
      <formula2>99999</formula2>
    </dataValidation>
    <dataValidation type="list" allowBlank="1" showInputMessage="1" showErrorMessage="1" sqref="AD31:AE31" xr:uid="{433E760A-6D7A-4E28-88F0-83497C70B874}">
      <formula1>"Yes,No"</formula1>
    </dataValidation>
    <dataValidation allowBlank="1" showInputMessage="1" showErrorMessage="1" prompt="Please use the dropdown to select zip code. You may also type in the field using the following format #####" sqref="BN25" xr:uid="{0FC5A07B-895C-4990-B14B-BE02E4DB7CD2}"/>
    <dataValidation allowBlank="1" showErrorMessage="1" sqref="BN24:BN25 AQ22:AT22 AQ24:AR24 BJ25 AT24:AU24 BQ22:BT22 BL24:BM24 AS24:AS25 BU24 AJ25:AO25" xr:uid="{2148F3B5-6E69-4AF5-99EF-E004B6DF39E0}"/>
    <dataValidation type="list" allowBlank="1" showInputMessage="1" showErrorMessage="1" sqref="BN25" xr:uid="{8207498F-3F33-4291-BE52-E29296778B60}">
      <formula1>"NJ"</formula1>
    </dataValidation>
    <dataValidation type="list" allowBlank="1" showInputMessage="1" showErrorMessage="1" sqref="AQ17:AU17" xr:uid="{EE64D283-F494-49CA-817E-1A46E1306BE4}">
      <formula1>"Facility Address,Facility Mailing Address,N/A Other"</formula1>
    </dataValidation>
    <dataValidation type="list" allowBlank="1" showInputMessage="1" showErrorMessage="1" sqref="BL25 AQ25:AR25" xr:uid="{43039B78-4948-4F92-BA52-2A11E500EE65}">
      <formula1>STATESABBREV</formula1>
    </dataValidation>
    <dataValidation type="custom" allowBlank="1" showInputMessage="1" error="Please enter a valid email address." sqref="AB39:AG39" xr:uid="{D5D74251-B24F-48AF-8247-75510C424EA7}">
      <formula1>AND(FIND(".",AB39),FIND("@",AB39))</formula1>
    </dataValidation>
    <dataValidation type="textLength" errorStyle="warning" allowBlank="1" showInputMessage="1" showErrorMessage="1" errorTitle="*Important*" error="Please print to PDF to sign." sqref="AA44:AI44 AK44:AN44" xr:uid="{D7E90AC1-B757-4A01-BB24-4464DDD98622}">
      <formula1>0</formula1>
      <formula2>0</formula2>
    </dataValidation>
    <dataValidation type="textLength" errorStyle="warning" allowBlank="1" showInputMessage="1" showErrorMessage="1" errorTitle="*Important*" error="Please print to PDF to sign." prompt="The authorized representative is an individual that has the legal accountability for the site associated with the PSE&amp;G account provided either through ownership, positional, or written authority from the company." sqref="N44:Y44" xr:uid="{469DD9EC-F43A-4218-9ABE-F70CFA4A1237}">
      <formula1>0</formula1>
      <formula2>0</formula2>
    </dataValidation>
  </dataValidations>
  <hyperlinks>
    <hyperlink ref="J1:M3" location="'M01-S02'!J1" tooltip="Instructions" display="'M01-S02'!J1" xr:uid="{B15C7FE5-D380-4B73-88B5-77966FFABAD4}"/>
    <hyperlink ref="AB39" r:id="rId1" display="test@gmail.com" xr:uid="{651AFB5C-14A6-440C-AFDE-AD8D0A0354F5}"/>
    <hyperlink ref="AV1:AY3" location="'M05-S05'!AL1" tooltip=" " display="'M05-S05'!AL1" xr:uid="{085ABA18-C693-4460-B838-36B724A3B77A}"/>
    <hyperlink ref="BF1:BI3" location="'M01-S03'!AP1" tooltip="Contact" display="'M01-S03'!AP1" xr:uid="{7BBBAAE3-72B3-498E-B77C-93AE7B763BC9}"/>
    <hyperlink ref="AR1:AU3" location="'M05-S04'!AH1" tooltip=" " display="'M05-S04'!AH1" xr:uid="{6854A943-97DC-44B9-8DE9-D08A254EF966}"/>
    <hyperlink ref="AN1:AQ3" location="'M05-S05'!AL1" tooltip=" " display="'M05-S05'!AL1" xr:uid="{30EDFBC5-F236-40D5-987F-CA415CD50368}"/>
  </hyperlinks>
  <printOptions horizontalCentered="1"/>
  <pageMargins left="0.25" right="0.25" top="0.25" bottom="0.25" header="0.25" footer="0.25"/>
  <pageSetup scale="65"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4968-CF3F-49E0-B30C-000BC10BE7D1}">
  <sheetPr codeName="Sheet11">
    <pageSetUpPr fitToPage="1"/>
  </sheetPr>
  <dimension ref="A1:BJ233"/>
  <sheetViews>
    <sheetView showGridLines="0" showRowColHeaders="0" zoomScale="90" zoomScaleNormal="90" workbookViewId="0">
      <selection activeCell="V14" sqref="V14:AA14"/>
    </sheetView>
  </sheetViews>
  <sheetFormatPr defaultColWidth="0" defaultRowHeight="0" customHeight="1" zeroHeight="1"/>
  <cols>
    <col min="1" max="58" width="4.5703125" style="247" customWidth="1"/>
    <col min="59" max="61" width="4.42578125" style="60" customWidth="1"/>
    <col min="62" max="62" width="4.42578125" style="60" hidden="1" customWidth="1"/>
    <col min="63" max="16384" width="4.5703125" style="60" hidden="1"/>
  </cols>
  <sheetData>
    <row r="1" spans="1:61" customFormat="1" ht="16.350000000000001" customHeight="1">
      <c r="A1" s="60"/>
      <c r="B1" s="239"/>
      <c r="C1" s="239"/>
      <c r="D1" s="239"/>
      <c r="E1" s="239"/>
      <c r="F1" s="750" t="str">
        <f>M1S1</f>
        <v>WELCOME</v>
      </c>
      <c r="G1" s="750"/>
      <c r="H1" s="750"/>
      <c r="I1" s="750"/>
      <c r="J1" s="727" t="str">
        <f>M1S2</f>
        <v>INSTRUCTIONS</v>
      </c>
      <c r="K1" s="727"/>
      <c r="L1" s="727"/>
      <c r="M1" s="727"/>
      <c r="N1" s="240"/>
      <c r="O1" s="240"/>
      <c r="P1" s="240"/>
      <c r="Q1" s="240"/>
      <c r="R1" s="240"/>
      <c r="S1" s="240"/>
      <c r="T1" s="241"/>
      <c r="U1" s="242" t="s">
        <v>118</v>
      </c>
      <c r="V1" s="242"/>
      <c r="W1" s="242"/>
      <c r="X1" s="242"/>
      <c r="Y1" s="240"/>
      <c r="Z1" s="240"/>
      <c r="AA1" s="240"/>
      <c r="AB1" s="240"/>
      <c r="AC1" s="240"/>
      <c r="AD1" s="240"/>
      <c r="AE1" s="240"/>
      <c r="AH1" s="177"/>
      <c r="AI1" s="177"/>
      <c r="AJ1" s="177"/>
      <c r="AK1" s="177"/>
      <c r="AL1" s="177"/>
      <c r="AM1" s="177"/>
      <c r="AN1" s="734" t="str">
        <f>IF(ACTIVEINSPECT="Yes","Complete "&amp;M5S4,"")</f>
        <v/>
      </c>
      <c r="AO1" s="734"/>
      <c r="AP1" s="734"/>
      <c r="AQ1" s="734"/>
      <c r="AR1" s="730" t="str">
        <f>IF(ACTIVEOFFER="Yes","Sign "&amp;M5S6,"")</f>
        <v>Sign OBR: Repayment Agreement</v>
      </c>
      <c r="AS1" s="730"/>
      <c r="AT1" s="730"/>
      <c r="AU1" s="730"/>
      <c r="AV1" s="730" t="str">
        <f>IF(ACTIVECOMPL="Yes","Sign "&amp;M5S5,"")</f>
        <v xml:space="preserve">Sign Project Completion Certification </v>
      </c>
      <c r="AW1" s="730"/>
      <c r="AX1" s="730"/>
      <c r="AY1" s="730"/>
      <c r="AZ1" s="754" t="str">
        <f>M1S4</f>
        <v>INCENTIVE RATES &amp; REQUIREMENTS</v>
      </c>
      <c r="BA1" s="754"/>
      <c r="BB1" s="754"/>
      <c r="BC1" s="754"/>
      <c r="BD1" s="754"/>
      <c r="BE1" s="754"/>
      <c r="BF1" s="722" t="s">
        <v>119</v>
      </c>
      <c r="BG1" s="723"/>
      <c r="BH1" s="723"/>
      <c r="BI1" s="723"/>
    </row>
    <row r="2" spans="1:61" customFormat="1" ht="16.350000000000001" customHeight="1">
      <c r="A2" s="177"/>
      <c r="B2" s="239"/>
      <c r="C2" s="239"/>
      <c r="D2" s="239"/>
      <c r="E2" s="239"/>
      <c r="F2" s="750"/>
      <c r="G2" s="750"/>
      <c r="H2" s="750"/>
      <c r="I2" s="750"/>
      <c r="J2" s="728"/>
      <c r="K2" s="728"/>
      <c r="L2" s="728"/>
      <c r="M2" s="728"/>
      <c r="N2" s="240"/>
      <c r="O2" s="240"/>
      <c r="P2" s="240"/>
      <c r="Q2" s="240"/>
      <c r="R2" s="240"/>
      <c r="S2" s="240"/>
      <c r="T2" s="241"/>
      <c r="U2" s="242"/>
      <c r="V2" s="242"/>
      <c r="W2" s="242"/>
      <c r="X2" s="242"/>
      <c r="Y2" s="240"/>
      <c r="Z2" s="240"/>
      <c r="AA2" s="240"/>
      <c r="AB2" s="240"/>
      <c r="AC2" s="240"/>
      <c r="AD2" s="240"/>
      <c r="AE2" s="240"/>
      <c r="AH2" s="177"/>
      <c r="AI2" s="177"/>
      <c r="AJ2" s="177"/>
      <c r="AK2" s="177"/>
      <c r="AL2" s="177"/>
      <c r="AM2" s="177"/>
      <c r="AN2" s="734"/>
      <c r="AO2" s="734"/>
      <c r="AP2" s="734"/>
      <c r="AQ2" s="734"/>
      <c r="AR2" s="730"/>
      <c r="AS2" s="730"/>
      <c r="AT2" s="730"/>
      <c r="AU2" s="730"/>
      <c r="AV2" s="730"/>
      <c r="AW2" s="730"/>
      <c r="AX2" s="730"/>
      <c r="AY2" s="730"/>
      <c r="AZ2" s="754"/>
      <c r="BA2" s="754"/>
      <c r="BB2" s="754"/>
      <c r="BC2" s="754"/>
      <c r="BD2" s="754"/>
      <c r="BE2" s="754"/>
      <c r="BF2" s="723"/>
      <c r="BG2" s="723"/>
      <c r="BH2" s="723"/>
      <c r="BI2" s="723"/>
    </row>
    <row r="3" spans="1:61" s="614" customFormat="1" ht="16.350000000000001" customHeight="1" thickBot="1">
      <c r="A3" s="626"/>
      <c r="B3" s="648"/>
      <c r="C3" s="648"/>
      <c r="D3" s="648"/>
      <c r="E3" s="648"/>
      <c r="F3" s="875"/>
      <c r="G3" s="875"/>
      <c r="H3" s="875"/>
      <c r="I3" s="875"/>
      <c r="J3" s="876"/>
      <c r="K3" s="876"/>
      <c r="L3" s="876"/>
      <c r="M3" s="876"/>
      <c r="N3" s="642"/>
      <c r="O3" s="642"/>
      <c r="P3" s="642"/>
      <c r="Q3" s="642"/>
      <c r="R3" s="642"/>
      <c r="S3" s="642"/>
      <c r="T3" s="642"/>
      <c r="U3" s="643"/>
      <c r="V3" s="643"/>
      <c r="W3" s="643"/>
      <c r="X3" s="643"/>
      <c r="Y3" s="626"/>
      <c r="Z3" s="626"/>
      <c r="AA3" s="626"/>
      <c r="AB3" s="626"/>
      <c r="AC3" s="626"/>
      <c r="AD3" s="626"/>
      <c r="AE3" s="626"/>
      <c r="AH3" s="626"/>
      <c r="AI3" s="626"/>
      <c r="AJ3" s="626"/>
      <c r="AK3" s="626"/>
      <c r="AL3" s="626"/>
      <c r="AM3" s="626"/>
      <c r="AN3" s="868"/>
      <c r="AO3" s="868"/>
      <c r="AP3" s="868"/>
      <c r="AQ3" s="868"/>
      <c r="AR3" s="869"/>
      <c r="AS3" s="869"/>
      <c r="AT3" s="869"/>
      <c r="AU3" s="869"/>
      <c r="AV3" s="869"/>
      <c r="AW3" s="869"/>
      <c r="AX3" s="869"/>
      <c r="AY3" s="869"/>
      <c r="AZ3" s="870"/>
      <c r="BA3" s="870"/>
      <c r="BB3" s="870"/>
      <c r="BC3" s="870"/>
      <c r="BD3" s="870"/>
      <c r="BE3" s="870"/>
      <c r="BF3" s="871"/>
      <c r="BG3" s="871"/>
      <c r="BH3" s="871"/>
      <c r="BI3" s="871"/>
    </row>
    <row r="4" spans="1:61" s="644" customFormat="1" ht="16.350000000000001" customHeight="1">
      <c r="A4" s="632"/>
      <c r="B4" s="632"/>
      <c r="C4" s="632"/>
      <c r="D4" s="632"/>
      <c r="E4" s="632"/>
      <c r="F4" s="632"/>
      <c r="G4" s="632"/>
      <c r="H4" s="632"/>
      <c r="I4" s="632"/>
      <c r="J4" s="632"/>
      <c r="K4" s="632"/>
      <c r="L4" s="633"/>
      <c r="M4" s="498"/>
      <c r="N4" s="632"/>
      <c r="O4" s="632"/>
      <c r="P4" s="632"/>
      <c r="Q4" s="632"/>
      <c r="R4" s="632"/>
      <c r="S4" s="634" t="s">
        <v>707</v>
      </c>
      <c r="T4" s="635" t="str">
        <f>M05S07F07</f>
        <v>Custom</v>
      </c>
      <c r="U4" s="636"/>
      <c r="V4" s="636"/>
      <c r="W4" s="636"/>
      <c r="X4" s="632"/>
      <c r="Y4" s="632"/>
      <c r="Z4" s="632"/>
      <c r="AA4" s="634" t="s">
        <v>708</v>
      </c>
      <c r="AB4" s="874" t="str">
        <f>IF(M02S02F02="","[Project Name]",LEFT(M02S02F02,25))</f>
        <v>[Project Name]</v>
      </c>
      <c r="AC4" s="874"/>
      <c r="AD4" s="874"/>
      <c r="AE4" s="874"/>
      <c r="AF4" s="874"/>
      <c r="AG4" s="874"/>
      <c r="AH4" s="632"/>
      <c r="AI4" s="634" t="s">
        <v>709</v>
      </c>
      <c r="AJ4" s="637" t="str">
        <f>IF(M02S02F27="Yes",Status_Final,Status_Pre)</f>
        <v>Draft Pre-Application</v>
      </c>
      <c r="AK4" s="498"/>
      <c r="AL4" s="632"/>
      <c r="AM4" s="632"/>
      <c r="AN4" s="498"/>
      <c r="AO4" s="498"/>
      <c r="AP4" s="632"/>
      <c r="AQ4" s="632"/>
      <c r="AR4" s="632"/>
      <c r="AS4" s="634" t="s">
        <v>710</v>
      </c>
      <c r="AT4" s="872">
        <f>Incent_Total_Cap_All</f>
        <v>0</v>
      </c>
      <c r="AU4" s="872"/>
      <c r="AV4" s="872"/>
      <c r="AW4" s="872"/>
      <c r="AX4" s="873" t="s">
        <v>711</v>
      </c>
      <c r="AY4" s="873"/>
      <c r="AZ4" s="873"/>
      <c r="BA4" s="873"/>
      <c r="BB4" s="873"/>
      <c r="BC4" s="872" t="str">
        <f>OBR_Amount_Requested</f>
        <v/>
      </c>
      <c r="BD4" s="872"/>
      <c r="BE4" s="872"/>
      <c r="BF4" s="872"/>
      <c r="BG4" s="498"/>
    </row>
    <row r="5" spans="1:61" customFormat="1" ht="16.350000000000001" customHeight="1">
      <c r="A5" s="177"/>
      <c r="B5" s="622"/>
      <c r="C5" s="622"/>
      <c r="D5" s="622"/>
      <c r="E5" s="622"/>
      <c r="F5" s="622"/>
      <c r="G5" s="622"/>
      <c r="H5" s="622"/>
      <c r="I5" s="622"/>
      <c r="J5" s="622"/>
      <c r="K5" s="622"/>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623"/>
      <c r="BF5" s="177"/>
      <c r="BG5" s="918">
        <f ca="1">PROGRESSSTATUS</f>
        <v>0</v>
      </c>
      <c r="BH5" s="918"/>
      <c r="BI5" s="918"/>
    </row>
    <row r="6" spans="1:61" customFormat="1" ht="16.350000000000001" customHeight="1">
      <c r="A6" s="177"/>
      <c r="B6" s="622"/>
      <c r="C6" s="622"/>
      <c r="D6" s="622"/>
      <c r="E6" s="622"/>
      <c r="F6" s="622"/>
      <c r="G6" s="622"/>
      <c r="H6" s="622"/>
      <c r="I6" s="622"/>
      <c r="J6" s="622"/>
      <c r="K6" s="622"/>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623"/>
      <c r="BE6" s="177"/>
      <c r="BF6" s="177"/>
      <c r="BG6" s="866"/>
      <c r="BH6" s="866"/>
      <c r="BI6" s="866"/>
    </row>
    <row r="7" spans="1:61" customFormat="1" ht="16.350000000000001" customHeight="1">
      <c r="A7" s="177"/>
      <c r="B7" s="624"/>
      <c r="C7" s="624"/>
      <c r="D7" s="624"/>
      <c r="E7" s="624"/>
      <c r="F7" s="624"/>
      <c r="G7" s="624"/>
      <c r="H7" s="624"/>
      <c r="I7" s="624"/>
      <c r="J7" s="624"/>
      <c r="K7" s="624"/>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866"/>
      <c r="BH7" s="866"/>
      <c r="BI7" s="866"/>
    </row>
    <row r="8" spans="1:61" customFormat="1" ht="16.350000000000001"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6"/>
      <c r="AO8" s="626"/>
      <c r="AP8" s="626"/>
      <c r="AQ8" s="626"/>
      <c r="AR8" s="626"/>
      <c r="AS8" s="626"/>
      <c r="AT8" s="626"/>
      <c r="AU8" s="626"/>
      <c r="AV8" s="626"/>
      <c r="AW8" s="626"/>
      <c r="AX8" s="626"/>
      <c r="AY8" s="626"/>
      <c r="AZ8" s="626"/>
      <c r="BA8" s="625"/>
      <c r="BB8" s="625"/>
      <c r="BC8" s="625"/>
      <c r="BD8" s="625"/>
      <c r="BE8" s="625"/>
      <c r="BF8" s="625"/>
      <c r="BG8" s="867" t="s">
        <v>712</v>
      </c>
      <c r="BH8" s="867"/>
      <c r="BI8" s="867"/>
    </row>
    <row r="9" spans="1:61" s="325" customFormat="1" ht="15.75" customHeight="1">
      <c r="A9" s="878" t="str">
        <f>M2S4</f>
        <v>Trade Ally / Contractor Information</v>
      </c>
      <c r="B9" s="878"/>
      <c r="C9" s="878"/>
      <c r="D9" s="878"/>
      <c r="E9" s="878"/>
      <c r="F9" s="878"/>
      <c r="G9" s="878"/>
      <c r="H9" s="878"/>
      <c r="I9" s="878"/>
      <c r="J9" s="878"/>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row>
    <row r="10" spans="1:61" s="325" customFormat="1" ht="15.75" customHeight="1">
      <c r="A10" s="878"/>
      <c r="B10" s="878"/>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878"/>
      <c r="AS10" s="878"/>
      <c r="AT10" s="878"/>
      <c r="AU10" s="878"/>
      <c r="AV10" s="878"/>
      <c r="AW10" s="878"/>
      <c r="AX10" s="878"/>
      <c r="AY10" s="878"/>
      <c r="AZ10" s="878"/>
      <c r="BA10" s="878"/>
      <c r="BB10" s="878"/>
      <c r="BC10" s="878"/>
      <c r="BD10" s="878"/>
      <c r="BE10" s="878"/>
      <c r="BF10" s="878"/>
    </row>
    <row r="11" spans="1:61" ht="15" customHeight="1">
      <c r="A11" s="60"/>
      <c r="B11" s="60"/>
      <c r="C11" s="60"/>
      <c r="D11" s="60"/>
      <c r="E11" s="60"/>
      <c r="F11" s="60"/>
      <c r="G11" s="60"/>
      <c r="H11" s="917" t="s">
        <v>771</v>
      </c>
      <c r="I11" s="917"/>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60"/>
      <c r="BA11" s="60"/>
      <c r="BB11" s="60"/>
      <c r="BC11" s="60"/>
      <c r="BD11" s="60"/>
      <c r="BE11" s="60"/>
      <c r="BF11" s="60"/>
    </row>
    <row r="12" spans="1:61" ht="15" customHeight="1">
      <c r="A12" s="60"/>
      <c r="B12" s="60"/>
      <c r="C12" s="60"/>
      <c r="D12" s="60"/>
      <c r="E12" s="60"/>
      <c r="F12" s="60"/>
      <c r="G12" s="60"/>
      <c r="H12" s="326"/>
      <c r="I12" s="60"/>
      <c r="J12" s="60"/>
      <c r="K12" s="60"/>
      <c r="L12" s="60"/>
      <c r="M12" s="60"/>
      <c r="N12" s="60"/>
      <c r="O12" s="60"/>
      <c r="P12" s="60"/>
      <c r="Q12" s="60"/>
      <c r="R12" s="60"/>
      <c r="S12" s="60"/>
      <c r="T12" s="60"/>
      <c r="U12" s="60"/>
      <c r="V12" s="60"/>
      <c r="W12" s="60"/>
      <c r="X12" s="60"/>
      <c r="Y12" s="60"/>
      <c r="Z12" s="60"/>
      <c r="AA12" s="60"/>
      <c r="AB12" s="60"/>
      <c r="AC12" s="327"/>
      <c r="AD12" s="327"/>
      <c r="AE12" s="327"/>
      <c r="AF12" s="327"/>
      <c r="AG12" s="327"/>
      <c r="AH12" s="327"/>
      <c r="AI12" s="327"/>
      <c r="AJ12" s="327"/>
      <c r="AK12" s="327"/>
      <c r="AL12" s="327"/>
      <c r="AM12" s="327"/>
      <c r="AN12" s="312"/>
      <c r="AO12" s="312"/>
      <c r="AP12" s="312"/>
      <c r="AQ12" s="60"/>
      <c r="AR12" s="60"/>
      <c r="AS12" s="60"/>
      <c r="AT12" s="60"/>
      <c r="AU12" s="60"/>
      <c r="AV12" s="60"/>
      <c r="AW12" s="60"/>
      <c r="AX12" s="60"/>
      <c r="AY12" s="326"/>
      <c r="AZ12" s="60"/>
      <c r="BA12" s="60"/>
      <c r="BB12" s="60"/>
      <c r="BC12" s="60"/>
      <c r="BD12" s="60"/>
      <c r="BE12" s="60"/>
      <c r="BF12" s="60"/>
    </row>
    <row r="13" spans="1:61" ht="15" customHeight="1">
      <c r="A13" s="60"/>
      <c r="B13" s="60"/>
      <c r="C13" s="60"/>
      <c r="D13" s="60"/>
      <c r="E13" s="60"/>
      <c r="F13" s="60"/>
      <c r="G13" s="60"/>
      <c r="H13" s="326"/>
      <c r="I13" s="60"/>
      <c r="J13" s="60"/>
      <c r="K13" s="60"/>
      <c r="L13" s="60"/>
      <c r="M13" s="60"/>
      <c r="N13" s="60"/>
      <c r="O13" s="60"/>
      <c r="P13" s="60"/>
      <c r="Q13" s="60"/>
      <c r="R13" s="60"/>
      <c r="S13" s="60"/>
      <c r="T13" s="60"/>
      <c r="U13" s="60"/>
      <c r="V13" s="60"/>
      <c r="W13" s="60"/>
      <c r="X13" s="60"/>
      <c r="Y13" s="60"/>
      <c r="Z13" s="60"/>
      <c r="AA13" s="60"/>
      <c r="AB13" s="60"/>
      <c r="AC13" s="328"/>
      <c r="AD13" s="892" t="s">
        <v>772</v>
      </c>
      <c r="AE13" s="892"/>
      <c r="AF13" s="892"/>
      <c r="AG13" s="892"/>
      <c r="AH13" s="892"/>
      <c r="AI13" s="892"/>
      <c r="AJ13" s="60"/>
      <c r="AK13" s="892" t="s">
        <v>715</v>
      </c>
      <c r="AL13" s="892"/>
      <c r="AM13" s="892"/>
      <c r="AN13" s="892"/>
      <c r="AO13" s="892"/>
      <c r="AP13" s="892"/>
      <c r="AQ13" s="283"/>
      <c r="AR13" s="60"/>
      <c r="AS13" s="60"/>
      <c r="AT13" s="60"/>
      <c r="AU13" s="60"/>
      <c r="AV13" s="60"/>
      <c r="AW13" s="60"/>
      <c r="AX13" s="60"/>
      <c r="AY13" s="326"/>
      <c r="AZ13" s="60"/>
      <c r="BA13" s="60"/>
      <c r="BB13" s="60"/>
      <c r="BC13" s="60"/>
      <c r="BD13" s="60"/>
      <c r="BE13" s="60"/>
      <c r="BF13" s="60"/>
    </row>
    <row r="14" spans="1:61" ht="15" customHeight="1" thickBot="1">
      <c r="A14" s="60"/>
      <c r="B14" s="60"/>
      <c r="C14" s="60"/>
      <c r="D14" s="60"/>
      <c r="E14" s="60"/>
      <c r="F14" s="60"/>
      <c r="G14" s="60"/>
      <c r="H14" s="60"/>
      <c r="I14" s="267"/>
      <c r="J14" s="267"/>
      <c r="K14" s="267"/>
      <c r="L14" s="267"/>
      <c r="M14" s="267"/>
      <c r="N14" s="267"/>
      <c r="O14" s="267"/>
      <c r="P14" s="267"/>
      <c r="Q14" s="267"/>
      <c r="R14" s="267"/>
      <c r="S14" s="267"/>
      <c r="T14" s="267"/>
      <c r="U14" s="329" t="s">
        <v>773</v>
      </c>
      <c r="V14" s="885"/>
      <c r="W14" s="886"/>
      <c r="X14" s="886"/>
      <c r="Y14" s="886"/>
      <c r="Z14" s="886"/>
      <c r="AA14" s="887"/>
      <c r="AB14" s="60"/>
      <c r="AC14" s="328"/>
      <c r="AD14" s="840"/>
      <c r="AE14" s="841"/>
      <c r="AF14" s="841"/>
      <c r="AG14" s="841"/>
      <c r="AH14" s="841"/>
      <c r="AI14" s="842"/>
      <c r="AJ14" s="60"/>
      <c r="AK14" s="840"/>
      <c r="AL14" s="841"/>
      <c r="AM14" s="841"/>
      <c r="AN14" s="841"/>
      <c r="AO14" s="841"/>
      <c r="AP14" s="841"/>
      <c r="AQ14" s="841"/>
      <c r="AR14" s="841"/>
      <c r="AS14" s="841"/>
      <c r="AT14" s="841"/>
      <c r="AU14" s="841"/>
      <c r="AV14" s="842"/>
      <c r="AW14" s="60"/>
      <c r="AX14" s="60"/>
      <c r="AY14" s="326"/>
      <c r="AZ14" s="60"/>
      <c r="BA14" s="60"/>
      <c r="BB14" s="60"/>
      <c r="BC14" s="60"/>
      <c r="BD14" s="60"/>
      <c r="BE14" s="60"/>
      <c r="BF14" s="60"/>
    </row>
    <row r="15" spans="1:61" ht="15" customHeight="1">
      <c r="A15" s="60"/>
      <c r="B15" s="60"/>
      <c r="C15" s="60"/>
      <c r="D15" s="60"/>
      <c r="E15" s="60"/>
      <c r="F15" s="60"/>
      <c r="G15" s="60"/>
      <c r="H15" s="326"/>
      <c r="I15" s="329"/>
      <c r="J15" s="329"/>
      <c r="K15" s="329"/>
      <c r="L15" s="329"/>
      <c r="M15" s="329"/>
      <c r="N15" s="329"/>
      <c r="O15" s="329"/>
      <c r="P15" s="329"/>
      <c r="Q15" s="329"/>
      <c r="R15" s="329"/>
      <c r="S15" s="329"/>
      <c r="T15" s="329"/>
      <c r="U15" s="329"/>
      <c r="V15" s="261"/>
      <c r="W15" s="283"/>
      <c r="X15" s="283"/>
      <c r="Y15" s="283"/>
      <c r="Z15" s="283"/>
      <c r="AA15" s="261" t="str">
        <f ca="1">M02S04F01disp</f>
        <v>Required</v>
      </c>
      <c r="AB15" s="60"/>
      <c r="AC15" s="328"/>
      <c r="AD15" s="283"/>
      <c r="AE15" s="283"/>
      <c r="AF15" s="283"/>
      <c r="AG15" s="283"/>
      <c r="AH15" s="283"/>
      <c r="AI15" s="261" t="str">
        <f ca="1">M02S04F02disp</f>
        <v/>
      </c>
      <c r="AJ15" s="177"/>
      <c r="AK15" s="283"/>
      <c r="AL15" s="283"/>
      <c r="AM15" s="283"/>
      <c r="AN15" s="283"/>
      <c r="AO15" s="283"/>
      <c r="AP15" s="60"/>
      <c r="AQ15" s="266"/>
      <c r="AR15" s="60"/>
      <c r="AS15" s="60"/>
      <c r="AT15" s="60"/>
      <c r="AU15" s="60"/>
      <c r="AV15" s="261" t="str">
        <f ca="1">M02S04F03disp</f>
        <v/>
      </c>
      <c r="AW15" s="60"/>
      <c r="AX15" s="60"/>
      <c r="AY15" s="326"/>
      <c r="AZ15" s="60"/>
      <c r="BA15" s="60"/>
      <c r="BB15" s="60"/>
      <c r="BC15" s="60"/>
      <c r="BD15" s="60"/>
      <c r="BE15" s="60"/>
      <c r="BF15" s="60"/>
    </row>
    <row r="16" spans="1:61" ht="15" customHeight="1">
      <c r="A16" s="60"/>
      <c r="B16" s="60"/>
      <c r="C16" s="60"/>
      <c r="D16" s="60"/>
      <c r="E16" s="60"/>
      <c r="F16" s="177"/>
      <c r="G16" s="60"/>
      <c r="H16" s="326"/>
      <c r="I16" s="60"/>
      <c r="J16" s="60"/>
      <c r="K16" s="60"/>
      <c r="L16" s="60"/>
      <c r="M16" s="60"/>
      <c r="N16" s="60"/>
      <c r="O16" s="60"/>
      <c r="P16" s="60"/>
      <c r="Q16" s="60"/>
      <c r="R16" s="60"/>
      <c r="S16" s="60"/>
      <c r="T16" s="60"/>
      <c r="U16" s="60"/>
      <c r="V16" s="60"/>
      <c r="W16" s="60"/>
      <c r="X16" s="60"/>
      <c r="Y16" s="60"/>
      <c r="Z16" s="60"/>
      <c r="AA16" s="60"/>
      <c r="AB16" s="60"/>
      <c r="AC16" s="328"/>
      <c r="AD16" s="60"/>
      <c r="AE16" s="60"/>
      <c r="AF16" s="60"/>
      <c r="AG16" s="60"/>
      <c r="AH16" s="60"/>
      <c r="AI16" s="60"/>
      <c r="AJ16" s="60"/>
      <c r="AK16" s="60"/>
      <c r="AL16" s="60"/>
      <c r="AM16" s="60"/>
      <c r="AN16" s="60"/>
      <c r="AO16" s="60"/>
      <c r="AP16" s="60"/>
      <c r="AQ16" s="60"/>
      <c r="AR16" s="60"/>
      <c r="AS16" s="60"/>
      <c r="AT16" s="60"/>
      <c r="AU16" s="60"/>
      <c r="AV16" s="60"/>
      <c r="AW16" s="60"/>
      <c r="AX16" s="60"/>
      <c r="AY16" s="326"/>
      <c r="AZ16" s="60"/>
      <c r="BA16" s="60"/>
      <c r="BB16" s="60"/>
      <c r="BC16" s="60"/>
      <c r="BD16" s="60"/>
      <c r="BE16" s="60"/>
      <c r="BF16" s="60"/>
    </row>
    <row r="17" spans="6:51" s="60" customFormat="1" ht="15" customHeight="1">
      <c r="F17" s="177"/>
      <c r="AC17" s="328"/>
      <c r="AK17" s="892" t="s">
        <v>720</v>
      </c>
      <c r="AL17" s="892"/>
      <c r="AM17" s="892"/>
      <c r="AN17" s="892"/>
      <c r="AO17" s="892"/>
      <c r="AP17" s="892"/>
      <c r="AR17" s="267" t="s">
        <v>721</v>
      </c>
      <c r="AS17" s="267"/>
      <c r="AT17" s="267"/>
      <c r="AU17" s="267" t="s">
        <v>774</v>
      </c>
      <c r="AV17" s="267"/>
    </row>
    <row r="18" spans="6:51" s="60" customFormat="1" ht="15" customHeight="1" thickBot="1">
      <c r="F18" s="177"/>
      <c r="K18" s="267"/>
      <c r="L18" s="267"/>
      <c r="M18" s="267"/>
      <c r="N18" s="267"/>
      <c r="O18" s="267"/>
      <c r="P18" s="267"/>
      <c r="Q18" s="267"/>
      <c r="R18" s="267"/>
      <c r="S18" s="267"/>
      <c r="T18" s="267"/>
      <c r="U18" s="329" t="s">
        <v>775</v>
      </c>
      <c r="V18" s="885"/>
      <c r="W18" s="886"/>
      <c r="X18" s="886"/>
      <c r="Y18" s="886"/>
      <c r="Z18" s="886"/>
      <c r="AA18" s="887"/>
      <c r="AC18" s="328"/>
      <c r="AK18" s="840"/>
      <c r="AL18" s="841"/>
      <c r="AM18" s="841"/>
      <c r="AN18" s="841"/>
      <c r="AO18" s="841"/>
      <c r="AP18" s="842"/>
      <c r="AR18" s="913"/>
      <c r="AS18" s="914"/>
      <c r="AU18" s="915"/>
      <c r="AV18" s="916"/>
    </row>
    <row r="19" spans="6:51" s="60" customFormat="1" ht="15" customHeight="1">
      <c r="F19" s="177"/>
      <c r="J19" s="329"/>
      <c r="K19" s="329"/>
      <c r="L19" s="329"/>
      <c r="M19" s="329"/>
      <c r="N19" s="329"/>
      <c r="O19" s="329"/>
      <c r="P19" s="329"/>
      <c r="Q19" s="329"/>
      <c r="R19" s="329"/>
      <c r="S19" s="329"/>
      <c r="T19" s="329"/>
      <c r="U19" s="329"/>
      <c r="V19" s="283"/>
      <c r="W19" s="283"/>
      <c r="X19" s="283"/>
      <c r="Y19" s="283"/>
      <c r="Z19" s="283"/>
      <c r="AA19" s="261" t="str">
        <f ca="1">M02S04F04disp</f>
        <v>Required</v>
      </c>
      <c r="AC19" s="330"/>
      <c r="AK19" s="283"/>
      <c r="AL19" s="283"/>
      <c r="AM19" s="283"/>
      <c r="AN19" s="283"/>
      <c r="AO19" s="283"/>
      <c r="AP19" s="261" t="str">
        <f ca="1">M02S04F05disp</f>
        <v/>
      </c>
      <c r="AQ19" s="264"/>
      <c r="AR19" s="264"/>
      <c r="AS19" s="261" t="str">
        <f ca="1">M02S04F06disp</f>
        <v/>
      </c>
      <c r="AT19" s="264"/>
      <c r="AU19" s="264"/>
      <c r="AV19" s="261" t="str">
        <f ca="1">M02S04F07disp</f>
        <v/>
      </c>
    </row>
    <row r="20" spans="6:51" s="60" customFormat="1" ht="15" customHeight="1">
      <c r="F20" s="177"/>
      <c r="H20" s="264"/>
      <c r="I20" s="264"/>
      <c r="J20" s="264"/>
      <c r="K20" s="264"/>
      <c r="L20" s="264"/>
      <c r="M20" s="264"/>
      <c r="N20" s="264"/>
      <c r="O20" s="264"/>
      <c r="P20" s="264"/>
      <c r="Q20" s="264"/>
      <c r="R20" s="264"/>
      <c r="S20" s="264"/>
      <c r="T20" s="264"/>
      <c r="U20" s="264"/>
      <c r="V20" s="264"/>
      <c r="W20" s="264"/>
      <c r="X20" s="264"/>
      <c r="Y20" s="264"/>
      <c r="Z20" s="264"/>
      <c r="AA20" s="264"/>
      <c r="AB20" s="177"/>
      <c r="AC20" s="331"/>
      <c r="AD20" s="264"/>
      <c r="AE20" s="264"/>
      <c r="AF20" s="264"/>
      <c r="AG20" s="264"/>
      <c r="AH20" s="264"/>
      <c r="AI20" s="264"/>
      <c r="AJ20" s="264"/>
      <c r="AK20" s="264"/>
      <c r="AL20" s="264"/>
      <c r="AM20" s="264"/>
      <c r="AN20" s="264"/>
      <c r="AO20" s="264"/>
      <c r="AP20" s="264"/>
      <c r="AQ20" s="264"/>
      <c r="AR20" s="264"/>
      <c r="AS20" s="264"/>
      <c r="AT20" s="264"/>
      <c r="AU20" s="264"/>
      <c r="AV20" s="264"/>
      <c r="AW20" s="264"/>
      <c r="AX20" s="264"/>
      <c r="AY20" s="264"/>
    </row>
    <row r="21" spans="6:51" s="264" customFormat="1" ht="15" customHeight="1">
      <c r="F21" s="177"/>
      <c r="AC21" s="332"/>
      <c r="AD21" s="333" t="s">
        <v>776</v>
      </c>
    </row>
    <row r="22" spans="6:51" s="264" customFormat="1" ht="15" customHeight="1">
      <c r="F22" s="177"/>
      <c r="AC22" s="332"/>
    </row>
    <row r="23" spans="6:51" s="264" customFormat="1" ht="15" customHeight="1">
      <c r="F23" s="177"/>
      <c r="AC23" s="332"/>
      <c r="AD23" s="892" t="s">
        <v>756</v>
      </c>
      <c r="AE23" s="892"/>
      <c r="AF23" s="892"/>
      <c r="AG23" s="892"/>
      <c r="AH23" s="892"/>
      <c r="AI23" s="892"/>
      <c r="AJ23" s="283"/>
      <c r="AK23" s="892" t="s">
        <v>757</v>
      </c>
      <c r="AL23" s="892"/>
      <c r="AM23" s="892"/>
      <c r="AN23" s="892"/>
      <c r="AO23" s="892"/>
      <c r="AP23" s="892"/>
    </row>
    <row r="24" spans="6:51" s="264" customFormat="1" ht="15" customHeight="1" thickBot="1">
      <c r="F24" s="177"/>
      <c r="AC24" s="332"/>
      <c r="AD24" s="840"/>
      <c r="AE24" s="841"/>
      <c r="AF24" s="841"/>
      <c r="AG24" s="841"/>
      <c r="AH24" s="841"/>
      <c r="AI24" s="842"/>
      <c r="AJ24" s="266"/>
      <c r="AK24" s="840"/>
      <c r="AL24" s="841"/>
      <c r="AM24" s="841"/>
      <c r="AN24" s="841"/>
      <c r="AO24" s="841"/>
      <c r="AP24" s="842"/>
    </row>
    <row r="25" spans="6:51" s="264" customFormat="1" ht="15" customHeight="1">
      <c r="F25" s="177"/>
      <c r="AC25" s="332"/>
      <c r="AD25" s="283"/>
      <c r="AE25" s="283"/>
      <c r="AF25" s="283"/>
      <c r="AG25" s="283"/>
      <c r="AH25" s="283"/>
      <c r="AI25" s="261" t="str">
        <f ca="1">M02S04F08disp</f>
        <v/>
      </c>
      <c r="AJ25" s="266"/>
      <c r="AK25" s="283"/>
      <c r="AL25" s="283"/>
      <c r="AM25" s="283"/>
      <c r="AN25" s="283"/>
      <c r="AO25" s="283"/>
      <c r="AP25" s="261" t="str">
        <f ca="1">M02S04F09disp</f>
        <v/>
      </c>
    </row>
    <row r="26" spans="6:51" s="264" customFormat="1" ht="15" customHeight="1">
      <c r="F26" s="177"/>
      <c r="I26" s="60"/>
      <c r="J26" s="60"/>
      <c r="K26" s="60"/>
      <c r="L26" s="60"/>
      <c r="M26" s="60"/>
      <c r="N26" s="60"/>
      <c r="O26" s="60"/>
      <c r="P26" s="60"/>
      <c r="Q26" s="60"/>
      <c r="R26" s="60"/>
      <c r="S26" s="60"/>
      <c r="T26" s="60"/>
      <c r="U26" s="60"/>
      <c r="V26" s="60"/>
      <c r="W26" s="60"/>
      <c r="X26" s="60"/>
      <c r="Y26" s="60"/>
      <c r="Z26" s="60"/>
      <c r="AA26" s="60"/>
      <c r="AB26" s="60"/>
      <c r="AC26" s="328"/>
      <c r="AD26" s="312"/>
      <c r="AE26" s="312"/>
      <c r="AF26" s="312"/>
      <c r="AG26" s="312"/>
      <c r="AH26" s="312"/>
      <c r="AI26" s="312"/>
      <c r="AJ26" s="312"/>
      <c r="AK26" s="312"/>
      <c r="AL26" s="312"/>
      <c r="AM26" s="312"/>
      <c r="AN26" s="312"/>
      <c r="AO26" s="312"/>
      <c r="AP26" s="312"/>
      <c r="AQ26" s="312"/>
      <c r="AR26" s="312"/>
      <c r="AS26" s="312"/>
      <c r="AT26" s="312"/>
      <c r="AU26" s="312"/>
      <c r="AV26" s="312"/>
      <c r="AW26" s="312"/>
      <c r="AX26" s="60"/>
      <c r="AY26" s="60"/>
    </row>
    <row r="27" spans="6:51" s="60" customFormat="1" ht="15" customHeight="1">
      <c r="F27" s="177"/>
      <c r="H27" s="264"/>
      <c r="AC27" s="328"/>
      <c r="AD27" s="892" t="s">
        <v>760</v>
      </c>
      <c r="AE27" s="892"/>
      <c r="AF27" s="892"/>
      <c r="AG27" s="892"/>
      <c r="AH27" s="892"/>
      <c r="AI27" s="892"/>
      <c r="AJ27" s="283"/>
      <c r="AK27" s="892" t="s">
        <v>761</v>
      </c>
      <c r="AL27" s="892"/>
      <c r="AM27" s="892"/>
      <c r="AN27" s="892"/>
      <c r="AO27" s="892"/>
      <c r="AP27" s="892"/>
      <c r="AQ27" s="312"/>
      <c r="AR27" s="892" t="s">
        <v>762</v>
      </c>
      <c r="AS27" s="892"/>
      <c r="AT27" s="892"/>
      <c r="AU27" s="892"/>
      <c r="AV27" s="892"/>
      <c r="AW27" s="892"/>
    </row>
    <row r="28" spans="6:51" s="60" customFormat="1" ht="15" customHeight="1" thickBot="1">
      <c r="F28" s="177"/>
      <c r="H28" s="264"/>
      <c r="AC28" s="328"/>
      <c r="AD28" s="840"/>
      <c r="AE28" s="841"/>
      <c r="AF28" s="841"/>
      <c r="AG28" s="841"/>
      <c r="AH28" s="841"/>
      <c r="AI28" s="842"/>
      <c r="AJ28" s="266"/>
      <c r="AK28" s="882"/>
      <c r="AL28" s="883"/>
      <c r="AM28" s="883"/>
      <c r="AN28" s="883"/>
      <c r="AO28" s="883"/>
      <c r="AP28" s="884"/>
      <c r="AQ28" s="266"/>
      <c r="AR28" s="912"/>
      <c r="AS28" s="883"/>
      <c r="AT28" s="883"/>
      <c r="AU28" s="883"/>
      <c r="AV28" s="883"/>
      <c r="AW28" s="884"/>
    </row>
    <row r="29" spans="6:51" s="60" customFormat="1" ht="15" customHeight="1">
      <c r="F29" s="177"/>
      <c r="H29" s="264"/>
      <c r="AC29" s="328"/>
      <c r="AD29" s="283"/>
      <c r="AE29" s="283"/>
      <c r="AF29" s="283"/>
      <c r="AG29" s="283"/>
      <c r="AH29" s="283"/>
      <c r="AI29" s="261" t="str">
        <f ca="1">M02S04F10disp</f>
        <v/>
      </c>
      <c r="AJ29" s="266"/>
      <c r="AK29" s="334"/>
      <c r="AL29" s="334"/>
      <c r="AM29" s="334"/>
      <c r="AN29" s="334"/>
      <c r="AO29" s="334"/>
      <c r="AP29" s="261" t="str">
        <f ca="1">M02S04F11disp</f>
        <v/>
      </c>
      <c r="AQ29" s="266"/>
      <c r="AR29" s="334"/>
      <c r="AS29" s="334"/>
      <c r="AT29" s="334"/>
      <c r="AU29" s="334"/>
      <c r="AV29" s="334"/>
      <c r="AW29" s="261" t="str">
        <f ca="1">M02S04F12disp</f>
        <v/>
      </c>
    </row>
    <row r="30" spans="6:51" s="60" customFormat="1" ht="15" customHeight="1">
      <c r="F30" s="177"/>
      <c r="H30" s="264"/>
      <c r="AC30" s="328"/>
    </row>
    <row r="31" spans="6:51" s="60" customFormat="1" ht="15" customHeight="1">
      <c r="F31" s="177"/>
      <c r="H31" s="264"/>
      <c r="AC31" s="328"/>
      <c r="AD31" s="333" t="s">
        <v>777</v>
      </c>
    </row>
    <row r="32" spans="6:51" s="60" customFormat="1" ht="15" customHeight="1">
      <c r="F32" s="177"/>
      <c r="H32" s="264"/>
      <c r="AC32" s="328"/>
    </row>
    <row r="33" spans="1:49" s="60" customFormat="1" ht="15" customHeight="1">
      <c r="F33" s="177"/>
      <c r="H33" s="264"/>
      <c r="AC33" s="328"/>
      <c r="AD33" s="892" t="s">
        <v>756</v>
      </c>
      <c r="AE33" s="892"/>
      <c r="AF33" s="892"/>
      <c r="AG33" s="892"/>
      <c r="AH33" s="892"/>
      <c r="AI33" s="892"/>
      <c r="AJ33" s="177"/>
      <c r="AK33" s="892" t="s">
        <v>757</v>
      </c>
      <c r="AL33" s="892"/>
      <c r="AM33" s="892"/>
      <c r="AN33" s="892"/>
      <c r="AO33" s="892"/>
      <c r="AP33" s="892"/>
      <c r="AQ33" s="283"/>
      <c r="AR33" s="264"/>
      <c r="AS33" s="264"/>
      <c r="AT33" s="264"/>
      <c r="AU33" s="264"/>
      <c r="AV33" s="264"/>
      <c r="AW33" s="264"/>
    </row>
    <row r="34" spans="1:49" s="60" customFormat="1" ht="15" customHeight="1">
      <c r="F34" s="177"/>
      <c r="AC34" s="328"/>
      <c r="AD34" s="904"/>
      <c r="AE34" s="905"/>
      <c r="AF34" s="905"/>
      <c r="AG34" s="905"/>
      <c r="AH34" s="905"/>
      <c r="AI34" s="906"/>
      <c r="AJ34" s="266"/>
      <c r="AK34" s="904"/>
      <c r="AL34" s="905"/>
      <c r="AM34" s="905"/>
      <c r="AN34" s="905"/>
      <c r="AO34" s="905"/>
      <c r="AP34" s="906"/>
      <c r="AQ34" s="266"/>
      <c r="AR34" s="264"/>
      <c r="AS34" s="264"/>
      <c r="AT34" s="264"/>
      <c r="AU34" s="264"/>
      <c r="AV34" s="264"/>
      <c r="AW34" s="264"/>
    </row>
    <row r="35" spans="1:49" s="60" customFormat="1" ht="15" customHeight="1">
      <c r="A35" s="335"/>
      <c r="H35" s="335"/>
      <c r="AC35" s="328"/>
      <c r="AD35" s="264"/>
      <c r="AE35" s="264"/>
      <c r="AF35" s="264"/>
      <c r="AG35" s="264"/>
      <c r="AH35" s="264"/>
      <c r="AI35" s="469" t="str">
        <f ca="1">M02S04F13disp</f>
        <v/>
      </c>
      <c r="AJ35" s="264"/>
      <c r="AK35" s="264"/>
      <c r="AL35" s="264"/>
      <c r="AM35" s="264"/>
      <c r="AN35" s="264"/>
      <c r="AO35" s="264"/>
      <c r="AP35" s="469" t="str">
        <f ca="1">M02S04F14disp</f>
        <v/>
      </c>
      <c r="AQ35" s="264"/>
      <c r="AR35" s="264"/>
      <c r="AS35" s="264"/>
      <c r="AT35" s="264"/>
      <c r="AU35" s="264"/>
      <c r="AV35" s="264"/>
      <c r="AW35" s="264"/>
    </row>
    <row r="36" spans="1:49" s="60" customFormat="1" ht="15" customHeight="1">
      <c r="AC36" s="328"/>
      <c r="AD36" s="892" t="s">
        <v>760</v>
      </c>
      <c r="AE36" s="892"/>
      <c r="AF36" s="892"/>
      <c r="AG36" s="892"/>
      <c r="AH36" s="892"/>
      <c r="AI36" s="892"/>
      <c r="AJ36" s="283"/>
      <c r="AK36" s="892" t="s">
        <v>761</v>
      </c>
      <c r="AL36" s="892"/>
      <c r="AM36" s="892"/>
      <c r="AN36" s="892"/>
      <c r="AO36" s="892"/>
      <c r="AP36" s="892"/>
      <c r="AQ36" s="312"/>
      <c r="AR36" s="892" t="s">
        <v>762</v>
      </c>
      <c r="AS36" s="892"/>
      <c r="AT36" s="892"/>
      <c r="AU36" s="892"/>
      <c r="AV36" s="892"/>
      <c r="AW36" s="892"/>
    </row>
    <row r="37" spans="1:49" s="60" customFormat="1" ht="15" customHeight="1">
      <c r="AC37" s="328"/>
      <c r="AD37" s="904"/>
      <c r="AE37" s="905"/>
      <c r="AF37" s="905"/>
      <c r="AG37" s="905"/>
      <c r="AH37" s="905"/>
      <c r="AI37" s="906"/>
      <c r="AJ37" s="266"/>
      <c r="AK37" s="907"/>
      <c r="AL37" s="908"/>
      <c r="AM37" s="908"/>
      <c r="AN37" s="908"/>
      <c r="AO37" s="908"/>
      <c r="AP37" s="909"/>
      <c r="AQ37" s="266"/>
      <c r="AR37" s="910"/>
      <c r="AS37" s="908"/>
      <c r="AT37" s="908"/>
      <c r="AU37" s="908"/>
      <c r="AV37" s="908"/>
      <c r="AW37" s="909"/>
    </row>
    <row r="38" spans="1:49" s="60" customFormat="1" ht="15" customHeight="1">
      <c r="H38" s="267"/>
      <c r="AC38" s="328"/>
      <c r="AI38" s="470" t="str">
        <f ca="1">M02S04F15disp</f>
        <v/>
      </c>
      <c r="AP38" s="470" t="str">
        <f ca="1">M02S04F16disp</f>
        <v/>
      </c>
      <c r="AW38" s="470" t="str">
        <f ca="1">M02S04F17disp</f>
        <v/>
      </c>
    </row>
    <row r="39" spans="1:49" s="60" customFormat="1" ht="15" customHeight="1">
      <c r="H39" s="267"/>
      <c r="AC39" s="177"/>
    </row>
    <row r="40" spans="1:49" s="60" customFormat="1" ht="15" customHeight="1"/>
    <row r="41" spans="1:49" s="60" customFormat="1" ht="15" customHeight="1">
      <c r="B41" s="267"/>
      <c r="W41" s="177"/>
    </row>
    <row r="42" spans="1:49" s="60" customFormat="1" ht="15" customHeight="1">
      <c r="B42" s="267"/>
    </row>
    <row r="43" spans="1:49" s="60" customFormat="1" ht="15.75" hidden="1" customHeight="1">
      <c r="B43" s="267"/>
    </row>
    <row r="44" spans="1:49" s="60" customFormat="1" ht="15.75" hidden="1" customHeight="1">
      <c r="B44" s="267"/>
    </row>
    <row r="45" spans="1:49" s="60" customFormat="1" ht="15.75" hidden="1" customHeight="1">
      <c r="B45" s="267"/>
    </row>
    <row r="46" spans="1:49" s="60" customFormat="1" ht="20.25" hidden="1" customHeight="1">
      <c r="B46" s="267"/>
    </row>
    <row r="47" spans="1:49" s="60" customFormat="1" ht="15.75" hidden="1" customHeight="1">
      <c r="B47" s="267"/>
    </row>
    <row r="48" spans="1:49" s="60" customFormat="1" ht="16.350000000000001" hidden="1" customHeight="1">
      <c r="B48" s="267"/>
    </row>
    <row r="49" spans="2:2" s="60" customFormat="1" ht="16.350000000000001" hidden="1" customHeight="1">
      <c r="B49" s="267"/>
    </row>
    <row r="50" spans="2:2" s="60" customFormat="1" ht="16.350000000000001" hidden="1" customHeight="1">
      <c r="B50" s="267"/>
    </row>
    <row r="51" spans="2:2" s="60" customFormat="1" ht="16.350000000000001" hidden="1" customHeight="1">
      <c r="B51" s="267"/>
    </row>
    <row r="52" spans="2:2" s="60" customFormat="1" ht="16.350000000000001" hidden="1" customHeight="1">
      <c r="B52" s="267"/>
    </row>
    <row r="53" spans="2:2" s="60" customFormat="1" ht="16.350000000000001" hidden="1" customHeight="1">
      <c r="B53" s="267"/>
    </row>
    <row r="54" spans="2:2" s="60" customFormat="1" ht="16.350000000000001" hidden="1" customHeight="1">
      <c r="B54" s="267"/>
    </row>
    <row r="55" spans="2:2" s="60" customFormat="1" ht="16.350000000000001" hidden="1" customHeight="1">
      <c r="B55" s="267"/>
    </row>
    <row r="56" spans="2:2" s="60" customFormat="1" ht="16.350000000000001" hidden="1" customHeight="1">
      <c r="B56" s="267"/>
    </row>
    <row r="57" spans="2:2" s="60" customFormat="1" ht="16.350000000000001" hidden="1" customHeight="1">
      <c r="B57" s="267"/>
    </row>
    <row r="58" spans="2:2" s="60" customFormat="1" ht="16.350000000000001" hidden="1" customHeight="1">
      <c r="B58" s="267"/>
    </row>
    <row r="59" spans="2:2" s="60" customFormat="1" ht="16.350000000000001" hidden="1" customHeight="1"/>
    <row r="60" spans="2:2" s="60" customFormat="1" ht="16.350000000000001" hidden="1" customHeight="1"/>
    <row r="61" spans="2:2" s="60" customFormat="1" ht="16.350000000000001" hidden="1" customHeight="1"/>
    <row r="62" spans="2:2" s="60" customFormat="1" ht="16.350000000000001" hidden="1" customHeight="1"/>
    <row r="63" spans="2:2" s="60" customFormat="1" ht="16.350000000000001" hidden="1" customHeight="1"/>
    <row r="64" spans="2:2" s="60" customFormat="1" ht="16.350000000000001" hidden="1" customHeight="1"/>
    <row r="65" s="60" customFormat="1" ht="16.350000000000001" hidden="1" customHeight="1"/>
    <row r="66" s="60" customFormat="1" ht="16.350000000000001" hidden="1" customHeight="1"/>
    <row r="67" s="60" customFormat="1" ht="16.350000000000001" hidden="1" customHeight="1"/>
    <row r="68" s="60" customFormat="1" ht="16.350000000000001" hidden="1" customHeight="1"/>
    <row r="69" s="60" customFormat="1" ht="16.350000000000001" hidden="1" customHeight="1"/>
    <row r="70" s="60" customFormat="1" ht="16.350000000000001" hidden="1" customHeight="1"/>
    <row r="71" s="60" customFormat="1" ht="16.350000000000001" hidden="1" customHeight="1"/>
    <row r="72" s="60" customFormat="1" ht="16.350000000000001" hidden="1" customHeight="1"/>
    <row r="73" s="60" customFormat="1" ht="16.350000000000001" hidden="1" customHeight="1"/>
    <row r="74" s="60" customFormat="1" ht="16.350000000000001" hidden="1" customHeight="1"/>
    <row r="75" s="60" customFormat="1" ht="16.350000000000001" hidden="1" customHeight="1"/>
    <row r="76" s="60" customFormat="1" ht="16.350000000000001" hidden="1" customHeight="1"/>
    <row r="77" s="60" customFormat="1" ht="16.350000000000001" hidden="1" customHeight="1"/>
    <row r="78" s="60" customFormat="1" ht="16.350000000000001" hidden="1" customHeight="1"/>
    <row r="79" s="60" customFormat="1" ht="16.350000000000001" hidden="1" customHeight="1"/>
    <row r="80" s="60" customFormat="1" ht="16.350000000000001" hidden="1" customHeight="1"/>
    <row r="81" s="60" customFormat="1" ht="16.350000000000001" hidden="1" customHeight="1"/>
    <row r="82" s="60" customFormat="1" ht="16.350000000000001" hidden="1" customHeight="1"/>
    <row r="83" s="60" customFormat="1" ht="16.350000000000001" hidden="1" customHeight="1"/>
    <row r="84" s="60" customFormat="1" ht="16.350000000000001" hidden="1" customHeight="1"/>
    <row r="85" s="60" customFormat="1" ht="16.350000000000001" hidden="1" customHeight="1"/>
    <row r="86" s="60" customFormat="1" ht="16.350000000000001" hidden="1" customHeight="1"/>
    <row r="87" s="60" customFormat="1" ht="16.350000000000001" hidden="1" customHeight="1"/>
    <row r="88" s="60" customFormat="1" ht="16.350000000000001" hidden="1" customHeight="1"/>
    <row r="89" s="60" customFormat="1" ht="16.350000000000001" hidden="1" customHeight="1"/>
    <row r="90" s="60" customFormat="1" ht="16.350000000000001" hidden="1" customHeight="1"/>
    <row r="91" s="60" customFormat="1" ht="16.350000000000001" hidden="1" customHeight="1"/>
    <row r="92" s="60" customFormat="1" ht="16.350000000000001" hidden="1" customHeight="1"/>
    <row r="93" s="60" customFormat="1" ht="16.350000000000001" hidden="1" customHeight="1"/>
    <row r="94" s="60" customFormat="1" ht="16.350000000000001" hidden="1" customHeight="1"/>
    <row r="95" s="60" customFormat="1" ht="16.350000000000001" hidden="1" customHeight="1"/>
    <row r="96" s="60" customFormat="1" ht="16.350000000000001" hidden="1" customHeight="1"/>
    <row r="97" s="60" customFormat="1" ht="16.350000000000001" hidden="1" customHeight="1"/>
    <row r="98" s="60" customFormat="1" ht="16.350000000000001" hidden="1" customHeight="1"/>
    <row r="99" s="60" customFormat="1" ht="16.350000000000001" hidden="1" customHeight="1"/>
    <row r="100" s="60" customFormat="1" ht="16.350000000000001" hidden="1" customHeight="1"/>
    <row r="101" s="60" customFormat="1" ht="16.350000000000001" hidden="1" customHeight="1"/>
    <row r="102" s="60" customFormat="1" ht="16.350000000000001" hidden="1" customHeight="1"/>
    <row r="103" s="60" customFormat="1" ht="16.350000000000001" hidden="1" customHeight="1"/>
    <row r="104" s="60" customFormat="1" ht="16.350000000000001" hidden="1" customHeight="1"/>
    <row r="105" s="60" customFormat="1" ht="16.350000000000001" hidden="1" customHeight="1"/>
    <row r="106" s="60" customFormat="1" ht="16.350000000000001" hidden="1" customHeight="1"/>
    <row r="107" s="60" customFormat="1" ht="16.350000000000001" hidden="1" customHeight="1"/>
    <row r="108" s="60" customFormat="1" ht="16.350000000000001" hidden="1" customHeight="1"/>
    <row r="109" s="60" customFormat="1" ht="16.350000000000001" hidden="1" customHeight="1"/>
    <row r="110" s="60" customFormat="1" ht="16.350000000000001" hidden="1" customHeight="1"/>
    <row r="111" s="60" customFormat="1" ht="16.350000000000001" hidden="1" customHeight="1"/>
    <row r="112" s="60" customFormat="1" ht="16.350000000000001" hidden="1" customHeight="1"/>
    <row r="113" s="60" customFormat="1" ht="16.350000000000001" hidden="1" customHeight="1"/>
    <row r="114" s="60" customFormat="1" ht="16.350000000000001" hidden="1" customHeight="1"/>
    <row r="115" s="60" customFormat="1" ht="16.350000000000001" hidden="1" customHeight="1"/>
    <row r="116" s="60" customFormat="1" ht="16.350000000000001" hidden="1" customHeight="1"/>
    <row r="117" s="60" customFormat="1" ht="16.350000000000001" hidden="1" customHeight="1"/>
    <row r="118" s="60" customFormat="1" ht="16.350000000000001" hidden="1" customHeight="1"/>
    <row r="119" s="60" customFormat="1" ht="16.350000000000001" hidden="1" customHeight="1"/>
    <row r="120" s="60" customFormat="1" ht="16.350000000000001" hidden="1" customHeight="1"/>
    <row r="121" s="60" customFormat="1" ht="16.350000000000001" hidden="1" customHeight="1"/>
    <row r="122" s="60" customFormat="1" ht="16.350000000000001" hidden="1" customHeight="1"/>
    <row r="123" s="60" customFormat="1" ht="16.350000000000001" hidden="1" customHeight="1"/>
    <row r="124" s="60" customFormat="1" ht="16.350000000000001" hidden="1" customHeight="1"/>
    <row r="125" s="60" customFormat="1" ht="16.350000000000001" hidden="1" customHeight="1"/>
    <row r="126" s="60" customFormat="1" ht="16.350000000000001" hidden="1" customHeight="1"/>
    <row r="127" s="60" customFormat="1" ht="16.350000000000001" hidden="1" customHeight="1"/>
    <row r="128" s="60" customFormat="1" ht="16.350000000000001" hidden="1" customHeight="1"/>
    <row r="129" s="60" customFormat="1" ht="16.350000000000001" hidden="1" customHeight="1"/>
    <row r="130" s="60" customFormat="1" ht="16.350000000000001" hidden="1" customHeight="1"/>
    <row r="131" s="60" customFormat="1" ht="16.350000000000001" hidden="1" customHeight="1"/>
    <row r="132" s="60" customFormat="1" ht="16.350000000000001" hidden="1" customHeight="1"/>
    <row r="133" s="60" customFormat="1" ht="16.350000000000001" hidden="1" customHeight="1"/>
    <row r="134" s="60" customFormat="1" ht="16.350000000000001" hidden="1" customHeight="1"/>
    <row r="135" s="60" customFormat="1" ht="16.350000000000001" hidden="1" customHeight="1"/>
    <row r="136" s="60" customFormat="1" ht="16.350000000000001" hidden="1" customHeight="1"/>
    <row r="137" s="60" customFormat="1" ht="16.350000000000001" hidden="1" customHeight="1"/>
    <row r="138" s="60" customFormat="1" ht="16.350000000000001" hidden="1" customHeight="1"/>
    <row r="139" s="60" customFormat="1" ht="16.350000000000001" hidden="1" customHeight="1"/>
    <row r="140" s="60" customFormat="1" ht="16.350000000000001" hidden="1" customHeight="1"/>
    <row r="141" s="60" customFormat="1" ht="16.350000000000001" hidden="1" customHeight="1"/>
    <row r="142" s="60" customFormat="1" ht="16.350000000000001" hidden="1" customHeight="1"/>
    <row r="143" s="60" customFormat="1" ht="16.350000000000001" hidden="1" customHeight="1"/>
    <row r="144" s="60" customFormat="1" ht="16.350000000000001" hidden="1" customHeight="1"/>
    <row r="145" s="60" customFormat="1" ht="16.350000000000001" hidden="1" customHeight="1"/>
    <row r="146" s="60" customFormat="1" ht="16.350000000000001" hidden="1" customHeight="1"/>
    <row r="147" s="60" customFormat="1" ht="16.350000000000001" hidden="1" customHeight="1"/>
    <row r="148" s="60" customFormat="1" ht="16.350000000000001" hidden="1" customHeight="1"/>
    <row r="149" s="60" customFormat="1" ht="16.350000000000001" hidden="1" customHeight="1"/>
    <row r="150" s="60" customFormat="1" ht="16.350000000000001" hidden="1" customHeight="1"/>
    <row r="151" s="60" customFormat="1" ht="16.350000000000001" hidden="1" customHeight="1"/>
    <row r="152" s="60" customFormat="1" ht="16.350000000000001" hidden="1" customHeight="1"/>
    <row r="153" s="60" customFormat="1" ht="16.350000000000001" hidden="1" customHeight="1"/>
    <row r="154" s="60" customFormat="1" ht="16.350000000000001" hidden="1" customHeight="1"/>
    <row r="155" s="60" customFormat="1" ht="16.350000000000001" hidden="1" customHeight="1"/>
    <row r="156" s="60" customFormat="1" ht="16.350000000000001" hidden="1" customHeight="1"/>
    <row r="157" s="60" customFormat="1" ht="16.350000000000001" hidden="1" customHeight="1"/>
    <row r="158" s="60" customFormat="1" ht="16.350000000000001" hidden="1" customHeight="1"/>
    <row r="159" s="60" customFormat="1" ht="16.350000000000001" hidden="1" customHeight="1"/>
    <row r="160" s="60" customFormat="1" ht="16.350000000000001" hidden="1" customHeight="1"/>
    <row r="161" s="60" customFormat="1" ht="16.350000000000001" hidden="1" customHeight="1"/>
    <row r="162" s="60" customFormat="1" ht="16.350000000000001" hidden="1" customHeight="1"/>
    <row r="163" s="60" customFormat="1" ht="16.350000000000001" hidden="1" customHeight="1"/>
    <row r="164" s="60" customFormat="1" ht="16.350000000000001" hidden="1" customHeight="1"/>
    <row r="165" s="60" customFormat="1" ht="16.350000000000001" hidden="1" customHeight="1"/>
    <row r="166" s="60" customFormat="1" ht="16.350000000000001" hidden="1" customHeight="1"/>
    <row r="167" s="60" customFormat="1" ht="16.350000000000001" hidden="1" customHeight="1"/>
    <row r="168" s="60" customFormat="1" ht="16.350000000000001" hidden="1" customHeight="1"/>
    <row r="169" s="60" customFormat="1" ht="16.350000000000001" hidden="1" customHeight="1"/>
    <row r="170" s="60" customFormat="1" ht="16.350000000000001" hidden="1" customHeight="1"/>
    <row r="171" s="60" customFormat="1" ht="16.350000000000001" hidden="1" customHeight="1"/>
    <row r="172" s="60" customFormat="1" ht="16.350000000000001" hidden="1" customHeight="1"/>
    <row r="173" s="60" customFormat="1" ht="16.350000000000001" hidden="1" customHeight="1"/>
    <row r="174" s="60" customFormat="1" ht="16.350000000000001" hidden="1" customHeight="1"/>
    <row r="175" s="60" customFormat="1" ht="16.350000000000001" hidden="1" customHeight="1"/>
    <row r="176" s="60" customFormat="1" ht="16.350000000000001" hidden="1" customHeight="1"/>
    <row r="177" s="60" customFormat="1" ht="16.350000000000001" hidden="1" customHeight="1"/>
    <row r="178" s="60" customFormat="1" ht="16.350000000000001" hidden="1" customHeight="1"/>
    <row r="179" s="60" customFormat="1" ht="16.350000000000001" hidden="1" customHeight="1"/>
    <row r="180" s="60" customFormat="1" ht="16.350000000000001" hidden="1" customHeight="1"/>
    <row r="181" s="60" customFormat="1" ht="16.350000000000001" hidden="1" customHeight="1"/>
    <row r="182" s="60" customFormat="1" ht="16.350000000000001" hidden="1" customHeight="1"/>
    <row r="183" s="60" customFormat="1" ht="16.350000000000001" hidden="1" customHeight="1"/>
    <row r="184" s="60" customFormat="1" ht="16.350000000000001" hidden="1" customHeight="1"/>
    <row r="185" s="60" customFormat="1" ht="16.350000000000001" hidden="1" customHeight="1"/>
    <row r="186" s="60" customFormat="1" ht="16.350000000000001" hidden="1" customHeight="1"/>
    <row r="187" s="60" customFormat="1" ht="16.350000000000001" hidden="1" customHeight="1"/>
    <row r="188" s="60" customFormat="1" ht="16.350000000000001" hidden="1" customHeight="1"/>
    <row r="189" s="60" customFormat="1" ht="16.350000000000001" hidden="1" customHeight="1"/>
    <row r="190" s="60" customFormat="1" ht="16.350000000000001" hidden="1" customHeight="1"/>
    <row r="191" s="60" customFormat="1" ht="16.350000000000001" hidden="1" customHeight="1"/>
    <row r="192" s="60" customFormat="1" ht="16.350000000000001" hidden="1" customHeight="1"/>
    <row r="193" spans="1:59" ht="16.350000000000001" hidden="1"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row>
    <row r="194" spans="1:59" ht="16.350000000000001" hidden="1"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row>
    <row r="195" spans="1:59" ht="16.350000000000001" hidden="1"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row>
    <row r="196" spans="1:59" ht="16.350000000000001" hidden="1" customHeight="1">
      <c r="A196" s="60"/>
      <c r="B196" s="60"/>
      <c r="C196" s="60"/>
      <c r="D196" s="60"/>
      <c r="E196" s="60"/>
      <c r="F196" s="60"/>
      <c r="G196" s="60"/>
      <c r="H196" s="60"/>
      <c r="I196" s="60"/>
      <c r="J196" s="60"/>
      <c r="K196" s="60"/>
      <c r="L196" s="60"/>
      <c r="M196" s="911"/>
      <c r="N196" s="911"/>
      <c r="O196" s="911"/>
      <c r="P196" s="911"/>
      <c r="Q196" s="911"/>
      <c r="R196" s="911"/>
      <c r="S196" s="911"/>
      <c r="T196" s="911"/>
      <c r="U196" s="911"/>
      <c r="V196" s="911"/>
      <c r="W196" s="911"/>
      <c r="X196" s="911"/>
      <c r="Y196" s="911"/>
      <c r="Z196" s="911"/>
      <c r="AA196" s="911"/>
      <c r="AB196" s="911"/>
      <c r="AC196" s="911"/>
      <c r="AD196" s="911"/>
      <c r="AE196" s="911"/>
      <c r="AF196" s="911"/>
      <c r="AG196" s="911"/>
      <c r="AH196" s="911"/>
      <c r="AI196" s="911"/>
      <c r="AJ196" s="911"/>
      <c r="AK196" s="911"/>
      <c r="AL196" s="911"/>
      <c r="AM196" s="911"/>
      <c r="AN196" s="911"/>
      <c r="AO196" s="911"/>
      <c r="AP196" s="911"/>
      <c r="AQ196" s="911"/>
      <c r="AR196" s="911"/>
      <c r="AS196" s="911"/>
      <c r="AT196" s="911"/>
      <c r="AU196" s="911"/>
      <c r="AV196" s="60"/>
      <c r="AW196" s="60"/>
      <c r="AX196" s="60"/>
      <c r="AY196" s="60"/>
      <c r="AZ196" s="60"/>
      <c r="BA196" s="60"/>
      <c r="BB196" s="60"/>
      <c r="BC196" s="60"/>
      <c r="BD196" s="60"/>
      <c r="BE196" s="60"/>
      <c r="BF196" s="60"/>
    </row>
    <row r="197" spans="1:59" ht="16.350000000000001" hidden="1" customHeight="1">
      <c r="A197" s="60"/>
      <c r="B197" s="60"/>
      <c r="C197" s="60"/>
      <c r="D197" s="60"/>
      <c r="E197" s="60"/>
      <c r="F197" s="60"/>
      <c r="G197" s="60"/>
      <c r="H197" s="60"/>
      <c r="I197" s="60"/>
      <c r="J197" s="60"/>
      <c r="K197" s="60"/>
      <c r="L197" s="60"/>
      <c r="M197" s="911"/>
      <c r="N197" s="911"/>
      <c r="O197" s="911"/>
      <c r="P197" s="911"/>
      <c r="Q197" s="911"/>
      <c r="R197" s="911"/>
      <c r="S197" s="911"/>
      <c r="T197" s="911"/>
      <c r="U197" s="911"/>
      <c r="V197" s="911"/>
      <c r="W197" s="911"/>
      <c r="X197" s="911"/>
      <c r="Y197" s="911"/>
      <c r="Z197" s="911"/>
      <c r="AA197" s="911"/>
      <c r="AB197" s="911"/>
      <c r="AC197" s="911"/>
      <c r="AD197" s="911"/>
      <c r="AE197" s="911"/>
      <c r="AF197" s="911"/>
      <c r="AG197" s="911"/>
      <c r="AH197" s="911"/>
      <c r="AI197" s="911"/>
      <c r="AJ197" s="911"/>
      <c r="AK197" s="911"/>
      <c r="AL197" s="911"/>
      <c r="AM197" s="911"/>
      <c r="AN197" s="911"/>
      <c r="AO197" s="911"/>
      <c r="AP197" s="911"/>
      <c r="AQ197" s="911"/>
      <c r="AR197" s="911"/>
      <c r="AS197" s="911"/>
      <c r="AT197" s="911"/>
      <c r="AU197" s="911"/>
      <c r="AV197" s="60"/>
      <c r="AW197" s="60"/>
      <c r="AX197" s="60"/>
      <c r="AY197" s="60"/>
      <c r="AZ197" s="60"/>
      <c r="BA197" s="60"/>
      <c r="BB197" s="60"/>
      <c r="BC197" s="60"/>
      <c r="BD197" s="60"/>
      <c r="BE197" s="60"/>
      <c r="BF197" s="60"/>
    </row>
    <row r="198" spans="1:59" ht="16.350000000000001" hidden="1" customHeight="1">
      <c r="A198" s="60"/>
      <c r="B198" s="60"/>
      <c r="C198" s="60"/>
      <c r="D198" s="60"/>
      <c r="E198" s="60"/>
      <c r="F198" s="60"/>
      <c r="G198" s="60"/>
      <c r="H198" s="60"/>
      <c r="I198" s="60"/>
      <c r="J198" s="60"/>
      <c r="K198" s="60"/>
      <c r="L198" s="60"/>
      <c r="M198" s="911"/>
      <c r="N198" s="911"/>
      <c r="O198" s="911"/>
      <c r="P198" s="911"/>
      <c r="Q198" s="911"/>
      <c r="R198" s="911"/>
      <c r="S198" s="911"/>
      <c r="T198" s="911"/>
      <c r="U198" s="911"/>
      <c r="V198" s="911"/>
      <c r="W198" s="911"/>
      <c r="X198" s="911"/>
      <c r="Y198" s="911"/>
      <c r="Z198" s="911"/>
      <c r="AA198" s="911"/>
      <c r="AB198" s="911"/>
      <c r="AC198" s="911"/>
      <c r="AD198" s="911"/>
      <c r="AE198" s="911"/>
      <c r="AF198" s="911"/>
      <c r="AG198" s="911"/>
      <c r="AH198" s="911"/>
      <c r="AI198" s="911"/>
      <c r="AJ198" s="911"/>
      <c r="AK198" s="911"/>
      <c r="AL198" s="911"/>
      <c r="AM198" s="911"/>
      <c r="AN198" s="911"/>
      <c r="AO198" s="911"/>
      <c r="AP198" s="911"/>
      <c r="AQ198" s="911"/>
      <c r="AR198" s="911"/>
      <c r="AS198" s="911"/>
      <c r="AT198" s="911"/>
      <c r="AU198" s="911"/>
      <c r="AV198" s="911"/>
      <c r="AW198" s="60"/>
      <c r="AX198" s="60"/>
      <c r="AY198" s="60"/>
      <c r="AZ198" s="60"/>
      <c r="BA198" s="60"/>
      <c r="BB198" s="60"/>
      <c r="BC198" s="60"/>
      <c r="BD198" s="60"/>
      <c r="BE198" s="60"/>
      <c r="BF198" s="60"/>
    </row>
    <row r="199" spans="1:59" ht="16.350000000000001" hidden="1"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row>
    <row r="200" spans="1:59" s="523" customFormat="1" ht="16.350000000000001" customHeight="1">
      <c r="A200" s="504"/>
      <c r="B200" s="504" t="str">
        <f>FOOT1</f>
        <v>PSE&amp;G C&amp;I Energy Efficiency Program</v>
      </c>
      <c r="C200" s="504"/>
      <c r="D200" s="504"/>
      <c r="E200" s="504"/>
      <c r="F200" s="504"/>
      <c r="G200" s="504"/>
      <c r="H200" s="504"/>
      <c r="I200" s="504"/>
      <c r="J200" s="504"/>
      <c r="K200" s="504"/>
      <c r="L200" s="504"/>
      <c r="M200" s="504"/>
      <c r="N200" s="504"/>
      <c r="O200" s="504"/>
      <c r="P200" s="504"/>
      <c r="Q200" s="504"/>
      <c r="R200" s="721" t="s">
        <v>137</v>
      </c>
      <c r="S200" s="721"/>
      <c r="T200" s="721"/>
      <c r="U200" s="721"/>
      <c r="V200" s="721"/>
      <c r="W200" s="721"/>
      <c r="X200" s="721"/>
      <c r="Y200" s="721"/>
      <c r="Z200" s="721"/>
      <c r="AA200" s="721"/>
      <c r="AB200" s="721"/>
      <c r="AC200" s="721"/>
      <c r="AD200" s="721"/>
      <c r="AE200" s="721"/>
      <c r="AF200" s="721"/>
      <c r="AG200" s="721"/>
      <c r="AH200" s="721"/>
      <c r="AI200" s="721"/>
      <c r="AJ200" s="721"/>
      <c r="AK200" s="721"/>
      <c r="AL200" s="721"/>
      <c r="AM200" s="721"/>
      <c r="AN200" s="721"/>
      <c r="AO200" s="721"/>
      <c r="AP200" s="721"/>
      <c r="AQ200" s="721"/>
      <c r="AR200" s="721"/>
      <c r="AS200" s="504"/>
      <c r="AT200" s="504"/>
      <c r="AU200" s="504"/>
      <c r="AV200" s="504"/>
      <c r="AW200" s="504"/>
      <c r="AX200" s="504"/>
      <c r="AY200" s="504"/>
      <c r="AZ200" s="504"/>
      <c r="BA200" s="504"/>
      <c r="BB200" s="504"/>
      <c r="BC200" s="504"/>
      <c r="BD200" s="504"/>
      <c r="BE200" s="701"/>
      <c r="BF200" s="701" t="str">
        <f>FOOT4</f>
        <v>Engineered Solutions Tier 2 Advance Custom Incentive Application</v>
      </c>
      <c r="BG200" s="568"/>
    </row>
    <row r="201" spans="1:59" s="523" customFormat="1" ht="16.350000000000001" customHeight="1">
      <c r="A201" s="504"/>
      <c r="B201" s="504" t="str">
        <f>FOOT2</f>
        <v>1-844-300-PSEG (7734)</v>
      </c>
      <c r="C201" s="504"/>
      <c r="D201" s="504"/>
      <c r="E201" s="504"/>
      <c r="F201" s="504"/>
      <c r="G201" s="504"/>
      <c r="H201" s="504"/>
      <c r="I201" s="504"/>
      <c r="J201" s="504"/>
      <c r="K201" s="504"/>
      <c r="L201" s="504"/>
      <c r="M201" s="504"/>
      <c r="N201" s="504"/>
      <c r="O201" s="504"/>
      <c r="P201" s="504"/>
      <c r="Q201" s="504"/>
      <c r="R201" s="721"/>
      <c r="S201" s="721"/>
      <c r="T201" s="721"/>
      <c r="U201" s="721"/>
      <c r="V201" s="721"/>
      <c r="W201" s="721"/>
      <c r="X201" s="721"/>
      <c r="Y201" s="721"/>
      <c r="Z201" s="721"/>
      <c r="AA201" s="721"/>
      <c r="AB201" s="721"/>
      <c r="AC201" s="721"/>
      <c r="AD201" s="721"/>
      <c r="AE201" s="721"/>
      <c r="AF201" s="721"/>
      <c r="AG201" s="721"/>
      <c r="AH201" s="721"/>
      <c r="AI201" s="721"/>
      <c r="AJ201" s="721"/>
      <c r="AK201" s="721"/>
      <c r="AL201" s="721"/>
      <c r="AM201" s="721"/>
      <c r="AN201" s="721"/>
      <c r="AO201" s="721"/>
      <c r="AP201" s="721"/>
      <c r="AQ201" s="721"/>
      <c r="AR201" s="721"/>
      <c r="AS201" s="504"/>
      <c r="AT201" s="504"/>
      <c r="AU201" s="504"/>
      <c r="AV201" s="504"/>
      <c r="AW201" s="504"/>
      <c r="AX201" s="504"/>
      <c r="AY201" s="504"/>
      <c r="AZ201" s="504"/>
      <c r="BA201" s="504"/>
      <c r="BB201" s="504"/>
      <c r="BC201" s="504"/>
      <c r="BD201" s="504"/>
      <c r="BE201" s="701"/>
      <c r="BF201" s="701"/>
      <c r="BG201" s="568"/>
    </row>
    <row r="202" spans="1:59" s="523" customFormat="1" ht="16.350000000000001" customHeight="1">
      <c r="A202" s="504"/>
      <c r="B202" s="504" t="str">
        <f>FOOT3</f>
        <v>PSEGenergysaver@TRCcompanies.com</v>
      </c>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702" t="str">
        <f>VERSION</f>
        <v>V1.0          Effective Date 1/1/25</v>
      </c>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701"/>
      <c r="BF202" s="701" t="str">
        <f>FOOT6</f>
        <v>This is a TRC tool</v>
      </c>
      <c r="BG202" s="568"/>
    </row>
    <row r="203" spans="1:59" ht="16.350000000000001" hidden="1" customHeight="1"/>
    <row r="204" spans="1:59" ht="16.350000000000001" hidden="1" customHeight="1"/>
    <row r="205" spans="1:59" ht="16.350000000000001" hidden="1" customHeight="1"/>
    <row r="206" spans="1:59" ht="16.350000000000001" hidden="1" customHeight="1"/>
    <row r="207" spans="1:59" ht="16.350000000000001" hidden="1" customHeight="1"/>
    <row r="208" spans="1:59" ht="16.350000000000001" hidden="1" customHeight="1"/>
    <row r="209" spans="1:58" ht="16.350000000000001" hidden="1" customHeight="1"/>
    <row r="210" spans="1:58" ht="16.350000000000001" hidden="1" customHeight="1"/>
    <row r="211" spans="1:58" s="177" customFormat="1" ht="16.350000000000001" hidden="1" customHeight="1">
      <c r="A211" s="183"/>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c r="AK211" s="183"/>
      <c r="AL211" s="183"/>
      <c r="AM211" s="183"/>
      <c r="AN211" s="183"/>
      <c r="AO211" s="183"/>
      <c r="AP211" s="183"/>
      <c r="AQ211" s="183"/>
      <c r="AR211" s="183"/>
      <c r="AS211" s="183"/>
      <c r="AT211" s="183"/>
      <c r="AU211" s="183"/>
      <c r="AV211" s="183"/>
      <c r="AW211" s="183"/>
      <c r="AX211" s="183"/>
      <c r="AY211" s="183"/>
      <c r="AZ211" s="183"/>
      <c r="BA211" s="183"/>
      <c r="BB211" s="183"/>
      <c r="BC211" s="183"/>
      <c r="BD211" s="183"/>
      <c r="BE211" s="183"/>
      <c r="BF211" s="183"/>
    </row>
    <row r="212" spans="1:58" s="177" customFormat="1" ht="16.350000000000001" hidden="1" customHeight="1">
      <c r="A212" s="183"/>
      <c r="B212" s="183"/>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c r="AC212" s="183"/>
      <c r="AD212" s="183"/>
      <c r="AE212" s="183"/>
      <c r="AF212" s="183"/>
      <c r="AG212" s="183"/>
      <c r="AH212" s="183"/>
      <c r="AI212" s="183"/>
      <c r="AJ212" s="183"/>
      <c r="AK212" s="183"/>
      <c r="AL212" s="183"/>
      <c r="AM212" s="183"/>
      <c r="AN212" s="183"/>
      <c r="AO212" s="183"/>
      <c r="AP212" s="183"/>
      <c r="AQ212" s="183"/>
      <c r="AR212" s="183"/>
      <c r="AS212" s="183"/>
      <c r="AT212" s="183"/>
      <c r="AU212" s="183"/>
      <c r="AV212" s="183"/>
      <c r="AW212" s="183"/>
      <c r="AX212" s="183"/>
      <c r="AY212" s="183"/>
      <c r="AZ212" s="183"/>
      <c r="BA212" s="183"/>
      <c r="BB212" s="183"/>
      <c r="BC212" s="183"/>
      <c r="BD212" s="183"/>
      <c r="BE212" s="183"/>
      <c r="BF212" s="183"/>
    </row>
    <row r="213" spans="1:58" s="177" customFormat="1" ht="16.350000000000001" hidden="1" customHeight="1">
      <c r="A213" s="183"/>
      <c r="B213" s="183"/>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3"/>
      <c r="AK213" s="183"/>
      <c r="AL213" s="183"/>
      <c r="AM213" s="183"/>
      <c r="AN213" s="183"/>
      <c r="AO213" s="183"/>
      <c r="AP213" s="183"/>
      <c r="AQ213" s="183"/>
      <c r="AR213" s="183"/>
      <c r="AS213" s="183"/>
      <c r="AT213" s="183"/>
      <c r="AU213" s="183"/>
      <c r="AV213" s="183"/>
      <c r="AW213" s="183"/>
      <c r="AX213" s="183"/>
      <c r="AY213" s="183"/>
      <c r="AZ213" s="183"/>
      <c r="BA213" s="183"/>
      <c r="BB213" s="183"/>
      <c r="BC213" s="183"/>
      <c r="BD213" s="183"/>
      <c r="BE213" s="183"/>
      <c r="BF213" s="183"/>
    </row>
    <row r="214" spans="1:58" ht="16.350000000000001" hidden="1" customHeight="1"/>
    <row r="215" spans="1:58" ht="16.350000000000001" hidden="1" customHeight="1"/>
    <row r="216" spans="1:58" ht="16.350000000000001" hidden="1" customHeight="1"/>
    <row r="217" spans="1:58" ht="16.350000000000001" hidden="1" customHeight="1"/>
    <row r="218" spans="1:58" ht="16.350000000000001" hidden="1" customHeight="1"/>
    <row r="219" spans="1:58" ht="16.350000000000001" hidden="1" customHeight="1"/>
    <row r="220" spans="1:58" ht="16.350000000000001" hidden="1" customHeight="1"/>
    <row r="221" spans="1:58" ht="16.350000000000001" hidden="1" customHeight="1"/>
    <row r="222" spans="1:58" ht="16.350000000000001" hidden="1" customHeight="1"/>
    <row r="223" spans="1:58" ht="16.350000000000001" hidden="1" customHeight="1"/>
    <row r="224" spans="1:58" ht="16.350000000000001" hidden="1" customHeight="1"/>
    <row r="225" ht="16.350000000000001" hidden="1" customHeight="1"/>
    <row r="226" ht="16.350000000000001" hidden="1" customHeight="1"/>
    <row r="227" ht="16.350000000000001" hidden="1" customHeight="1"/>
    <row r="228" ht="16.350000000000001" hidden="1" customHeight="1"/>
    <row r="229" ht="16.350000000000001" hidden="1" customHeight="1"/>
    <row r="230" ht="16.350000000000001" hidden="1" customHeight="1"/>
    <row r="231" ht="16.350000000000001" hidden="1" customHeight="1"/>
    <row r="232" ht="16.350000000000001" hidden="1" customHeight="1"/>
    <row r="233" ht="16.350000000000001" hidden="1" customHeight="1"/>
  </sheetData>
  <sheetProtection algorithmName="SHA-512" hashValue="bq0OneYMrnKpFs/bURtsOF/cnRM9rNN1aIPu++0VaE10AUdJAkkh2aMDmzXanfDLBQV0GEwfkR625vR7bfRjPA==" saltValue="lIKmddmhv7P1/XMSivkMtA==" spinCount="100000" sheet="1" objects="1" scenarios="1" selectLockedCells="1"/>
  <mergeCells count="48">
    <mergeCell ref="BG5:BI7"/>
    <mergeCell ref="BG8:BI8"/>
    <mergeCell ref="AN1:AQ3"/>
    <mergeCell ref="AR1:AU3"/>
    <mergeCell ref="AV1:AY3"/>
    <mergeCell ref="AZ1:BE3"/>
    <mergeCell ref="BF1:BI3"/>
    <mergeCell ref="AB4:AG4"/>
    <mergeCell ref="AT4:AW4"/>
    <mergeCell ref="AX4:BB4"/>
    <mergeCell ref="BC4:BF4"/>
    <mergeCell ref="F1:I3"/>
    <mergeCell ref="J1:M3"/>
    <mergeCell ref="A9:BF10"/>
    <mergeCell ref="AR27:AW27"/>
    <mergeCell ref="AR28:AW28"/>
    <mergeCell ref="V14:AA14"/>
    <mergeCell ref="AD24:AI24"/>
    <mergeCell ref="AR18:AS18"/>
    <mergeCell ref="AU18:AV18"/>
    <mergeCell ref="AK23:AP23"/>
    <mergeCell ref="AK13:AP13"/>
    <mergeCell ref="AK17:AP17"/>
    <mergeCell ref="AK24:AP24"/>
    <mergeCell ref="AD28:AI28"/>
    <mergeCell ref="AK28:AP28"/>
    <mergeCell ref="AK14:AV14"/>
    <mergeCell ref="H11:AY11"/>
    <mergeCell ref="V18:AA18"/>
    <mergeCell ref="AD23:AI23"/>
    <mergeCell ref="AK18:AP18"/>
    <mergeCell ref="AD27:AI27"/>
    <mergeCell ref="AK27:AP27"/>
    <mergeCell ref="AD13:AI13"/>
    <mergeCell ref="AD14:AI14"/>
    <mergeCell ref="R200:AR201"/>
    <mergeCell ref="AD37:AI37"/>
    <mergeCell ref="AK37:AP37"/>
    <mergeCell ref="AR37:AW37"/>
    <mergeCell ref="AK33:AP33"/>
    <mergeCell ref="AD36:AI36"/>
    <mergeCell ref="AK36:AP36"/>
    <mergeCell ref="AD34:AI34"/>
    <mergeCell ref="AD33:AI33"/>
    <mergeCell ref="M196:AU197"/>
    <mergeCell ref="M198:AV198"/>
    <mergeCell ref="AR36:AW36"/>
    <mergeCell ref="AK34:AP34"/>
  </mergeCells>
  <conditionalFormatting sqref="V15:AA15">
    <cfRule type="expression" dxfId="379" priority="15">
      <formula>$AA$15&lt;&gt;Txt_Rqd</formula>
    </cfRule>
  </conditionalFormatting>
  <conditionalFormatting sqref="V19:AA19">
    <cfRule type="expression" dxfId="378" priority="13">
      <formula>$AA$19&lt;&gt;Txt_Rqd</formula>
    </cfRule>
  </conditionalFormatting>
  <conditionalFormatting sqref="AD15:AI15">
    <cfRule type="expression" dxfId="377" priority="12">
      <formula>$AI$15&lt;&gt;Txt_Rqd</formula>
    </cfRule>
  </conditionalFormatting>
  <conditionalFormatting sqref="AD25:AI25">
    <cfRule type="expression" dxfId="376" priority="7">
      <formula>$AI$25&lt;&gt;Txt_Rqd</formula>
    </cfRule>
  </conditionalFormatting>
  <conditionalFormatting sqref="AD29:AI29">
    <cfRule type="expression" dxfId="375" priority="5">
      <formula>$AI$29&lt;&gt;Txt_Rqd</formula>
    </cfRule>
  </conditionalFormatting>
  <conditionalFormatting sqref="AD13:AW37">
    <cfRule type="expression" dxfId="374" priority="2" stopIfTrue="1">
      <formula>OR($V$14="Trade Ally",$V$14="Contractor")=FALSE</formula>
    </cfRule>
  </conditionalFormatting>
  <conditionalFormatting sqref="AK19:AP19">
    <cfRule type="expression" dxfId="373" priority="8">
      <formula>$AP$19&lt;&gt;Txt_Rqd</formula>
    </cfRule>
  </conditionalFormatting>
  <conditionalFormatting sqref="AK25:AP25">
    <cfRule type="expression" dxfId="372" priority="6">
      <formula>$AP$25&lt;&gt;Txt_Rqd</formula>
    </cfRule>
  </conditionalFormatting>
  <conditionalFormatting sqref="AK29:AP29">
    <cfRule type="expression" dxfId="371" priority="4">
      <formula>$AP$29&lt;&gt;Txt_Rqd</formula>
    </cfRule>
  </conditionalFormatting>
  <conditionalFormatting sqref="AK15:AV15">
    <cfRule type="expression" dxfId="370" priority="11">
      <formula>$AV$15&lt;&gt;Txt_Rqd</formula>
    </cfRule>
  </conditionalFormatting>
  <conditionalFormatting sqref="AR19:AS19">
    <cfRule type="expression" dxfId="369" priority="9">
      <formula>$AS$19&lt;&gt;Txt_Rqd</formula>
    </cfRule>
  </conditionalFormatting>
  <conditionalFormatting sqref="AR29:AW29">
    <cfRule type="expression" dxfId="368" priority="3">
      <formula>$AW$29&lt;&gt;Txt_Rqd</formula>
    </cfRule>
  </conditionalFormatting>
  <conditionalFormatting sqref="AU19:AV19">
    <cfRule type="expression" dxfId="367" priority="10">
      <formula>$AV$19&lt;&gt;Txt_Rqd</formula>
    </cfRule>
  </conditionalFormatting>
  <conditionalFormatting sqref="BA8:BF8">
    <cfRule type="expression" dxfId="366" priority="1">
      <formula>IF($AO$8=PROJSTATMEASURE,FALSE,TRUE)</formula>
    </cfRule>
  </conditionalFormatting>
  <dataValidations xWindow="281" yWindow="844" count="6">
    <dataValidation type="list" allowBlank="1" showInputMessage="1" showErrorMessage="1" sqref="V14:AA14" xr:uid="{DED0BB61-2EE9-4D92-94D5-80D860F1E31E}">
      <formula1>List_ContractorType</formula1>
    </dataValidation>
    <dataValidation type="custom" allowBlank="1" showInputMessage="1" showErrorMessage="1" error="Please enter a valid email address." sqref="AR37:AW37 AR28:AV29 AW28" xr:uid="{ED75450D-CF55-49FF-9B72-ADA50A9F6B1C}">
      <formula1>AND(FIND(".",AR28),FIND("@",AR28))</formula1>
    </dataValidation>
    <dataValidation type="textLength" allowBlank="1" showInputMessage="1" showErrorMessage="1" error="Please enter a valid phone number. Example: (111) 111-1111" sqref="AK37:AP37 AK28:AO29 AP28" xr:uid="{93C54879-A161-4708-BF99-35A7C0781CB9}">
      <formula1>7</formula1>
      <formula2>15</formula2>
    </dataValidation>
    <dataValidation type="whole" allowBlank="1" showInputMessage="1" showErrorMessage="1" sqref="AU18" xr:uid="{273F1E96-C980-4F85-B3A3-E41B47F4C222}">
      <formula1>0</formula1>
      <formula2>99999</formula2>
    </dataValidation>
    <dataValidation type="list" allowBlank="1" showInputMessage="1" showErrorMessage="1" sqref="AR18" xr:uid="{276C931B-24B4-44A9-BC74-8022F39C2DB1}">
      <formula1>STATESABBREV</formula1>
    </dataValidation>
    <dataValidation type="list" allowBlank="1" showInputMessage="1" showErrorMessage="1" sqref="V18:AA18" xr:uid="{0AA05449-3B89-470E-B016-97D10FC1FA91}">
      <formula1>INSTALLERLIST</formula1>
    </dataValidation>
  </dataValidations>
  <hyperlinks>
    <hyperlink ref="J1:M3" location="'M01-S02'!J1" tooltip="Instructions" display="'M01-S02'!J1" xr:uid="{C5D62D23-43C2-44AA-A891-FAE3EDB530D9}"/>
    <hyperlink ref="AV1:AY3" location="'M05-S05'!AL1" tooltip=" " display="'M05-S05'!AL1" xr:uid="{ECDCDD24-D940-429F-A9EE-4A946E6777EA}"/>
    <hyperlink ref="BF1:BI3" location="'M01-S03'!AP1" tooltip="Contact" display="'M01-S03'!AP1" xr:uid="{F738D3BB-FF83-4985-99BF-2FED91CEDFD6}"/>
    <hyperlink ref="AR1:AU3" location="'M05-S04'!AH1" tooltip=" " display="'M05-S04'!AH1" xr:uid="{E89EBFBE-5571-44F6-8731-28528612FCE8}"/>
    <hyperlink ref="AN1:AQ3" location="'M05-S05'!AL1" tooltip=" " display="'M05-S05'!AL1" xr:uid="{5B159391-B7F7-416B-BD45-CD3757BD00BB}"/>
  </hyperlinks>
  <printOptions horizontalCentered="1"/>
  <pageMargins left="0.25" right="0.25" top="0.25" bottom="0.25" header="0.25" footer="0.25"/>
  <pageSetup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O 4 F A A B Q S w M E F A A C A A g A J V / d V B + j v I W j A A A A 9 Q A A A B I A H A B D b 2 5 m a W c v U G F j a 2 F n Z S 5 4 b W w g o h g A K K A U A A A A A A A A A A A A A A A A A A A A A A A A A A A A h Y 9 B D o I w F E S v Q r q n R Y w G y a c s 3 E p i Q j R u m 1 K h E T 6 G F s v d X H g k r y B G U X c u Z 9 5 b z N y v N 0 i H p v Y u q j O 6 x Y T M a E A 8 h b I t N J Y J 6 e 3 R j 0 j K Y S v k S Z T K G 2 U 0 8 W C K h F T W n m P G n H P U z W n b l S w M g h k 7 Z J t c V q o R 5 C P r / 7 K v 0 V i B U h E O + 9 c Y H t J V R B f L c R K w q Y N M 4 5 e H I 3 v S n x L W f W 3 7 T n G F / i 4 H N k V g 7 w v 8 A V B L A w Q U A A I A C A A l X 9 1 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V / d V C I D P F z p A g A A k w o A A B M A H A B G b 3 J t d W x h c y 9 T Z W N 0 a W 9 u M S 5 t I K I Y A C i g F A A A A A A A A A A A A A A A A A A A A A A A A A A A A K 1 V W 0 / i Q B R + J + E / T N h 9 w I S V 1 V U T s v F B C w Q T U N e i Z G M M G d p T m G U 6 w 0 6 n x I b 4 3 / c M D Q W Z Q Q 1 r X 5 q c 8 5 3 b d y 6 T Q K C Z F M T P / 0 c / y 6 V y K Z l Q B S H p X 3 a H f r 8 5 7 D x c e O S c c N D l E s H P l 6 k K A C W t 5 w D 4 o Z c q B U I P p J q O p J x W D x a P 1 z S G 8 8 q m f e N 7 4 7 j y 9 P L o S a E R / F T L X X 2 p e B M q x i Z Y N o M K + u z T E Y f D v q I i i a S K P c n T W B h l U s 3 j 1 h a L S g 9 o k i o g 1 2 k 8 A l W p E Y 0 A o u F Z v 9 T I o u J R D W O p M k v h p 6 N v O 5 U r p 1 0 s I p 1 Z 6 r b C 1 E l L h K S I j l W u Y F R k S 1 T z + o H c Q Y S F b d s b j c u y A N w q O V Y 0 3 v Z o I t 4 n N v x K B E g k m w O 5 F 0 z b H O R d I Q U M E V d C n 5 0 c G j K X k F 8 p R Y 3 O 3 A 5 w I q Q I q d q h R r 8 K Y n R N e V G W J x N N q l / r x u D A q o P j i C k W I I W g x h n x 6 Z y J c U K q F 0 K k 6 G Q 6 m N R T l 6 E n m Q h Y a I q 5 B T o l T Y g p c l L Y T w d u u 6 K f L A J S / Q 1 U J X Z S U c Q C Z l w 3 I W L o B X d g l 5 8 V N s j I A + W p 1 f p L m g B n A h y u C t Y K z H v O U G 8 2 E r v r a 6 o w P Z z a b c y N C t f D v x L e w U w q j c x g V / R E h p L L c b Y z 1 R 4 T G 6 l 8 E E a O V 0 C x 3 L + c J Y T 0 p U g s 9 u i z U 9 5 q d z u B l N w l n w D V H 2 B 3 n c f 7 / D p z v t E T U A b q H n H j z N 0 d j / I g v 1 j W 2 r X t / X 0 1 7 m 0 a a G l 1 b W u m 3 a A O 3 j + b R 7 8 9 N H y h n U t l K H a o u l a a 5 k g P A 6 u e p T h 0 i 6 P o l f z l o F x i w n n X N 1 8 V v I 6 K j U F R 0 8 L h Z c p 4 i A k a 2 H B Z 4 F 4 v j X k 0 G j 8 + 7 4 H B W / w H 9 4 9 0 Y Q 6 c r J J 0 t 7 w t Z Z i A m j P M t H / X W 6 N b f 1 M 2 p x y z s R 8 D m i V 1 c 5 L s q 7 w k o Y 6 A X S r b 7 I P M L y s f t r x e J w u V / F + 2 T z 6 P b R x 3 x v E h s s e s G O w t J r x i r P e k o X G 2 f + V n m 5 W v Q + Z O 7 E i n + 0 c 6 / T y O c + n R 7 o v Z a 7 U d J x I X Y S Y T D O Z W F 9 a D N 4 0 t 7 V u t + g d Q S w E C L Q A U A A I A C A A l X 9 1 U H 6 O 8 h a M A A A D 1 A A A A E g A A A A A A A A A A A A A A A A A A A A A A Q 2 9 u Z m l n L 1 B h Y 2 t h Z 2 U u e G 1 s U E s B A i 0 A F A A C A A g A J V / d V A / K 6 a u k A A A A 6 Q A A A B M A A A A A A A A A A A A A A A A A 7 w A A A F t D b 2 5 0 Z W 5 0 X 1 R 5 c G V z X S 5 4 b W x Q S w E C L Q A U A A I A C A A l X 9 1 U I g M 8 X O k C A A C T C g A A E w A A A A A A A A A A A A A A A A D g A Q A A R m 9 y b X V s Y X M v U 2 V j d G l v b j E u b V B L B Q Y A A A A A A w A D A M I A A A A W 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V S Q A A A A A A A H N J 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Q k x f U 1 R E X 0 h W Q U 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x N i I g L z 4 8 R W 5 0 c n k g V H l w Z T 0 i R m l s b E V y c m 9 y Q 2 9 k Z S I g V m F s d W U 9 I n N V b m t u b 3 d u I i A v P j x F b n R y e S B U e X B l P S J G a W x s R X J y b 3 J D b 3 V u d C I g V m F s d W U 9 I m w w I i A v P j x F b n R y e S B U e X B l P S J G a W x s T G F z d F V w Z G F 0 Z W Q i I F Z h b H V l P S J k M j A y M i 0 w N i 0 x M F Q x N z o w O T o y O S 4 z N z E 4 N T M 3 W i I g L z 4 8 R W 5 0 c n k g V H l w Z T 0 i R m l s b E N v b H V t b l R 5 c G V z I i B W Y W x 1 Z T 0 i c 0 J n W U d C Z 0 F H Q m d B R 0 J n T U d C Z 0 F B Q U F B Q U F B W U F B Q U F B Q U F V Q U F B Q U F C Z 1 V H Q U F Z Q U F B Q U F B Q U F B Q m d Z R y I g L z 4 8 R W 5 0 c n k g V H l w Z T 0 i R m l s b E N v b H V t b k 5 h b W V z I i B W Y W x 1 Z T 0 i c 1 s m c X V v d D t N Z W F z d X J l I E 5 1 b W J l c i Z x d W 9 0 O y w m c X V v d D t D Y X R l Z 2 9 y e S Z x d W 9 0 O y w m c X V v d D t T d W I t Q 2 F 0 Z W d v c n k m c X V v d D s s J n F 1 b 3 Q 7 T W V h c 3 V y Z S B M b 2 9 r d X A m c X V v d D s s J n F 1 b 3 Q 7 R n J v b n Q g R W 5 k I E 1 l Y X N 1 c m U g T m F t Z S Z x d W 9 0 O y w m c X V v d D t E T l Y g U m V m I C M m c X V v d D s s J n F 1 b 3 Q 7 R E 5 W I E 1 l Y X N 1 c m U g T m F t Z S Z x d W 9 0 O y w m c X V v d D t Q c m 9 n c m F t J n F 1 b 3 Q 7 L C Z x d W 9 0 O 0 V u Z C B V c 2 U m c X V v d D s s J n F 1 b 3 Q 7 S W 5 j Z W 5 0 a X Z l I F V u a X Q m c X V v d D s s J n F 1 b 3 Q 7 Q 3 V y c m V u d C B J b m N l b n R p d m U m c X V v d D s s J n F 1 b 3 Q 7 U X V h b n R p d H k g V W 5 p d C Z x d W 9 0 O y w m c X V v d D t T Z W N v b m R h c n k g V W 5 p d C Z x d W 9 0 O y w m c X V v d D t J b m N y Z W 1 l b n R h b C B N Z W F z d X J l I E N v c 3 Q g K C Q v V W 5 p d C k m c X V v d D s s J n F 1 b 3 Q 7 R W x l Y 3 R y a W M g R W 5 l c m d 5 I F N h d m l u Z 3 M g K E F u b n V h b C B r V 2 g v d W 5 p d C k m c X V v d D s s J n F 1 b 3 Q 7 Q 2 9 p b m N p Z G V u d C B Q Z W F r I E R l b W F u Z C B T Y X Z p b m d z I C h r V y 9 1 b m l 0 K S Z x d W 9 0 O y w m c X V v d D t N Z W F z d X J l I E x p Z m U g K F l l Y X J z K S Z x d W 9 0 O y w m c X V v d D t F Z m Z p Y 2 l l b n Q g R G V m a W 5 p d G l v b i Z x d W 9 0 O y w m c X V v d D t N Z W F z d X J l I E V m Z m l j a W V u Y 3 k g V m F s d W U m c X V v d D s s J n F 1 b 3 Q 7 Q m F z Z W x p b m U g R G V m a W 5 p d G l v b i Z x d W 9 0 O y w m c X V v d D t C Y X N l b G l u Z S B F Z m Z p Y 2 l l b m N 5 I F Z h b H V l J n F 1 b 3 Q 7 L C Z x d W 9 0 O 0 V m Z m V j d G l 2 Z S B T d G F y d C B E Y X R l J n F 1 b 3 Q 7 L C Z x d W 9 0 O 0 9 y Z G V y J n F 1 b 3 Q 7 L C Z x d W 9 0 O 1 J l c G 9 y d G l u Z y B N Z X R o b 2 R v b G 9 n e S Z x d W 9 0 O y w m c X V v d D t C Y X N l b G l u Z S B N a W 4 g R W Z m a W N p Z W 5 j e S Z x d W 9 0 O y w m c X V v d D t C Y X N l b G l u Z S B N a W 4 g R W Z m a W N p Z W 5 j e S A y J n F 1 b 3 Q 7 L C Z x d W 9 0 O 0 1 p b i B U b 2 5 z J n F 1 b 3 Q 7 L C Z x d W 9 0 O 0 1 h e C B U b 2 5 z J n F 1 b 3 Q 7 L C Z x d W 9 0 O 0 V G T E h j b 2 9 s J n F 1 b 3 Q 7 L C Z x d W 9 0 O 0 V G T E h o Z W F 0 J n F 1 b 3 Q 7 L C Z x d W 9 0 O 0 J h c 2 V s a W 5 l I E R l Z m l u a X R p b 2 4 g M i Z x d W 9 0 O y w m c X V v d D t C Y X N l b G l u Z S B F Z m Z p Y 2 l l b m N 5 I F Z h b H V l I D I m c X V v d D s s J n F 1 b 3 Q 7 T 3 R o Z X I g R W Z m I F V u a X Q m c X V v d D s s J n F 1 b 3 Q 7 Q m F z Z S B W Y W x 1 Z S Z x d W 9 0 O y w m c X V v d D t D Y W x j I F R 5 c G U m c X V v d D s s J n F 1 b 3 Q 7 Q 0 Y m c X V v d D s s J n F 1 b 3 Q 7 R W 5 l c m d 5 I F N h d m l u Z 3 M g R m F j d G 9 y J n F 1 b 3 Q 7 L C Z x d W 9 0 O 0 R l b W F u Z C B T Y X Z p b m d z I E Z h Y 3 R v c i Z x d W 9 0 O y w m c X V v d D t I b 3 V y c y Z x d W 9 0 O y w m c X V v d D t F U 0 Z f a G V h d G l u Z y Z x d W 9 0 O y w m c X V v d D t F U 0 Z f Y 2 9 v b G l u Z y Z x d W 9 0 O y w m c X V v d D t M R i Z x d W 9 0 O y w m c X V v d D t I V k F D X 2 M m c X V v d D s s J n F 1 b 3 Q 7 S F Z B Q 1 9 k J n F 1 b 3 Q 7 L C Z x d W 9 0 O 0 h W Q U N f Z m Y m c X V v d D t d I i A v P j x F b n R y e S B U e X B l P S J G a W x s U 3 R h d H V z I i B W Y W x 1 Z T 0 i c 0 N v b X B s Z X R l I i A v P j x F b n R y e S B U e X B l P S J S Z W x h d G l v b n N o a X B J b m Z v Q 2 9 u d G F p b m V y I i B W Y W x 1 Z T 0 i c 3 s m c X V v d D t j b 2 x 1 b W 5 D b 3 V u d C Z x d W 9 0 O z o 0 N S w m c X V v d D t r Z X l D b 2 x 1 b W 5 O Y W 1 l c y Z x d W 9 0 O z p b X S w m c X V v d D t x d W V y e V J l b G F 0 a W 9 u c 2 h p c H M m c X V v d D s 6 W 1 0 s J n F 1 b 3 Q 7 Y 2 9 s d W 1 u S W R l b n R p d G l l c y Z x d W 9 0 O z p b J n F 1 b 3 Q 7 U 2 V j d G l v b j E v V E J M X 1 N U R F 9 I V k F D L 0 F 1 d G 9 S Z W 1 v d m V k Q 2 9 s d W 1 u c z E u e 0 1 l Y X N 1 c m U g T n V t Y m V y L D B 9 J n F 1 b 3 Q 7 L C Z x d W 9 0 O 1 N l Y 3 R p b 2 4 x L 1 R C T F 9 T V E R f S F Z B Q y 9 B d X R v U m V t b 3 Z l Z E N v b H V t b n M x L n t D Y X R l Z 2 9 y e S w x f S Z x d W 9 0 O y w m c X V v d D t T Z W N 0 a W 9 u M S 9 U Q k x f U 1 R E X 0 h W Q U M v Q X V 0 b 1 J l b W 9 2 Z W R D b 2 x 1 b W 5 z M S 5 7 U 3 V i L U N h d G V n b 3 J 5 L D J 9 J n F 1 b 3 Q 7 L C Z x d W 9 0 O 1 N l Y 3 R p b 2 4 x L 1 R C T F 9 T V E R f S F Z B Q y 9 B d X R v U m V t b 3 Z l Z E N v b H V t b n M x L n t N Z W F z d X J l I E x v b 2 t 1 c C w z f S Z x d W 9 0 O y w m c X V v d D t T Z W N 0 a W 9 u M S 9 U Q k x f U 1 R E X 0 h W Q U M v Q X V 0 b 1 J l b W 9 2 Z W R D b 2 x 1 b W 5 z M S 5 7 R n J v b n Q g R W 5 k I E 1 l Y X N 1 c m U g T m F t Z S w 0 f S Z x d W 9 0 O y w m c X V v d D t T Z W N 0 a W 9 u M S 9 U Q k x f U 1 R E X 0 h W Q U M v Q X V 0 b 1 J l b W 9 2 Z W R D b 2 x 1 b W 5 z M S 5 7 R E 5 W I F J l Z i A j L D V 9 J n F 1 b 3 Q 7 L C Z x d W 9 0 O 1 N l Y 3 R p b 2 4 x L 1 R C T F 9 T V E R f S F Z B Q y 9 B d X R v U m V t b 3 Z l Z E N v b H V t b n M x L n t E T l Y g T W V h c 3 V y Z S B O Y W 1 l L D Z 9 J n F 1 b 3 Q 7 L C Z x d W 9 0 O 1 N l Y 3 R p b 2 4 x L 1 R C T F 9 T V E R f S F Z B Q y 9 B d X R v U m V t b 3 Z l Z E N v b H V t b n M x L n t Q c m 9 n c m F t L D d 9 J n F 1 b 3 Q 7 L C Z x d W 9 0 O 1 N l Y 3 R p b 2 4 x L 1 R C T F 9 T V E R f S F Z B Q y 9 B d X R v U m V t b 3 Z l Z E N v b H V t b n M x L n t F b m Q g V X N l L D h 9 J n F 1 b 3 Q 7 L C Z x d W 9 0 O 1 N l Y 3 R p b 2 4 x L 1 R C T F 9 T V E R f S F Z B Q y 9 B d X R v U m V t b 3 Z l Z E N v b H V t b n M x L n t J b m N l b n R p d m U g V W 5 p d C w 5 f S Z x d W 9 0 O y w m c X V v d D t T Z W N 0 a W 9 u M S 9 U Q k x f U 1 R E X 0 h W Q U M v Q X V 0 b 1 J l b W 9 2 Z W R D b 2 x 1 b W 5 z M S 5 7 Q 3 V y c m V u d C B J b m N l b n R p d m U s M T B 9 J n F 1 b 3 Q 7 L C Z x d W 9 0 O 1 N l Y 3 R p b 2 4 x L 1 R C T F 9 T V E R f S F Z B Q y 9 B d X R v U m V t b 3 Z l Z E N v b H V t b n M x L n t R d W F u d G l 0 e S B V b m l 0 L D E x f S Z x d W 9 0 O y w m c X V v d D t T Z W N 0 a W 9 u M S 9 U Q k x f U 1 R E X 0 h W Q U M v Q X V 0 b 1 J l b W 9 2 Z W R D b 2 x 1 b W 5 z M S 5 7 U 2 V j b 2 5 k Y X J 5 I F V u a X Q s M T J 9 J n F 1 b 3 Q 7 L C Z x d W 9 0 O 1 N l Y 3 R p b 2 4 x L 1 R C T F 9 T V E R f S F Z B Q y 9 B d X R v U m V t b 3 Z l Z E N v b H V t b n M x L n t J b m N y Z W 1 l b n R h b C B N Z W F z d X J l I E N v c 3 Q g K C Q v V W 5 p d C k s M T N 9 J n F 1 b 3 Q 7 L C Z x d W 9 0 O 1 N l Y 3 R p b 2 4 x L 1 R C T F 9 T V E R f S F Z B Q y 9 B d X R v U m V t b 3 Z l Z E N v b H V t b n M x L n t F b G V j d H J p Y y B F b m V y Z 3 k g U 2 F 2 a W 5 n c y A o Q W 5 u d W F s I G t X a C 9 1 b m l 0 K S w x N H 0 m c X V v d D s s J n F 1 b 3 Q 7 U 2 V j d G l v b j E v V E J M X 1 N U R F 9 I V k F D L 0 F 1 d G 9 S Z W 1 v d m V k Q 2 9 s d W 1 u c z E u e 0 N v a W 5 j a W R l b n Q g U G V h a y B E Z W 1 h b m Q g U 2 F 2 a W 5 n c y A o a 1 c v d W 5 p d C k s M T V 9 J n F 1 b 3 Q 7 L C Z x d W 9 0 O 1 N l Y 3 R p b 2 4 x L 1 R C T F 9 T V E R f S F Z B Q y 9 B d X R v U m V t b 3 Z l Z E N v b H V t b n M x L n t N Z W F z d X J l I E x p Z m U g K F l l Y X J z K S w x N n 0 m c X V v d D s s J n F 1 b 3 Q 7 U 2 V j d G l v b j E v V E J M X 1 N U R F 9 I V k F D L 0 F 1 d G 9 S Z W 1 v d m V k Q 2 9 s d W 1 u c z E u e 0 V m Z m l j a W V u d C B E Z W Z p b m l 0 a W 9 u L D E 3 f S Z x d W 9 0 O y w m c X V v d D t T Z W N 0 a W 9 u M S 9 U Q k x f U 1 R E X 0 h W Q U M v Q X V 0 b 1 J l b W 9 2 Z W R D b 2 x 1 b W 5 z M S 5 7 T W V h c 3 V y Z S B F Z m Z p Y 2 l l b m N 5 I F Z h b H V l L D E 4 f S Z x d W 9 0 O y w m c X V v d D t T Z W N 0 a W 9 u M S 9 U Q k x f U 1 R E X 0 h W Q U M v Q X V 0 b 1 J l b W 9 2 Z W R D b 2 x 1 b W 5 z M S 5 7 Q m F z Z W x p b m U g R G V m a W 5 p d G l v b i w x O X 0 m c X V v d D s s J n F 1 b 3 Q 7 U 2 V j d G l v b j E v V E J M X 1 N U R F 9 I V k F D L 0 F 1 d G 9 S Z W 1 v d m V k Q 2 9 s d W 1 u c z E u e 0 J h c 2 V s a W 5 l I E V m Z m l j a W V u Y 3 k g V m F s d W U s M j B 9 J n F 1 b 3 Q 7 L C Z x d W 9 0 O 1 N l Y 3 R p b 2 4 x L 1 R C T F 9 T V E R f S F Z B Q y 9 B d X R v U m V t b 3 Z l Z E N v b H V t b n M x L n t F Z m Z l Y 3 R p d m U g U 3 R h c n Q g R G F 0 Z S w y M X 0 m c X V v d D s s J n F 1 b 3 Q 7 U 2 V j d G l v b j E v V E J M X 1 N U R F 9 I V k F D L 0 F 1 d G 9 S Z W 1 v d m V k Q 2 9 s d W 1 u c z E u e 0 9 y Z G V y L D I y f S Z x d W 9 0 O y w m c X V v d D t T Z W N 0 a W 9 u M S 9 U Q k x f U 1 R E X 0 h W Q U M v Q X V 0 b 1 J l b W 9 2 Z W R D b 2 x 1 b W 5 z M S 5 7 U m V w b 3 J 0 a W 5 n I E 1 l d G h v Z G 9 s b 2 d 5 L D I z f S Z x d W 9 0 O y w m c X V v d D t T Z W N 0 a W 9 u M S 9 U Q k x f U 1 R E X 0 h W Q U M v Q X V 0 b 1 J l b W 9 2 Z W R D b 2 x 1 b W 5 z M S 5 7 Q m F z Z W x p b m U g T W l u I E V m Z m l j a W V u Y 3 k s M j R 9 J n F 1 b 3 Q 7 L C Z x d W 9 0 O 1 N l Y 3 R p b 2 4 x L 1 R C T F 9 T V E R f S F Z B Q y 9 B d X R v U m V t b 3 Z l Z E N v b H V t b n M x L n t C Y X N l b G l u Z S B N a W 4 g R W Z m a W N p Z W 5 j e S A y L D I 1 f S Z x d W 9 0 O y w m c X V v d D t T Z W N 0 a W 9 u M S 9 U Q k x f U 1 R E X 0 h W Q U M v Q X V 0 b 1 J l b W 9 2 Z W R D b 2 x 1 b W 5 z M S 5 7 T W l u I F R v b n M s M j Z 9 J n F 1 b 3 Q 7 L C Z x d W 9 0 O 1 N l Y 3 R p b 2 4 x L 1 R C T F 9 T V E R f S F Z B Q y 9 B d X R v U m V t b 3 Z l Z E N v b H V t b n M x L n t N Y X g g V G 9 u c y w y N 3 0 m c X V v d D s s J n F 1 b 3 Q 7 U 2 V j d G l v b j E v V E J M X 1 N U R F 9 I V k F D L 0 F 1 d G 9 S Z W 1 v d m V k Q 2 9 s d W 1 u c z E u e 0 V G T E h j b 2 9 s L D I 4 f S Z x d W 9 0 O y w m c X V v d D t T Z W N 0 a W 9 u M S 9 U Q k x f U 1 R E X 0 h W Q U M v Q X V 0 b 1 J l b W 9 2 Z W R D b 2 x 1 b W 5 z M S 5 7 R U Z M S G h l Y X Q s M j l 9 J n F 1 b 3 Q 7 L C Z x d W 9 0 O 1 N l Y 3 R p b 2 4 x L 1 R C T F 9 T V E R f S F Z B Q y 9 B d X R v U m V t b 3 Z l Z E N v b H V t b n M x L n t C Y X N l b G l u Z S B E Z W Z p b m l 0 a W 9 u I D I s M z B 9 J n F 1 b 3 Q 7 L C Z x d W 9 0 O 1 N l Y 3 R p b 2 4 x L 1 R C T F 9 T V E R f S F Z B Q y 9 B d X R v U m V t b 3 Z l Z E N v b H V t b n M x L n t C Y X N l b G l u Z S B F Z m Z p Y 2 l l b m N 5 I F Z h b H V l I D I s M z F 9 J n F 1 b 3 Q 7 L C Z x d W 9 0 O 1 N l Y 3 R p b 2 4 x L 1 R C T F 9 T V E R f S F Z B Q y 9 B d X R v U m V t b 3 Z l Z E N v b H V t b n M x L n t P d G h l c i B F Z m Y g V W 5 p d C w z M n 0 m c X V v d D s s J n F 1 b 3 Q 7 U 2 V j d G l v b j E v V E J M X 1 N U R F 9 I V k F D L 0 F 1 d G 9 S Z W 1 v d m V k Q 2 9 s d W 1 u c z E u e 0 J h c 2 U g V m F s d W U s M z N 9 J n F 1 b 3 Q 7 L C Z x d W 9 0 O 1 N l Y 3 R p b 2 4 x L 1 R C T F 9 T V E R f S F Z B Q y 9 B d X R v U m V t b 3 Z l Z E N v b H V t b n M x L n t D Y W x j I F R 5 c G U s M z R 9 J n F 1 b 3 Q 7 L C Z x d W 9 0 O 1 N l Y 3 R p b 2 4 x L 1 R C T F 9 T V E R f S F Z B Q y 9 B d X R v U m V t b 3 Z l Z E N v b H V t b n M x L n t D R i w z N X 0 m c X V v d D s s J n F 1 b 3 Q 7 U 2 V j d G l v b j E v V E J M X 1 N U R F 9 I V k F D L 0 F 1 d G 9 S Z W 1 v d m V k Q 2 9 s d W 1 u c z E u e 0 V u Z X J n e S B T Y X Z p b m d z I E Z h Y 3 R v c i w z N n 0 m c X V v d D s s J n F 1 b 3 Q 7 U 2 V j d G l v b j E v V E J M X 1 N U R F 9 I V k F D L 0 F 1 d G 9 S Z W 1 v d m V k Q 2 9 s d W 1 u c z E u e 0 R l b W F u Z C B T Y X Z p b m d z I E Z h Y 3 R v c i w z N 3 0 m c X V v d D s s J n F 1 b 3 Q 7 U 2 V j d G l v b j E v V E J M X 1 N U R F 9 I V k F D L 0 F 1 d G 9 S Z W 1 v d m V k Q 2 9 s d W 1 u c z E u e 0 h v d X J z L D M 4 f S Z x d W 9 0 O y w m c X V v d D t T Z W N 0 a W 9 u M S 9 U Q k x f U 1 R E X 0 h W Q U M v Q X V 0 b 1 J l b W 9 2 Z W R D b 2 x 1 b W 5 z M S 5 7 R V N G X 2 h l Y X R p b m c s M z l 9 J n F 1 b 3 Q 7 L C Z x d W 9 0 O 1 N l Y 3 R p b 2 4 x L 1 R C T F 9 T V E R f S F Z B Q y 9 B d X R v U m V t b 3 Z l Z E N v b H V t b n M x L n t F U 0 Z f Y 2 9 v b G l u Z y w 0 M H 0 m c X V v d D s s J n F 1 b 3 Q 7 U 2 V j d G l v b j E v V E J M X 1 N U R F 9 I V k F D L 0 F 1 d G 9 S Z W 1 v d m V k Q 2 9 s d W 1 u c z E u e 0 x G L D Q x f S Z x d W 9 0 O y w m c X V v d D t T Z W N 0 a W 9 u M S 9 U Q k x f U 1 R E X 0 h W Q U M v Q X V 0 b 1 J l b W 9 2 Z W R D b 2 x 1 b W 5 z M S 5 7 S F Z B Q 1 9 j L D Q y f S Z x d W 9 0 O y w m c X V v d D t T Z W N 0 a W 9 u M S 9 U Q k x f U 1 R E X 0 h W Q U M v Q X V 0 b 1 J l b W 9 2 Z W R D b 2 x 1 b W 5 z M S 5 7 S F Z B Q 1 9 k L D Q z f S Z x d W 9 0 O y w m c X V v d D t T Z W N 0 a W 9 u M S 9 U Q k x f U 1 R E X 0 h W Q U M v Q X V 0 b 1 J l b W 9 2 Z W R D b 2 x 1 b W 5 z M S 5 7 S F Z B Q 1 9 m Z i w 0 N H 0 m c X V v d D t d L C Z x d W 9 0 O 0 N v b H V t b k N v d W 5 0 J n F 1 b 3 Q 7 O j Q 1 L C Z x d W 9 0 O 0 t l e U N v b H V t b k 5 h b W V z J n F 1 b 3 Q 7 O l t d L C Z x d W 9 0 O 0 N v b H V t b k l k Z W 5 0 a X R p Z X M m c X V v d D s 6 W y Z x d W 9 0 O 1 N l Y 3 R p b 2 4 x L 1 R C T F 9 T V E R f S F Z B Q y 9 B d X R v U m V t b 3 Z l Z E N v b H V t b n M x L n t N Z W F z d X J l I E 5 1 b W J l c i w w f S Z x d W 9 0 O y w m c X V v d D t T Z W N 0 a W 9 u M S 9 U Q k x f U 1 R E X 0 h W Q U M v Q X V 0 b 1 J l b W 9 2 Z W R D b 2 x 1 b W 5 z M S 5 7 Q 2 F 0 Z W d v c n k s M X 0 m c X V v d D s s J n F 1 b 3 Q 7 U 2 V j d G l v b j E v V E J M X 1 N U R F 9 I V k F D L 0 F 1 d G 9 S Z W 1 v d m V k Q 2 9 s d W 1 u c z E u e 1 N 1 Y i 1 D Y X R l Z 2 9 y e S w y f S Z x d W 9 0 O y w m c X V v d D t T Z W N 0 a W 9 u M S 9 U Q k x f U 1 R E X 0 h W Q U M v Q X V 0 b 1 J l b W 9 2 Z W R D b 2 x 1 b W 5 z M S 5 7 T W V h c 3 V y Z S B M b 2 9 r d X A s M 3 0 m c X V v d D s s J n F 1 b 3 Q 7 U 2 V j d G l v b j E v V E J M X 1 N U R F 9 I V k F D L 0 F 1 d G 9 S Z W 1 v d m V k Q 2 9 s d W 1 u c z E u e 0 Z y b 2 5 0 I E V u Z C B N Z W F z d X J l I E 5 h b W U s N H 0 m c X V v d D s s J n F 1 b 3 Q 7 U 2 V j d G l v b j E v V E J M X 1 N U R F 9 I V k F D L 0 F 1 d G 9 S Z W 1 v d m V k Q 2 9 s d W 1 u c z E u e 0 R O V i B S Z W Y g I y w 1 f S Z x d W 9 0 O y w m c X V v d D t T Z W N 0 a W 9 u M S 9 U Q k x f U 1 R E X 0 h W Q U M v Q X V 0 b 1 J l b W 9 2 Z W R D b 2 x 1 b W 5 z M S 5 7 R E 5 W I E 1 l Y X N 1 c m U g T m F t Z S w 2 f S Z x d W 9 0 O y w m c X V v d D t T Z W N 0 a W 9 u M S 9 U Q k x f U 1 R E X 0 h W Q U M v Q X V 0 b 1 J l b W 9 2 Z W R D b 2 x 1 b W 5 z M S 5 7 U H J v Z 3 J h b S w 3 f S Z x d W 9 0 O y w m c X V v d D t T Z W N 0 a W 9 u M S 9 U Q k x f U 1 R E X 0 h W Q U M v Q X V 0 b 1 J l b W 9 2 Z W R D b 2 x 1 b W 5 z M S 5 7 R W 5 k I F V z Z S w 4 f S Z x d W 9 0 O y w m c X V v d D t T Z W N 0 a W 9 u M S 9 U Q k x f U 1 R E X 0 h W Q U M v Q X V 0 b 1 J l b W 9 2 Z W R D b 2 x 1 b W 5 z M S 5 7 S W 5 j Z W 5 0 a X Z l I F V u a X Q s O X 0 m c X V v d D s s J n F 1 b 3 Q 7 U 2 V j d G l v b j E v V E J M X 1 N U R F 9 I V k F D L 0 F 1 d G 9 S Z W 1 v d m V k Q 2 9 s d W 1 u c z E u e 0 N 1 c n J l b n Q g S W 5 j Z W 5 0 a X Z l L D E w f S Z x d W 9 0 O y w m c X V v d D t T Z W N 0 a W 9 u M S 9 U Q k x f U 1 R E X 0 h W Q U M v Q X V 0 b 1 J l b W 9 2 Z W R D b 2 x 1 b W 5 z M S 5 7 U X V h b n R p d H k g V W 5 p d C w x M X 0 m c X V v d D s s J n F 1 b 3 Q 7 U 2 V j d G l v b j E v V E J M X 1 N U R F 9 I V k F D L 0 F 1 d G 9 S Z W 1 v d m V k Q 2 9 s d W 1 u c z E u e 1 N l Y 2 9 u Z G F y e S B V b m l 0 L D E y f S Z x d W 9 0 O y w m c X V v d D t T Z W N 0 a W 9 u M S 9 U Q k x f U 1 R E X 0 h W Q U M v Q X V 0 b 1 J l b W 9 2 Z W R D b 2 x 1 b W 5 z M S 5 7 S W 5 j c m V t Z W 5 0 Y W w g T W V h c 3 V y Z S B D b 3 N 0 I C g k L 1 V u a X Q p L D E z f S Z x d W 9 0 O y w m c X V v d D t T Z W N 0 a W 9 u M S 9 U Q k x f U 1 R E X 0 h W Q U M v Q X V 0 b 1 J l b W 9 2 Z W R D b 2 x 1 b W 5 z M S 5 7 R W x l Y 3 R y a W M g R W 5 l c m d 5 I F N h d m l u Z 3 M g K E F u b n V h b C B r V 2 g v d W 5 p d C k s M T R 9 J n F 1 b 3 Q 7 L C Z x d W 9 0 O 1 N l Y 3 R p b 2 4 x L 1 R C T F 9 T V E R f S F Z B Q y 9 B d X R v U m V t b 3 Z l Z E N v b H V t b n M x L n t D b 2 l u Y 2 l k Z W 5 0 I F B l Y W s g R G V t Y W 5 k I F N h d m l u Z 3 M g K G t X L 3 V u a X Q p L D E 1 f S Z x d W 9 0 O y w m c X V v d D t T Z W N 0 a W 9 u M S 9 U Q k x f U 1 R E X 0 h W Q U M v Q X V 0 b 1 J l b W 9 2 Z W R D b 2 x 1 b W 5 z M S 5 7 T W V h c 3 V y Z S B M a W Z l I C h Z Z W F y c y k s M T Z 9 J n F 1 b 3 Q 7 L C Z x d W 9 0 O 1 N l Y 3 R p b 2 4 x L 1 R C T F 9 T V E R f S F Z B Q y 9 B d X R v U m V t b 3 Z l Z E N v b H V t b n M x L n t F Z m Z p Y 2 l l b n Q g R G V m a W 5 p d G l v b i w x N 3 0 m c X V v d D s s J n F 1 b 3 Q 7 U 2 V j d G l v b j E v V E J M X 1 N U R F 9 I V k F D L 0 F 1 d G 9 S Z W 1 v d m V k Q 2 9 s d W 1 u c z E u e 0 1 l Y X N 1 c m U g R W Z m a W N p Z W 5 j e S B W Y W x 1 Z S w x O H 0 m c X V v d D s s J n F 1 b 3 Q 7 U 2 V j d G l v b j E v V E J M X 1 N U R F 9 I V k F D L 0 F 1 d G 9 S Z W 1 v d m V k Q 2 9 s d W 1 u c z E u e 0 J h c 2 V s a W 5 l I E R l Z m l u a X R p b 2 4 s M T l 9 J n F 1 b 3 Q 7 L C Z x d W 9 0 O 1 N l Y 3 R p b 2 4 x L 1 R C T F 9 T V E R f S F Z B Q y 9 B d X R v U m V t b 3 Z l Z E N v b H V t b n M x L n t C Y X N l b G l u Z S B F Z m Z p Y 2 l l b m N 5 I F Z h b H V l L D I w f S Z x d W 9 0 O y w m c X V v d D t T Z W N 0 a W 9 u M S 9 U Q k x f U 1 R E X 0 h W Q U M v Q X V 0 b 1 J l b W 9 2 Z W R D b 2 x 1 b W 5 z M S 5 7 R W Z m Z W N 0 a X Z l I F N 0 Y X J 0 I E R h d G U s M j F 9 J n F 1 b 3 Q 7 L C Z x d W 9 0 O 1 N l Y 3 R p b 2 4 x L 1 R C T F 9 T V E R f S F Z B Q y 9 B d X R v U m V t b 3 Z l Z E N v b H V t b n M x L n t P c m R l c i w y M n 0 m c X V v d D s s J n F 1 b 3 Q 7 U 2 V j d G l v b j E v V E J M X 1 N U R F 9 I V k F D L 0 F 1 d G 9 S Z W 1 v d m V k Q 2 9 s d W 1 u c z E u e 1 J l c G 9 y d G l u Z y B N Z X R o b 2 R v b G 9 n e S w y M 3 0 m c X V v d D s s J n F 1 b 3 Q 7 U 2 V j d G l v b j E v V E J M X 1 N U R F 9 I V k F D L 0 F 1 d G 9 S Z W 1 v d m V k Q 2 9 s d W 1 u c z E u e 0 J h c 2 V s a W 5 l I E 1 p b i B F Z m Z p Y 2 l l b m N 5 L D I 0 f S Z x d W 9 0 O y w m c X V v d D t T Z W N 0 a W 9 u M S 9 U Q k x f U 1 R E X 0 h W Q U M v Q X V 0 b 1 J l b W 9 2 Z W R D b 2 x 1 b W 5 z M S 5 7 Q m F z Z W x p b m U g T W l u I E V m Z m l j a W V u Y 3 k g M i w y N X 0 m c X V v d D s s J n F 1 b 3 Q 7 U 2 V j d G l v b j E v V E J M X 1 N U R F 9 I V k F D L 0 F 1 d G 9 S Z W 1 v d m V k Q 2 9 s d W 1 u c z E u e 0 1 p b i B U b 2 5 z L D I 2 f S Z x d W 9 0 O y w m c X V v d D t T Z W N 0 a W 9 u M S 9 U Q k x f U 1 R E X 0 h W Q U M v Q X V 0 b 1 J l b W 9 2 Z W R D b 2 x 1 b W 5 z M S 5 7 T W F 4 I F R v b n M s M j d 9 J n F 1 b 3 Q 7 L C Z x d W 9 0 O 1 N l Y 3 R p b 2 4 x L 1 R C T F 9 T V E R f S F Z B Q y 9 B d X R v U m V t b 3 Z l Z E N v b H V t b n M x L n t F R k x I Y 2 9 v b C w y O H 0 m c X V v d D s s J n F 1 b 3 Q 7 U 2 V j d G l v b j E v V E J M X 1 N U R F 9 I V k F D L 0 F 1 d G 9 S Z W 1 v d m V k Q 2 9 s d W 1 u c z E u e 0 V G T E h o Z W F 0 L D I 5 f S Z x d W 9 0 O y w m c X V v d D t T Z W N 0 a W 9 u M S 9 U Q k x f U 1 R E X 0 h W Q U M v Q X V 0 b 1 J l b W 9 2 Z W R D b 2 x 1 b W 5 z M S 5 7 Q m F z Z W x p b m U g R G V m a W 5 p d G l v b i A y L D M w f S Z x d W 9 0 O y w m c X V v d D t T Z W N 0 a W 9 u M S 9 U Q k x f U 1 R E X 0 h W Q U M v Q X V 0 b 1 J l b W 9 2 Z W R D b 2 x 1 b W 5 z M S 5 7 Q m F z Z W x p b m U g R W Z m a W N p Z W 5 j e S B W Y W x 1 Z S A y L D M x f S Z x d W 9 0 O y w m c X V v d D t T Z W N 0 a W 9 u M S 9 U Q k x f U 1 R E X 0 h W Q U M v Q X V 0 b 1 J l b W 9 2 Z W R D b 2 x 1 b W 5 z M S 5 7 T 3 R o Z X I g R W Z m I F V u a X Q s M z J 9 J n F 1 b 3 Q 7 L C Z x d W 9 0 O 1 N l Y 3 R p b 2 4 x L 1 R C T F 9 T V E R f S F Z B Q y 9 B d X R v U m V t b 3 Z l Z E N v b H V t b n M x L n t C Y X N l I F Z h b H V l L D M z f S Z x d W 9 0 O y w m c X V v d D t T Z W N 0 a W 9 u M S 9 U Q k x f U 1 R E X 0 h W Q U M v Q X V 0 b 1 J l b W 9 2 Z W R D b 2 x 1 b W 5 z M S 5 7 Q 2 F s Y y B U e X B l L D M 0 f S Z x d W 9 0 O y w m c X V v d D t T Z W N 0 a W 9 u M S 9 U Q k x f U 1 R E X 0 h W Q U M v Q X V 0 b 1 J l b W 9 2 Z W R D b 2 x 1 b W 5 z M S 5 7 Q 0 Y s M z V 9 J n F 1 b 3 Q 7 L C Z x d W 9 0 O 1 N l Y 3 R p b 2 4 x L 1 R C T F 9 T V E R f S F Z B Q y 9 B d X R v U m V t b 3 Z l Z E N v b H V t b n M x L n t F b m V y Z 3 k g U 2 F 2 a W 5 n c y B G Y W N 0 b 3 I s M z Z 9 J n F 1 b 3 Q 7 L C Z x d W 9 0 O 1 N l Y 3 R p b 2 4 x L 1 R C T F 9 T V E R f S F Z B Q y 9 B d X R v U m V t b 3 Z l Z E N v b H V t b n M x L n t E Z W 1 h b m Q g U 2 F 2 a W 5 n c y B G Y W N 0 b 3 I s M z d 9 J n F 1 b 3 Q 7 L C Z x d W 9 0 O 1 N l Y 3 R p b 2 4 x L 1 R C T F 9 T V E R f S F Z B Q y 9 B d X R v U m V t b 3 Z l Z E N v b H V t b n M x L n t I b 3 V y c y w z O H 0 m c X V v d D s s J n F 1 b 3 Q 7 U 2 V j d G l v b j E v V E J M X 1 N U R F 9 I V k F D L 0 F 1 d G 9 S Z W 1 v d m V k Q 2 9 s d W 1 u c z E u e 0 V T R l 9 o Z W F 0 a W 5 n L D M 5 f S Z x d W 9 0 O y w m c X V v d D t T Z W N 0 a W 9 u M S 9 U Q k x f U 1 R E X 0 h W Q U M v Q X V 0 b 1 J l b W 9 2 Z W R D b 2 x 1 b W 5 z M S 5 7 R V N G X 2 N v b 2 x p b m c s N D B 9 J n F 1 b 3 Q 7 L C Z x d W 9 0 O 1 N l Y 3 R p b 2 4 x L 1 R C T F 9 T V E R f S F Z B Q y 9 B d X R v U m V t b 3 Z l Z E N v b H V t b n M x L n t M R i w 0 M X 0 m c X V v d D s s J n F 1 b 3 Q 7 U 2 V j d G l v b j E v V E J M X 1 N U R F 9 I V k F D L 0 F 1 d G 9 S Z W 1 v d m V k Q 2 9 s d W 1 u c z E u e 0 h W Q U N f Y y w 0 M n 0 m c X V v d D s s J n F 1 b 3 Q 7 U 2 V j d G l v b j E v V E J M X 1 N U R F 9 I V k F D L 0 F 1 d G 9 S Z W 1 v d m V k Q 2 9 s d W 1 u c z E u e 0 h W Q U N f Z C w 0 M 3 0 m c X V v d D s s J n F 1 b 3 Q 7 U 2 V j d G l v b j E v V E J M X 1 N U R F 9 I V k F D L 0 F 1 d G 9 S Z W 1 v d m V k Q 2 9 s d W 1 u c z E u e 0 h W Q U N f Z m Y s N D R 9 J n F 1 b 3 Q 7 X S w m c X V v d D t S Z W x h d G l v b n N o a X B J b m Z v J n F 1 b 3 Q 7 O l t d f S I g L z 4 8 L 1 N 0 Y W J s Z U V u d H J p Z X M + P C 9 J d G V t P j x J d G V t P j x J d G V t T G 9 j Y X R p b 2 4 + P E l 0 Z W 1 U e X B l P k Z v c m 1 1 b G E 8 L 0 l 0 Z W 1 U e X B l P j x J d G V t U G F 0 a D 5 T Z W N 0 a W 9 u M S 9 U Q k x f U 1 R E X 0 h W Q U M v U 2 9 1 c m N l P C 9 J d G V t U G F 0 a D 4 8 L 0 l 0 Z W 1 M b 2 N h d G l v b j 4 8 U 3 R h Y m x l R W 5 0 c m l l c y A v P j w v S X R l b T 4 8 S X R l b T 4 8 S X R l b U x v Y 2 F 0 a W 9 u P j x J d G V t V H l w Z T 5 G b 3 J t d W x h P C 9 J d G V t V H l w Z T 4 8 S X R l b V B h d G g + U 2 V j d G l v b j E v V E J M X 1 N U R F 9 I V k F D L 0 N o Y W 5 n Z W Q l M j B U e X B l P C 9 J d G V t U G F 0 a D 4 8 L 0 l 0 Z W 1 M b 2 N h d G l v b j 4 8 U 3 R h Y m x l R W 5 0 c m l l c y A v P j w v S X R l b T 4 8 S X R l b T 4 8 S X R l b U x v Y 2 F 0 a W 9 u P j x J d G V t V H l w Z T 5 G b 3 J t d W x h P C 9 J d G V t V H l w Z T 4 8 S X R l b V B h d G g + U 2 V j d G l v b j E v U m V m c m l n Z X J h d G l v b l 9 C d W l s Z G l u Z 1 R 5 c G V f S G 9 1 c n 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2 I i A v P j x F b n R y e S B U e X B l P S J G a W x s R X J y b 3 J D b 2 R l I i B W Y W x 1 Z T 0 i c 1 V u a 2 5 v d 2 4 i I C 8 + P E V u d H J 5 I F R 5 c G U 9 I k Z p b G x F c n J v c k N v d W 5 0 I i B W Y W x 1 Z T 0 i b D A i I C 8 + P E V u d H J 5 I F R 5 c G U 9 I k Z p b G x M Y X N 0 V X B k Y X R l Z C I g V m F s d W U 9 I m Q y M D I y L T A 2 L T E 2 V D E 5 O j E x O j M w L j g w M T E x M z R a I i A v P j x F b n R y e S B U e X B l P S J G a W x s Q 2 9 s d W 1 u V H l w Z X M i I F Z h b H V l P S J z Q m d Z R E F 3 T T 0 i I C 8 + P E V u d H J 5 I F R 5 c G U 9 I k Z p b G x D b 2 x 1 b W 5 O Y W 1 l c y I g V m F s d W U 9 I n N b J n F 1 b 3 Q 7 U H J v a m V j d C B M Z X Z l b C B C d W l s Z G l u Z y B U e X B l J n F 1 b 3 Q 7 L C Z x d W 9 0 O 0 Z v b 2 R z Z X J 2 a W N l I F R S T S B C d W l s Z G l u Z y B F c X V p d m F s Z W 5 0 J n F 1 b 3 Q 7 L C Z x d W 9 0 O 0 R h e X M v W W V h c i Z x d W 9 0 O y w m c X V v d D t I b 3 V y c y 9 E Y X k m c X V v d D s s J n F 1 b 3 Q 7 S G 9 1 c n M v W W V h c i 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1 J l Z n J p Z 2 V y Y X R p b 2 5 f Q n V p b G R p b m d U e X B l X 0 h v d X J z L 0 F 1 d G 9 S Z W 1 v d m V k Q 2 9 s d W 1 u c z E u e 1 B y b 2 p l Y 3 Q g T G V 2 Z W w g Q n V p b G R p b m c g V H l w Z S w w f S Z x d W 9 0 O y w m c X V v d D t T Z W N 0 a W 9 u M S 9 S Z W Z y a W d l c m F 0 a W 9 u X 0 J 1 a W x k a W 5 n V H l w Z V 9 I b 3 V y c y 9 B d X R v U m V t b 3 Z l Z E N v b H V t b n M x L n t G b 2 9 k c 2 V y d m l j Z S B U U k 0 g Q n V p b G R p b m c g R X F 1 a X Z h b G V u d C w x f S Z x d W 9 0 O y w m c X V v d D t T Z W N 0 a W 9 u M S 9 S Z W Z y a W d l c m F 0 a W 9 u X 0 J 1 a W x k a W 5 n V H l w Z V 9 I b 3 V y c y 9 B d X R v U m V t b 3 Z l Z E N v b H V t b n M x L n t E Y X l z L 1 l l Y X I s M n 0 m c X V v d D s s J n F 1 b 3 Q 7 U 2 V j d G l v b j E v U m V m c m l n Z X J h d G l v b l 9 C d W l s Z G l u Z 1 R 5 c G V f S G 9 1 c n M v Q X V 0 b 1 J l b W 9 2 Z W R D b 2 x 1 b W 5 z M S 5 7 S G 9 1 c n M v R G F 5 L D N 9 J n F 1 b 3 Q 7 L C Z x d W 9 0 O 1 N l Y 3 R p b 2 4 x L 1 J l Z n J p Z 2 V y Y X R p b 2 5 f Q n V p b G R p b m d U e X B l X 0 h v d X J z L 0 F 1 d G 9 S Z W 1 v d m V k Q 2 9 s d W 1 u c z E u e 0 h v d X J z L 1 l l Y X I s N H 0 m c X V v d D t d L C Z x d W 9 0 O 0 N v b H V t b k N v d W 5 0 J n F 1 b 3 Q 7 O j U s J n F 1 b 3 Q 7 S 2 V 5 Q 2 9 s d W 1 u T m F t Z X M m c X V v d D s 6 W 1 0 s J n F 1 b 3 Q 7 Q 2 9 s d W 1 u S W R l b n R p d G l l c y Z x d W 9 0 O z p b J n F 1 b 3 Q 7 U 2 V j d G l v b j E v U m V m c m l n Z X J h d G l v b l 9 C d W l s Z G l u Z 1 R 5 c G V f S G 9 1 c n M v Q X V 0 b 1 J l b W 9 2 Z W R D b 2 x 1 b W 5 z M S 5 7 U H J v a m V j d C B M Z X Z l b C B C d W l s Z G l u Z y B U e X B l L D B 9 J n F 1 b 3 Q 7 L C Z x d W 9 0 O 1 N l Y 3 R p b 2 4 x L 1 J l Z n J p Z 2 V y Y X R p b 2 5 f Q n V p b G R p b m d U e X B l X 0 h v d X J z L 0 F 1 d G 9 S Z W 1 v d m V k Q 2 9 s d W 1 u c z E u e 0 Z v b 2 R z Z X J 2 a W N l I F R S T S B C d W l s Z G l u Z y B F c X V p d m F s Z W 5 0 L D F 9 J n F 1 b 3 Q 7 L C Z x d W 9 0 O 1 N l Y 3 R p b 2 4 x L 1 J l Z n J p Z 2 V y Y X R p b 2 5 f Q n V p b G R p b m d U e X B l X 0 h v d X J z L 0 F 1 d G 9 S Z W 1 v d m V k Q 2 9 s d W 1 u c z E u e 0 R h e X M v W W V h c i w y f S Z x d W 9 0 O y w m c X V v d D t T Z W N 0 a W 9 u M S 9 S Z W Z y a W d l c m F 0 a W 9 u X 0 J 1 a W x k a W 5 n V H l w Z V 9 I b 3 V y c y 9 B d X R v U m V t b 3 Z l Z E N v b H V t b n M x L n t I b 3 V y c y 9 E Y X k s M 3 0 m c X V v d D s s J n F 1 b 3 Q 7 U 2 V j d G l v b j E v U m V m c m l n Z X J h d G l v b l 9 C d W l s Z G l u Z 1 R 5 c G V f S G 9 1 c n M v Q X V 0 b 1 J l b W 9 2 Z W R D b 2 x 1 b W 5 z M S 5 7 S G 9 1 c n M v W W V h c i w 0 f S Z x d W 9 0 O 1 0 s J n F 1 b 3 Q 7 U m V s Y X R p b 2 5 z a G l w S W 5 m b y Z x d W 9 0 O z p b X X 0 i I C 8 + P C 9 T d G F i b G V F b n R y a W V z P j w v S X R l b T 4 8 S X R l b T 4 8 S X R l b U x v Y 2 F 0 a W 9 u P j x J d G V t V H l w Z T 5 G b 3 J t d W x h P C 9 J d G V t V H l w Z T 4 8 S X R l b V B h d G g + U 2 V j d G l v b j E v U m V m c m l n Z X J h d G l v b l 9 C d W l s Z G l u Z 1 R 5 c G V f S G 9 1 c n M v U 2 9 1 c m N l P C 9 J d G V t U G F 0 a D 4 8 L 0 l 0 Z W 1 M b 2 N h d G l v b j 4 8 U 3 R h Y m x l R W 5 0 c m l l c y A v P j w v S X R l b T 4 8 S X R l b T 4 8 S X R l b U x v Y 2 F 0 a W 9 u P j x J d G V t V H l w Z T 5 G b 3 J t d W x h P C 9 J d G V t V H l w Z T 4 8 S X R l b V B h d G g + U 2 V j d G l v b j E v U m V m c m l n Z X J h d G l v b l 9 C d W l s Z G l u Z 1 R 5 c G V f S G 9 1 c n M v Q 2 h h b m d l Z C U y M F R 5 c G U 8 L 0 l 0 Z W 1 Q Y X R o P j w v S X R l b U x v Y 2 F 0 a W 9 u P j x T d G F i b G V F b n R y a W V z I C 8 + P C 9 J d G V t P j x J d G V t P j x J d G V t T G 9 j Y X R p b 2 4 + P E l 0 Z W 1 U e X B l P k Z v c m 1 1 b G E 8 L 0 l 0 Z W 1 U e X B l P j x J d G V t U G F 0 a D 5 T Z W N 0 a W 9 u M S 9 U Y W J s Z V 9 F Q 0 1 I e W R y b 1 9 I b 3 V y 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M j E i I C 8 + P E V u d H J 5 I F R 5 c G U 9 I k Z p b G x F c n J v c k N v Z G U i I F Z h b H V l P S J z V W 5 r b m 9 3 b i I g L z 4 8 R W 5 0 c n k g V H l w Z T 0 i R m l s b E V y c m 9 y Q 2 9 1 b n Q i I F Z h b H V l P S J s M C I g L z 4 8 R W 5 0 c n k g V H l w Z T 0 i R m l s b E x h c 3 R V c G R h d G V k I i B W Y W x 1 Z T 0 i Z D I w M j I t M D Y t M j N U M T k 6 N T g 6 M D g u N T A x O D U 0 N l o i I C 8 + P E V u d H J 5 I F R 5 c G U 9 I k Z p b G x D b 2 x 1 b W 5 U e X B l c y I g V m F s d W U 9 I n N C Z 0 1 E I i A v P j x F b n R y e S B U e X B l P S J G a W x s Q 2 9 s d W 1 u T m F t Z X M i I F Z h b H V l P S J z W y Z x d W 9 0 O 0 Z h Y 2 l s a X R 5 J n F 1 b 3 Q 7 L C Z x d W 9 0 O 0 h l Y X R p b m c m c X V v d D s s J n F 1 b 3 Q 7 Q 2 9 v b G l u Z y 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R h Y m x l X 0 V D T U h 5 Z H J v X 0 h v d X J z L 0 F 1 d G 9 S Z W 1 v d m V k Q 2 9 s d W 1 u c z E u e 0 Z h Y 2 l s a X R 5 L D B 9 J n F 1 b 3 Q 7 L C Z x d W 9 0 O 1 N l Y 3 R p b 2 4 x L 1 R h Y m x l X 0 V D T U h 5 Z H J v X 0 h v d X J z L 0 F 1 d G 9 S Z W 1 v d m V k Q 2 9 s d W 1 u c z E u e 0 h l Y X R p b m c s M X 0 m c X V v d D s s J n F 1 b 3 Q 7 U 2 V j d G l v b j E v V G F i b G V f R U N N S H l k c m 9 f S G 9 1 c n M v Q X V 0 b 1 J l b W 9 2 Z W R D b 2 x 1 b W 5 z M S 5 7 Q 2 9 v b G l u Z y w y f S Z x d W 9 0 O 1 0 s J n F 1 b 3 Q 7 Q 2 9 s d W 1 u Q 2 9 1 b n Q m c X V v d D s 6 M y w m c X V v d D t L Z X l D b 2 x 1 b W 5 O Y W 1 l c y Z x d W 9 0 O z p b X S w m c X V v d D t D b 2 x 1 b W 5 J Z G V u d G l 0 a W V z J n F 1 b 3 Q 7 O l s m c X V v d D t T Z W N 0 a W 9 u M S 9 U Y W J s Z V 9 F Q 0 1 I e W R y b 1 9 I b 3 V y c y 9 B d X R v U m V t b 3 Z l Z E N v b H V t b n M x L n t G Y W N p b G l 0 e S w w f S Z x d W 9 0 O y w m c X V v d D t T Z W N 0 a W 9 u M S 9 U Y W J s Z V 9 F Q 0 1 I e W R y b 1 9 I b 3 V y c y 9 B d X R v U m V t b 3 Z l Z E N v b H V t b n M x L n t I Z W F 0 a W 5 n L D F 9 J n F 1 b 3 Q 7 L C Z x d W 9 0 O 1 N l Y 3 R p b 2 4 x L 1 R h Y m x l X 0 V D T U h 5 Z H J v X 0 h v d X J z L 0 F 1 d G 9 S Z W 1 v d m V k Q 2 9 s d W 1 u c z E u e 0 N v b 2 x p b m c s M n 0 m c X V v d D t d L C Z x d W 9 0 O 1 J l b G F 0 a W 9 u c 2 h p c E l u Z m 8 m c X V v d D s 6 W 1 1 9 I i A v P j w v U 3 R h Y m x l R W 5 0 c m l l c z 4 8 L 0 l 0 Z W 0 + P E l 0 Z W 0 + P E l 0 Z W 1 M b 2 N h d G l v b j 4 8 S X R l b V R 5 c G U + R m 9 y b X V s Y T w v S X R l b V R 5 c G U + P E l 0 Z W 1 Q Y X R o P l N l Y 3 R p b 2 4 x L 1 R h Y m x l X 0 V D T U h 5 Z H J v X 0 h v d X J z L 1 N v d X J j Z T w v S X R l b V B h d G g + P C 9 J d G V t T G 9 j Y X R p b 2 4 + P F N 0 Y W J s Z U V u d H J p Z X M g L z 4 8 L 0 l 0 Z W 0 + P E l 0 Z W 0 + P E l 0 Z W 1 M b 2 N h d G l v b j 4 8 S X R l b V R 5 c G U + R m 9 y b X V s Y T w v S X R l b V R 5 c G U + P E l 0 Z W 1 Q Y X R o P l N l Y 3 R p b 2 4 x L 1 R h Y m x l X 0 V D T U h 5 Z H J v X 0 h v d X J z L 0 N o Y W 5 n Z W Q l M j B U e X B l P C 9 J d G V t U G F 0 a D 4 8 L 0 l 0 Z W 1 M b 2 N h d G l v b j 4 8 U 3 R h Y m x l R W 5 0 c m l l c y A v P j w v S X R l b T 4 8 S X R l b T 4 8 S X R l b U x v Y 2 F 0 a W 9 u P j x J d G V t V H l w Z T 5 G b 3 J t d W x h P C 9 J d G V t V H l w Z T 4 8 S X R l b V B h d G g + U 2 V j d G l v b j E v V G F i b G U 5 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C I g L z 4 8 R W 5 0 c n k g V H l w Z T 0 i R m l s b F N 0 Y X R 1 c y I g V m F s d W U 9 I n N D b 2 1 w b G V 0 Z S I g L z 4 8 R W 5 0 c n k g V H l w Z T 0 i R m l s b E N v b H V t b k 5 h b W V z I i B W Y W x 1 Z T 0 i c 1 s m c X V v d D t G Y W N p b G l 0 e S B U e X B l I E h v d X J z J n F 1 b 3 Q 7 L C Z x d W 9 0 O y h o c n M v e X I p J n F 1 b 3 Q 7 X S I g L z 4 8 R W 5 0 c n k g V H l w Z T 0 i R m l s b E N v b H V t b l R 5 c G V z I i B W Y W x 1 Z T 0 i c 0 J n T T 0 i I C 8 + P E V u d H J 5 I F R 5 c G U 9 I k Z p b G x M Y X N 0 V X B k Y X R l Z C I g V m F s d W U 9 I m Q y M D I y L T A 2 L T I 0 V D E 2 O j A 0 O j A 2 L j M 4 M z I y N T V a I i A v P j x F b n R y e S B U e X B l P S J G a W x s R X J y b 3 J D b 2 R l I i B W Y W x 1 Z T 0 i c 1 V u a 2 5 v d 2 4 i I C 8 + P E V u d H J 5 I F R 5 c G U 9 I k F k Z G V k V G 9 E Y X R h T W 9 k Z W w i I F Z h b H V l P S J s M C I g L z 4 8 R W 5 0 c n k g V H l w Z T 0 i U m V s Y X R p b 2 5 z a G l w S W 5 m b 0 N v b n R h a W 5 l c i I g V m F s d W U 9 I n N 7 J n F 1 b 3 Q 7 Y 2 9 s d W 1 u Q 2 9 1 b n Q m c X V v d D s 6 M i w m c X V v d D t r Z X l D b 2 x 1 b W 5 O Y W 1 l c y Z x d W 9 0 O z p b X S w m c X V v d D t x d W V y e V J l b G F 0 a W 9 u c 2 h p c H M m c X V v d D s 6 W 1 0 s J n F 1 b 3 Q 7 Y 2 9 s d W 1 u S W R l b n R p d G l l c y Z x d W 9 0 O z p b J n F 1 b 3 Q 7 U 2 V j d G l v b j E v V G F i b G U 5 N i 9 B d X R v U m V t b 3 Z l Z E N v b H V t b n M x L n t G Y W N p b G l 0 e S B U e X B l I E h v d X J z L D B 9 J n F 1 b 3 Q 7 L C Z x d W 9 0 O 1 N l Y 3 R p b 2 4 x L 1 R h Y m x l O T Y v Q X V 0 b 1 J l b W 9 2 Z W R D b 2 x 1 b W 5 z M S 5 7 K G h y c y 9 5 c i k s M X 0 m c X V v d D t d L C Z x d W 9 0 O 0 N v b H V t b k N v d W 5 0 J n F 1 b 3 Q 7 O j I s J n F 1 b 3 Q 7 S 2 V 5 Q 2 9 s d W 1 u T m F t Z X M m c X V v d D s 6 W 1 0 s J n F 1 b 3 Q 7 Q 2 9 s d W 1 u S W R l b n R p d G l l c y Z x d W 9 0 O z p b J n F 1 b 3 Q 7 U 2 V j d G l v b j E v V G F i b G U 5 N i 9 B d X R v U m V t b 3 Z l Z E N v b H V t b n M x L n t G Y W N p b G l 0 e S B U e X B l I E h v d X J z L D B 9 J n F 1 b 3 Q 7 L C Z x d W 9 0 O 1 N l Y 3 R p b 2 4 x L 1 R h Y m x l O T Y v Q X V 0 b 1 J l b W 9 2 Z W R D b 2 x 1 b W 5 z M S 5 7 K G h y c y 9 5 c i k s M X 0 m c X V v d D t d L C Z x d W 9 0 O 1 J l b G F 0 a W 9 u c 2 h p c E l u Z m 8 m c X V v d D s 6 W 1 1 9 I i A v P j w v U 3 R h Y m x l R W 5 0 c m l l c z 4 8 L 0 l 0 Z W 0 + P E l 0 Z W 0 + P E l 0 Z W 1 M b 2 N h d G l v b j 4 8 S X R l b V R 5 c G U + R m 9 y b X V s Y T w v S X R l b V R 5 c G U + P E l 0 Z W 1 Q Y X R o P l N l Y 3 R p b 2 4 x L 1 R h Y m x l O T Y v U 2 9 1 c m N l P C 9 J d G V t U G F 0 a D 4 8 L 0 l 0 Z W 1 M b 2 N h d G l v b j 4 8 U 3 R h Y m x l R W 5 0 c m l l c y A v P j w v S X R l b T 4 8 S X R l b T 4 8 S X R l b U x v Y 2 F 0 a W 9 u P j x J d G V t V H l w Z T 5 G b 3 J t d W x h P C 9 J d G V t V H l w Z T 4 8 S X R l b V B h d G g + U 2 V j d G l v b j E v V G F i b G U 5 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l J l Y 2 9 2 Z X J 5 V G F y Z 2 V 0 U 2 h l Z X Q i I F Z h b H V l P S J z R E F U Q S B U Q U J M R V N f T W l z Y y I g L z 4 8 R W 5 0 c n k g V H l w Z T 0 i U m V j b 3 Z l c n l U Y X J n Z X R D b 2 x 1 b W 4 i I F Z h b H V l P S J s N y I g L z 4 8 R W 5 0 c n k g V H l w Z T 0 i U m V j b 3 Z l c n l U Y X J n Z X R S b 3 c i I F Z h b H V l P S J s M T U i I C 8 + P E V u d H J 5 I F R 5 c G U 9 I k Z p b G x l Z E N v b X B s Z X R l U m V z d W x 0 V G 9 X b 3 J r c 2 h l Z X Q i I F Z h b H V l P S J s M S I g L z 4 8 R W 5 0 c n k g V H l w Z T 0 i Q W R k Z W R U b 0 R h d G F N b 2 R l b C I g V m F s d W U 9 I m w w I i A v P j x F b n R y e S B U e X B l P S J G a W x s Q 2 9 1 b n Q i I F Z h b H V l P S J s M i I g L z 4 8 R W 5 0 c n k g V H l w Z T 0 i R m l s b E V y c m 9 y Q 2 9 k Z S I g V m F s d W U 9 I n N V b m t u b 3 d u I i A v P j x F b n R y e S B U e X B l P S J G a W x s R X J y b 3 J D b 3 V u d C I g V m F s d W U 9 I m w w I i A v P j x F b n R y e S B U e X B l P S J G a W x s T G F z d F V w Z G F 0 Z W Q i I F Z h b H V l P S J k M j A y M i 0 w N i 0 y N F Q x N j o w N D o w N y 4 0 M D c 1 N D c 1 W i I g L z 4 8 R W 5 0 c n k g V H l w Z T 0 i R m l s b E N v b H V t b l R 5 c G V z I i B W Y W x 1 Z T 0 i c 0 J n V U Z C U V U 9 I i A v P j x F b n R y e S B U e X B l P S J G a W x s Q 2 9 s d W 1 u T m F t Z X M i I F Z h b H V l P S J z W y Z x d W 9 0 O 0 N v b H V t b j E m c X V v d D s s J n F 1 b 3 Q 7 Q m F z Z W x p b m U g T U V G J n F 1 b 3 Q 7 L C Z x d W 9 0 O 1 B y b 3 B v c 2 V k I E 1 F R i Z x d W 9 0 O y w m c X V v d D t C Y X N l b G l u Z S B X R i Z x d W 9 0 O y w m c X V v d D t Q c m 9 w b 3 N l Z C B X R i 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1 R h Y m x l O T U v Q X V 0 b 1 J l b W 9 2 Z W R D b 2 x 1 b W 5 z M S 5 7 Q 2 9 s d W 1 u M S w w f S Z x d W 9 0 O y w m c X V v d D t T Z W N 0 a W 9 u M S 9 U Y W J s Z T k 1 L 0 F 1 d G 9 S Z W 1 v d m V k Q 2 9 s d W 1 u c z E u e 0 J h c 2 V s a W 5 l I E 1 F R i w x f S Z x d W 9 0 O y w m c X V v d D t T Z W N 0 a W 9 u M S 9 U Y W J s Z T k 1 L 0 F 1 d G 9 S Z W 1 v d m V k Q 2 9 s d W 1 u c z E u e 1 B y b 3 B v c 2 V k I E 1 F R i w y f S Z x d W 9 0 O y w m c X V v d D t T Z W N 0 a W 9 u M S 9 U Y W J s Z T k 1 L 0 F 1 d G 9 S Z W 1 v d m V k Q 2 9 s d W 1 u c z E u e 0 J h c 2 V s a W 5 l I F d G L D N 9 J n F 1 b 3 Q 7 L C Z x d W 9 0 O 1 N l Y 3 R p b 2 4 x L 1 R h Y m x l O T U v Q X V 0 b 1 J l b W 9 2 Z W R D b 2 x 1 b W 5 z M S 5 7 U H J v c G 9 z Z W Q g V 0 Y s N H 0 m c X V v d D t d L C Z x d W 9 0 O 0 N v b H V t b k N v d W 5 0 J n F 1 b 3 Q 7 O j U s J n F 1 b 3 Q 7 S 2 V 5 Q 2 9 s d W 1 u T m F t Z X M m c X V v d D s 6 W 1 0 s J n F 1 b 3 Q 7 Q 2 9 s d W 1 u S W R l b n R p d G l l c y Z x d W 9 0 O z p b J n F 1 b 3 Q 7 U 2 V j d G l v b j E v V G F i b G U 5 N S 9 B d X R v U m V t b 3 Z l Z E N v b H V t b n M x L n t D b 2 x 1 b W 4 x L D B 9 J n F 1 b 3 Q 7 L C Z x d W 9 0 O 1 N l Y 3 R p b 2 4 x L 1 R h Y m x l O T U v Q X V 0 b 1 J l b W 9 2 Z W R D b 2 x 1 b W 5 z M S 5 7 Q m F z Z W x p b m U g T U V G L D F 9 J n F 1 b 3 Q 7 L C Z x d W 9 0 O 1 N l Y 3 R p b 2 4 x L 1 R h Y m x l O T U v Q X V 0 b 1 J l b W 9 2 Z W R D b 2 x 1 b W 5 z M S 5 7 U H J v c G 9 z Z W Q g T U V G L D J 9 J n F 1 b 3 Q 7 L C Z x d W 9 0 O 1 N l Y 3 R p b 2 4 x L 1 R h Y m x l O T U v Q X V 0 b 1 J l b W 9 2 Z W R D b 2 x 1 b W 5 z M S 5 7 Q m F z Z W x p b m U g V 0 Y s M 3 0 m c X V v d D s s J n F 1 b 3 Q 7 U 2 V j d G l v b j E v V G F i b G U 5 N S 9 B d X R v U m V t b 3 Z l Z E N v b H V t b n M x L n t Q c m 9 w b 3 N l Z C B X R i w 0 f S Z x d W 9 0 O 1 0 s J n F 1 b 3 Q 7 U m V s Y X R p b 2 5 z a G l w S W 5 m b y Z x d W 9 0 O z p b X X 0 i I C 8 + P C 9 T d G F i b G V F b n R y a W V z P j w v S X R l b T 4 8 S X R l b T 4 8 S X R l b U x v Y 2 F 0 a W 9 u P j x J d G V t V H l w Z T 5 G b 3 J t d W x h P C 9 J d G V t V H l w Z T 4 8 S X R l b V B h d G g + U 2 V j d G l v b j E v V G F i b G U 5 N S 9 T b 3 V y Y 2 U 8 L 0 l 0 Z W 1 Q Y X R o P j w v S X R l b U x v Y 2 F 0 a W 9 u P j x T d G F i b G V F b n R y a W V z I C 8 + P C 9 J d G V t P j x J d G V t P j x J d G V t T G 9 j Y X R p b 2 4 + P E l 0 Z W 1 U e X B l P k Z v c m 1 1 b G E 8 L 0 l 0 Z W 1 U e X B l P j x J d G V t U G F 0 a D 5 T Z W N 0 a W 9 u M S 9 U Y W J s Z T k 1 L 0 N o Y W 5 n Z W Q l M j B U e X B l P C 9 J d G V t U G F 0 a D 4 8 L 0 l 0 Z W 1 M b 2 N h d G l v b j 4 8 U 3 R h Y m x l R W 5 0 c m l l c y A v P j w v S X R l b T 4 8 L 0 l 0 Z W 1 z P j w v T G 9 j Y W x Q Y W N r Y W d l T W V 0 Y W R h d G F G a W x l P h Y A A A B Q S w U G A A A A A A A A A A A A A A A A A A A A A A A A 2 g A A A A E A A A D Q j J 3 f A R X R E Y x 6 A M B P w p f r A Q A A A I s z h O / c h p F E l 4 p R d h a E u T U A A A A A A g A A A A A A A 2 Y A A M A A A A A Q A A A A R S a 3 Y c 0 K X Y P P 4 s / N 4 N b 8 u w A A A A A E g A A A o A A A A B A A A A D B s y 0 X K X z e d / 3 n 2 G I / P E u 3 U A A A A K J 9 t S 3 q G F n u l c v / S 2 S 5 Q u o 4 M v a d n s H O g 5 + P A O 0 S 0 i R w 1 L V u S C Q y u a n U P T K S O t T U 4 K M f D B l b W U t 4 B + T 9 B O S K A a j a n R 0 g X / A 9 H 3 n a Q F n d j Y b k F A A A A E M + r O Z n C 4 L l K y S 0 d w Z 2 N 6 i A m x u 8 < / 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8AF1B91BD7692478C94F46CF98EE500" ma:contentTypeVersion="20" ma:contentTypeDescription="Create a new document." ma:contentTypeScope="" ma:versionID="a2317c70fb09aa03256f4e69fe80a2da">
  <xsd:schema xmlns:xsd="http://www.w3.org/2001/XMLSchema" xmlns:xs="http://www.w3.org/2001/XMLSchema" xmlns:p="http://schemas.microsoft.com/office/2006/metadata/properties" xmlns:ns1="http://schemas.microsoft.com/sharepoint/v3" xmlns:ns2="90045f81-e474-4cc8-91fc-f9cb5260fa0c" xmlns:ns3="8e458bd4-7114-420a-b104-72f37e92a536" xmlns:ns4="2f35c3e5-ab5e-4ccf-808d-fba26bb89201" targetNamespace="http://schemas.microsoft.com/office/2006/metadata/properties" ma:root="true" ma:fieldsID="c19ccf5fad2f82a90aacba3804a2ba84" ns1:_="" ns2:_="" ns3:_="" ns4:_="">
    <xsd:import namespace="http://schemas.microsoft.com/sharepoint/v3"/>
    <xsd:import namespace="90045f81-e474-4cc8-91fc-f9cb5260fa0c"/>
    <xsd:import namespace="8e458bd4-7114-420a-b104-72f37e92a536"/>
    <xsd:import namespace="2f35c3e5-ab5e-4ccf-808d-fba26bb89201"/>
    <xsd:element name="properties">
      <xsd:complexType>
        <xsd:sequence>
          <xsd:element name="documentManagement">
            <xsd:complexType>
              <xsd:all>
                <xsd:element ref="ns1:PublishingStartDate" minOccurs="0"/>
                <xsd:element ref="ns1:PublishingExpirationDate"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4:TaxCatchAll" minOccurs="0"/>
                <xsd:element ref="ns3:MediaServiceOCR" minOccurs="0"/>
                <xsd:element ref="ns3:MediaServiceGenerationTime" minOccurs="0"/>
                <xsd:element ref="ns3:MediaServiceEventHashCode" minOccurs="0"/>
                <xsd:element ref="ns3:MediaServiceLocation" minOccurs="0"/>
                <xsd:element ref="ns3:MediaServiceObjectDetectorVersions" minOccurs="0"/>
                <xsd:element ref="ns1:_ip_UnifiedCompliancePolicyProperties" minOccurs="0"/>
                <xsd:element ref="ns1:_ip_UnifiedCompliancePolicyUIAc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045f81-e474-4cc8-91fc-f9cb5260fa0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e458bd4-7114-420a-b104-72f37e92a53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86030b31-b262-4dfa-bb64-35cfdf7b07c2"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Location" ma:index="24" nillable="true" ma:displayName="Location" ma:internalName="MediaServiceLocation" ma:readOnly="true">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35c3e5-ab5e-4ccf-808d-fba26bb8920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c034ad42-3b8c-4845-a80c-2d52a466a321}" ma:internalName="TaxCatchAll" ma:showField="CatchAllData" ma:web="2f35c3e5-ab5e-4ccf-808d-fba26bb892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TaxCatchAll xmlns="2f35c3e5-ab5e-4ccf-808d-fba26bb89201" xsi:nil="true"/>
    <lcf76f155ced4ddcb4097134ff3c332f xmlns="8e458bd4-7114-420a-b104-72f37e92a536">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423DA2CA-C17D-4B38-9719-48D4C20487AB}">
  <ds:schemaRefs>
    <ds:schemaRef ds:uri="http://schemas.microsoft.com/DataMashup"/>
  </ds:schemaRefs>
</ds:datastoreItem>
</file>

<file path=customXml/itemProps2.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3.xml><?xml version="1.0" encoding="utf-8"?>
<ds:datastoreItem xmlns:ds="http://schemas.openxmlformats.org/officeDocument/2006/customXml" ds:itemID="{7BBEF084-5F5A-4968-B554-3C725584AC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0045f81-e474-4cc8-91fc-f9cb5260fa0c"/>
    <ds:schemaRef ds:uri="8e458bd4-7114-420a-b104-72f37e92a536"/>
    <ds:schemaRef ds:uri="2f35c3e5-ab5e-4ccf-808d-fba26bb892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F62B438-2CAC-41AA-86A3-35BAB28DE6C6}">
  <ds:schemaRefs>
    <ds:schemaRef ds:uri="http://purl.org/dc/elements/1.1/"/>
    <ds:schemaRef ds:uri="http://purl.org/dc/dcmitype/"/>
    <ds:schemaRef ds:uri="2f35c3e5-ab5e-4ccf-808d-fba26bb89201"/>
    <ds:schemaRef ds:uri="http://purl.org/dc/terms/"/>
    <ds:schemaRef ds:uri="90045f81-e474-4cc8-91fc-f9cb5260fa0c"/>
    <ds:schemaRef ds:uri="http://schemas.microsoft.com/office/infopath/2007/PartnerControls"/>
    <ds:schemaRef ds:uri="http://schemas.microsoft.com/office/2006/metadata/properties"/>
    <ds:schemaRef ds:uri="http://schemas.openxmlformats.org/package/2006/metadata/core-properties"/>
    <ds:schemaRef ds:uri="http://schemas.microsoft.com/office/2006/documentManagement/types"/>
    <ds:schemaRef ds:uri="8e458bd4-7114-420a-b104-72f37e92a536"/>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736</vt:i4>
      </vt:variant>
    </vt:vector>
  </HeadingPairs>
  <TitlesOfParts>
    <vt:vector size="765" baseType="lpstr">
      <vt:lpstr>M01-S01</vt:lpstr>
      <vt:lpstr>M01-S02</vt:lpstr>
      <vt:lpstr>M01-S03</vt:lpstr>
      <vt:lpstr>M01-S04</vt:lpstr>
      <vt:lpstr>M02-S02</vt:lpstr>
      <vt:lpstr>M02-S03</vt:lpstr>
      <vt:lpstr>M02-S04</vt:lpstr>
      <vt:lpstr>M03-S01</vt:lpstr>
      <vt:lpstr>M04-S02</vt:lpstr>
      <vt:lpstr>M04-S03</vt:lpstr>
      <vt:lpstr>M04-S04</vt:lpstr>
      <vt:lpstr>M04-S05</vt:lpstr>
      <vt:lpstr>M04-S06</vt:lpstr>
      <vt:lpstr>M04-S07</vt:lpstr>
      <vt:lpstr>M04-S08</vt:lpstr>
      <vt:lpstr>M04-S09</vt:lpstr>
      <vt:lpstr>M04-S10</vt:lpstr>
      <vt:lpstr>M04-S11</vt:lpstr>
      <vt:lpstr>M05-S01a</vt:lpstr>
      <vt:lpstr>M05-S01b</vt:lpstr>
      <vt:lpstr>M02-S01</vt:lpstr>
      <vt:lpstr>M05-S02</vt:lpstr>
      <vt:lpstr>M05-S02-1</vt:lpstr>
      <vt:lpstr>M05-S04</vt:lpstr>
      <vt:lpstr>M05-S05</vt:lpstr>
      <vt:lpstr>M05-S06</vt:lpstr>
      <vt:lpstr>M05-S07</vt:lpstr>
      <vt:lpstr>M05-S08</vt:lpstr>
      <vt:lpstr>EXPORT</vt:lpstr>
      <vt:lpstr>ACTIVECOMPL</vt:lpstr>
      <vt:lpstr>ACTIVEINSPECT</vt:lpstr>
      <vt:lpstr>ACTIVEOFFER</vt:lpstr>
      <vt:lpstr>Annual_therm_consumption</vt:lpstr>
      <vt:lpstr>APP_TYPE</vt:lpstr>
      <vt:lpstr>BLOCKBIDRATE</vt:lpstr>
      <vt:lpstr>'M05-S04'!BUILDING</vt:lpstr>
      <vt:lpstr>'M05-S06'!BUILDING</vt:lpstr>
      <vt:lpstr>'M05-S08'!BUILDING</vt:lpstr>
      <vt:lpstr>BUILDING</vt:lpstr>
      <vt:lpstr>BuildingInfo_Annual_Operating_Hours</vt:lpstr>
      <vt:lpstr>BuildingInfo_Building_Type</vt:lpstr>
      <vt:lpstr>BuildingInfo_Space_Conditioning_Type</vt:lpstr>
      <vt:lpstr>BuildingInfo_Space_Cooling_Type</vt:lpstr>
      <vt:lpstr>BuildingInfo_Water_Heating</vt:lpstr>
      <vt:lpstr>BuildingInfo_Year_Built</vt:lpstr>
      <vt:lpstr>'M05-S04'!BuildingType_Food</vt:lpstr>
      <vt:lpstr>'M05-S06'!BuildingType_Food</vt:lpstr>
      <vt:lpstr>'M05-S08'!BuildingType_Food</vt:lpstr>
      <vt:lpstr>BuildingType_Food</vt:lpstr>
      <vt:lpstr>'M05-S04'!BuildingType_Lighting</vt:lpstr>
      <vt:lpstr>'M05-S06'!BuildingType_Lighting</vt:lpstr>
      <vt:lpstr>'M05-S08'!BuildingType_Lighting</vt:lpstr>
      <vt:lpstr>BuildingType_Lighting</vt:lpstr>
      <vt:lpstr>'M05-S04'!BuildingType_Project_Level</vt:lpstr>
      <vt:lpstr>'M05-S06'!BuildingType_Project_Level</vt:lpstr>
      <vt:lpstr>'M05-S08'!BuildingType_Project_Level</vt:lpstr>
      <vt:lpstr>BuildingType_Project_Level</vt:lpstr>
      <vt:lpstr>'M05-S04'!BUSDEVELNAME</vt:lpstr>
      <vt:lpstr>'M05-S06'!BUSDEVELNAME</vt:lpstr>
      <vt:lpstr>'M05-S08'!BUSDEVELNAME</vt:lpstr>
      <vt:lpstr>BUSDEVELNAME</vt:lpstr>
      <vt:lpstr>CBALL</vt:lpstr>
      <vt:lpstr>CBCUSE</vt:lpstr>
      <vt:lpstr>CBPRESE</vt:lpstr>
      <vt:lpstr>CBREQ</vt:lpstr>
      <vt:lpstr>COMPBUILD</vt:lpstr>
      <vt:lpstr>COMPCUSTOMER</vt:lpstr>
      <vt:lpstr>COMPINSTRUCT</vt:lpstr>
      <vt:lpstr>COMPMEASURE</vt:lpstr>
      <vt:lpstr>COMPOBR</vt:lpstr>
      <vt:lpstr>COMPOBRAGREEMENT</vt:lpstr>
      <vt:lpstr>COMPPAY</vt:lpstr>
      <vt:lpstr>COMPSUMMARY</vt:lpstr>
      <vt:lpstr>COMPTA</vt:lpstr>
      <vt:lpstr>COMPTERMS</vt:lpstr>
      <vt:lpstr>COMPUNIONINFO</vt:lpstr>
      <vt:lpstr>Cost_Labor_All</vt:lpstr>
      <vt:lpstr>Cost_Labor_Cust</vt:lpstr>
      <vt:lpstr>Cost_Material_All</vt:lpstr>
      <vt:lpstr>Cost_Material_Cust</vt:lpstr>
      <vt:lpstr>Cost_Total_All</vt:lpstr>
      <vt:lpstr>Cost_Total_Cust</vt:lpstr>
      <vt:lpstr>Cost_Total_Cust_Final</vt:lpstr>
      <vt:lpstr>CostCap_Cust</vt:lpstr>
      <vt:lpstr>'M05-S04'!COSTTYPELIST</vt:lpstr>
      <vt:lpstr>'M05-S08'!COSTTYPELIST</vt:lpstr>
      <vt:lpstr>COSTTYPELIST</vt:lpstr>
      <vt:lpstr>'M05-S04'!CUSTINFOLIST</vt:lpstr>
      <vt:lpstr>'M05-S08'!CUSTINFOLIST</vt:lpstr>
      <vt:lpstr>CUSTINFOLIST</vt:lpstr>
      <vt:lpstr>Custom_AG_DualInputs</vt:lpstr>
      <vt:lpstr>Custom_AG_Tax</vt:lpstr>
      <vt:lpstr>Custom_AG_UserInputs</vt:lpstr>
      <vt:lpstr>Custom_FS_DualInputs</vt:lpstr>
      <vt:lpstr>Custom_FS_Tax</vt:lpstr>
      <vt:lpstr>Custom_FS_UserInputs</vt:lpstr>
      <vt:lpstr>Custom_Heating_DualInputs</vt:lpstr>
      <vt:lpstr>Custom_Heating_Tax</vt:lpstr>
      <vt:lpstr>Custom_Heating_UserInputs</vt:lpstr>
      <vt:lpstr>Custom_HVAC_DualInputs</vt:lpstr>
      <vt:lpstr>Custom_HVAC_Tax</vt:lpstr>
      <vt:lpstr>Custom_HVAC_UserInputs</vt:lpstr>
      <vt:lpstr>Custom_Lighting_DualInputs</vt:lpstr>
      <vt:lpstr>Custom_Lighting_Tax</vt:lpstr>
      <vt:lpstr>Custom_Lighting_UserInputs</vt:lpstr>
      <vt:lpstr>Custom_Misc_DualInputs</vt:lpstr>
      <vt:lpstr>Custom_Misc_Tax</vt:lpstr>
      <vt:lpstr>Custom_Misc_UserInputs</vt:lpstr>
      <vt:lpstr>Custom_PL_DualInputs</vt:lpstr>
      <vt:lpstr>Custom_PL_Tax</vt:lpstr>
      <vt:lpstr>Custom_PL_UserInputs</vt:lpstr>
      <vt:lpstr>Custom_RA_DualInputs</vt:lpstr>
      <vt:lpstr>Custom_RA_Tax</vt:lpstr>
      <vt:lpstr>Custom_RA_UserInputs</vt:lpstr>
      <vt:lpstr>Custom_Refrig_DualInputs</vt:lpstr>
      <vt:lpstr>Custom_Refrig_Tax</vt:lpstr>
      <vt:lpstr>Custom_Refrig_UserInputs</vt:lpstr>
      <vt:lpstr>Custom_WH_DualInputs</vt:lpstr>
      <vt:lpstr>Custom_WH_Tax</vt:lpstr>
      <vt:lpstr>Custom_WH_UserInputs</vt:lpstr>
      <vt:lpstr>'M05-S04'!CUSTOMPROJECTTYPE</vt:lpstr>
      <vt:lpstr>'M05-S08'!CUSTOMPROJECTTYPE</vt:lpstr>
      <vt:lpstr>CUSTOMPROJECTTYPE</vt:lpstr>
      <vt:lpstr>EmailPlatformSelection</vt:lpstr>
      <vt:lpstr>EncryptedEmailInstructions</vt:lpstr>
      <vt:lpstr>'M05-S04'!ENGNRSNAMES</vt:lpstr>
      <vt:lpstr>'M05-S06'!ENGNRSNAMES</vt:lpstr>
      <vt:lpstr>'M05-S08'!ENGNRSNAMES</vt:lpstr>
      <vt:lpstr>ENGNRSNAMES</vt:lpstr>
      <vt:lpstr>EXPIRATION</vt:lpstr>
      <vt:lpstr>EXPIRATION_DATE</vt:lpstr>
      <vt:lpstr>EXPNOTICE</vt:lpstr>
      <vt:lpstr>FOOT1</vt:lpstr>
      <vt:lpstr>FOOT2</vt:lpstr>
      <vt:lpstr>FOOT3</vt:lpstr>
      <vt:lpstr>FOOT4</vt:lpstr>
      <vt:lpstr>FOOT5</vt:lpstr>
      <vt:lpstr>FOOT6</vt:lpstr>
      <vt:lpstr>FOOTDISCLAIM</vt:lpstr>
      <vt:lpstr>'M05-S04'!IMPLSPECNAME</vt:lpstr>
      <vt:lpstr>'M05-S06'!IMPLSPECNAME</vt:lpstr>
      <vt:lpstr>'M05-S08'!IMPLSPECNAME</vt:lpstr>
      <vt:lpstr>IMPLSPECNAME</vt:lpstr>
      <vt:lpstr>'M05-S08'!Inc_Light</vt:lpstr>
      <vt:lpstr>INCCOSTCAP</vt:lpstr>
      <vt:lpstr>INCENSTATUS</vt:lpstr>
      <vt:lpstr>Incent_Rate_kWh</vt:lpstr>
      <vt:lpstr>Incent_Rate_thm</vt:lpstr>
      <vt:lpstr>Incent_Total_Cap_All</vt:lpstr>
      <vt:lpstr>Incent_Total_Cap_Cust</vt:lpstr>
      <vt:lpstr>Incent_Total_Uncap_All</vt:lpstr>
      <vt:lpstr>Incent_Total_Uncap_Cust</vt:lpstr>
      <vt:lpstr>INCENTTOCOST_CUST</vt:lpstr>
      <vt:lpstr>'M05-S04'!INSTALL</vt:lpstr>
      <vt:lpstr>'M05-S06'!INSTALL</vt:lpstr>
      <vt:lpstr>'M05-S08'!INSTALL</vt:lpstr>
      <vt:lpstr>INSTALL</vt:lpstr>
      <vt:lpstr>'M05-S04'!INSTALLERLIST</vt:lpstr>
      <vt:lpstr>'M05-S06'!INSTALLERLIST</vt:lpstr>
      <vt:lpstr>'M05-S08'!INSTALLERLIST</vt:lpstr>
      <vt:lpstr>INSTALLERLIST</vt:lpstr>
      <vt:lpstr>InternalLaborCost</vt:lpstr>
      <vt:lpstr>kW_Customer_Total_All</vt:lpstr>
      <vt:lpstr>kW_Customer_Total_Cust</vt:lpstr>
      <vt:lpstr>kW_Reported_Total_All</vt:lpstr>
      <vt:lpstr>kW_Reported_Total_Cust</vt:lpstr>
      <vt:lpstr>kWh_Customer_Total_All</vt:lpstr>
      <vt:lpstr>kWh_Customer_Total_Cust</vt:lpstr>
      <vt:lpstr>kWh_Reported_Total_All</vt:lpstr>
      <vt:lpstr>kWh_Reported_Total_Cust</vt:lpstr>
      <vt:lpstr>KWHRATEMAX</vt:lpstr>
      <vt:lpstr>KWHRATEMIN</vt:lpstr>
      <vt:lpstr>KWHSTATUS</vt:lpstr>
      <vt:lpstr>KWRATE</vt:lpstr>
      <vt:lpstr>Lighting_Only_rate</vt:lpstr>
      <vt:lpstr>'M05-S04'!List_ContractorType</vt:lpstr>
      <vt:lpstr>'M05-S08'!List_ContractorType</vt:lpstr>
      <vt:lpstr>List_ContractorType</vt:lpstr>
      <vt:lpstr>'M05-S04'!List_Cust_Ag</vt:lpstr>
      <vt:lpstr>'M05-S08'!List_Cust_Ag</vt:lpstr>
      <vt:lpstr>List_Cust_Ag</vt:lpstr>
      <vt:lpstr>'M05-S04'!List_Cust_Food</vt:lpstr>
      <vt:lpstr>'M05-S08'!List_Cust_Food</vt:lpstr>
      <vt:lpstr>List_Cust_Food</vt:lpstr>
      <vt:lpstr>'M05-S04'!List_Cust_Heat</vt:lpstr>
      <vt:lpstr>'M05-S08'!List_Cust_Heat</vt:lpstr>
      <vt:lpstr>List_Cust_Heat</vt:lpstr>
      <vt:lpstr>'M05-S04'!List_Cust_HVAC</vt:lpstr>
      <vt:lpstr>'M05-S08'!List_Cust_HVAC</vt:lpstr>
      <vt:lpstr>List_Cust_HVAC</vt:lpstr>
      <vt:lpstr>'M05-S04'!List_Cust_Light</vt:lpstr>
      <vt:lpstr>'M05-S08'!List_Cust_Light</vt:lpstr>
      <vt:lpstr>List_Cust_Light</vt:lpstr>
      <vt:lpstr>'M05-S04'!List_Cust_Misc</vt:lpstr>
      <vt:lpstr>'M05-S08'!List_Cust_Misc</vt:lpstr>
      <vt:lpstr>List_Cust_Misc</vt:lpstr>
      <vt:lpstr>'M05-S04'!List_Cust_Plug</vt:lpstr>
      <vt:lpstr>'M05-S08'!List_Cust_Plug</vt:lpstr>
      <vt:lpstr>List_Cust_Plug</vt:lpstr>
      <vt:lpstr>'M05-S04'!List_Cust_Refrig</vt:lpstr>
      <vt:lpstr>'M05-S08'!List_Cust_Refrig</vt:lpstr>
      <vt:lpstr>List_Cust_Refrig</vt:lpstr>
      <vt:lpstr>'M05-S04'!List_Cust_Res</vt:lpstr>
      <vt:lpstr>'M05-S08'!List_Cust_Res</vt:lpstr>
      <vt:lpstr>List_Cust_Res</vt:lpstr>
      <vt:lpstr>'M05-S04'!List_Cust_Water</vt:lpstr>
      <vt:lpstr>'M05-S08'!List_Cust_Water</vt:lpstr>
      <vt:lpstr>List_Cust_Water</vt:lpstr>
      <vt:lpstr>List_CustomerType</vt:lpstr>
      <vt:lpstr>'M05-S04'!List_ELECTRICUTIL</vt:lpstr>
      <vt:lpstr>'M05-S06'!List_ELECTRICUTIL</vt:lpstr>
      <vt:lpstr>'M05-S08'!List_ELECTRICUTIL</vt:lpstr>
      <vt:lpstr>List_ELECTRICUTIL</vt:lpstr>
      <vt:lpstr>'M05-S04'!List_EmailProvider</vt:lpstr>
      <vt:lpstr>'M05-S06'!List_EmailProvider</vt:lpstr>
      <vt:lpstr>'M05-S08'!List_EmailProvider</vt:lpstr>
      <vt:lpstr>List_EmailProvider</vt:lpstr>
      <vt:lpstr>'M05-S04'!List_GASUTIL</vt:lpstr>
      <vt:lpstr>'M05-S06'!List_GASUTIL</vt:lpstr>
      <vt:lpstr>'M05-S08'!List_GASUTIL</vt:lpstr>
      <vt:lpstr>List_GASUTIL</vt:lpstr>
      <vt:lpstr>'M05-S04'!LIST_InstructionsbySubmissionMethod</vt:lpstr>
      <vt:lpstr>'M05-S06'!LIST_InstructionsbySubmissionMethod</vt:lpstr>
      <vt:lpstr>'M05-S08'!LIST_InstructionsbySubmissionMethod</vt:lpstr>
      <vt:lpstr>LIST_InstructionsbySubmissionMethod</vt:lpstr>
      <vt:lpstr>'M05-S04'!LIST_Payee_Type</vt:lpstr>
      <vt:lpstr>'M05-S06'!LIST_Payee_Type</vt:lpstr>
      <vt:lpstr>'M05-S08'!LIST_Payee_Type</vt:lpstr>
      <vt:lpstr>LIST_Payee_Type</vt:lpstr>
      <vt:lpstr>LIST_Payee_Type_TA</vt:lpstr>
      <vt:lpstr>'M05-S04'!LIST_Space_Conditioning</vt:lpstr>
      <vt:lpstr>'M05-S06'!LIST_Space_Conditioning</vt:lpstr>
      <vt:lpstr>'M05-S08'!LIST_Space_Conditioning</vt:lpstr>
      <vt:lpstr>LIST_Space_Conditioning</vt:lpstr>
      <vt:lpstr>'M05-S04'!LIST_Step3Instruction</vt:lpstr>
      <vt:lpstr>'M05-S06'!LIST_Step3Instruction</vt:lpstr>
      <vt:lpstr>'M05-S08'!LIST_Step3Instruction</vt:lpstr>
      <vt:lpstr>LIST_Step3Instruction</vt:lpstr>
      <vt:lpstr>'M05-S04'!LIST_SubmissionMethods</vt:lpstr>
      <vt:lpstr>'M05-S06'!LIST_SubmissionMethods</vt:lpstr>
      <vt:lpstr>'M05-S08'!LIST_SubmissionMethods</vt:lpstr>
      <vt:lpstr>LIST_SubmissionMethods</vt:lpstr>
      <vt:lpstr>'M05-S04'!List_SubProgramType</vt:lpstr>
      <vt:lpstr>'M05-S08'!List_SubProgramType</vt:lpstr>
      <vt:lpstr>List_SubProgramType</vt:lpstr>
      <vt:lpstr>'M05-S04'!List_WhoFilling</vt:lpstr>
      <vt:lpstr>'M05-S08'!List_WhoFilling</vt:lpstr>
      <vt:lpstr>List_WhoFilling</vt:lpstr>
      <vt:lpstr>M01S02F01</vt:lpstr>
      <vt:lpstr>M01S02F01disp</vt:lpstr>
      <vt:lpstr>M01S02F02</vt:lpstr>
      <vt:lpstr>M01S02F02disp</vt:lpstr>
      <vt:lpstr>M01S02F03</vt:lpstr>
      <vt:lpstr>M01S02F03disp</vt:lpstr>
      <vt:lpstr>'M05-S08'!M01S04</vt:lpstr>
      <vt:lpstr>M01S04</vt:lpstr>
      <vt:lpstr>M02S01F01</vt:lpstr>
      <vt:lpstr>M02S01F01disp</vt:lpstr>
      <vt:lpstr>M02S01F02</vt:lpstr>
      <vt:lpstr>M02S01F02disp</vt:lpstr>
      <vt:lpstr>M02S01F03</vt:lpstr>
      <vt:lpstr>M02S01F03disp</vt:lpstr>
      <vt:lpstr>M02S02F01</vt:lpstr>
      <vt:lpstr>M02S02F01disp</vt:lpstr>
      <vt:lpstr>M02S02F02</vt:lpstr>
      <vt:lpstr>M02S02F02disp</vt:lpstr>
      <vt:lpstr>M02S02F03</vt:lpstr>
      <vt:lpstr>M02S02F03disp</vt:lpstr>
      <vt:lpstr>M02S02F04</vt:lpstr>
      <vt:lpstr>M02S02F04disp</vt:lpstr>
      <vt:lpstr>M02S02F05</vt:lpstr>
      <vt:lpstr>M02S02F05disp</vt:lpstr>
      <vt:lpstr>M02S02F06</vt:lpstr>
      <vt:lpstr>M02S02F06disp</vt:lpstr>
      <vt:lpstr>M02S02F07</vt:lpstr>
      <vt:lpstr>M02S02F07disp</vt:lpstr>
      <vt:lpstr>M02S02F08</vt:lpstr>
      <vt:lpstr>M02S02F08disp</vt:lpstr>
      <vt:lpstr>M02S02F09</vt:lpstr>
      <vt:lpstr>M02S02F09disp</vt:lpstr>
      <vt:lpstr>M02S02F10</vt:lpstr>
      <vt:lpstr>M02S02F10disp</vt:lpstr>
      <vt:lpstr>M02S02F11</vt:lpstr>
      <vt:lpstr>M02S02F11disp</vt:lpstr>
      <vt:lpstr>M02S02F12</vt:lpstr>
      <vt:lpstr>M02S02F12disp</vt:lpstr>
      <vt:lpstr>M02S02F13</vt:lpstr>
      <vt:lpstr>M02S02F13disp</vt:lpstr>
      <vt:lpstr>M02S02F14</vt:lpstr>
      <vt:lpstr>M02S02F14disp</vt:lpstr>
      <vt:lpstr>M02S02F15</vt:lpstr>
      <vt:lpstr>M02S02F15disp</vt:lpstr>
      <vt:lpstr>M02S02F16</vt:lpstr>
      <vt:lpstr>M02S02F16disp</vt:lpstr>
      <vt:lpstr>M02S02F17</vt:lpstr>
      <vt:lpstr>M02S02F17disp</vt:lpstr>
      <vt:lpstr>M02S02F18</vt:lpstr>
      <vt:lpstr>M02S02F18disp</vt:lpstr>
      <vt:lpstr>M02S02F19</vt:lpstr>
      <vt:lpstr>M02S02F19disp</vt:lpstr>
      <vt:lpstr>M02S02F20</vt:lpstr>
      <vt:lpstr>M02S02F20disp</vt:lpstr>
      <vt:lpstr>M02S02F21</vt:lpstr>
      <vt:lpstr>M02S02F21disp</vt:lpstr>
      <vt:lpstr>M02S02F22</vt:lpstr>
      <vt:lpstr>M02S02F22disp</vt:lpstr>
      <vt:lpstr>M02S02F23</vt:lpstr>
      <vt:lpstr>M02S02F23disp</vt:lpstr>
      <vt:lpstr>M02S02F24</vt:lpstr>
      <vt:lpstr>M02S02F24disp</vt:lpstr>
      <vt:lpstr>M02S02F25</vt:lpstr>
      <vt:lpstr>M02S02F25disp</vt:lpstr>
      <vt:lpstr>M02S02F26</vt:lpstr>
      <vt:lpstr>M02S02F26disp</vt:lpstr>
      <vt:lpstr>M02S02F27</vt:lpstr>
      <vt:lpstr>M02S02F27disp</vt:lpstr>
      <vt:lpstr>M02S02F28</vt:lpstr>
      <vt:lpstr>M02S02F28disp</vt:lpstr>
      <vt:lpstr>M02S02F29</vt:lpstr>
      <vt:lpstr>M02S02F29disp</vt:lpstr>
      <vt:lpstr>M02S02F30</vt:lpstr>
      <vt:lpstr>M02S02F30disp</vt:lpstr>
      <vt:lpstr>M02S02F31</vt:lpstr>
      <vt:lpstr>M02S02F31disp</vt:lpstr>
      <vt:lpstr>M02S02F32</vt:lpstr>
      <vt:lpstr>M02S02F32disp</vt:lpstr>
      <vt:lpstr>M02S02F33</vt:lpstr>
      <vt:lpstr>M02S02F33disp</vt:lpstr>
      <vt:lpstr>M02S03F01</vt:lpstr>
      <vt:lpstr>M02S03F01disp</vt:lpstr>
      <vt:lpstr>M02S03F02</vt:lpstr>
      <vt:lpstr>M02S03F02disp</vt:lpstr>
      <vt:lpstr>M02S03F03</vt:lpstr>
      <vt:lpstr>M02S03F03disp</vt:lpstr>
      <vt:lpstr>M02S03F04</vt:lpstr>
      <vt:lpstr>M02S03F04disp</vt:lpstr>
      <vt:lpstr>M02S03F05</vt:lpstr>
      <vt:lpstr>M02S03F05disp</vt:lpstr>
      <vt:lpstr>M02S03F06</vt:lpstr>
      <vt:lpstr>M02S03F06disp</vt:lpstr>
      <vt:lpstr>M02S03F07</vt:lpstr>
      <vt:lpstr>M02S03F07disp</vt:lpstr>
      <vt:lpstr>M02S03F08</vt:lpstr>
      <vt:lpstr>M02S03F08disp</vt:lpstr>
      <vt:lpstr>M02S03F09</vt:lpstr>
      <vt:lpstr>M02S03F09disp</vt:lpstr>
      <vt:lpstr>M02S03F10</vt:lpstr>
      <vt:lpstr>M02S03F10disp</vt:lpstr>
      <vt:lpstr>M02S03F11</vt:lpstr>
      <vt:lpstr>M02S03F11disp</vt:lpstr>
      <vt:lpstr>M02S03F12</vt:lpstr>
      <vt:lpstr>M02S03F12disp</vt:lpstr>
      <vt:lpstr>M02S03F13</vt:lpstr>
      <vt:lpstr>M02S03F13disp</vt:lpstr>
      <vt:lpstr>M02S03F14</vt:lpstr>
      <vt:lpstr>M02S03F14disp</vt:lpstr>
      <vt:lpstr>M02S03F15</vt:lpstr>
      <vt:lpstr>M02S03F15disp</vt:lpstr>
      <vt:lpstr>M02S03F16</vt:lpstr>
      <vt:lpstr>M02S03F16disp</vt:lpstr>
      <vt:lpstr>M02S03F17</vt:lpstr>
      <vt:lpstr>M02S03F17disp</vt:lpstr>
      <vt:lpstr>M02S04F01</vt:lpstr>
      <vt:lpstr>M02S04F01disp</vt:lpstr>
      <vt:lpstr>M02S04F02</vt:lpstr>
      <vt:lpstr>M02S04F02disp</vt:lpstr>
      <vt:lpstr>M02S04F03</vt:lpstr>
      <vt:lpstr>M02S04F03disp</vt:lpstr>
      <vt:lpstr>M02S04F04</vt:lpstr>
      <vt:lpstr>M02S04F04disp</vt:lpstr>
      <vt:lpstr>M02S04F05</vt:lpstr>
      <vt:lpstr>M02S04F05disp</vt:lpstr>
      <vt:lpstr>M02S04F06</vt:lpstr>
      <vt:lpstr>M02S04F06disp</vt:lpstr>
      <vt:lpstr>M02S04F07</vt:lpstr>
      <vt:lpstr>M02S04F07disp</vt:lpstr>
      <vt:lpstr>M02S04F08</vt:lpstr>
      <vt:lpstr>M02S04F08disp</vt:lpstr>
      <vt:lpstr>M02S04F09</vt:lpstr>
      <vt:lpstr>M02S04F09disp</vt:lpstr>
      <vt:lpstr>M02S04F10</vt:lpstr>
      <vt:lpstr>M02S04F10disp</vt:lpstr>
      <vt:lpstr>M02S04F11</vt:lpstr>
      <vt:lpstr>M02S04F11disp</vt:lpstr>
      <vt:lpstr>M02S04F12</vt:lpstr>
      <vt:lpstr>M02S04F12disp</vt:lpstr>
      <vt:lpstr>M02S04F13</vt:lpstr>
      <vt:lpstr>M02S04F13disp</vt:lpstr>
      <vt:lpstr>M02S04F14</vt:lpstr>
      <vt:lpstr>M02S04F14disp</vt:lpstr>
      <vt:lpstr>M02S04F15</vt:lpstr>
      <vt:lpstr>M02S04F15disp</vt:lpstr>
      <vt:lpstr>M02S04F16</vt:lpstr>
      <vt:lpstr>M02S04F16disp</vt:lpstr>
      <vt:lpstr>M02S04F17</vt:lpstr>
      <vt:lpstr>M02S04F17disp</vt:lpstr>
      <vt:lpstr>M05S01AF01</vt:lpstr>
      <vt:lpstr>M05S01AF01disp</vt:lpstr>
      <vt:lpstr>M05S01AF02</vt:lpstr>
      <vt:lpstr>M05S01AF02disp</vt:lpstr>
      <vt:lpstr>M05S01AF03</vt:lpstr>
      <vt:lpstr>M05S01AF03disp</vt:lpstr>
      <vt:lpstr>M05S01AF04</vt:lpstr>
      <vt:lpstr>M05S01AF04disp</vt:lpstr>
      <vt:lpstr>M05S01AF05</vt:lpstr>
      <vt:lpstr>M05S01AF05disp</vt:lpstr>
      <vt:lpstr>M05S01AF06</vt:lpstr>
      <vt:lpstr>M05S01AF06disp</vt:lpstr>
      <vt:lpstr>M05S01AF07</vt:lpstr>
      <vt:lpstr>M05S01AF07disp</vt:lpstr>
      <vt:lpstr>M05S01AF08</vt:lpstr>
      <vt:lpstr>M05S01AF08disp</vt:lpstr>
      <vt:lpstr>M05S01AF09</vt:lpstr>
      <vt:lpstr>M05S01AF09disp</vt:lpstr>
      <vt:lpstr>M05S01AF10</vt:lpstr>
      <vt:lpstr>M05S01AF10disp</vt:lpstr>
      <vt:lpstr>M05S01AF11</vt:lpstr>
      <vt:lpstr>M05S01AF11disp</vt:lpstr>
      <vt:lpstr>M05S01AF12</vt:lpstr>
      <vt:lpstr>M05S01AF12disp</vt:lpstr>
      <vt:lpstr>M05S01AF13</vt:lpstr>
      <vt:lpstr>M05S01AF13disp</vt:lpstr>
      <vt:lpstr>M05S01AF14</vt:lpstr>
      <vt:lpstr>M05S01AF14disp</vt:lpstr>
      <vt:lpstr>M05S01AF15</vt:lpstr>
      <vt:lpstr>M05S01AF15disp</vt:lpstr>
      <vt:lpstr>M05S01AF16</vt:lpstr>
      <vt:lpstr>M05S01AF16disp</vt:lpstr>
      <vt:lpstr>M05S01BF01</vt:lpstr>
      <vt:lpstr>M05S01BF01disp</vt:lpstr>
      <vt:lpstr>M05S01BF02</vt:lpstr>
      <vt:lpstr>M05S01BF02disp</vt:lpstr>
      <vt:lpstr>M05S01BF03</vt:lpstr>
      <vt:lpstr>M05S01BF03disp</vt:lpstr>
      <vt:lpstr>M05S01BF07</vt:lpstr>
      <vt:lpstr>M05S01BF07disp</vt:lpstr>
      <vt:lpstr>M05S01BF08</vt:lpstr>
      <vt:lpstr>M05S01BF08disp</vt:lpstr>
      <vt:lpstr>M05S01BF09</vt:lpstr>
      <vt:lpstr>M05S01BF09disp</vt:lpstr>
      <vt:lpstr>M05S01BF10</vt:lpstr>
      <vt:lpstr>M05S01BF10disp</vt:lpstr>
      <vt:lpstr>M05S01BF11</vt:lpstr>
      <vt:lpstr>M05S01BF11disp</vt:lpstr>
      <vt:lpstr>M05S01BF12</vt:lpstr>
      <vt:lpstr>M05S01BF12disp</vt:lpstr>
      <vt:lpstr>M05S01BF14</vt:lpstr>
      <vt:lpstr>M05S01BF14disp</vt:lpstr>
      <vt:lpstr>M05S01BF15</vt:lpstr>
      <vt:lpstr>M05S01BF15disp</vt:lpstr>
      <vt:lpstr>M05S01BF17</vt:lpstr>
      <vt:lpstr>M05S01BF17disp</vt:lpstr>
      <vt:lpstr>M05S01BF19</vt:lpstr>
      <vt:lpstr>M05S01BF19disp</vt:lpstr>
      <vt:lpstr>M05S01BF20</vt:lpstr>
      <vt:lpstr>M05S01BF20disp</vt:lpstr>
      <vt:lpstr>M05S01BF21</vt:lpstr>
      <vt:lpstr>M05S01BF21disp</vt:lpstr>
      <vt:lpstr>M05S01BF22</vt:lpstr>
      <vt:lpstr>M05S01BF22disp</vt:lpstr>
      <vt:lpstr>M05S01BF23</vt:lpstr>
      <vt:lpstr>M05S01BF23disp</vt:lpstr>
      <vt:lpstr>M05S01BF24</vt:lpstr>
      <vt:lpstr>M05S01BF24disp</vt:lpstr>
      <vt:lpstr>M05S01BF25</vt:lpstr>
      <vt:lpstr>M05S01BF25disp</vt:lpstr>
      <vt:lpstr>M05S01BF27</vt:lpstr>
      <vt:lpstr>M05S01BF27disp</vt:lpstr>
      <vt:lpstr>M05S01BF28</vt:lpstr>
      <vt:lpstr>M05S01BF28disp</vt:lpstr>
      <vt:lpstr>M05S01BF29</vt:lpstr>
      <vt:lpstr>M05S01BF29disp</vt:lpstr>
      <vt:lpstr>M05S01BF30</vt:lpstr>
      <vt:lpstr>M05S01BF30disp</vt:lpstr>
      <vt:lpstr>M05S01BF31</vt:lpstr>
      <vt:lpstr>M05S01BF31disp</vt:lpstr>
      <vt:lpstr>M05S01BF32</vt:lpstr>
      <vt:lpstr>M05S01BF32disp</vt:lpstr>
      <vt:lpstr>M05S01BF33</vt:lpstr>
      <vt:lpstr>M05S01BF33disp</vt:lpstr>
      <vt:lpstr>M05S01BF34</vt:lpstr>
      <vt:lpstr>M05S01BF34disp</vt:lpstr>
      <vt:lpstr>M05S01BF35</vt:lpstr>
      <vt:lpstr>M05S01BF35disp</vt:lpstr>
      <vt:lpstr>M05S01BF36disp</vt:lpstr>
      <vt:lpstr>M05S01F01</vt:lpstr>
      <vt:lpstr>M05S01F02</vt:lpstr>
      <vt:lpstr>M05S01F03</vt:lpstr>
      <vt:lpstr>M05S01F04</vt:lpstr>
      <vt:lpstr>M05S01F05</vt:lpstr>
      <vt:lpstr>M05S01F07</vt:lpstr>
      <vt:lpstr>M05S01F08</vt:lpstr>
      <vt:lpstr>M05S01F09</vt:lpstr>
      <vt:lpstr>M05S01F10</vt:lpstr>
      <vt:lpstr>M05S01F11</vt:lpstr>
      <vt:lpstr>M05S01F12</vt:lpstr>
      <vt:lpstr>M05S01F13</vt:lpstr>
      <vt:lpstr>M05S01F14</vt:lpstr>
      <vt:lpstr>M05S02HIDE</vt:lpstr>
      <vt:lpstr>'M05-S04'!M05S05F01</vt:lpstr>
      <vt:lpstr>M05S05F01</vt:lpstr>
      <vt:lpstr>'M05-S04'!M05S05F02</vt:lpstr>
      <vt:lpstr>M05S05F02</vt:lpstr>
      <vt:lpstr>M05S06F01</vt:lpstr>
      <vt:lpstr>M05S06F01disp</vt:lpstr>
      <vt:lpstr>M05S06F02</vt:lpstr>
      <vt:lpstr>M05S06F02disp</vt:lpstr>
      <vt:lpstr>M05S06F03</vt:lpstr>
      <vt:lpstr>M05S06F03disp</vt:lpstr>
      <vt:lpstr>M05S06F04</vt:lpstr>
      <vt:lpstr>M05S06F05</vt:lpstr>
      <vt:lpstr>M05S06F06</vt:lpstr>
      <vt:lpstr>M05S06F07</vt:lpstr>
      <vt:lpstr>M05S06F08</vt:lpstr>
      <vt:lpstr>M05S06F09</vt:lpstr>
      <vt:lpstr>M05S06F10</vt:lpstr>
      <vt:lpstr>M05S06F11</vt:lpstr>
      <vt:lpstr>M05S07F02</vt:lpstr>
      <vt:lpstr>M05S07F03</vt:lpstr>
      <vt:lpstr>M05S07F04</vt:lpstr>
      <vt:lpstr>M05S07F05</vt:lpstr>
      <vt:lpstr>M05S07F06</vt:lpstr>
      <vt:lpstr>M05S07F07</vt:lpstr>
      <vt:lpstr>M05S07F08</vt:lpstr>
      <vt:lpstr>M05S07F09</vt:lpstr>
      <vt:lpstr>M05S07F10</vt:lpstr>
      <vt:lpstr>M05S07F11</vt:lpstr>
      <vt:lpstr>M05S07F12C</vt:lpstr>
      <vt:lpstr>M05S07F12O</vt:lpstr>
      <vt:lpstr>M05S07F13C</vt:lpstr>
      <vt:lpstr>M05S07F13O</vt:lpstr>
      <vt:lpstr>M05S07F14C</vt:lpstr>
      <vt:lpstr>M05S07F14O</vt:lpstr>
      <vt:lpstr>M05S07F15C</vt:lpstr>
      <vt:lpstr>M05S07F15O</vt:lpstr>
      <vt:lpstr>M05S07F16C</vt:lpstr>
      <vt:lpstr>M05S07F16O</vt:lpstr>
      <vt:lpstr>M05S07F17C</vt:lpstr>
      <vt:lpstr>M05S07F17O</vt:lpstr>
      <vt:lpstr>M05S07F18C</vt:lpstr>
      <vt:lpstr>M05S07F18O</vt:lpstr>
      <vt:lpstr>M05S07F19C</vt:lpstr>
      <vt:lpstr>M05S07F19O</vt:lpstr>
      <vt:lpstr>M05S07F20</vt:lpstr>
      <vt:lpstr>M05S07F20C</vt:lpstr>
      <vt:lpstr>M05S07F20O</vt:lpstr>
      <vt:lpstr>M05S07F21</vt:lpstr>
      <vt:lpstr>M05S07F21C</vt:lpstr>
      <vt:lpstr>M05S07F21O</vt:lpstr>
      <vt:lpstr>M05S07F22C</vt:lpstr>
      <vt:lpstr>M05S07F22O</vt:lpstr>
      <vt:lpstr>M05S07F23C</vt:lpstr>
      <vt:lpstr>M05S07F23O</vt:lpstr>
      <vt:lpstr>M05S07F24C</vt:lpstr>
      <vt:lpstr>M05S07F24O</vt:lpstr>
      <vt:lpstr>M05S08F01</vt:lpstr>
      <vt:lpstr>M05S08F03</vt:lpstr>
      <vt:lpstr>M05S08F04</vt:lpstr>
      <vt:lpstr>M05S08F05</vt:lpstr>
      <vt:lpstr>M05S08F06</vt:lpstr>
      <vt:lpstr>M05S08F07</vt:lpstr>
      <vt:lpstr>M05S08F08</vt:lpstr>
      <vt:lpstr>M05S08F09</vt:lpstr>
      <vt:lpstr>M05S08F10</vt:lpstr>
      <vt:lpstr>M05S08F11</vt:lpstr>
      <vt:lpstr>M05S08F12</vt:lpstr>
      <vt:lpstr>M05S08F13</vt:lpstr>
      <vt:lpstr>M05S08F14</vt:lpstr>
      <vt:lpstr>M05S08F15</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M4S1</vt:lpstr>
      <vt:lpstr>M4S10</vt:lpstr>
      <vt:lpstr>M4S11</vt:lpstr>
      <vt:lpstr>M4S2</vt:lpstr>
      <vt:lpstr>M4S3</vt:lpstr>
      <vt:lpstr>M4S4</vt:lpstr>
      <vt:lpstr>M4S4UNITCHECK</vt:lpstr>
      <vt:lpstr>M4S5</vt:lpstr>
      <vt:lpstr>M4S5UNITCHECK</vt:lpstr>
      <vt:lpstr>M4S6</vt:lpstr>
      <vt:lpstr>M4S6UNITCHECK</vt:lpstr>
      <vt:lpstr>M4S7</vt:lpstr>
      <vt:lpstr>M4S7UNITCHECK</vt:lpstr>
      <vt:lpstr>M4S8</vt:lpstr>
      <vt:lpstr>M4S8UNITCHECK</vt:lpstr>
      <vt:lpstr>M4S9</vt:lpstr>
      <vt:lpstr>M4S9UNITCHECK</vt:lpstr>
      <vt:lpstr>M5S1a</vt:lpstr>
      <vt:lpstr>M5S1b</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MEASTOTALALL</vt:lpstr>
      <vt:lpstr>MEASTOTALCUSE</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MS02S02F1</vt:lpstr>
      <vt:lpstr>MS2S2F00</vt:lpstr>
      <vt:lpstr>NCLIGHTINGCAP</vt:lpstr>
      <vt:lpstr>NCLIGHTINGRATE</vt:lpstr>
      <vt:lpstr>OBR_Amount_Requested</vt:lpstr>
      <vt:lpstr>OBR_Amount_Requested_Final</vt:lpstr>
      <vt:lpstr>PAYALL</vt:lpstr>
      <vt:lpstr>PAYBACKREQ</vt:lpstr>
      <vt:lpstr>PAYCUSE</vt:lpstr>
      <vt:lpstr>PayeeChckBox</vt:lpstr>
      <vt:lpstr>'M05-S04'!PAYMENTLIST</vt:lpstr>
      <vt:lpstr>'M05-S06'!PAYMENTLIST</vt:lpstr>
      <vt:lpstr>'M05-S08'!PAYMENTLIST</vt:lpstr>
      <vt:lpstr>PAYMENTLIST</vt:lpstr>
      <vt:lpstr>PAYPRESE</vt:lpstr>
      <vt:lpstr>'M05-S04'!PAYTO</vt:lpstr>
      <vt:lpstr>'M05-S06'!PAYTO</vt:lpstr>
      <vt:lpstr>'M05-S08'!PAYTO</vt:lpstr>
      <vt:lpstr>PAYTO</vt:lpstr>
      <vt:lpstr>PNAME</vt:lpstr>
      <vt:lpstr>PortalLink</vt:lpstr>
      <vt:lpstr>'M01-S01'!Print_Area</vt:lpstr>
      <vt:lpstr>'M01-S02'!Print_Area</vt:lpstr>
      <vt:lpstr>'M01-S03'!Print_Area</vt:lpstr>
      <vt:lpstr>'M01-S04'!Print_Area</vt:lpstr>
      <vt:lpstr>'M02-S01'!Print_Area</vt:lpstr>
      <vt:lpstr>'M02-S02'!Print_Area</vt:lpstr>
      <vt:lpstr>'M02-S03'!Print_Area</vt:lpstr>
      <vt:lpstr>'M02-S04'!Print_Area</vt:lpstr>
      <vt:lpstr>'M03-S01'!Print_Area</vt:lpstr>
      <vt:lpstr>'M04-S02'!Print_Area</vt:lpstr>
      <vt:lpstr>'M04-S03'!Print_Area</vt:lpstr>
      <vt:lpstr>'M04-S04'!Print_Area</vt:lpstr>
      <vt:lpstr>'M04-S05'!Print_Area</vt:lpstr>
      <vt:lpstr>'M04-S06'!Print_Area</vt:lpstr>
      <vt:lpstr>'M04-S07'!Print_Area</vt:lpstr>
      <vt:lpstr>'M04-S08'!Print_Area</vt:lpstr>
      <vt:lpstr>'M04-S09'!Print_Area</vt:lpstr>
      <vt:lpstr>'M04-S10'!Print_Area</vt:lpstr>
      <vt:lpstr>'M04-S11'!Print_Area</vt:lpstr>
      <vt:lpstr>'M05-S01a'!Print_Area</vt:lpstr>
      <vt:lpstr>'M05-S01b'!Print_Area</vt:lpstr>
      <vt:lpstr>'M05-S02'!Print_Area</vt:lpstr>
      <vt:lpstr>'M05-S02-1'!Print_Area</vt:lpstr>
      <vt:lpstr>'M05-S03'!Print_Area</vt:lpstr>
      <vt:lpstr>'M05-S04'!Print_Area</vt:lpstr>
      <vt:lpstr>'M05-S05'!Print_Area</vt:lpstr>
      <vt:lpstr>'M05-S06'!Print_Area</vt:lpstr>
      <vt:lpstr>'M05-S07'!Print_Area</vt:lpstr>
      <vt:lpstr>'M05-S08'!Print_Area</vt:lpstr>
      <vt:lpstr>'M05-S04'!PROGRAM</vt:lpstr>
      <vt:lpstr>'M05-S06'!PROGRAM</vt:lpstr>
      <vt:lpstr>'M05-S08'!PROGRAM</vt:lpstr>
      <vt:lpstr>PROGRAM</vt:lpstr>
      <vt:lpstr>PROGRESSSTATUS</vt:lpstr>
      <vt:lpstr>PROJECTSTATCB</vt:lpstr>
      <vt:lpstr>PROJECTSTATPAYBACK</vt:lpstr>
      <vt:lpstr>PROJECTSTATPAYBACKCUS</vt:lpstr>
      <vt:lpstr>PROJECTSTATPAYBACKRCX</vt:lpstr>
      <vt:lpstr>'M05-S04'!PROJECTTYPELIST</vt:lpstr>
      <vt:lpstr>'M05-S06'!PROJECTTYPELIST</vt:lpstr>
      <vt:lpstr>'M05-S08'!PROJECTTYPELIST</vt:lpstr>
      <vt:lpstr>PROJECTTYPELIST</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RCXTHRESH</vt:lpstr>
      <vt:lpstr>'M05-S04'!SHEAT</vt:lpstr>
      <vt:lpstr>'M05-S06'!SHEAT</vt:lpstr>
      <vt:lpstr>'M05-S08'!SHEAT</vt:lpstr>
      <vt:lpstr>SHEAT</vt:lpstr>
      <vt:lpstr>SitePeakkW</vt:lpstr>
      <vt:lpstr>SpaceHeating_Fossil_Fuel_Heating</vt:lpstr>
      <vt:lpstr>SPILLOVERNUMBER</vt:lpstr>
      <vt:lpstr>'M05-S04'!STATESABBREV</vt:lpstr>
      <vt:lpstr>'M05-S06'!STATESABBREV</vt:lpstr>
      <vt:lpstr>'M05-S08'!STATESABBREV</vt:lpstr>
      <vt:lpstr>STATESABBREV</vt:lpstr>
      <vt:lpstr>Status_Final</vt:lpstr>
      <vt:lpstr>Status_Pre</vt:lpstr>
      <vt:lpstr>SubmittingThrough</vt:lpstr>
      <vt:lpstr>'M05-S04'!TAXLIST</vt:lpstr>
      <vt:lpstr>'M05-S06'!TAXLIST</vt:lpstr>
      <vt:lpstr>'M05-S08'!TAXLIST</vt:lpstr>
      <vt:lpstr>TAXLIST</vt:lpstr>
      <vt:lpstr>Thm_Customer_Total_All</vt:lpstr>
      <vt:lpstr>Thm_Customer_Total_Cust</vt:lpstr>
      <vt:lpstr>Thm_Reported_Total_All</vt:lpstr>
      <vt:lpstr>Thm_Reported_Total_Cust</vt:lpstr>
      <vt:lpstr>THMSTATUS</vt:lpstr>
      <vt:lpstr>TOTCOSTCAP</vt:lpstr>
      <vt:lpstr>TRANSFERID</vt:lpstr>
      <vt:lpstr>TransferStatus</vt:lpstr>
      <vt:lpstr>Txt_Rqd</vt:lpstr>
      <vt:lpstr>Txt_SubmitOnline</vt:lpstr>
      <vt:lpstr>Txt_SubMthdEmail</vt:lpstr>
      <vt:lpstr>Txt_SubMthdOnline</vt:lpstr>
      <vt:lpstr>Union_Info1</vt:lpstr>
      <vt:lpstr>Union_Info2</vt:lpstr>
      <vt:lpstr>Union_Info3</vt:lpstr>
      <vt:lpstr>VERSION</vt:lpstr>
      <vt:lpstr>'M05-S04'!WATERHEATINGTYPE</vt:lpstr>
      <vt:lpstr>'M05-S06'!WATERHEATINGTYPE</vt:lpstr>
      <vt:lpstr>'M05-S08'!WATERHEATINGTYPE</vt:lpstr>
      <vt:lpstr>WATERHEATINGTYPE</vt:lpstr>
      <vt:lpstr>WBPCAP</vt:lpstr>
      <vt:lpstr>'M05-S04'!YESNOLIST</vt:lpstr>
      <vt:lpstr>'M05-S06'!YESNOLIST</vt:lpstr>
      <vt:lpstr>'M05-S08'!YESNOLIST</vt:lpstr>
      <vt:lpstr>YESNOLIST</vt:lpstr>
    </vt:vector>
  </TitlesOfParts>
  <Manager/>
  <Company>Lockheed Martin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Gary Gao</dc:creator>
  <cp:keywords>Unrestricted</cp:keywords>
  <dc:description/>
  <cp:lastModifiedBy>Bean, Adam</cp:lastModifiedBy>
  <cp:revision/>
  <dcterms:created xsi:type="dcterms:W3CDTF">2015-10-07T20:52:11Z</dcterms:created>
  <dcterms:modified xsi:type="dcterms:W3CDTF">2025-04-24T20:43:08Z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0x010100D8AF1B91BD7692478C94F46CF98EE500</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y fmtid="{D5CDD505-2E9C-101B-9397-08002B2CF9AE}" pid="18" name="MediaServiceImageTags">
    <vt:lpwstr/>
  </property>
  <property fmtid="{D5CDD505-2E9C-101B-9397-08002B2CF9AE}" pid="19" name="ESRI_WORKBOOK_ID">
    <vt:lpwstr>3b183259b06e4135919778200862aac6</vt:lpwstr>
  </property>
</Properties>
</file>